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cenl\Desktop\Laura\A.09-09-022 Alberhill\A.09-09-022 CPUC-JWS-4\"/>
    </mc:Choice>
  </mc:AlternateContent>
  <xr:revisionPtr revIDLastSave="0" documentId="8_{3D801CBF-207F-4415-A4C5-1DF90273F749}" xr6:coauthVersionLast="45" xr6:coauthVersionMax="45" xr10:uidLastSave="{00000000-0000-0000-0000-000000000000}"/>
  <bookViews>
    <workbookView xWindow="-110" yWindow="-110" windowWidth="19420" windowHeight="10420" tabRatio="771" xr2:uid="{00000000-000D-0000-FFFF-FFFF00000000}"/>
  </bookViews>
  <sheets>
    <sheet name="Summary" sheetId="7" r:id="rId1"/>
    <sheet name="Incr. C-B Reliability Indices" sheetId="18" r:id="rId2"/>
    <sheet name="Incr. C-B Monetized" sheetId="59" r:id="rId3"/>
    <sheet name="Levelized Cost Analysis" sheetId="60" r:id="rId4"/>
    <sheet name="Cost Assumptions" sheetId="16" r:id="rId5"/>
    <sheet name="Baseline System Analysis" sheetId="17" r:id="rId6"/>
    <sheet name="Alberhill System Project" sheetId="10" r:id="rId7"/>
    <sheet name="SDG&amp;E" sheetId="11" r:id="rId8"/>
    <sheet name="Valley S to Valley N to Vista" sheetId="12" r:id="rId9"/>
    <sheet name="Centralized BESS in Valley S" sheetId="13" r:id="rId10"/>
    <sheet name="MiraLoma &amp; Centralized BESS VS" sheetId="15" r:id="rId11"/>
    <sheet name="VS to VN &amp; Distributed BESS VS" sheetId="23" r:id="rId12"/>
    <sheet name="Menifee" sheetId="38" r:id="rId13"/>
    <sheet name="Mira Loma" sheetId="61" r:id="rId14"/>
    <sheet name="SCE Orange County" sheetId="43" r:id="rId15"/>
    <sheet name="VS to VN &amp; Central BESS VS VN " sheetId="45" r:id="rId16"/>
    <sheet name="VS to VN to VST &amp; Cen BESS VS" sheetId="47" r:id="rId17"/>
    <sheet name="SDG&amp;E and Central BESS in VS" sheetId="50" r:id="rId18"/>
    <sheet name="Valley South to Valley North" sheetId="58" r:id="rId19"/>
  </sheets>
  <definedNames>
    <definedName name="_xlnm._FilterDatabase" localSheetId="2" hidden="1">'Incr. C-B Monetized'!$A$4:$D$11</definedName>
    <definedName name="_xlnm._FilterDatabase" localSheetId="1" hidden="1">'Incr. C-B Reliability Indices'!$A$3:$D$10</definedName>
    <definedName name="_xlnm._FilterDatabase" localSheetId="0" hidden="1">Summary!$H$6:$J$18</definedName>
    <definedName name="Sourcedata">Summary!$A$6:$D$11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7" i="18" l="1"/>
  <c r="Z47" i="18"/>
  <c r="X47" i="18"/>
  <c r="V47" i="18"/>
  <c r="AB40" i="59"/>
  <c r="Z40" i="59"/>
  <c r="X40" i="59"/>
  <c r="V40" i="59"/>
  <c r="F40" i="59" l="1"/>
  <c r="T40" i="59"/>
  <c r="R40" i="59"/>
  <c r="P40" i="59"/>
  <c r="N40" i="59"/>
  <c r="L40" i="59"/>
  <c r="J40" i="59"/>
  <c r="H40" i="59"/>
  <c r="D40" i="59"/>
  <c r="E40" i="59" s="1"/>
  <c r="C40" i="59"/>
  <c r="Q18" i="50" l="1"/>
  <c r="R18" i="50" s="1"/>
  <c r="S18" i="50" s="1"/>
  <c r="T18" i="50" s="1"/>
  <c r="U18" i="50" s="1"/>
  <c r="V18" i="50" s="1"/>
  <c r="W18" i="50" s="1"/>
  <c r="X18" i="50" s="1"/>
  <c r="Y18" i="50" s="1"/>
  <c r="Z18" i="50" s="1"/>
  <c r="AA18" i="50" s="1"/>
  <c r="AB18" i="50" s="1"/>
  <c r="AC18" i="50" s="1"/>
  <c r="AD18" i="50" s="1"/>
  <c r="D69" i="38" l="1"/>
  <c r="D69" i="15"/>
  <c r="D66" i="58" l="1"/>
  <c r="D67" i="58"/>
  <c r="D70" i="58"/>
  <c r="D71" i="58"/>
  <c r="D82" i="58"/>
  <c r="D39" i="58"/>
  <c r="E39" i="58" s="1"/>
  <c r="D2" i="58"/>
  <c r="D43" i="58" s="1"/>
  <c r="D3" i="58"/>
  <c r="D45" i="58" s="1"/>
  <c r="D4" i="58"/>
  <c r="D46" i="58" s="1"/>
  <c r="D5" i="58"/>
  <c r="D47" i="58" s="1"/>
  <c r="D6" i="58"/>
  <c r="D48" i="58" s="1"/>
  <c r="D7" i="58"/>
  <c r="D49" i="58" s="1"/>
  <c r="D8" i="58"/>
  <c r="D53" i="58" s="1"/>
  <c r="D9" i="58"/>
  <c r="D54" i="58" s="1"/>
  <c r="D10" i="58"/>
  <c r="D55" i="58" s="1"/>
  <c r="D11" i="58"/>
  <c r="D56" i="58" s="1"/>
  <c r="D12" i="58"/>
  <c r="D57" i="58" s="1"/>
  <c r="D13" i="58"/>
  <c r="D50" i="58" s="1"/>
  <c r="D14" i="58"/>
  <c r="D51" i="58" s="1"/>
  <c r="D15" i="58"/>
  <c r="D52" i="58" s="1"/>
  <c r="D65" i="50"/>
  <c r="D66" i="50"/>
  <c r="D69" i="50"/>
  <c r="D70" i="50"/>
  <c r="D81" i="50"/>
  <c r="D38" i="50"/>
  <c r="E38" i="50" s="1"/>
  <c r="D71" i="50" l="1"/>
  <c r="D44" i="58"/>
  <c r="D67" i="50"/>
  <c r="D68" i="58"/>
  <c r="D72" i="58"/>
  <c r="D2" i="50"/>
  <c r="D42" i="50" s="1"/>
  <c r="D43" i="50" s="1"/>
  <c r="D3" i="50"/>
  <c r="D44" i="50" s="1"/>
  <c r="D4" i="50"/>
  <c r="D45" i="50" s="1"/>
  <c r="D5" i="50"/>
  <c r="D46" i="50" s="1"/>
  <c r="D6" i="50"/>
  <c r="D47" i="50" s="1"/>
  <c r="D7" i="50"/>
  <c r="D48" i="50" s="1"/>
  <c r="D8" i="50"/>
  <c r="D52" i="50" s="1"/>
  <c r="D9" i="50"/>
  <c r="D53" i="50" s="1"/>
  <c r="D10" i="50"/>
  <c r="D54" i="50" s="1"/>
  <c r="D11" i="50"/>
  <c r="D55" i="50" s="1"/>
  <c r="D12" i="50"/>
  <c r="D56" i="50" s="1"/>
  <c r="D13" i="50"/>
  <c r="D49" i="50" s="1"/>
  <c r="D14" i="50"/>
  <c r="D50" i="50" s="1"/>
  <c r="D15" i="50"/>
  <c r="D51" i="50" s="1"/>
  <c r="AA36" i="45"/>
  <c r="AB36" i="45" s="1"/>
  <c r="AC36" i="45" s="1"/>
  <c r="AD36" i="45" s="1"/>
  <c r="V36" i="45"/>
  <c r="W36" i="45" s="1"/>
  <c r="X36" i="45" s="1"/>
  <c r="Y36" i="45" s="1"/>
  <c r="Q36" i="45"/>
  <c r="R36" i="45" s="1"/>
  <c r="S36" i="45" s="1"/>
  <c r="T36" i="45" s="1"/>
  <c r="L36" i="45"/>
  <c r="M36" i="45" s="1"/>
  <c r="N36" i="45" s="1"/>
  <c r="E36" i="45"/>
  <c r="F36" i="45" s="1"/>
  <c r="G36" i="45" s="1"/>
  <c r="H36" i="45" s="1"/>
  <c r="I36" i="45" s="1"/>
  <c r="J36" i="45" s="1"/>
  <c r="AA35" i="45"/>
  <c r="AB35" i="45" s="1"/>
  <c r="AC35" i="45" s="1"/>
  <c r="AD35" i="45" s="1"/>
  <c r="V35" i="45"/>
  <c r="W35" i="45" s="1"/>
  <c r="X35" i="45" s="1"/>
  <c r="Y35" i="45" s="1"/>
  <c r="Q35" i="45"/>
  <c r="R35" i="45" s="1"/>
  <c r="S35" i="45" s="1"/>
  <c r="T35" i="45" s="1"/>
  <c r="L35" i="45"/>
  <c r="M35" i="45" s="1"/>
  <c r="N35" i="45" s="1"/>
  <c r="E35" i="45"/>
  <c r="F35" i="45" s="1"/>
  <c r="G35" i="45" s="1"/>
  <c r="H35" i="45" s="1"/>
  <c r="I35" i="45" s="1"/>
  <c r="J35" i="45" s="1"/>
  <c r="AA32" i="45"/>
  <c r="AB32" i="45" s="1"/>
  <c r="AC32" i="45" s="1"/>
  <c r="AD32" i="45" s="1"/>
  <c r="Y32" i="45"/>
  <c r="AA31" i="45"/>
  <c r="AB31" i="45" s="1"/>
  <c r="AC31" i="45" s="1"/>
  <c r="AD31" i="45" s="1"/>
  <c r="Y31" i="45"/>
  <c r="AA30" i="45"/>
  <c r="AB30" i="45" s="1"/>
  <c r="AC30" i="45" s="1"/>
  <c r="AD30" i="45" s="1"/>
  <c r="Y30" i="45"/>
  <c r="AA29" i="45"/>
  <c r="AB29" i="45" s="1"/>
  <c r="AC29" i="45" s="1"/>
  <c r="AD29" i="45" s="1"/>
  <c r="Y29" i="45"/>
  <c r="AA28" i="45"/>
  <c r="AB28" i="45" s="1"/>
  <c r="AC28" i="45" s="1"/>
  <c r="AD28" i="45" s="1"/>
  <c r="Y28" i="45"/>
  <c r="D66" i="47"/>
  <c r="D67" i="47"/>
  <c r="D70" i="47"/>
  <c r="D71" i="47"/>
  <c r="D82" i="47"/>
  <c r="D39" i="47"/>
  <c r="E39" i="47" s="1"/>
  <c r="F39" i="47" s="1"/>
  <c r="G39" i="47" s="1"/>
  <c r="H39" i="47" s="1"/>
  <c r="I39" i="47" s="1"/>
  <c r="J39" i="47" s="1"/>
  <c r="K39" i="47" s="1"/>
  <c r="L39" i="47" s="1"/>
  <c r="M39" i="47" s="1"/>
  <c r="N39" i="47" s="1"/>
  <c r="O39" i="47" s="1"/>
  <c r="P39" i="47" s="1"/>
  <c r="Q39" i="47" s="1"/>
  <c r="R39" i="47" s="1"/>
  <c r="S39" i="47" s="1"/>
  <c r="T39" i="47" s="1"/>
  <c r="U39" i="47" s="1"/>
  <c r="V39" i="47" s="1"/>
  <c r="W39" i="47" s="1"/>
  <c r="X39" i="47" s="1"/>
  <c r="Y39" i="47" s="1"/>
  <c r="Z39" i="47" s="1"/>
  <c r="AA39" i="47" s="1"/>
  <c r="AB39" i="47" s="1"/>
  <c r="AC39" i="47" s="1"/>
  <c r="AD39" i="47" s="1"/>
  <c r="AE39" i="47" s="1"/>
  <c r="AA36" i="47"/>
  <c r="AB36" i="47" s="1"/>
  <c r="AC36" i="47" s="1"/>
  <c r="AD36" i="47" s="1"/>
  <c r="V36" i="47"/>
  <c r="W36" i="47" s="1"/>
  <c r="X36" i="47" s="1"/>
  <c r="Y36" i="47" s="1"/>
  <c r="Q36" i="47"/>
  <c r="R36" i="47" s="1"/>
  <c r="S36" i="47" s="1"/>
  <c r="T36" i="47" s="1"/>
  <c r="L36" i="47"/>
  <c r="M36" i="47" s="1"/>
  <c r="N36" i="47" s="1"/>
  <c r="E36" i="47"/>
  <c r="F36" i="47" s="1"/>
  <c r="G36" i="47" s="1"/>
  <c r="H36" i="47" s="1"/>
  <c r="I36" i="47" s="1"/>
  <c r="J36" i="47" s="1"/>
  <c r="AA35" i="47"/>
  <c r="AB35" i="47" s="1"/>
  <c r="AC35" i="47" s="1"/>
  <c r="AD35" i="47" s="1"/>
  <c r="V35" i="47"/>
  <c r="W35" i="47" s="1"/>
  <c r="X35" i="47" s="1"/>
  <c r="Y35" i="47" s="1"/>
  <c r="Q35" i="47"/>
  <c r="R35" i="47" s="1"/>
  <c r="S35" i="47" s="1"/>
  <c r="T35" i="47" s="1"/>
  <c r="L35" i="47"/>
  <c r="M35" i="47" s="1"/>
  <c r="N35" i="47" s="1"/>
  <c r="E35" i="47"/>
  <c r="F35" i="47" s="1"/>
  <c r="G35" i="47" s="1"/>
  <c r="H35" i="47" s="1"/>
  <c r="I35" i="47" s="1"/>
  <c r="J35" i="47" s="1"/>
  <c r="AA27" i="47"/>
  <c r="AB27" i="47" s="1"/>
  <c r="AC27" i="47" s="1"/>
  <c r="AD27" i="47" s="1"/>
  <c r="Y27" i="47"/>
  <c r="AA23" i="47"/>
  <c r="AB23" i="47" s="1"/>
  <c r="AC23" i="47" s="1"/>
  <c r="AD23" i="47" s="1"/>
  <c r="V23" i="47"/>
  <c r="W23" i="47" s="1"/>
  <c r="X23" i="47" s="1"/>
  <c r="Y23" i="47" s="1"/>
  <c r="Q23" i="47"/>
  <c r="R23" i="47" s="1"/>
  <c r="S23" i="47" s="1"/>
  <c r="T23" i="47" s="1"/>
  <c r="L23" i="47"/>
  <c r="M23" i="47" s="1"/>
  <c r="N23" i="47" s="1"/>
  <c r="F23" i="47"/>
  <c r="G23" i="47" s="1"/>
  <c r="H23" i="47" s="1"/>
  <c r="I23" i="47" s="1"/>
  <c r="J23" i="47" s="1"/>
  <c r="AA22" i="47"/>
  <c r="AB22" i="47" s="1"/>
  <c r="AC22" i="47" s="1"/>
  <c r="AD22" i="47" s="1"/>
  <c r="V22" i="47"/>
  <c r="W22" i="47" s="1"/>
  <c r="X22" i="47" s="1"/>
  <c r="Y22" i="47" s="1"/>
  <c r="Q22" i="47"/>
  <c r="R22" i="47" s="1"/>
  <c r="S22" i="47" s="1"/>
  <c r="T22" i="47" s="1"/>
  <c r="L22" i="47"/>
  <c r="M22" i="47" s="1"/>
  <c r="N22" i="47" s="1"/>
  <c r="F22" i="47"/>
  <c r="G22" i="47" s="1"/>
  <c r="H22" i="47" s="1"/>
  <c r="I22" i="47" s="1"/>
  <c r="J22" i="47" s="1"/>
  <c r="AA21" i="47"/>
  <c r="AB21" i="47" s="1"/>
  <c r="AC21" i="47" s="1"/>
  <c r="AD21" i="47" s="1"/>
  <c r="V21" i="47"/>
  <c r="W21" i="47" s="1"/>
  <c r="X21" i="47" s="1"/>
  <c r="Y21" i="47" s="1"/>
  <c r="Q21" i="47"/>
  <c r="R21" i="47" s="1"/>
  <c r="S21" i="47" s="1"/>
  <c r="T21" i="47" s="1"/>
  <c r="L21" i="47"/>
  <c r="M21" i="47" s="1"/>
  <c r="N21" i="47" s="1"/>
  <c r="F21" i="47"/>
  <c r="G21" i="47" s="1"/>
  <c r="H21" i="47" s="1"/>
  <c r="I21" i="47" s="1"/>
  <c r="J21" i="47" s="1"/>
  <c r="AA20" i="47"/>
  <c r="AB20" i="47" s="1"/>
  <c r="AC20" i="47" s="1"/>
  <c r="AD20" i="47" s="1"/>
  <c r="V20" i="47"/>
  <c r="W20" i="47" s="1"/>
  <c r="X20" i="47" s="1"/>
  <c r="Y20" i="47" s="1"/>
  <c r="Q20" i="47"/>
  <c r="R20" i="47" s="1"/>
  <c r="S20" i="47" s="1"/>
  <c r="T20" i="47" s="1"/>
  <c r="L20" i="47"/>
  <c r="M20" i="47" s="1"/>
  <c r="N20" i="47" s="1"/>
  <c r="F20" i="47"/>
  <c r="G20" i="47" s="1"/>
  <c r="H20" i="47" s="1"/>
  <c r="I20" i="47" s="1"/>
  <c r="J20" i="47" s="1"/>
  <c r="AA19" i="47"/>
  <c r="AB19" i="47" s="1"/>
  <c r="AC19" i="47" s="1"/>
  <c r="AD19" i="47" s="1"/>
  <c r="V19" i="47"/>
  <c r="W19" i="47" s="1"/>
  <c r="X19" i="47" s="1"/>
  <c r="Y19" i="47" s="1"/>
  <c r="Q19" i="47"/>
  <c r="R19" i="47" s="1"/>
  <c r="S19" i="47" s="1"/>
  <c r="T19" i="47" s="1"/>
  <c r="L19" i="47"/>
  <c r="M19" i="47" s="1"/>
  <c r="N19" i="47" s="1"/>
  <c r="F19" i="47"/>
  <c r="G19" i="47" s="1"/>
  <c r="H19" i="47" s="1"/>
  <c r="I19" i="47" s="1"/>
  <c r="J19" i="47" s="1"/>
  <c r="S18" i="47"/>
  <c r="T18" i="47" s="1"/>
  <c r="U18" i="47" s="1"/>
  <c r="V18" i="47" s="1"/>
  <c r="W18" i="47" s="1"/>
  <c r="X18" i="47" s="1"/>
  <c r="Y18" i="47" s="1"/>
  <c r="Z18" i="47" s="1"/>
  <c r="AA18" i="47" s="1"/>
  <c r="AB18" i="47" s="1"/>
  <c r="AC18" i="47" s="1"/>
  <c r="AD18" i="47" s="1"/>
  <c r="D2" i="47"/>
  <c r="D43" i="47" s="1"/>
  <c r="D3" i="47"/>
  <c r="D45" i="47" s="1"/>
  <c r="D4" i="47"/>
  <c r="D46" i="47" s="1"/>
  <c r="D5" i="47"/>
  <c r="D47" i="47" s="1"/>
  <c r="D6" i="47"/>
  <c r="D48" i="47" s="1"/>
  <c r="D7" i="47"/>
  <c r="D49" i="47" s="1"/>
  <c r="D8" i="47"/>
  <c r="D53" i="47" s="1"/>
  <c r="D9" i="47"/>
  <c r="D54" i="47" s="1"/>
  <c r="D10" i="47"/>
  <c r="D55" i="47" s="1"/>
  <c r="D11" i="47"/>
  <c r="D56" i="47" s="1"/>
  <c r="D12" i="47"/>
  <c r="D57" i="47" s="1"/>
  <c r="D13" i="47"/>
  <c r="D50" i="47" s="1"/>
  <c r="D14" i="47"/>
  <c r="D51" i="47" s="1"/>
  <c r="D15" i="47"/>
  <c r="D52" i="47" s="1"/>
  <c r="D66" i="45"/>
  <c r="D67" i="45"/>
  <c r="D70" i="45"/>
  <c r="D71" i="45"/>
  <c r="D82" i="45"/>
  <c r="D39" i="45"/>
  <c r="E39" i="45" s="1"/>
  <c r="F39" i="45" s="1"/>
  <c r="D68" i="47" l="1"/>
  <c r="D72" i="47"/>
  <c r="D44" i="47"/>
  <c r="D68" i="45"/>
  <c r="D72" i="45"/>
  <c r="D2" i="45"/>
  <c r="D43" i="45" s="1"/>
  <c r="D44" i="45" s="1"/>
  <c r="D3" i="45"/>
  <c r="D45" i="45" s="1"/>
  <c r="D4" i="45"/>
  <c r="D46" i="45" s="1"/>
  <c r="D5" i="45"/>
  <c r="D47" i="45" s="1"/>
  <c r="D6" i="45"/>
  <c r="D48" i="45" s="1"/>
  <c r="D7" i="45"/>
  <c r="D49" i="45" s="1"/>
  <c r="D8" i="45"/>
  <c r="D53" i="45" s="1"/>
  <c r="D9" i="45"/>
  <c r="D54" i="45" s="1"/>
  <c r="D10" i="45"/>
  <c r="D55" i="45" s="1"/>
  <c r="D11" i="45"/>
  <c r="D56" i="45" s="1"/>
  <c r="D12" i="45"/>
  <c r="D57" i="45" s="1"/>
  <c r="D13" i="45"/>
  <c r="D50" i="45" s="1"/>
  <c r="D14" i="45"/>
  <c r="D51" i="45" s="1"/>
  <c r="D15" i="45"/>
  <c r="D52" i="45" s="1"/>
  <c r="D65" i="43"/>
  <c r="D66" i="43"/>
  <c r="D69" i="43"/>
  <c r="D70" i="43"/>
  <c r="D81" i="43"/>
  <c r="D38" i="43"/>
  <c r="E38" i="43" s="1"/>
  <c r="AA35" i="43"/>
  <c r="AB35" i="43" s="1"/>
  <c r="AC35" i="43" s="1"/>
  <c r="AD35" i="43" s="1"/>
  <c r="V35" i="43"/>
  <c r="W35" i="43" s="1"/>
  <c r="X35" i="43" s="1"/>
  <c r="Y35" i="43" s="1"/>
  <c r="Q35" i="43"/>
  <c r="R35" i="43" s="1"/>
  <c r="S35" i="43" s="1"/>
  <c r="T35" i="43" s="1"/>
  <c r="L35" i="43"/>
  <c r="M35" i="43" s="1"/>
  <c r="N35" i="43" s="1"/>
  <c r="O35" i="43" s="1"/>
  <c r="E35" i="43"/>
  <c r="F35" i="43" s="1"/>
  <c r="G35" i="43" s="1"/>
  <c r="H35" i="43" s="1"/>
  <c r="I35" i="43" s="1"/>
  <c r="J35" i="43" s="1"/>
  <c r="AA34" i="43"/>
  <c r="AB34" i="43" s="1"/>
  <c r="AC34" i="43" s="1"/>
  <c r="AD34" i="43" s="1"/>
  <c r="V34" i="43"/>
  <c r="W34" i="43" s="1"/>
  <c r="X34" i="43" s="1"/>
  <c r="Y34" i="43" s="1"/>
  <c r="Q34" i="43"/>
  <c r="R34" i="43" s="1"/>
  <c r="S34" i="43" s="1"/>
  <c r="T34" i="43" s="1"/>
  <c r="L34" i="43"/>
  <c r="M34" i="43" s="1"/>
  <c r="N34" i="43" s="1"/>
  <c r="O34" i="43" s="1"/>
  <c r="E34" i="43"/>
  <c r="F34" i="43" s="1"/>
  <c r="G34" i="43" s="1"/>
  <c r="H34" i="43" s="1"/>
  <c r="I34" i="43" s="1"/>
  <c r="J34" i="43" s="1"/>
  <c r="AA31" i="43"/>
  <c r="AB31" i="43" s="1"/>
  <c r="AC31" i="43" s="1"/>
  <c r="AD31" i="43" s="1"/>
  <c r="V31" i="43"/>
  <c r="W31" i="43" s="1"/>
  <c r="X31" i="43" s="1"/>
  <c r="Y31" i="43" s="1"/>
  <c r="Q31" i="43"/>
  <c r="R31" i="43" s="1"/>
  <c r="S31" i="43" s="1"/>
  <c r="T31" i="43" s="1"/>
  <c r="AA30" i="43"/>
  <c r="AB30" i="43" s="1"/>
  <c r="AC30" i="43" s="1"/>
  <c r="AD30" i="43" s="1"/>
  <c r="V30" i="43"/>
  <c r="W30" i="43" s="1"/>
  <c r="X30" i="43" s="1"/>
  <c r="Y30" i="43" s="1"/>
  <c r="Q30" i="43"/>
  <c r="R30" i="43" s="1"/>
  <c r="S30" i="43" s="1"/>
  <c r="T30" i="43" s="1"/>
  <c r="AA29" i="43"/>
  <c r="AB29" i="43" s="1"/>
  <c r="AC29" i="43" s="1"/>
  <c r="AD29" i="43" s="1"/>
  <c r="V29" i="43"/>
  <c r="W29" i="43" s="1"/>
  <c r="X29" i="43" s="1"/>
  <c r="Y29" i="43" s="1"/>
  <c r="Q29" i="43"/>
  <c r="R29" i="43" s="1"/>
  <c r="S29" i="43" s="1"/>
  <c r="T29" i="43" s="1"/>
  <c r="AA28" i="43"/>
  <c r="AB28" i="43" s="1"/>
  <c r="AC28" i="43" s="1"/>
  <c r="AD28" i="43" s="1"/>
  <c r="V28" i="43"/>
  <c r="W28" i="43" s="1"/>
  <c r="X28" i="43" s="1"/>
  <c r="Y28" i="43" s="1"/>
  <c r="Q28" i="43"/>
  <c r="R28" i="43" s="1"/>
  <c r="S28" i="43" s="1"/>
  <c r="T28" i="43" s="1"/>
  <c r="AA27" i="43"/>
  <c r="AB27" i="43" s="1"/>
  <c r="AC27" i="43" s="1"/>
  <c r="AD27" i="43" s="1"/>
  <c r="V27" i="43"/>
  <c r="W27" i="43" s="1"/>
  <c r="X27" i="43" s="1"/>
  <c r="Y27" i="43" s="1"/>
  <c r="Q27" i="43"/>
  <c r="R27" i="43" s="1"/>
  <c r="S27" i="43" s="1"/>
  <c r="T27" i="43" s="1"/>
  <c r="D71" i="43" l="1"/>
  <c r="D67" i="43"/>
  <c r="AA23" i="43"/>
  <c r="AB23" i="43" s="1"/>
  <c r="AC23" i="43" s="1"/>
  <c r="AD23" i="43" s="1"/>
  <c r="V23" i="43"/>
  <c r="W23" i="43" s="1"/>
  <c r="X23" i="43" s="1"/>
  <c r="Y23" i="43" s="1"/>
  <c r="Q23" i="43"/>
  <c r="R23" i="43" s="1"/>
  <c r="S23" i="43" s="1"/>
  <c r="T23" i="43" s="1"/>
  <c r="L23" i="43"/>
  <c r="M23" i="43" s="1"/>
  <c r="N23" i="43" s="1"/>
  <c r="O23" i="43" s="1"/>
  <c r="E23" i="43"/>
  <c r="F23" i="43" s="1"/>
  <c r="G23" i="43" s="1"/>
  <c r="H23" i="43" s="1"/>
  <c r="I23" i="43" s="1"/>
  <c r="J23" i="43" s="1"/>
  <c r="AA22" i="43"/>
  <c r="AB22" i="43" s="1"/>
  <c r="AC22" i="43" s="1"/>
  <c r="AD22" i="43" s="1"/>
  <c r="V22" i="43"/>
  <c r="W22" i="43" s="1"/>
  <c r="X22" i="43" s="1"/>
  <c r="Y22" i="43" s="1"/>
  <c r="Q22" i="43"/>
  <c r="R22" i="43" s="1"/>
  <c r="S22" i="43" s="1"/>
  <c r="T22" i="43" s="1"/>
  <c r="L22" i="43"/>
  <c r="M22" i="43" s="1"/>
  <c r="N22" i="43" s="1"/>
  <c r="O22" i="43" s="1"/>
  <c r="E22" i="43"/>
  <c r="F22" i="43" s="1"/>
  <c r="G22" i="43" s="1"/>
  <c r="H22" i="43" s="1"/>
  <c r="I22" i="43" s="1"/>
  <c r="J22" i="43" s="1"/>
  <c r="AA21" i="43"/>
  <c r="AB21" i="43" s="1"/>
  <c r="AC21" i="43" s="1"/>
  <c r="AD21" i="43" s="1"/>
  <c r="V21" i="43"/>
  <c r="W21" i="43" s="1"/>
  <c r="X21" i="43" s="1"/>
  <c r="Y21" i="43" s="1"/>
  <c r="Q21" i="43"/>
  <c r="R21" i="43" s="1"/>
  <c r="S21" i="43" s="1"/>
  <c r="T21" i="43" s="1"/>
  <c r="L21" i="43"/>
  <c r="M21" i="43" s="1"/>
  <c r="N21" i="43" s="1"/>
  <c r="O21" i="43" s="1"/>
  <c r="E21" i="43"/>
  <c r="F21" i="43" s="1"/>
  <c r="G21" i="43" s="1"/>
  <c r="H21" i="43" s="1"/>
  <c r="I21" i="43" s="1"/>
  <c r="J21" i="43" s="1"/>
  <c r="AA20" i="43"/>
  <c r="AB20" i="43" s="1"/>
  <c r="AC20" i="43" s="1"/>
  <c r="AD20" i="43" s="1"/>
  <c r="V20" i="43"/>
  <c r="W20" i="43" s="1"/>
  <c r="X20" i="43" s="1"/>
  <c r="Y20" i="43" s="1"/>
  <c r="Q20" i="43"/>
  <c r="R20" i="43" s="1"/>
  <c r="S20" i="43" s="1"/>
  <c r="T20" i="43" s="1"/>
  <c r="L20" i="43"/>
  <c r="M20" i="43" s="1"/>
  <c r="N20" i="43" s="1"/>
  <c r="O20" i="43" s="1"/>
  <c r="E20" i="43"/>
  <c r="F20" i="43" s="1"/>
  <c r="G20" i="43" s="1"/>
  <c r="H20" i="43" s="1"/>
  <c r="I20" i="43" s="1"/>
  <c r="J20" i="43" s="1"/>
  <c r="AA19" i="43"/>
  <c r="AB19" i="43" s="1"/>
  <c r="AC19" i="43" s="1"/>
  <c r="AD19" i="43" s="1"/>
  <c r="V19" i="43"/>
  <c r="W19" i="43" s="1"/>
  <c r="X19" i="43" s="1"/>
  <c r="Y19" i="43" s="1"/>
  <c r="Q19" i="43"/>
  <c r="R19" i="43" s="1"/>
  <c r="S19" i="43" s="1"/>
  <c r="T19" i="43" s="1"/>
  <c r="L19" i="43"/>
  <c r="M19" i="43" s="1"/>
  <c r="N19" i="43" s="1"/>
  <c r="O19" i="43" s="1"/>
  <c r="E19" i="43"/>
  <c r="F19" i="43" s="1"/>
  <c r="G19" i="43" s="1"/>
  <c r="H19" i="43" s="1"/>
  <c r="I19" i="43" s="1"/>
  <c r="J19" i="43" s="1"/>
  <c r="D2" i="43"/>
  <c r="D42" i="43" s="1"/>
  <c r="D43" i="43" s="1"/>
  <c r="D3" i="43"/>
  <c r="D44" i="43" s="1"/>
  <c r="D4" i="43"/>
  <c r="D45" i="43" s="1"/>
  <c r="D5" i="43"/>
  <c r="D46" i="43" s="1"/>
  <c r="D6" i="43"/>
  <c r="D47" i="43" s="1"/>
  <c r="D7" i="43"/>
  <c r="D48" i="43" s="1"/>
  <c r="D8" i="43"/>
  <c r="D52" i="43" s="1"/>
  <c r="D9" i="43"/>
  <c r="D53" i="43" s="1"/>
  <c r="D10" i="43"/>
  <c r="D54" i="43" s="1"/>
  <c r="D11" i="43"/>
  <c r="D55" i="43" s="1"/>
  <c r="D12" i="43"/>
  <c r="D56" i="43" s="1"/>
  <c r="D13" i="43"/>
  <c r="D49" i="43" s="1"/>
  <c r="D14" i="43"/>
  <c r="D50" i="43" s="1"/>
  <c r="D15" i="43"/>
  <c r="D51" i="43" s="1"/>
  <c r="AE81" i="61"/>
  <c r="AD81" i="61"/>
  <c r="AC81" i="61"/>
  <c r="AB81" i="61"/>
  <c r="AA81" i="61"/>
  <c r="Z81" i="61"/>
  <c r="Y81" i="61"/>
  <c r="X81" i="61"/>
  <c r="W81" i="61"/>
  <c r="V81" i="61"/>
  <c r="U81" i="61"/>
  <c r="T81" i="61"/>
  <c r="S81" i="61"/>
  <c r="R81" i="61"/>
  <c r="Q81" i="61"/>
  <c r="P81" i="61"/>
  <c r="O81" i="61"/>
  <c r="N81" i="61"/>
  <c r="M81" i="61"/>
  <c r="L81" i="61"/>
  <c r="K81" i="61"/>
  <c r="J81" i="61"/>
  <c r="I81" i="61"/>
  <c r="H81" i="61"/>
  <c r="G81" i="61"/>
  <c r="F81" i="61"/>
  <c r="E81" i="61"/>
  <c r="D81" i="61"/>
  <c r="AE70" i="61"/>
  <c r="AD70" i="61"/>
  <c r="AC70" i="61"/>
  <c r="AB70" i="61"/>
  <c r="AA70" i="61"/>
  <c r="Z70" i="61"/>
  <c r="Y70" i="61"/>
  <c r="X70" i="61"/>
  <c r="W70" i="61"/>
  <c r="V70" i="61"/>
  <c r="U70" i="61"/>
  <c r="T70" i="61"/>
  <c r="S70" i="61"/>
  <c r="R70" i="61"/>
  <c r="Q70" i="61"/>
  <c r="P70" i="61"/>
  <c r="O70" i="61"/>
  <c r="N70" i="61"/>
  <c r="M70" i="61"/>
  <c r="L70" i="61"/>
  <c r="K70" i="61"/>
  <c r="J70" i="61"/>
  <c r="I70" i="61"/>
  <c r="H70" i="61"/>
  <c r="G70" i="61"/>
  <c r="F70" i="61"/>
  <c r="E70" i="61"/>
  <c r="D70" i="61"/>
  <c r="AE69" i="61"/>
  <c r="AD69" i="61"/>
  <c r="AC69" i="61"/>
  <c r="AC71" i="61" s="1"/>
  <c r="AB69" i="61"/>
  <c r="AB71" i="61" s="1"/>
  <c r="AA69" i="61"/>
  <c r="AA71" i="61" s="1"/>
  <c r="Z69" i="61"/>
  <c r="Z71" i="61" s="1"/>
  <c r="Y69" i="61"/>
  <c r="X69" i="61"/>
  <c r="W69" i="61"/>
  <c r="V69" i="61"/>
  <c r="U69" i="61"/>
  <c r="U71" i="61" s="1"/>
  <c r="T69" i="61"/>
  <c r="T71" i="61" s="1"/>
  <c r="S69" i="61"/>
  <c r="S71" i="61" s="1"/>
  <c r="R69" i="61"/>
  <c r="R71" i="61" s="1"/>
  <c r="Q69" i="61"/>
  <c r="P69" i="61"/>
  <c r="O69" i="61"/>
  <c r="N69" i="61"/>
  <c r="M69" i="61"/>
  <c r="M71" i="61" s="1"/>
  <c r="L69" i="61"/>
  <c r="L71" i="61" s="1"/>
  <c r="K69" i="61"/>
  <c r="K71" i="61" s="1"/>
  <c r="J69" i="61"/>
  <c r="J71" i="61" s="1"/>
  <c r="I69" i="61"/>
  <c r="H69" i="61"/>
  <c r="G69" i="61"/>
  <c r="F69" i="61"/>
  <c r="E69" i="61"/>
  <c r="E71" i="61" s="1"/>
  <c r="D69" i="61"/>
  <c r="D71" i="61" s="1"/>
  <c r="AE66" i="61"/>
  <c r="AD66" i="61"/>
  <c r="AC66" i="61"/>
  <c r="AB66" i="61"/>
  <c r="AA66" i="61"/>
  <c r="Z66" i="61"/>
  <c r="Y66" i="61"/>
  <c r="X66" i="61"/>
  <c r="W66" i="61"/>
  <c r="V66" i="61"/>
  <c r="U66" i="61"/>
  <c r="T66" i="61"/>
  <c r="S66" i="61"/>
  <c r="R66" i="61"/>
  <c r="Q66" i="61"/>
  <c r="P66" i="61"/>
  <c r="O66" i="61"/>
  <c r="N66" i="61"/>
  <c r="M66" i="61"/>
  <c r="L66" i="61"/>
  <c r="K66" i="61"/>
  <c r="J66" i="61"/>
  <c r="I66" i="61"/>
  <c r="H66" i="61"/>
  <c r="G66" i="61"/>
  <c r="F66" i="61"/>
  <c r="E66" i="61"/>
  <c r="D66" i="61"/>
  <c r="AE65" i="61"/>
  <c r="AD65" i="61"/>
  <c r="AC65" i="61"/>
  <c r="AC67" i="61" s="1"/>
  <c r="AB65" i="61"/>
  <c r="AA65" i="61"/>
  <c r="AA67" i="61" s="1"/>
  <c r="Z65" i="61"/>
  <c r="Z67" i="61" s="1"/>
  <c r="Y65" i="61"/>
  <c r="X65" i="61"/>
  <c r="W65" i="61"/>
  <c r="V65" i="61"/>
  <c r="U65" i="61"/>
  <c r="U67" i="61" s="1"/>
  <c r="T65" i="61"/>
  <c r="S65" i="61"/>
  <c r="S67" i="61" s="1"/>
  <c r="R65" i="61"/>
  <c r="R67" i="61" s="1"/>
  <c r="Q65" i="61"/>
  <c r="P65" i="61"/>
  <c r="O65" i="61"/>
  <c r="N65" i="61"/>
  <c r="M65" i="61"/>
  <c r="M67" i="61" s="1"/>
  <c r="L65" i="61"/>
  <c r="K65" i="61"/>
  <c r="K67" i="61" s="1"/>
  <c r="J65" i="61"/>
  <c r="J67" i="61" s="1"/>
  <c r="I65" i="61"/>
  <c r="H65" i="61"/>
  <c r="G65" i="61"/>
  <c r="F65" i="61"/>
  <c r="E65" i="61"/>
  <c r="E67" i="61" s="1"/>
  <c r="D65" i="61"/>
  <c r="C63" i="61"/>
  <c r="B63" i="61"/>
  <c r="A63" i="61"/>
  <c r="C62" i="61"/>
  <c r="B62" i="61"/>
  <c r="A62" i="61"/>
  <c r="C61" i="61"/>
  <c r="B61" i="61"/>
  <c r="A61" i="61"/>
  <c r="C60" i="61"/>
  <c r="B60" i="61"/>
  <c r="A60" i="61"/>
  <c r="D38" i="61"/>
  <c r="E38" i="61" s="1"/>
  <c r="F38" i="61" s="1"/>
  <c r="G38" i="61" s="1"/>
  <c r="H38" i="61" s="1"/>
  <c r="I38" i="61" s="1"/>
  <c r="J38" i="61" s="1"/>
  <c r="K38" i="61" s="1"/>
  <c r="L38" i="61" s="1"/>
  <c r="M38" i="61" s="1"/>
  <c r="N38" i="61" s="1"/>
  <c r="O38" i="61" s="1"/>
  <c r="P38" i="61" s="1"/>
  <c r="Q38" i="61" s="1"/>
  <c r="R38" i="61" s="1"/>
  <c r="S38" i="61" s="1"/>
  <c r="T38" i="61" s="1"/>
  <c r="U38" i="61" s="1"/>
  <c r="V38" i="61" s="1"/>
  <c r="W38" i="61" s="1"/>
  <c r="X38" i="61" s="1"/>
  <c r="Y38" i="61" s="1"/>
  <c r="Z38" i="61" s="1"/>
  <c r="AA38" i="61" s="1"/>
  <c r="AB38" i="61" s="1"/>
  <c r="AC38" i="61" s="1"/>
  <c r="AD38" i="61" s="1"/>
  <c r="AE38" i="61" s="1"/>
  <c r="C81" i="61" l="1"/>
  <c r="G71" i="61"/>
  <c r="O71" i="61"/>
  <c r="W71" i="61"/>
  <c r="AE71" i="61"/>
  <c r="H67" i="61"/>
  <c r="P67" i="61"/>
  <c r="X67" i="61"/>
  <c r="H71" i="61"/>
  <c r="P71" i="61"/>
  <c r="X71" i="61"/>
  <c r="I67" i="61"/>
  <c r="Q67" i="61"/>
  <c r="Y67" i="61"/>
  <c r="F67" i="61"/>
  <c r="G67" i="61"/>
  <c r="N67" i="61"/>
  <c r="O67" i="61"/>
  <c r="V67" i="61"/>
  <c r="W67" i="61"/>
  <c r="AD67" i="61"/>
  <c r="AE67" i="61"/>
  <c r="D67" i="61"/>
  <c r="L67" i="61"/>
  <c r="T67" i="61"/>
  <c r="AB67" i="61"/>
  <c r="F71" i="61"/>
  <c r="N71" i="61"/>
  <c r="V71" i="61"/>
  <c r="AD71" i="61"/>
  <c r="C65" i="61"/>
  <c r="I71" i="61"/>
  <c r="Q71" i="61"/>
  <c r="Y71" i="61"/>
  <c r="C70" i="61"/>
  <c r="C69" i="61"/>
  <c r="C66" i="61"/>
  <c r="AA23" i="61"/>
  <c r="AB23" i="61" s="1"/>
  <c r="AC23" i="61" s="1"/>
  <c r="AD23" i="61" s="1"/>
  <c r="V23" i="61"/>
  <c r="W23" i="61" s="1"/>
  <c r="X23" i="61" s="1"/>
  <c r="Y23" i="61" s="1"/>
  <c r="P23" i="61"/>
  <c r="Q23" i="61" s="1"/>
  <c r="R23" i="61" s="1"/>
  <c r="S23" i="61" s="1"/>
  <c r="T23" i="61" s="1"/>
  <c r="L23" i="61"/>
  <c r="M23" i="61" s="1"/>
  <c r="N23" i="61" s="1"/>
  <c r="F23" i="61"/>
  <c r="G23" i="61" s="1"/>
  <c r="H23" i="61" s="1"/>
  <c r="I23" i="61" s="1"/>
  <c r="J23" i="61" s="1"/>
  <c r="AA22" i="61"/>
  <c r="AB22" i="61" s="1"/>
  <c r="AC22" i="61" s="1"/>
  <c r="AD22" i="61" s="1"/>
  <c r="V22" i="61"/>
  <c r="W22" i="61" s="1"/>
  <c r="X22" i="61" s="1"/>
  <c r="Y22" i="61" s="1"/>
  <c r="P22" i="61"/>
  <c r="Q22" i="61" s="1"/>
  <c r="R22" i="61" s="1"/>
  <c r="S22" i="61" s="1"/>
  <c r="T22" i="61" s="1"/>
  <c r="L22" i="61"/>
  <c r="M22" i="61" s="1"/>
  <c r="N22" i="61" s="1"/>
  <c r="F22" i="61"/>
  <c r="G22" i="61" s="1"/>
  <c r="H22" i="61" s="1"/>
  <c r="I22" i="61" s="1"/>
  <c r="J22" i="61" s="1"/>
  <c r="AA21" i="61"/>
  <c r="AB21" i="61" s="1"/>
  <c r="AC21" i="61" s="1"/>
  <c r="AD21" i="61" s="1"/>
  <c r="V21" i="61"/>
  <c r="W21" i="61" s="1"/>
  <c r="X21" i="61" s="1"/>
  <c r="Y21" i="61" s="1"/>
  <c r="P21" i="61"/>
  <c r="Q21" i="61" s="1"/>
  <c r="R21" i="61" s="1"/>
  <c r="S21" i="61" s="1"/>
  <c r="T21" i="61" s="1"/>
  <c r="L21" i="61"/>
  <c r="M21" i="61" s="1"/>
  <c r="N21" i="61" s="1"/>
  <c r="F21" i="61"/>
  <c r="G21" i="61" s="1"/>
  <c r="H21" i="61" s="1"/>
  <c r="I21" i="61" s="1"/>
  <c r="J21" i="61" s="1"/>
  <c r="AA20" i="61"/>
  <c r="AB20" i="61" s="1"/>
  <c r="AC20" i="61" s="1"/>
  <c r="AD20" i="61" s="1"/>
  <c r="V20" i="61"/>
  <c r="W20" i="61" s="1"/>
  <c r="X20" i="61" s="1"/>
  <c r="Y20" i="61" s="1"/>
  <c r="P20" i="61"/>
  <c r="Q20" i="61" s="1"/>
  <c r="R20" i="61" s="1"/>
  <c r="S20" i="61" s="1"/>
  <c r="T20" i="61" s="1"/>
  <c r="L20" i="61"/>
  <c r="M20" i="61" s="1"/>
  <c r="N20" i="61" s="1"/>
  <c r="F20" i="61"/>
  <c r="G20" i="61" s="1"/>
  <c r="H20" i="61" s="1"/>
  <c r="I20" i="61" s="1"/>
  <c r="J20" i="61" s="1"/>
  <c r="AA19" i="61"/>
  <c r="AB19" i="61" s="1"/>
  <c r="AC19" i="61" s="1"/>
  <c r="AD19" i="61" s="1"/>
  <c r="V19" i="61"/>
  <c r="W19" i="61" s="1"/>
  <c r="X19" i="61" s="1"/>
  <c r="Y19" i="61" s="1"/>
  <c r="P19" i="61"/>
  <c r="Q19" i="61" s="1"/>
  <c r="R19" i="61" s="1"/>
  <c r="S19" i="61" s="1"/>
  <c r="T19" i="61" s="1"/>
  <c r="L19" i="61"/>
  <c r="M19" i="61" s="1"/>
  <c r="N19" i="61" s="1"/>
  <c r="F19" i="61"/>
  <c r="G19" i="61" s="1"/>
  <c r="H19" i="61" s="1"/>
  <c r="I19" i="61" s="1"/>
  <c r="J19" i="61" s="1"/>
  <c r="AE15" i="61"/>
  <c r="AD15" i="61"/>
  <c r="AC15" i="61"/>
  <c r="AB15" i="61"/>
  <c r="AA15" i="61"/>
  <c r="Z15" i="61"/>
  <c r="Y15" i="61"/>
  <c r="X15" i="61"/>
  <c r="W15" i="61"/>
  <c r="V15" i="61"/>
  <c r="U15" i="61"/>
  <c r="T15" i="61"/>
  <c r="S15" i="61"/>
  <c r="R15" i="61"/>
  <c r="Q15" i="61"/>
  <c r="P15" i="61"/>
  <c r="O15" i="61"/>
  <c r="N15" i="61"/>
  <c r="M15" i="61"/>
  <c r="L15" i="61"/>
  <c r="K15" i="61"/>
  <c r="J15" i="61"/>
  <c r="I15" i="61"/>
  <c r="H15" i="61"/>
  <c r="G15" i="61"/>
  <c r="F15" i="61"/>
  <c r="E15" i="61"/>
  <c r="D15" i="61"/>
  <c r="D51" i="61" s="1"/>
  <c r="AE14" i="61"/>
  <c r="AD14" i="61"/>
  <c r="AC14" i="61"/>
  <c r="AB14" i="61"/>
  <c r="AA14" i="61"/>
  <c r="Z14" i="61"/>
  <c r="Y14" i="61"/>
  <c r="X14" i="61"/>
  <c r="W14" i="61"/>
  <c r="V14" i="61"/>
  <c r="U14" i="61"/>
  <c r="T14" i="61"/>
  <c r="S14" i="61"/>
  <c r="R14" i="61"/>
  <c r="Q14" i="61"/>
  <c r="P14" i="61"/>
  <c r="O14" i="61"/>
  <c r="N14" i="61"/>
  <c r="M14" i="61"/>
  <c r="L14" i="61"/>
  <c r="K14" i="61"/>
  <c r="J14" i="61"/>
  <c r="I14" i="61"/>
  <c r="H14" i="61"/>
  <c r="G14" i="61"/>
  <c r="F14" i="61"/>
  <c r="E14" i="61"/>
  <c r="D14" i="61"/>
  <c r="D50" i="61" s="1"/>
  <c r="AE13" i="61"/>
  <c r="AD13" i="61"/>
  <c r="AC13" i="61"/>
  <c r="AB13" i="61"/>
  <c r="AA13" i="61"/>
  <c r="Z13" i="61"/>
  <c r="Y13" i="61"/>
  <c r="X13" i="61"/>
  <c r="W13" i="61"/>
  <c r="V13" i="61"/>
  <c r="U13" i="61"/>
  <c r="T13" i="61"/>
  <c r="S13" i="61"/>
  <c r="R13" i="61"/>
  <c r="Q13" i="61"/>
  <c r="P13" i="61"/>
  <c r="O13" i="61"/>
  <c r="N13" i="61"/>
  <c r="M13" i="61"/>
  <c r="L13" i="61"/>
  <c r="K13" i="61"/>
  <c r="J13" i="61"/>
  <c r="I13" i="61"/>
  <c r="H13" i="61"/>
  <c r="G13" i="61"/>
  <c r="F13" i="61"/>
  <c r="E13" i="61"/>
  <c r="D13" i="61"/>
  <c r="D49" i="61" s="1"/>
  <c r="AE12" i="61"/>
  <c r="Z12" i="61"/>
  <c r="U12" i="61"/>
  <c r="O12" i="61"/>
  <c r="K12" i="61"/>
  <c r="E12" i="61"/>
  <c r="D12" i="61"/>
  <c r="D56" i="61" s="1"/>
  <c r="AE11" i="61"/>
  <c r="Z11" i="61"/>
  <c r="U11" i="61"/>
  <c r="O11" i="61"/>
  <c r="K11" i="61"/>
  <c r="E11" i="61"/>
  <c r="D11" i="61"/>
  <c r="D55" i="61" s="1"/>
  <c r="AE10" i="61"/>
  <c r="Z10" i="61"/>
  <c r="U10" i="61"/>
  <c r="O10" i="61"/>
  <c r="K10" i="61"/>
  <c r="E10" i="61"/>
  <c r="D10" i="61"/>
  <c r="D54" i="61" s="1"/>
  <c r="AE9" i="61"/>
  <c r="Z9" i="61"/>
  <c r="U9" i="61"/>
  <c r="O9" i="61"/>
  <c r="K9" i="61"/>
  <c r="E9" i="61"/>
  <c r="D9" i="61"/>
  <c r="D53" i="61" s="1"/>
  <c r="AE8" i="61"/>
  <c r="Z8" i="61"/>
  <c r="U8" i="61"/>
  <c r="O8" i="61"/>
  <c r="K8" i="61"/>
  <c r="E8" i="61"/>
  <c r="D8" i="61"/>
  <c r="D52" i="61" s="1"/>
  <c r="AE7" i="61"/>
  <c r="Z7" i="61"/>
  <c r="U7" i="61"/>
  <c r="O7" i="61"/>
  <c r="K7" i="61"/>
  <c r="E7" i="61"/>
  <c r="D7" i="61"/>
  <c r="D48" i="61" s="1"/>
  <c r="AE6" i="61"/>
  <c r="Z6" i="61"/>
  <c r="U6" i="61"/>
  <c r="O6" i="61"/>
  <c r="K6" i="61"/>
  <c r="E6" i="61"/>
  <c r="D6" i="61"/>
  <c r="D47" i="61" s="1"/>
  <c r="AE5" i="61"/>
  <c r="Z5" i="61"/>
  <c r="U5" i="61"/>
  <c r="O5" i="61"/>
  <c r="K5" i="61"/>
  <c r="E5" i="61"/>
  <c r="D5" i="61"/>
  <c r="D46" i="61" s="1"/>
  <c r="AE4" i="61"/>
  <c r="Z4" i="61"/>
  <c r="U4" i="61"/>
  <c r="O4" i="61"/>
  <c r="K4" i="61"/>
  <c r="E4" i="61"/>
  <c r="D4" i="61"/>
  <c r="D45" i="61" s="1"/>
  <c r="AE3" i="61"/>
  <c r="Z3" i="61"/>
  <c r="U3" i="61"/>
  <c r="O3" i="61"/>
  <c r="K3" i="61"/>
  <c r="E3" i="61"/>
  <c r="D3" i="61"/>
  <c r="D44" i="61" s="1"/>
  <c r="AE2" i="61"/>
  <c r="E2" i="61"/>
  <c r="D2" i="61"/>
  <c r="D42" i="61" s="1"/>
  <c r="D43" i="61" s="1"/>
  <c r="C86" i="38"/>
  <c r="D65" i="38"/>
  <c r="D66" i="38"/>
  <c r="D70" i="38"/>
  <c r="D81" i="38"/>
  <c r="D38" i="38"/>
  <c r="E38" i="38" s="1"/>
  <c r="C67" i="61" l="1"/>
  <c r="D67" i="38"/>
  <c r="C71" i="61"/>
  <c r="J24" i="59" s="1"/>
  <c r="D71" i="38"/>
  <c r="D2" i="38"/>
  <c r="D42" i="38" s="1"/>
  <c r="D3" i="38"/>
  <c r="D44" i="38" s="1"/>
  <c r="D4" i="38"/>
  <c r="D45" i="38" s="1"/>
  <c r="D5" i="38"/>
  <c r="D46" i="38" s="1"/>
  <c r="D6" i="38"/>
  <c r="D47" i="38" s="1"/>
  <c r="D7" i="38"/>
  <c r="D48" i="38" s="1"/>
  <c r="D8" i="38"/>
  <c r="D52" i="38" s="1"/>
  <c r="D9" i="38"/>
  <c r="D53" i="38" s="1"/>
  <c r="D10" i="38"/>
  <c r="D54" i="38" s="1"/>
  <c r="D11" i="38"/>
  <c r="D55" i="38" s="1"/>
  <c r="D12" i="38"/>
  <c r="D56" i="38" s="1"/>
  <c r="D13" i="38"/>
  <c r="D49" i="38" s="1"/>
  <c r="D14" i="38"/>
  <c r="D50" i="38" s="1"/>
  <c r="D15" i="38"/>
  <c r="D51" i="38" s="1"/>
  <c r="D43" i="38" l="1"/>
  <c r="C87" i="23"/>
  <c r="D66" i="23"/>
  <c r="D67" i="23"/>
  <c r="D70" i="23"/>
  <c r="D71" i="23"/>
  <c r="D82" i="23"/>
  <c r="V27" i="23"/>
  <c r="W27" i="23" s="1"/>
  <c r="X27" i="23" s="1"/>
  <c r="Y27" i="23" s="1"/>
  <c r="AA27" i="23"/>
  <c r="AB27" i="23" s="1"/>
  <c r="AC27" i="23" s="1"/>
  <c r="AD27" i="23" s="1"/>
  <c r="Q28" i="23"/>
  <c r="R28" i="23" s="1"/>
  <c r="S28" i="23" s="1"/>
  <c r="T28" i="23" s="1"/>
  <c r="V28" i="23" s="1"/>
  <c r="W28" i="23" s="1"/>
  <c r="X28" i="23" s="1"/>
  <c r="Y28" i="23" s="1"/>
  <c r="M28" i="23"/>
  <c r="N28" i="23" s="1"/>
  <c r="O28" i="23" s="1"/>
  <c r="AE28" i="23"/>
  <c r="D39" i="23"/>
  <c r="E39" i="23" s="1"/>
  <c r="AA28" i="23" l="1"/>
  <c r="AB28" i="23" s="1"/>
  <c r="AC28" i="23" s="1"/>
  <c r="AD28" i="23" s="1"/>
  <c r="D72" i="23"/>
  <c r="D68" i="23"/>
  <c r="D2" i="23"/>
  <c r="D43" i="23" s="1"/>
  <c r="D3" i="23"/>
  <c r="D45" i="23" s="1"/>
  <c r="D4" i="23"/>
  <c r="D46" i="23" s="1"/>
  <c r="D5" i="23"/>
  <c r="D47" i="23" s="1"/>
  <c r="D6" i="23"/>
  <c r="D48" i="23" s="1"/>
  <c r="D7" i="23"/>
  <c r="D49" i="23" s="1"/>
  <c r="D8" i="23"/>
  <c r="D53" i="23" s="1"/>
  <c r="D9" i="23"/>
  <c r="D54" i="23" s="1"/>
  <c r="D10" i="23"/>
  <c r="D55" i="23" s="1"/>
  <c r="D11" i="23"/>
  <c r="D56" i="23" s="1"/>
  <c r="D12" i="23"/>
  <c r="D57" i="23" s="1"/>
  <c r="D13" i="23"/>
  <c r="D50" i="23" s="1"/>
  <c r="D14" i="23"/>
  <c r="D51" i="23" s="1"/>
  <c r="D15" i="23"/>
  <c r="D52" i="23" s="1"/>
  <c r="D65" i="15"/>
  <c r="D66" i="15"/>
  <c r="D70" i="15"/>
  <c r="D81" i="15"/>
  <c r="D38" i="15"/>
  <c r="E38" i="15" s="1"/>
  <c r="D44" i="23" l="1"/>
  <c r="D67" i="15"/>
  <c r="D71" i="15"/>
  <c r="D2" i="15"/>
  <c r="D42" i="15" s="1"/>
  <c r="D43" i="15" s="1"/>
  <c r="D3" i="15"/>
  <c r="D44" i="15" s="1"/>
  <c r="D4" i="15"/>
  <c r="D45" i="15" s="1"/>
  <c r="D5" i="15"/>
  <c r="D46" i="15" s="1"/>
  <c r="D6" i="15"/>
  <c r="D47" i="15" s="1"/>
  <c r="D7" i="15"/>
  <c r="D48" i="15" s="1"/>
  <c r="D8" i="15"/>
  <c r="D52" i="15" s="1"/>
  <c r="D9" i="15"/>
  <c r="D53" i="15" s="1"/>
  <c r="D10" i="15"/>
  <c r="D54" i="15" s="1"/>
  <c r="D11" i="15"/>
  <c r="D55" i="15" s="1"/>
  <c r="D12" i="15"/>
  <c r="D56" i="15" s="1"/>
  <c r="D13" i="15"/>
  <c r="D49" i="15" s="1"/>
  <c r="D14" i="15"/>
  <c r="D50" i="15" s="1"/>
  <c r="D15" i="15"/>
  <c r="D51" i="15" s="1"/>
  <c r="D65" i="13"/>
  <c r="D66" i="13"/>
  <c r="D67" i="13"/>
  <c r="D69" i="13"/>
  <c r="D70" i="13"/>
  <c r="D81" i="13"/>
  <c r="D38" i="13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AE38" i="13" s="1"/>
  <c r="AA35" i="13"/>
  <c r="AB35" i="13" s="1"/>
  <c r="AC35" i="13" s="1"/>
  <c r="AD35" i="13" s="1"/>
  <c r="AA34" i="13"/>
  <c r="AB34" i="13" s="1"/>
  <c r="AC34" i="13" s="1"/>
  <c r="AD34" i="13" s="1"/>
  <c r="D71" i="13" l="1"/>
  <c r="D2" i="13"/>
  <c r="D42" i="13" s="1"/>
  <c r="D3" i="13"/>
  <c r="D44" i="13" s="1"/>
  <c r="D4" i="13"/>
  <c r="D45" i="13" s="1"/>
  <c r="D5" i="13"/>
  <c r="D46" i="13" s="1"/>
  <c r="D6" i="13"/>
  <c r="D47" i="13" s="1"/>
  <c r="D7" i="13"/>
  <c r="D48" i="13" s="1"/>
  <c r="D8" i="13"/>
  <c r="D52" i="13" s="1"/>
  <c r="D9" i="13"/>
  <c r="D53" i="13" s="1"/>
  <c r="D10" i="13"/>
  <c r="D54" i="13" s="1"/>
  <c r="D11" i="13"/>
  <c r="D55" i="13" s="1"/>
  <c r="D12" i="13"/>
  <c r="D56" i="13" s="1"/>
  <c r="D13" i="13"/>
  <c r="D49" i="13" s="1"/>
  <c r="D14" i="13"/>
  <c r="D50" i="13" s="1"/>
  <c r="D15" i="13"/>
  <c r="D51" i="13" s="1"/>
  <c r="D39" i="12"/>
  <c r="E39" i="12" s="1"/>
  <c r="D66" i="12"/>
  <c r="D67" i="12"/>
  <c r="D68" i="12" s="1"/>
  <c r="D70" i="12"/>
  <c r="D71" i="12"/>
  <c r="D82" i="12"/>
  <c r="T27" i="12"/>
  <c r="D43" i="13" l="1"/>
  <c r="D72" i="12"/>
  <c r="AA28" i="12"/>
  <c r="AB28" i="12" s="1"/>
  <c r="AC28" i="12" s="1"/>
  <c r="AD28" i="12" s="1"/>
  <c r="AA27" i="12"/>
  <c r="AB27" i="12" s="1"/>
  <c r="AC27" i="12" s="1"/>
  <c r="AD27" i="12" s="1"/>
  <c r="V27" i="12"/>
  <c r="W27" i="12" s="1"/>
  <c r="X27" i="12" s="1"/>
  <c r="Y27" i="12" s="1"/>
  <c r="V28" i="12"/>
  <c r="W28" i="12" s="1"/>
  <c r="X28" i="12" s="1"/>
  <c r="Y28" i="12" s="1"/>
  <c r="R28" i="12"/>
  <c r="S28" i="12" s="1"/>
  <c r="T28" i="12" s="1"/>
  <c r="D2" i="12" l="1"/>
  <c r="D43" i="12" s="1"/>
  <c r="D3" i="12"/>
  <c r="D45" i="12" s="1"/>
  <c r="D4" i="12"/>
  <c r="D46" i="12" s="1"/>
  <c r="D5" i="12"/>
  <c r="D47" i="12" s="1"/>
  <c r="D6" i="12"/>
  <c r="D48" i="12" s="1"/>
  <c r="D7" i="12"/>
  <c r="D49" i="12" s="1"/>
  <c r="D8" i="12"/>
  <c r="D53" i="12" s="1"/>
  <c r="D9" i="12"/>
  <c r="D54" i="12" s="1"/>
  <c r="D10" i="12"/>
  <c r="D55" i="12" s="1"/>
  <c r="D11" i="12"/>
  <c r="D56" i="12" s="1"/>
  <c r="D12" i="12"/>
  <c r="D57" i="12" s="1"/>
  <c r="D13" i="12"/>
  <c r="D50" i="12" s="1"/>
  <c r="D14" i="12"/>
  <c r="D51" i="12" s="1"/>
  <c r="D15" i="12"/>
  <c r="D52" i="12" s="1"/>
  <c r="D65" i="11"/>
  <c r="D66" i="11"/>
  <c r="D69" i="11"/>
  <c r="D70" i="11"/>
  <c r="D71" i="11" s="1"/>
  <c r="D81" i="11"/>
  <c r="D67" i="11" l="1"/>
  <c r="D44" i="12"/>
  <c r="D38" i="11"/>
  <c r="E38" i="11" s="1"/>
  <c r="D2" i="11"/>
  <c r="D42" i="11" s="1"/>
  <c r="D43" i="11" s="1"/>
  <c r="D3" i="11"/>
  <c r="D44" i="11" s="1"/>
  <c r="D4" i="11"/>
  <c r="D45" i="11" s="1"/>
  <c r="D5" i="11"/>
  <c r="D46" i="11" s="1"/>
  <c r="D6" i="11"/>
  <c r="D47" i="11" s="1"/>
  <c r="D7" i="11"/>
  <c r="D48" i="11" s="1"/>
  <c r="D8" i="11"/>
  <c r="D52" i="11" s="1"/>
  <c r="D9" i="11"/>
  <c r="D53" i="11" s="1"/>
  <c r="D10" i="11"/>
  <c r="D54" i="11" s="1"/>
  <c r="D11" i="11"/>
  <c r="D55" i="11" s="1"/>
  <c r="D12" i="11"/>
  <c r="D56" i="11" s="1"/>
  <c r="D13" i="11"/>
  <c r="D49" i="11" s="1"/>
  <c r="D14" i="11"/>
  <c r="D50" i="11" s="1"/>
  <c r="D15" i="11"/>
  <c r="D51" i="11" s="1"/>
  <c r="E2" i="11"/>
  <c r="E42" i="11" s="1"/>
  <c r="E3" i="11"/>
  <c r="E4" i="11"/>
  <c r="E45" i="11" s="1"/>
  <c r="E5" i="11"/>
  <c r="E46" i="11" s="1"/>
  <c r="E6" i="11"/>
  <c r="E47" i="11" s="1"/>
  <c r="E7" i="11"/>
  <c r="E48" i="11" s="1"/>
  <c r="E8" i="11"/>
  <c r="E52" i="11" s="1"/>
  <c r="E9" i="11"/>
  <c r="E53" i="11" s="1"/>
  <c r="E10" i="11"/>
  <c r="E54" i="11" s="1"/>
  <c r="E11" i="11"/>
  <c r="E55" i="11" s="1"/>
  <c r="E12" i="11"/>
  <c r="E56" i="11" s="1"/>
  <c r="E13" i="11"/>
  <c r="E49" i="11" s="1"/>
  <c r="E14" i="11"/>
  <c r="E50" i="11" s="1"/>
  <c r="E15" i="11"/>
  <c r="E51" i="11" s="1"/>
  <c r="E44" i="11"/>
  <c r="E65" i="11"/>
  <c r="E66" i="11"/>
  <c r="E69" i="11"/>
  <c r="E70" i="11"/>
  <c r="E81" i="11"/>
  <c r="D65" i="10"/>
  <c r="D66" i="10"/>
  <c r="D69" i="10"/>
  <c r="D70" i="10"/>
  <c r="D81" i="10"/>
  <c r="D71" i="10" l="1"/>
  <c r="D67" i="10"/>
  <c r="E71" i="11"/>
  <c r="E67" i="11"/>
  <c r="E43" i="11"/>
  <c r="D38" i="10"/>
  <c r="E38" i="10" s="1"/>
  <c r="D2" i="10" l="1"/>
  <c r="D42" i="10" s="1"/>
  <c r="D3" i="10"/>
  <c r="D44" i="10" s="1"/>
  <c r="D4" i="10"/>
  <c r="D45" i="10" s="1"/>
  <c r="D5" i="10"/>
  <c r="D46" i="10" s="1"/>
  <c r="D6" i="10"/>
  <c r="D47" i="10" s="1"/>
  <c r="D7" i="10"/>
  <c r="D48" i="10" s="1"/>
  <c r="D8" i="10"/>
  <c r="D52" i="10" s="1"/>
  <c r="D9" i="10"/>
  <c r="D53" i="10" s="1"/>
  <c r="D10" i="10"/>
  <c r="D54" i="10" s="1"/>
  <c r="D11" i="10"/>
  <c r="D55" i="10" s="1"/>
  <c r="D12" i="10"/>
  <c r="D56" i="10" s="1"/>
  <c r="D13" i="10"/>
  <c r="D49" i="10" s="1"/>
  <c r="D14" i="10"/>
  <c r="D50" i="10" s="1"/>
  <c r="D15" i="10"/>
  <c r="D51" i="10" s="1"/>
  <c r="D43" i="10" l="1"/>
  <c r="C44" i="17"/>
  <c r="C41" i="17"/>
  <c r="C42" i="17"/>
  <c r="C40" i="17"/>
  <c r="C29" i="17"/>
  <c r="C55" i="17" s="1"/>
  <c r="C30" i="17"/>
  <c r="C56" i="17" s="1"/>
  <c r="C28" i="17"/>
  <c r="C54" i="17" s="1"/>
  <c r="C25" i="17"/>
  <c r="C51" i="17" s="1"/>
  <c r="C26" i="17"/>
  <c r="C52" i="17" s="1"/>
  <c r="C24" i="17"/>
  <c r="C50" i="17" s="1"/>
  <c r="D20" i="17"/>
  <c r="D19" i="17"/>
  <c r="E19" i="17" s="1"/>
  <c r="F19" i="17" s="1"/>
  <c r="D18" i="17"/>
  <c r="E18" i="17" s="1"/>
  <c r="D17" i="17"/>
  <c r="E17" i="17" s="1"/>
  <c r="E21" i="17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AD21" i="17" s="1"/>
  <c r="AE21" i="17" s="1"/>
  <c r="E22" i="17"/>
  <c r="F22" i="17" s="1"/>
  <c r="G22" i="17" s="1"/>
  <c r="H22" i="17" s="1"/>
  <c r="I22" i="17" s="1"/>
  <c r="J22" i="17" s="1"/>
  <c r="K22" i="17" s="1"/>
  <c r="L22" i="17" s="1"/>
  <c r="M22" i="17" s="1"/>
  <c r="N22" i="17" s="1"/>
  <c r="O22" i="17" s="1"/>
  <c r="P22" i="17" s="1"/>
  <c r="Q22" i="17" s="1"/>
  <c r="R22" i="17" s="1"/>
  <c r="S22" i="17" s="1"/>
  <c r="T22" i="17" s="1"/>
  <c r="U22" i="17" s="1"/>
  <c r="V22" i="17" s="1"/>
  <c r="W22" i="17" s="1"/>
  <c r="X22" i="17" s="1"/>
  <c r="Y22" i="17" s="1"/>
  <c r="Z22" i="17" s="1"/>
  <c r="AA22" i="17" s="1"/>
  <c r="AB22" i="17" s="1"/>
  <c r="AC22" i="17" s="1"/>
  <c r="AD22" i="17" s="1"/>
  <c r="AE22" i="17" s="1"/>
  <c r="AA12" i="17"/>
  <c r="V12" i="17"/>
  <c r="P12" i="17"/>
  <c r="L12" i="17"/>
  <c r="F12" i="17"/>
  <c r="AA11" i="17"/>
  <c r="V11" i="17"/>
  <c r="P11" i="17"/>
  <c r="L11" i="17"/>
  <c r="F11" i="17"/>
  <c r="AA10" i="17"/>
  <c r="V10" i="17"/>
  <c r="P10" i="17"/>
  <c r="P10" i="61" s="1"/>
  <c r="L10" i="17"/>
  <c r="F10" i="17"/>
  <c r="AA9" i="17"/>
  <c r="AA9" i="61" s="1"/>
  <c r="V9" i="17"/>
  <c r="P9" i="17"/>
  <c r="L9" i="17"/>
  <c r="F9" i="17"/>
  <c r="AA8" i="17"/>
  <c r="V8" i="17"/>
  <c r="P8" i="17"/>
  <c r="L8" i="17"/>
  <c r="F8" i="17"/>
  <c r="AA7" i="17"/>
  <c r="V7" i="17"/>
  <c r="P7" i="17"/>
  <c r="L7" i="17"/>
  <c r="F7" i="17"/>
  <c r="AA6" i="17"/>
  <c r="AA6" i="61" s="1"/>
  <c r="V6" i="17"/>
  <c r="P6" i="17"/>
  <c r="L6" i="17"/>
  <c r="F6" i="17"/>
  <c r="AA5" i="17"/>
  <c r="AA5" i="61" s="1"/>
  <c r="V5" i="17"/>
  <c r="P5" i="17"/>
  <c r="L5" i="17"/>
  <c r="F5" i="17"/>
  <c r="F5" i="61" s="1"/>
  <c r="AA4" i="17"/>
  <c r="AA4" i="61" s="1"/>
  <c r="V4" i="17"/>
  <c r="P4" i="17"/>
  <c r="L4" i="17"/>
  <c r="F4" i="17"/>
  <c r="AA3" i="17"/>
  <c r="V3" i="17"/>
  <c r="P3" i="17"/>
  <c r="P3" i="61" s="1"/>
  <c r="L3" i="17"/>
  <c r="F3" i="17"/>
  <c r="F2" i="17"/>
  <c r="L4" i="61" l="1"/>
  <c r="M4" i="17"/>
  <c r="M4" i="61" s="1"/>
  <c r="V4" i="61"/>
  <c r="W4" i="17"/>
  <c r="P5" i="61"/>
  <c r="Q5" i="17"/>
  <c r="Q5" i="61" s="1"/>
  <c r="L9" i="61"/>
  <c r="M9" i="17"/>
  <c r="V9" i="61"/>
  <c r="W9" i="17"/>
  <c r="W9" i="61" s="1"/>
  <c r="F10" i="61"/>
  <c r="G10" i="17"/>
  <c r="G10" i="61" s="1"/>
  <c r="AA10" i="61"/>
  <c r="AB10" i="17"/>
  <c r="AC10" i="17" s="1"/>
  <c r="E32" i="17"/>
  <c r="E60" i="61"/>
  <c r="E60" i="11"/>
  <c r="E73" i="11" s="1"/>
  <c r="F17" i="17"/>
  <c r="F18" i="17"/>
  <c r="E36" i="17"/>
  <c r="E61" i="61"/>
  <c r="E61" i="11"/>
  <c r="E77" i="11" s="1"/>
  <c r="G19" i="17"/>
  <c r="F62" i="61"/>
  <c r="Q7" i="17"/>
  <c r="P7" i="61"/>
  <c r="Q3" i="17"/>
  <c r="M5" i="17"/>
  <c r="L5" i="61"/>
  <c r="M6" i="17"/>
  <c r="L6" i="61"/>
  <c r="W7" i="17"/>
  <c r="V7" i="61"/>
  <c r="AB9" i="17"/>
  <c r="W10" i="17"/>
  <c r="V10" i="61"/>
  <c r="G12" i="17"/>
  <c r="F12" i="61"/>
  <c r="G3" i="17"/>
  <c r="F3" i="61"/>
  <c r="G7" i="17"/>
  <c r="F7" i="61"/>
  <c r="W8" i="17"/>
  <c r="V8" i="61"/>
  <c r="Q11" i="17"/>
  <c r="P11" i="61"/>
  <c r="Q4" i="17"/>
  <c r="P4" i="61"/>
  <c r="G6" i="17"/>
  <c r="F6" i="61"/>
  <c r="G9" i="17"/>
  <c r="F9" i="61"/>
  <c r="AB11" i="17"/>
  <c r="AA11" i="61"/>
  <c r="E62" i="61"/>
  <c r="E62" i="11"/>
  <c r="W3" i="17"/>
  <c r="V3" i="61"/>
  <c r="Q6" i="17"/>
  <c r="P6" i="61"/>
  <c r="AB7" i="17"/>
  <c r="AA7" i="61"/>
  <c r="M12" i="17"/>
  <c r="L12" i="61"/>
  <c r="AB3" i="17"/>
  <c r="AA3" i="61"/>
  <c r="W6" i="17"/>
  <c r="V6" i="61"/>
  <c r="AB10" i="61"/>
  <c r="Q12" i="17"/>
  <c r="P12" i="61"/>
  <c r="D32" i="17"/>
  <c r="D60" i="50"/>
  <c r="D73" i="50" s="1"/>
  <c r="D61" i="58"/>
  <c r="D74" i="58" s="1"/>
  <c r="D61" i="47"/>
  <c r="D74" i="47" s="1"/>
  <c r="D61" i="45"/>
  <c r="D74" i="45" s="1"/>
  <c r="D60" i="43"/>
  <c r="D73" i="43" s="1"/>
  <c r="D60" i="61"/>
  <c r="D73" i="61" s="1"/>
  <c r="D60" i="38"/>
  <c r="D61" i="23"/>
  <c r="D74" i="23" s="1"/>
  <c r="D60" i="15"/>
  <c r="D60" i="13"/>
  <c r="D73" i="13" s="1"/>
  <c r="D61" i="12"/>
  <c r="D74" i="12" s="1"/>
  <c r="D60" i="11"/>
  <c r="D73" i="11" s="1"/>
  <c r="D60" i="10"/>
  <c r="D73" i="10" s="1"/>
  <c r="G4" i="17"/>
  <c r="F4" i="61"/>
  <c r="M8" i="17"/>
  <c r="L8" i="61"/>
  <c r="Q9" i="17"/>
  <c r="P9" i="61"/>
  <c r="H10" i="17"/>
  <c r="G11" i="17"/>
  <c r="F11" i="61"/>
  <c r="W12" i="17"/>
  <c r="V12" i="61"/>
  <c r="D36" i="17"/>
  <c r="D61" i="50"/>
  <c r="D77" i="50" s="1"/>
  <c r="D62" i="58"/>
  <c r="D78" i="58" s="1"/>
  <c r="D62" i="47"/>
  <c r="D78" i="47" s="1"/>
  <c r="D62" i="45"/>
  <c r="D78" i="45" s="1"/>
  <c r="D61" i="43"/>
  <c r="D77" i="43" s="1"/>
  <c r="D61" i="61"/>
  <c r="D77" i="61" s="1"/>
  <c r="D61" i="38"/>
  <c r="D77" i="38" s="1"/>
  <c r="D62" i="23"/>
  <c r="D78" i="23" s="1"/>
  <c r="D61" i="15"/>
  <c r="D77" i="15" s="1"/>
  <c r="D61" i="13"/>
  <c r="D77" i="13" s="1"/>
  <c r="D62" i="12"/>
  <c r="D78" i="12" s="1"/>
  <c r="D61" i="11"/>
  <c r="D77" i="11" s="1"/>
  <c r="D61" i="10"/>
  <c r="D77" i="10" s="1"/>
  <c r="G8" i="17"/>
  <c r="F8" i="61"/>
  <c r="G2" i="17"/>
  <c r="F2" i="61"/>
  <c r="AB4" i="17"/>
  <c r="W5" i="17"/>
  <c r="V5" i="61"/>
  <c r="AB6" i="17"/>
  <c r="Q8" i="17"/>
  <c r="P8" i="61"/>
  <c r="M10" i="17"/>
  <c r="L10" i="61"/>
  <c r="M11" i="17"/>
  <c r="L11" i="61"/>
  <c r="AB12" i="17"/>
  <c r="AA12" i="61"/>
  <c r="D63" i="58"/>
  <c r="D62" i="50"/>
  <c r="D63" i="47"/>
  <c r="D63" i="45"/>
  <c r="D62" i="43"/>
  <c r="D62" i="61"/>
  <c r="D62" i="38"/>
  <c r="D63" i="23"/>
  <c r="D62" i="15"/>
  <c r="D62" i="13"/>
  <c r="D63" i="12"/>
  <c r="D62" i="11"/>
  <c r="D62" i="10"/>
  <c r="D63" i="50"/>
  <c r="D64" i="58"/>
  <c r="D79" i="58" s="1"/>
  <c r="D64" i="47"/>
  <c r="D79" i="47" s="1"/>
  <c r="D64" i="45"/>
  <c r="D79" i="45" s="1"/>
  <c r="D63" i="43"/>
  <c r="D63" i="61"/>
  <c r="D63" i="38"/>
  <c r="D64" i="23"/>
  <c r="D79" i="23" s="1"/>
  <c r="D63" i="15"/>
  <c r="D63" i="13"/>
  <c r="D78" i="13" s="1"/>
  <c r="D64" i="12"/>
  <c r="D79" i="12" s="1"/>
  <c r="D63" i="11"/>
  <c r="D63" i="10"/>
  <c r="M3" i="17"/>
  <c r="L3" i="61"/>
  <c r="N4" i="17"/>
  <c r="N4" i="61" s="1"/>
  <c r="G5" i="17"/>
  <c r="AB5" i="17"/>
  <c r="M7" i="17"/>
  <c r="L7" i="61"/>
  <c r="AB8" i="17"/>
  <c r="AA8" i="61"/>
  <c r="X9" i="17"/>
  <c r="Q10" i="17"/>
  <c r="W11" i="17"/>
  <c r="V11" i="61"/>
  <c r="E20" i="17"/>
  <c r="G18" i="17"/>
  <c r="H18" i="17" s="1"/>
  <c r="H19" i="17"/>
  <c r="G17" i="17"/>
  <c r="R5" i="17" l="1"/>
  <c r="M9" i="61"/>
  <c r="N9" i="17"/>
  <c r="N9" i="61" s="1"/>
  <c r="W4" i="61"/>
  <c r="X4" i="17"/>
  <c r="H12" i="17"/>
  <c r="G12" i="61"/>
  <c r="E63" i="61"/>
  <c r="E63" i="11"/>
  <c r="F20" i="17"/>
  <c r="N7" i="17"/>
  <c r="N7" i="61" s="1"/>
  <c r="M7" i="61"/>
  <c r="R8" i="17"/>
  <c r="Q8" i="61"/>
  <c r="H8" i="17"/>
  <c r="G8" i="61"/>
  <c r="X12" i="17"/>
  <c r="W12" i="61"/>
  <c r="S5" i="17"/>
  <c r="R5" i="61"/>
  <c r="R6" i="17"/>
  <c r="Q6" i="61"/>
  <c r="N5" i="17"/>
  <c r="N5" i="61" s="1"/>
  <c r="M5" i="61"/>
  <c r="D73" i="15"/>
  <c r="AC5" i="17"/>
  <c r="AB5" i="61"/>
  <c r="AC6" i="17"/>
  <c r="AB6" i="61"/>
  <c r="D73" i="38"/>
  <c r="H9" i="17"/>
  <c r="G9" i="61"/>
  <c r="X8" i="17"/>
  <c r="W8" i="61"/>
  <c r="X10" i="17"/>
  <c r="W10" i="61"/>
  <c r="R3" i="17"/>
  <c r="Q3" i="61"/>
  <c r="AC11" i="17"/>
  <c r="AB11" i="61"/>
  <c r="X11" i="17"/>
  <c r="W11" i="61"/>
  <c r="G5" i="61"/>
  <c r="H5" i="17"/>
  <c r="AC12" i="17"/>
  <c r="AB12" i="61"/>
  <c r="D80" i="45"/>
  <c r="H11" i="17"/>
  <c r="G11" i="61"/>
  <c r="H4" i="17"/>
  <c r="G4" i="61"/>
  <c r="R12" i="17"/>
  <c r="Q12" i="61"/>
  <c r="AC3" i="17"/>
  <c r="AB3" i="61"/>
  <c r="X3" i="17"/>
  <c r="W3" i="61"/>
  <c r="AC9" i="17"/>
  <c r="AB9" i="61"/>
  <c r="F36" i="17"/>
  <c r="F61" i="61"/>
  <c r="N8" i="17"/>
  <c r="N8" i="61" s="1"/>
  <c r="M8" i="61"/>
  <c r="D80" i="47"/>
  <c r="I10" i="17"/>
  <c r="H10" i="61"/>
  <c r="H6" i="17"/>
  <c r="G6" i="61"/>
  <c r="H7" i="17"/>
  <c r="G7" i="61"/>
  <c r="R7" i="17"/>
  <c r="Q7" i="61"/>
  <c r="F32" i="17"/>
  <c r="F60" i="61"/>
  <c r="H36" i="17"/>
  <c r="H61" i="61"/>
  <c r="Q10" i="61"/>
  <c r="R10" i="17"/>
  <c r="X5" i="17"/>
  <c r="W5" i="61"/>
  <c r="Y9" i="17"/>
  <c r="Y9" i="61" s="1"/>
  <c r="X9" i="61"/>
  <c r="N11" i="17"/>
  <c r="N11" i="61" s="1"/>
  <c r="M11" i="61"/>
  <c r="AC4" i="17"/>
  <c r="AB4" i="61"/>
  <c r="D79" i="13"/>
  <c r="D80" i="58"/>
  <c r="AD10" i="17"/>
  <c r="AD10" i="61" s="1"/>
  <c r="AC10" i="61"/>
  <c r="N12" i="17"/>
  <c r="N12" i="61" s="1"/>
  <c r="M12" i="61"/>
  <c r="X7" i="17"/>
  <c r="W7" i="61"/>
  <c r="G32" i="17"/>
  <c r="G60" i="61"/>
  <c r="D80" i="12"/>
  <c r="H62" i="61"/>
  <c r="N3" i="17"/>
  <c r="N3" i="61" s="1"/>
  <c r="M3" i="61"/>
  <c r="R9" i="17"/>
  <c r="Q9" i="61"/>
  <c r="R4" i="17"/>
  <c r="Q4" i="61"/>
  <c r="H3" i="17"/>
  <c r="G3" i="61"/>
  <c r="R11" i="17"/>
  <c r="Q11" i="61"/>
  <c r="G36" i="17"/>
  <c r="G61" i="61"/>
  <c r="AC8" i="17"/>
  <c r="AB8" i="61"/>
  <c r="N10" i="17"/>
  <c r="N10" i="61" s="1"/>
  <c r="M10" i="61"/>
  <c r="H2" i="17"/>
  <c r="G2" i="61"/>
  <c r="D80" i="23"/>
  <c r="X6" i="17"/>
  <c r="W6" i="61"/>
  <c r="AC7" i="17"/>
  <c r="AB7" i="61"/>
  <c r="N6" i="17"/>
  <c r="N6" i="61" s="1"/>
  <c r="M6" i="61"/>
  <c r="G62" i="61"/>
  <c r="I18" i="17"/>
  <c r="I19" i="17"/>
  <c r="H17" i="17"/>
  <c r="Y4" i="17" l="1"/>
  <c r="Y4" i="61" s="1"/>
  <c r="X4" i="61"/>
  <c r="I4" i="17"/>
  <c r="H4" i="61"/>
  <c r="H32" i="17"/>
  <c r="H60" i="61"/>
  <c r="Y11" i="17"/>
  <c r="Y11" i="61" s="1"/>
  <c r="X11" i="61"/>
  <c r="Y5" i="17"/>
  <c r="Y5" i="61" s="1"/>
  <c r="X5" i="61"/>
  <c r="I62" i="61"/>
  <c r="AD7" i="17"/>
  <c r="AD7" i="61" s="1"/>
  <c r="AC7" i="61"/>
  <c r="AD11" i="17"/>
  <c r="AD11" i="61" s="1"/>
  <c r="AC11" i="61"/>
  <c r="AD6" i="17"/>
  <c r="AD6" i="61" s="1"/>
  <c r="AC6" i="61"/>
  <c r="I8" i="17"/>
  <c r="H8" i="61"/>
  <c r="G20" i="17"/>
  <c r="F63" i="61"/>
  <c r="I36" i="17"/>
  <c r="I61" i="61"/>
  <c r="Y7" i="17"/>
  <c r="Y7" i="61" s="1"/>
  <c r="X7" i="61"/>
  <c r="S10" i="17"/>
  <c r="R10" i="61"/>
  <c r="S7" i="17"/>
  <c r="R7" i="61"/>
  <c r="AD3" i="17"/>
  <c r="AD3" i="61" s="1"/>
  <c r="AC3" i="61"/>
  <c r="I11" i="17"/>
  <c r="H11" i="61"/>
  <c r="I9" i="17"/>
  <c r="H9" i="61"/>
  <c r="AD4" i="17"/>
  <c r="AD4" i="61" s="1"/>
  <c r="AC4" i="61"/>
  <c r="Y8" i="17"/>
  <c r="Y8" i="61" s="1"/>
  <c r="X8" i="61"/>
  <c r="T5" i="17"/>
  <c r="T5" i="61" s="1"/>
  <c r="S5" i="61"/>
  <c r="S8" i="17"/>
  <c r="R8" i="61"/>
  <c r="Y6" i="17"/>
  <c r="Y6" i="61" s="1"/>
  <c r="X6" i="61"/>
  <c r="AD8" i="17"/>
  <c r="AD8" i="61" s="1"/>
  <c r="AC8" i="61"/>
  <c r="I3" i="17"/>
  <c r="H3" i="61"/>
  <c r="S9" i="17"/>
  <c r="R9" i="61"/>
  <c r="I7" i="17"/>
  <c r="H7" i="61"/>
  <c r="S12" i="17"/>
  <c r="R12" i="61"/>
  <c r="I5" i="17"/>
  <c r="H5" i="61"/>
  <c r="S3" i="17"/>
  <c r="R3" i="61"/>
  <c r="S11" i="17"/>
  <c r="R11" i="61"/>
  <c r="AD12" i="17"/>
  <c r="AD12" i="61" s="1"/>
  <c r="AC12" i="61"/>
  <c r="I2" i="17"/>
  <c r="H2" i="61"/>
  <c r="J10" i="17"/>
  <c r="J10" i="61" s="1"/>
  <c r="I10" i="61"/>
  <c r="S6" i="17"/>
  <c r="R6" i="61"/>
  <c r="Y12" i="17"/>
  <c r="Y12" i="61" s="1"/>
  <c r="X12" i="61"/>
  <c r="I12" i="17"/>
  <c r="H12" i="61"/>
  <c r="Y3" i="17"/>
  <c r="Y3" i="61" s="1"/>
  <c r="X3" i="61"/>
  <c r="S4" i="17"/>
  <c r="R4" i="61"/>
  <c r="I6" i="17"/>
  <c r="H6" i="61"/>
  <c r="AD9" i="17"/>
  <c r="AD9" i="61" s="1"/>
  <c r="AC9" i="61"/>
  <c r="Y10" i="17"/>
  <c r="Y10" i="61" s="1"/>
  <c r="X10" i="61"/>
  <c r="AD5" i="17"/>
  <c r="AD5" i="61" s="1"/>
  <c r="AC5" i="61"/>
  <c r="I17" i="17"/>
  <c r="J18" i="17"/>
  <c r="J19" i="17"/>
  <c r="T4" i="17" l="1"/>
  <c r="T4" i="61" s="1"/>
  <c r="S4" i="61"/>
  <c r="T9" i="17"/>
  <c r="T9" i="61" s="1"/>
  <c r="S9" i="61"/>
  <c r="T8" i="17"/>
  <c r="T8" i="61" s="1"/>
  <c r="S8" i="61"/>
  <c r="T7" i="17"/>
  <c r="T7" i="61" s="1"/>
  <c r="S7" i="61"/>
  <c r="J5" i="17"/>
  <c r="J5" i="61" s="1"/>
  <c r="I5" i="61"/>
  <c r="J36" i="17"/>
  <c r="J61" i="61"/>
  <c r="G63" i="61"/>
  <c r="H20" i="17"/>
  <c r="I32" i="17"/>
  <c r="I60" i="61"/>
  <c r="T11" i="17"/>
  <c r="T11" i="61" s="1"/>
  <c r="S11" i="61"/>
  <c r="J3" i="17"/>
  <c r="J3" i="61" s="1"/>
  <c r="I3" i="61"/>
  <c r="J9" i="17"/>
  <c r="J9" i="61" s="1"/>
  <c r="I9" i="61"/>
  <c r="T10" i="17"/>
  <c r="T10" i="61" s="1"/>
  <c r="S10" i="61"/>
  <c r="J62" i="61"/>
  <c r="T12" i="17"/>
  <c r="T12" i="61" s="1"/>
  <c r="S12" i="61"/>
  <c r="J8" i="17"/>
  <c r="J8" i="61" s="1"/>
  <c r="I8" i="61"/>
  <c r="J6" i="17"/>
  <c r="J6" i="61" s="1"/>
  <c r="I6" i="61"/>
  <c r="J12" i="17"/>
  <c r="J12" i="61" s="1"/>
  <c r="I12" i="61"/>
  <c r="J11" i="17"/>
  <c r="J11" i="61" s="1"/>
  <c r="I11" i="61"/>
  <c r="T6" i="17"/>
  <c r="T6" i="61" s="1"/>
  <c r="S6" i="61"/>
  <c r="J2" i="17"/>
  <c r="I2" i="61"/>
  <c r="T3" i="17"/>
  <c r="T3" i="61" s="1"/>
  <c r="S3" i="61"/>
  <c r="J7" i="17"/>
  <c r="J7" i="61" s="1"/>
  <c r="I7" i="61"/>
  <c r="J4" i="17"/>
  <c r="J4" i="61" s="1"/>
  <c r="I4" i="61"/>
  <c r="J17" i="17"/>
  <c r="K19" i="17"/>
  <c r="K18" i="17"/>
  <c r="H63" i="61" l="1"/>
  <c r="I20" i="17"/>
  <c r="K36" i="17"/>
  <c r="K61" i="61"/>
  <c r="K62" i="61"/>
  <c r="J32" i="17"/>
  <c r="J60" i="61"/>
  <c r="K2" i="17"/>
  <c r="J2" i="61"/>
  <c r="L19" i="17"/>
  <c r="L18" i="17"/>
  <c r="K17" i="17"/>
  <c r="L2" i="17" l="1"/>
  <c r="K2" i="61"/>
  <c r="I63" i="61"/>
  <c r="J20" i="17"/>
  <c r="L36" i="17"/>
  <c r="L61" i="61"/>
  <c r="L62" i="61"/>
  <c r="K32" i="17"/>
  <c r="K60" i="61"/>
  <c r="L17" i="17"/>
  <c r="M19" i="17"/>
  <c r="M18" i="17"/>
  <c r="M62" i="61" l="1"/>
  <c r="M2" i="17"/>
  <c r="L2" i="61"/>
  <c r="M36" i="17"/>
  <c r="M61" i="61"/>
  <c r="J63" i="61"/>
  <c r="K20" i="17"/>
  <c r="L32" i="17"/>
  <c r="L60" i="61"/>
  <c r="N18" i="17"/>
  <c r="N19" i="17"/>
  <c r="M17" i="17"/>
  <c r="M32" i="17" l="1"/>
  <c r="M60" i="61"/>
  <c r="N2" i="17"/>
  <c r="M2" i="61"/>
  <c r="N62" i="61"/>
  <c r="N36" i="17"/>
  <c r="N61" i="61"/>
  <c r="K63" i="61"/>
  <c r="L20" i="17"/>
  <c r="N17" i="17"/>
  <c r="O18" i="17"/>
  <c r="O19" i="17"/>
  <c r="O36" i="17" l="1"/>
  <c r="O61" i="61"/>
  <c r="O2" i="17"/>
  <c r="N2" i="61"/>
  <c r="O62" i="61"/>
  <c r="N32" i="17"/>
  <c r="N60" i="61"/>
  <c r="L63" i="61"/>
  <c r="M20" i="17"/>
  <c r="P18" i="17"/>
  <c r="O17" i="17"/>
  <c r="P19" i="17"/>
  <c r="O32" i="17" l="1"/>
  <c r="O60" i="61"/>
  <c r="P62" i="61"/>
  <c r="P2" i="17"/>
  <c r="O2" i="61"/>
  <c r="P36" i="17"/>
  <c r="P61" i="61"/>
  <c r="M63" i="61"/>
  <c r="N20" i="17"/>
  <c r="Q19" i="17"/>
  <c r="P17" i="17"/>
  <c r="Q18" i="17"/>
  <c r="Q2" i="17" l="1"/>
  <c r="P2" i="61"/>
  <c r="Q36" i="17"/>
  <c r="Q61" i="61"/>
  <c r="P32" i="17"/>
  <c r="P60" i="61"/>
  <c r="Q62" i="61"/>
  <c r="N63" i="61"/>
  <c r="O20" i="17"/>
  <c r="R18" i="17"/>
  <c r="Q17" i="17"/>
  <c r="R19" i="17"/>
  <c r="R62" i="61" l="1"/>
  <c r="R36" i="17"/>
  <c r="R61" i="61"/>
  <c r="Q32" i="17"/>
  <c r="Q60" i="61"/>
  <c r="O63" i="61"/>
  <c r="P20" i="17"/>
  <c r="R2" i="17"/>
  <c r="Q2" i="61"/>
  <c r="S19" i="17"/>
  <c r="R17" i="17"/>
  <c r="S18" i="17"/>
  <c r="R32" i="17" l="1"/>
  <c r="R60" i="61"/>
  <c r="S36" i="17"/>
  <c r="S61" i="61"/>
  <c r="S62" i="61"/>
  <c r="S2" i="17"/>
  <c r="R2" i="61"/>
  <c r="P63" i="61"/>
  <c r="Q20" i="17"/>
  <c r="S17" i="17"/>
  <c r="T19" i="17"/>
  <c r="T18" i="17"/>
  <c r="Q63" i="61" l="1"/>
  <c r="R20" i="17"/>
  <c r="T36" i="17"/>
  <c r="T61" i="61"/>
  <c r="T62" i="61"/>
  <c r="S32" i="17"/>
  <c r="S60" i="61"/>
  <c r="T2" i="17"/>
  <c r="S2" i="61"/>
  <c r="U19" i="17"/>
  <c r="U18" i="17"/>
  <c r="T17" i="17"/>
  <c r="T32" i="17" l="1"/>
  <c r="T60" i="61"/>
  <c r="U36" i="17"/>
  <c r="U61" i="61"/>
  <c r="U62" i="61"/>
  <c r="R63" i="61"/>
  <c r="S20" i="17"/>
  <c r="U2" i="17"/>
  <c r="T2" i="61"/>
  <c r="U17" i="17"/>
  <c r="V18" i="17"/>
  <c r="V19" i="17"/>
  <c r="S63" i="61" l="1"/>
  <c r="T20" i="17"/>
  <c r="V36" i="17"/>
  <c r="V61" i="61"/>
  <c r="U32" i="17"/>
  <c r="U60" i="61"/>
  <c r="V62" i="61"/>
  <c r="V2" i="17"/>
  <c r="U2" i="61"/>
  <c r="W18" i="17"/>
  <c r="V17" i="17"/>
  <c r="W19" i="17"/>
  <c r="W62" i="61" l="1"/>
  <c r="W36" i="17"/>
  <c r="W61" i="61"/>
  <c r="V32" i="17"/>
  <c r="V60" i="61"/>
  <c r="T63" i="61"/>
  <c r="U20" i="17"/>
  <c r="W2" i="17"/>
  <c r="V2" i="61"/>
  <c r="W17" i="17"/>
  <c r="X19" i="17"/>
  <c r="X18" i="17"/>
  <c r="X62" i="61" l="1"/>
  <c r="W32" i="17"/>
  <c r="W60" i="61"/>
  <c r="X2" i="17"/>
  <c r="W2" i="61"/>
  <c r="X36" i="17"/>
  <c r="X61" i="61"/>
  <c r="U63" i="61"/>
  <c r="V20" i="17"/>
  <c r="Y19" i="17"/>
  <c r="Y18" i="17"/>
  <c r="X17" i="17"/>
  <c r="X32" i="17" l="1"/>
  <c r="X60" i="61"/>
  <c r="Y62" i="61"/>
  <c r="V63" i="61"/>
  <c r="W20" i="17"/>
  <c r="Y36" i="17"/>
  <c r="Y61" i="61"/>
  <c r="Y2" i="17"/>
  <c r="X2" i="61"/>
  <c r="Y17" i="17"/>
  <c r="Z19" i="17"/>
  <c r="Z18" i="17"/>
  <c r="Z36" i="17" l="1"/>
  <c r="Z61" i="61"/>
  <c r="Z62" i="61"/>
  <c r="Y32" i="17"/>
  <c r="Y60" i="61"/>
  <c r="W63" i="61"/>
  <c r="X20" i="17"/>
  <c r="Z2" i="17"/>
  <c r="Y2" i="61"/>
  <c r="AA19" i="17"/>
  <c r="AA18" i="17"/>
  <c r="Z17" i="17"/>
  <c r="Z32" i="17" l="1"/>
  <c r="Z60" i="61"/>
  <c r="AA36" i="17"/>
  <c r="AA61" i="61"/>
  <c r="X63" i="61"/>
  <c r="Y20" i="17"/>
  <c r="AA62" i="61"/>
  <c r="AA2" i="17"/>
  <c r="Z2" i="61"/>
  <c r="AB18" i="17"/>
  <c r="AA17" i="17"/>
  <c r="AB19" i="17"/>
  <c r="Y63" i="61" l="1"/>
  <c r="Z20" i="17"/>
  <c r="AB62" i="61"/>
  <c r="AB36" i="17"/>
  <c r="AB61" i="61"/>
  <c r="AA32" i="17"/>
  <c r="AA60" i="61"/>
  <c r="AB2" i="17"/>
  <c r="AA2" i="61"/>
  <c r="AB17" i="17"/>
  <c r="AC18" i="17"/>
  <c r="AC19" i="17"/>
  <c r="AC62" i="61" l="1"/>
  <c r="AB32" i="17"/>
  <c r="AB60" i="61"/>
  <c r="Z63" i="61"/>
  <c r="AA20" i="17"/>
  <c r="AC36" i="17"/>
  <c r="AC61" i="61"/>
  <c r="AC2" i="17"/>
  <c r="AB2" i="61"/>
  <c r="AD18" i="17"/>
  <c r="AD19" i="17"/>
  <c r="AC17" i="17"/>
  <c r="AA63" i="61" l="1"/>
  <c r="AB20" i="17"/>
  <c r="AC32" i="17"/>
  <c r="AC60" i="61"/>
  <c r="AD62" i="61"/>
  <c r="AD36" i="17"/>
  <c r="AD61" i="61"/>
  <c r="AD2" i="17"/>
  <c r="AD2" i="61" s="1"/>
  <c r="AC2" i="61"/>
  <c r="AD17" i="17"/>
  <c r="AE19" i="17"/>
  <c r="AE18" i="17"/>
  <c r="AE62" i="61" l="1"/>
  <c r="AE36" i="17"/>
  <c r="AE61" i="61"/>
  <c r="AD32" i="17"/>
  <c r="AD60" i="61"/>
  <c r="AB63" i="61"/>
  <c r="AC20" i="17"/>
  <c r="AE17" i="17"/>
  <c r="AE32" i="17" l="1"/>
  <c r="C32" i="17" s="1"/>
  <c r="C58" i="17" s="1"/>
  <c r="AE60" i="61"/>
  <c r="C36" i="17"/>
  <c r="AC63" i="61"/>
  <c r="AD20" i="17"/>
  <c r="D66" i="18"/>
  <c r="C66" i="18"/>
  <c r="C65" i="18" s="1"/>
  <c r="AD63" i="61" l="1"/>
  <c r="AE20" i="17"/>
  <c r="AE63" i="61" s="1"/>
  <c r="A55" i="18"/>
  <c r="B55" i="18"/>
  <c r="AQ184" i="18"/>
  <c r="AO184" i="18"/>
  <c r="AQ171" i="18"/>
  <c r="AO171" i="18"/>
  <c r="AQ158" i="18"/>
  <c r="AO158" i="18"/>
  <c r="AQ145" i="18"/>
  <c r="AO145" i="18"/>
  <c r="AQ132" i="18"/>
  <c r="AO132" i="18"/>
  <c r="AQ119" i="18"/>
  <c r="AO119" i="18"/>
  <c r="AQ106" i="18"/>
  <c r="AO106" i="18"/>
  <c r="AQ93" i="18"/>
  <c r="AO93" i="18"/>
  <c r="AO80" i="18"/>
  <c r="AQ80" i="18"/>
  <c r="AQ67" i="18"/>
  <c r="AN67" i="18"/>
  <c r="AO67" i="18" s="1"/>
  <c r="AQ54" i="18"/>
  <c r="AN54" i="18"/>
  <c r="AO54" i="18" s="1"/>
  <c r="AQ41" i="18"/>
  <c r="AN41" i="18"/>
  <c r="AO41" i="18" s="1"/>
  <c r="AQ25" i="18"/>
  <c r="AO25" i="18"/>
  <c r="AQ12" i="18"/>
  <c r="AO12" i="18"/>
  <c r="AA27" i="45"/>
  <c r="AB27" i="45" s="1"/>
  <c r="AC27" i="45" s="1"/>
  <c r="AD27" i="45" s="1"/>
  <c r="Y27" i="45"/>
  <c r="E81" i="13" l="1"/>
  <c r="AQ79" i="18" l="1"/>
  <c r="AQ78" i="18"/>
  <c r="AE15" i="58" l="1"/>
  <c r="AE52" i="58" s="1"/>
  <c r="AD15" i="58"/>
  <c r="AD52" i="58" s="1"/>
  <c r="AC15" i="58"/>
  <c r="AC52" i="58" s="1"/>
  <c r="AB15" i="58"/>
  <c r="AB52" i="58" s="1"/>
  <c r="AA15" i="58"/>
  <c r="AA52" i="58" s="1"/>
  <c r="Z15" i="58"/>
  <c r="Z52" i="58" s="1"/>
  <c r="Y15" i="58"/>
  <c r="Y52" i="58" s="1"/>
  <c r="X15" i="58"/>
  <c r="X52" i="58" s="1"/>
  <c r="W15" i="58"/>
  <c r="W52" i="58" s="1"/>
  <c r="V15" i="58"/>
  <c r="V52" i="58" s="1"/>
  <c r="U15" i="58"/>
  <c r="U52" i="58" s="1"/>
  <c r="T15" i="58"/>
  <c r="T52" i="58" s="1"/>
  <c r="S15" i="58"/>
  <c r="S52" i="58" s="1"/>
  <c r="R15" i="58"/>
  <c r="R52" i="58" s="1"/>
  <c r="Q15" i="58"/>
  <c r="Q52" i="58" s="1"/>
  <c r="P15" i="58"/>
  <c r="P52" i="58" s="1"/>
  <c r="O15" i="58"/>
  <c r="O52" i="58" s="1"/>
  <c r="N15" i="58"/>
  <c r="N52" i="58" s="1"/>
  <c r="M15" i="58"/>
  <c r="M52" i="58" s="1"/>
  <c r="L15" i="58"/>
  <c r="L52" i="58" s="1"/>
  <c r="K15" i="58"/>
  <c r="K52" i="58" s="1"/>
  <c r="J15" i="58"/>
  <c r="J52" i="58" s="1"/>
  <c r="I15" i="58"/>
  <c r="I52" i="58" s="1"/>
  <c r="H15" i="58"/>
  <c r="H52" i="58" s="1"/>
  <c r="G15" i="58"/>
  <c r="G52" i="58" s="1"/>
  <c r="F15" i="58"/>
  <c r="F52" i="58" s="1"/>
  <c r="E15" i="58"/>
  <c r="E52" i="58" s="1"/>
  <c r="AE14" i="58"/>
  <c r="AE51" i="58" s="1"/>
  <c r="AD14" i="58"/>
  <c r="AD51" i="58" s="1"/>
  <c r="AC14" i="58"/>
  <c r="AC51" i="58" s="1"/>
  <c r="AB14" i="58"/>
  <c r="AB51" i="58" s="1"/>
  <c r="AA14" i="58"/>
  <c r="AA51" i="58" s="1"/>
  <c r="Z14" i="58"/>
  <c r="Z51" i="58" s="1"/>
  <c r="Y14" i="58"/>
  <c r="Y51" i="58" s="1"/>
  <c r="X14" i="58"/>
  <c r="X51" i="58" s="1"/>
  <c r="W14" i="58"/>
  <c r="W51" i="58" s="1"/>
  <c r="V14" i="58"/>
  <c r="V51" i="58" s="1"/>
  <c r="U14" i="58"/>
  <c r="U51" i="58" s="1"/>
  <c r="T14" i="58"/>
  <c r="T51" i="58" s="1"/>
  <c r="S14" i="58"/>
  <c r="S51" i="58" s="1"/>
  <c r="R14" i="58"/>
  <c r="R51" i="58" s="1"/>
  <c r="Q14" i="58"/>
  <c r="Q51" i="58" s="1"/>
  <c r="P14" i="58"/>
  <c r="P51" i="58" s="1"/>
  <c r="O14" i="58"/>
  <c r="O51" i="58" s="1"/>
  <c r="N14" i="58"/>
  <c r="N51" i="58" s="1"/>
  <c r="M14" i="58"/>
  <c r="M51" i="58" s="1"/>
  <c r="L14" i="58"/>
  <c r="L51" i="58" s="1"/>
  <c r="K14" i="58"/>
  <c r="K51" i="58" s="1"/>
  <c r="J14" i="58"/>
  <c r="J51" i="58" s="1"/>
  <c r="I14" i="58"/>
  <c r="I51" i="58" s="1"/>
  <c r="H14" i="58"/>
  <c r="H51" i="58" s="1"/>
  <c r="G14" i="58"/>
  <c r="G51" i="58" s="1"/>
  <c r="F14" i="58"/>
  <c r="F51" i="58" s="1"/>
  <c r="E14" i="58"/>
  <c r="E51" i="58" s="1"/>
  <c r="AE13" i="58"/>
  <c r="AE50" i="58" s="1"/>
  <c r="AD13" i="58"/>
  <c r="AD50" i="58" s="1"/>
  <c r="AC13" i="58"/>
  <c r="AC50" i="58" s="1"/>
  <c r="AB13" i="58"/>
  <c r="AB50" i="58" s="1"/>
  <c r="AA13" i="58"/>
  <c r="AA50" i="58" s="1"/>
  <c r="Z13" i="58"/>
  <c r="Z50" i="58" s="1"/>
  <c r="Y13" i="58"/>
  <c r="Y50" i="58" s="1"/>
  <c r="X13" i="58"/>
  <c r="X50" i="58" s="1"/>
  <c r="W13" i="58"/>
  <c r="W50" i="58" s="1"/>
  <c r="V13" i="58"/>
  <c r="V50" i="58" s="1"/>
  <c r="U13" i="58"/>
  <c r="U50" i="58" s="1"/>
  <c r="T13" i="58"/>
  <c r="T50" i="58" s="1"/>
  <c r="S13" i="58"/>
  <c r="S50" i="58" s="1"/>
  <c r="R13" i="58"/>
  <c r="R50" i="58" s="1"/>
  <c r="Q13" i="58"/>
  <c r="Q50" i="58" s="1"/>
  <c r="P13" i="58"/>
  <c r="P50" i="58" s="1"/>
  <c r="O13" i="58"/>
  <c r="O50" i="58" s="1"/>
  <c r="N13" i="58"/>
  <c r="N50" i="58" s="1"/>
  <c r="M13" i="58"/>
  <c r="M50" i="58" s="1"/>
  <c r="L13" i="58"/>
  <c r="L50" i="58" s="1"/>
  <c r="K13" i="58"/>
  <c r="K50" i="58" s="1"/>
  <c r="J13" i="58"/>
  <c r="J50" i="58" s="1"/>
  <c r="I13" i="58"/>
  <c r="I50" i="58" s="1"/>
  <c r="H13" i="58"/>
  <c r="H50" i="58" s="1"/>
  <c r="G13" i="58"/>
  <c r="G50" i="58" s="1"/>
  <c r="F13" i="58"/>
  <c r="F50" i="58" s="1"/>
  <c r="E13" i="58"/>
  <c r="E50" i="58" s="1"/>
  <c r="AE15" i="50"/>
  <c r="AE51" i="50" s="1"/>
  <c r="AD15" i="50"/>
  <c r="AD51" i="50" s="1"/>
  <c r="AC15" i="50"/>
  <c r="AC51" i="50" s="1"/>
  <c r="AB15" i="50"/>
  <c r="AB51" i="50" s="1"/>
  <c r="AA15" i="50"/>
  <c r="AA51" i="50" s="1"/>
  <c r="Z15" i="50"/>
  <c r="Z51" i="50" s="1"/>
  <c r="Y15" i="50"/>
  <c r="Y51" i="50" s="1"/>
  <c r="X15" i="50"/>
  <c r="X51" i="50" s="1"/>
  <c r="W15" i="50"/>
  <c r="W51" i="50" s="1"/>
  <c r="V15" i="50"/>
  <c r="V51" i="50" s="1"/>
  <c r="U15" i="50"/>
  <c r="U51" i="50" s="1"/>
  <c r="T15" i="50"/>
  <c r="T51" i="50" s="1"/>
  <c r="S15" i="50"/>
  <c r="S51" i="50" s="1"/>
  <c r="R15" i="50"/>
  <c r="R51" i="50" s="1"/>
  <c r="Q15" i="50"/>
  <c r="Q51" i="50" s="1"/>
  <c r="P15" i="50"/>
  <c r="P51" i="50" s="1"/>
  <c r="O15" i="50"/>
  <c r="O51" i="50" s="1"/>
  <c r="N15" i="50"/>
  <c r="N51" i="50" s="1"/>
  <c r="M15" i="50"/>
  <c r="M51" i="50" s="1"/>
  <c r="L15" i="50"/>
  <c r="L51" i="50" s="1"/>
  <c r="K15" i="50"/>
  <c r="K51" i="50" s="1"/>
  <c r="J15" i="50"/>
  <c r="J51" i="50" s="1"/>
  <c r="I15" i="50"/>
  <c r="I51" i="50" s="1"/>
  <c r="H15" i="50"/>
  <c r="H51" i="50" s="1"/>
  <c r="G15" i="50"/>
  <c r="G51" i="50" s="1"/>
  <c r="F15" i="50"/>
  <c r="F51" i="50" s="1"/>
  <c r="E15" i="50"/>
  <c r="E51" i="50" s="1"/>
  <c r="AE14" i="50"/>
  <c r="AE50" i="50" s="1"/>
  <c r="AD14" i="50"/>
  <c r="AD50" i="50" s="1"/>
  <c r="AC14" i="50"/>
  <c r="AC50" i="50" s="1"/>
  <c r="AB14" i="50"/>
  <c r="AB50" i="50" s="1"/>
  <c r="AA14" i="50"/>
  <c r="AA50" i="50" s="1"/>
  <c r="Z14" i="50"/>
  <c r="Z50" i="50" s="1"/>
  <c r="Y14" i="50"/>
  <c r="Y50" i="50" s="1"/>
  <c r="X14" i="50"/>
  <c r="X50" i="50" s="1"/>
  <c r="W14" i="50"/>
  <c r="W50" i="50" s="1"/>
  <c r="V14" i="50"/>
  <c r="V50" i="50" s="1"/>
  <c r="U14" i="50"/>
  <c r="U50" i="50" s="1"/>
  <c r="T14" i="50"/>
  <c r="T50" i="50" s="1"/>
  <c r="S14" i="50"/>
  <c r="S50" i="50" s="1"/>
  <c r="R14" i="50"/>
  <c r="R50" i="50" s="1"/>
  <c r="Q14" i="50"/>
  <c r="Q50" i="50" s="1"/>
  <c r="P14" i="50"/>
  <c r="P50" i="50" s="1"/>
  <c r="O14" i="50"/>
  <c r="O50" i="50" s="1"/>
  <c r="N14" i="50"/>
  <c r="N50" i="50" s="1"/>
  <c r="M14" i="50"/>
  <c r="M50" i="50" s="1"/>
  <c r="L14" i="50"/>
  <c r="L50" i="50" s="1"/>
  <c r="K14" i="50"/>
  <c r="K50" i="50" s="1"/>
  <c r="J14" i="50"/>
  <c r="J50" i="50" s="1"/>
  <c r="I14" i="50"/>
  <c r="I50" i="50" s="1"/>
  <c r="H14" i="50"/>
  <c r="H50" i="50" s="1"/>
  <c r="G14" i="50"/>
  <c r="G50" i="50" s="1"/>
  <c r="F14" i="50"/>
  <c r="F50" i="50" s="1"/>
  <c r="E14" i="50"/>
  <c r="E50" i="50" s="1"/>
  <c r="AE13" i="50"/>
  <c r="AE49" i="50" s="1"/>
  <c r="AD13" i="50"/>
  <c r="AD49" i="50" s="1"/>
  <c r="AC13" i="50"/>
  <c r="AC49" i="50" s="1"/>
  <c r="AB13" i="50"/>
  <c r="AB49" i="50" s="1"/>
  <c r="AA13" i="50"/>
  <c r="AA49" i="50" s="1"/>
  <c r="Z13" i="50"/>
  <c r="Z49" i="50" s="1"/>
  <c r="Y13" i="50"/>
  <c r="Y49" i="50" s="1"/>
  <c r="X13" i="50"/>
  <c r="X49" i="50" s="1"/>
  <c r="W13" i="50"/>
  <c r="W49" i="50" s="1"/>
  <c r="V13" i="50"/>
  <c r="V49" i="50" s="1"/>
  <c r="U13" i="50"/>
  <c r="U49" i="50" s="1"/>
  <c r="T13" i="50"/>
  <c r="T49" i="50" s="1"/>
  <c r="S13" i="50"/>
  <c r="S49" i="50" s="1"/>
  <c r="R13" i="50"/>
  <c r="R49" i="50" s="1"/>
  <c r="Q13" i="50"/>
  <c r="Q49" i="50" s="1"/>
  <c r="P13" i="50"/>
  <c r="P49" i="50" s="1"/>
  <c r="O13" i="50"/>
  <c r="O49" i="50" s="1"/>
  <c r="N13" i="50"/>
  <c r="N49" i="50" s="1"/>
  <c r="M13" i="50"/>
  <c r="M49" i="50" s="1"/>
  <c r="L13" i="50"/>
  <c r="L49" i="50" s="1"/>
  <c r="K13" i="50"/>
  <c r="K49" i="50" s="1"/>
  <c r="J13" i="50"/>
  <c r="J49" i="50" s="1"/>
  <c r="I13" i="50"/>
  <c r="I49" i="50" s="1"/>
  <c r="H13" i="50"/>
  <c r="H49" i="50" s="1"/>
  <c r="G13" i="50"/>
  <c r="G49" i="50" s="1"/>
  <c r="F13" i="50"/>
  <c r="F49" i="50" s="1"/>
  <c r="E13" i="50"/>
  <c r="E49" i="50" s="1"/>
  <c r="AE15" i="47"/>
  <c r="AE52" i="47" s="1"/>
  <c r="AD15" i="47"/>
  <c r="AD52" i="47" s="1"/>
  <c r="AC15" i="47"/>
  <c r="AC52" i="47" s="1"/>
  <c r="AB15" i="47"/>
  <c r="AB52" i="47" s="1"/>
  <c r="AA15" i="47"/>
  <c r="AA52" i="47" s="1"/>
  <c r="Z15" i="47"/>
  <c r="Z52" i="47" s="1"/>
  <c r="Y15" i="47"/>
  <c r="Y52" i="47" s="1"/>
  <c r="X15" i="47"/>
  <c r="X52" i="47" s="1"/>
  <c r="W15" i="47"/>
  <c r="W52" i="47" s="1"/>
  <c r="V15" i="47"/>
  <c r="V52" i="47" s="1"/>
  <c r="U15" i="47"/>
  <c r="U52" i="47" s="1"/>
  <c r="T15" i="47"/>
  <c r="T52" i="47" s="1"/>
  <c r="S15" i="47"/>
  <c r="S52" i="47" s="1"/>
  <c r="R15" i="47"/>
  <c r="R52" i="47" s="1"/>
  <c r="Q15" i="47"/>
  <c r="Q52" i="47" s="1"/>
  <c r="P15" i="47"/>
  <c r="P52" i="47" s="1"/>
  <c r="O15" i="47"/>
  <c r="O52" i="47" s="1"/>
  <c r="N15" i="47"/>
  <c r="N52" i="47" s="1"/>
  <c r="M15" i="47"/>
  <c r="M52" i="47" s="1"/>
  <c r="L15" i="47"/>
  <c r="L52" i="47" s="1"/>
  <c r="K15" i="47"/>
  <c r="K52" i="47" s="1"/>
  <c r="J15" i="47"/>
  <c r="J52" i="47" s="1"/>
  <c r="I15" i="47"/>
  <c r="I52" i="47" s="1"/>
  <c r="H15" i="47"/>
  <c r="H52" i="47" s="1"/>
  <c r="G15" i="47"/>
  <c r="G52" i="47" s="1"/>
  <c r="F15" i="47"/>
  <c r="F52" i="47" s="1"/>
  <c r="E15" i="47"/>
  <c r="E52" i="47" s="1"/>
  <c r="AE14" i="47"/>
  <c r="AE51" i="47" s="1"/>
  <c r="AD14" i="47"/>
  <c r="AD51" i="47" s="1"/>
  <c r="AC14" i="47"/>
  <c r="AC51" i="47" s="1"/>
  <c r="AB14" i="47"/>
  <c r="AB51" i="47" s="1"/>
  <c r="AA14" i="47"/>
  <c r="AA51" i="47" s="1"/>
  <c r="Z14" i="47"/>
  <c r="Z51" i="47" s="1"/>
  <c r="Y14" i="47"/>
  <c r="Y51" i="47" s="1"/>
  <c r="X14" i="47"/>
  <c r="X51" i="47" s="1"/>
  <c r="W14" i="47"/>
  <c r="W51" i="47" s="1"/>
  <c r="V14" i="47"/>
  <c r="V51" i="47" s="1"/>
  <c r="U14" i="47"/>
  <c r="U51" i="47" s="1"/>
  <c r="T14" i="47"/>
  <c r="T51" i="47" s="1"/>
  <c r="S14" i="47"/>
  <c r="S51" i="47" s="1"/>
  <c r="R14" i="47"/>
  <c r="R51" i="47" s="1"/>
  <c r="Q14" i="47"/>
  <c r="Q51" i="47" s="1"/>
  <c r="P14" i="47"/>
  <c r="P51" i="47" s="1"/>
  <c r="O14" i="47"/>
  <c r="O51" i="47" s="1"/>
  <c r="N14" i="47"/>
  <c r="N51" i="47" s="1"/>
  <c r="M14" i="47"/>
  <c r="M51" i="47" s="1"/>
  <c r="L14" i="47"/>
  <c r="L51" i="47" s="1"/>
  <c r="K14" i="47"/>
  <c r="K51" i="47" s="1"/>
  <c r="J14" i="47"/>
  <c r="J51" i="47" s="1"/>
  <c r="I14" i="47"/>
  <c r="I51" i="47" s="1"/>
  <c r="H14" i="47"/>
  <c r="H51" i="47" s="1"/>
  <c r="G14" i="47"/>
  <c r="G51" i="47" s="1"/>
  <c r="F14" i="47"/>
  <c r="F51" i="47" s="1"/>
  <c r="E14" i="47"/>
  <c r="E51" i="47" s="1"/>
  <c r="AE13" i="47"/>
  <c r="AE50" i="47" s="1"/>
  <c r="AD13" i="47"/>
  <c r="AD50" i="47" s="1"/>
  <c r="AC13" i="47"/>
  <c r="AC50" i="47" s="1"/>
  <c r="AB13" i="47"/>
  <c r="AB50" i="47" s="1"/>
  <c r="AA13" i="47"/>
  <c r="AA50" i="47" s="1"/>
  <c r="Z13" i="47"/>
  <c r="Z50" i="47" s="1"/>
  <c r="Y13" i="47"/>
  <c r="Y50" i="47" s="1"/>
  <c r="X13" i="47"/>
  <c r="X50" i="47" s="1"/>
  <c r="W13" i="47"/>
  <c r="W50" i="47" s="1"/>
  <c r="V13" i="47"/>
  <c r="V50" i="47" s="1"/>
  <c r="U13" i="47"/>
  <c r="U50" i="47" s="1"/>
  <c r="T13" i="47"/>
  <c r="T50" i="47" s="1"/>
  <c r="S13" i="47"/>
  <c r="S50" i="47" s="1"/>
  <c r="R13" i="47"/>
  <c r="R50" i="47" s="1"/>
  <c r="Q13" i="47"/>
  <c r="Q50" i="47" s="1"/>
  <c r="P13" i="47"/>
  <c r="P50" i="47" s="1"/>
  <c r="O13" i="47"/>
  <c r="O50" i="47" s="1"/>
  <c r="N13" i="47"/>
  <c r="N50" i="47" s="1"/>
  <c r="M13" i="47"/>
  <c r="M50" i="47" s="1"/>
  <c r="L13" i="47"/>
  <c r="L50" i="47" s="1"/>
  <c r="K13" i="47"/>
  <c r="K50" i="47" s="1"/>
  <c r="J13" i="47"/>
  <c r="J50" i="47" s="1"/>
  <c r="I13" i="47"/>
  <c r="I50" i="47" s="1"/>
  <c r="H13" i="47"/>
  <c r="H50" i="47" s="1"/>
  <c r="G13" i="47"/>
  <c r="G50" i="47" s="1"/>
  <c r="F13" i="47"/>
  <c r="F50" i="47" s="1"/>
  <c r="E13" i="47"/>
  <c r="E50" i="47" s="1"/>
  <c r="AE15" i="45"/>
  <c r="AE52" i="45" s="1"/>
  <c r="AD15" i="45"/>
  <c r="AD52" i="45" s="1"/>
  <c r="AC15" i="45"/>
  <c r="AC52" i="45" s="1"/>
  <c r="AB15" i="45"/>
  <c r="AB52" i="45" s="1"/>
  <c r="AA15" i="45"/>
  <c r="AA52" i="45" s="1"/>
  <c r="Z15" i="45"/>
  <c r="Z52" i="45" s="1"/>
  <c r="Y15" i="45"/>
  <c r="Y52" i="45" s="1"/>
  <c r="X15" i="45"/>
  <c r="X52" i="45" s="1"/>
  <c r="W15" i="45"/>
  <c r="W52" i="45" s="1"/>
  <c r="V15" i="45"/>
  <c r="V52" i="45" s="1"/>
  <c r="U15" i="45"/>
  <c r="U52" i="45" s="1"/>
  <c r="T15" i="45"/>
  <c r="T52" i="45" s="1"/>
  <c r="S15" i="45"/>
  <c r="S52" i="45" s="1"/>
  <c r="R15" i="45"/>
  <c r="R52" i="45" s="1"/>
  <c r="Q15" i="45"/>
  <c r="Q52" i="45" s="1"/>
  <c r="P15" i="45"/>
  <c r="P52" i="45" s="1"/>
  <c r="O15" i="45"/>
  <c r="O52" i="45" s="1"/>
  <c r="N15" i="45"/>
  <c r="N52" i="45" s="1"/>
  <c r="M15" i="45"/>
  <c r="M52" i="45" s="1"/>
  <c r="L15" i="45"/>
  <c r="L52" i="45" s="1"/>
  <c r="K15" i="45"/>
  <c r="K52" i="45" s="1"/>
  <c r="J15" i="45"/>
  <c r="J52" i="45" s="1"/>
  <c r="I15" i="45"/>
  <c r="I52" i="45" s="1"/>
  <c r="H15" i="45"/>
  <c r="H52" i="45" s="1"/>
  <c r="G15" i="45"/>
  <c r="G52" i="45" s="1"/>
  <c r="F15" i="45"/>
  <c r="F52" i="45" s="1"/>
  <c r="E15" i="45"/>
  <c r="E52" i="45" s="1"/>
  <c r="AE14" i="45"/>
  <c r="AE51" i="45" s="1"/>
  <c r="AD14" i="45"/>
  <c r="AD51" i="45" s="1"/>
  <c r="AC14" i="45"/>
  <c r="AC51" i="45" s="1"/>
  <c r="AB14" i="45"/>
  <c r="AB51" i="45" s="1"/>
  <c r="AA14" i="45"/>
  <c r="AA51" i="45" s="1"/>
  <c r="Z14" i="45"/>
  <c r="Z51" i="45" s="1"/>
  <c r="Y14" i="45"/>
  <c r="Y51" i="45" s="1"/>
  <c r="X14" i="45"/>
  <c r="X51" i="45" s="1"/>
  <c r="W14" i="45"/>
  <c r="W51" i="45" s="1"/>
  <c r="V14" i="45"/>
  <c r="V51" i="45" s="1"/>
  <c r="U14" i="45"/>
  <c r="U51" i="45" s="1"/>
  <c r="T14" i="45"/>
  <c r="T51" i="45" s="1"/>
  <c r="S14" i="45"/>
  <c r="S51" i="45" s="1"/>
  <c r="R14" i="45"/>
  <c r="R51" i="45" s="1"/>
  <c r="Q14" i="45"/>
  <c r="Q51" i="45" s="1"/>
  <c r="P14" i="45"/>
  <c r="P51" i="45" s="1"/>
  <c r="O14" i="45"/>
  <c r="O51" i="45" s="1"/>
  <c r="N14" i="45"/>
  <c r="N51" i="45" s="1"/>
  <c r="M14" i="45"/>
  <c r="M51" i="45" s="1"/>
  <c r="L14" i="45"/>
  <c r="L51" i="45" s="1"/>
  <c r="K14" i="45"/>
  <c r="K51" i="45" s="1"/>
  <c r="J14" i="45"/>
  <c r="J51" i="45" s="1"/>
  <c r="I14" i="45"/>
  <c r="I51" i="45" s="1"/>
  <c r="H14" i="45"/>
  <c r="H51" i="45" s="1"/>
  <c r="G14" i="45"/>
  <c r="G51" i="45" s="1"/>
  <c r="F14" i="45"/>
  <c r="F51" i="45" s="1"/>
  <c r="E14" i="45"/>
  <c r="E51" i="45" s="1"/>
  <c r="AE13" i="45"/>
  <c r="AE50" i="45" s="1"/>
  <c r="AD13" i="45"/>
  <c r="AD50" i="45" s="1"/>
  <c r="AC13" i="45"/>
  <c r="AC50" i="45" s="1"/>
  <c r="AB13" i="45"/>
  <c r="AB50" i="45" s="1"/>
  <c r="AA13" i="45"/>
  <c r="AA50" i="45" s="1"/>
  <c r="Z13" i="45"/>
  <c r="Z50" i="45" s="1"/>
  <c r="Y13" i="45"/>
  <c r="Y50" i="45" s="1"/>
  <c r="X13" i="45"/>
  <c r="X50" i="45" s="1"/>
  <c r="W13" i="45"/>
  <c r="W50" i="45" s="1"/>
  <c r="V13" i="45"/>
  <c r="V50" i="45" s="1"/>
  <c r="U13" i="45"/>
  <c r="U50" i="45" s="1"/>
  <c r="T13" i="45"/>
  <c r="T50" i="45" s="1"/>
  <c r="S13" i="45"/>
  <c r="S50" i="45" s="1"/>
  <c r="R13" i="45"/>
  <c r="R50" i="45" s="1"/>
  <c r="Q13" i="45"/>
  <c r="Q50" i="45" s="1"/>
  <c r="P13" i="45"/>
  <c r="P50" i="45" s="1"/>
  <c r="O13" i="45"/>
  <c r="O50" i="45" s="1"/>
  <c r="N13" i="45"/>
  <c r="N50" i="45" s="1"/>
  <c r="M13" i="45"/>
  <c r="M50" i="45" s="1"/>
  <c r="L13" i="45"/>
  <c r="L50" i="45" s="1"/>
  <c r="K13" i="45"/>
  <c r="K50" i="45" s="1"/>
  <c r="J13" i="45"/>
  <c r="J50" i="45" s="1"/>
  <c r="I13" i="45"/>
  <c r="I50" i="45" s="1"/>
  <c r="H13" i="45"/>
  <c r="H50" i="45" s="1"/>
  <c r="G13" i="45"/>
  <c r="G50" i="45" s="1"/>
  <c r="F13" i="45"/>
  <c r="F50" i="45" s="1"/>
  <c r="E13" i="45"/>
  <c r="E50" i="45" s="1"/>
  <c r="AE15" i="43"/>
  <c r="AE51" i="43" s="1"/>
  <c r="AD15" i="43"/>
  <c r="AD51" i="43" s="1"/>
  <c r="AC15" i="43"/>
  <c r="AC51" i="43" s="1"/>
  <c r="AB15" i="43"/>
  <c r="AB51" i="43" s="1"/>
  <c r="AA15" i="43"/>
  <c r="AA51" i="43" s="1"/>
  <c r="Z15" i="43"/>
  <c r="Z51" i="43" s="1"/>
  <c r="Y15" i="43"/>
  <c r="Y51" i="43" s="1"/>
  <c r="X15" i="43"/>
  <c r="X51" i="43" s="1"/>
  <c r="W15" i="43"/>
  <c r="W51" i="43" s="1"/>
  <c r="V15" i="43"/>
  <c r="V51" i="43" s="1"/>
  <c r="U15" i="43"/>
  <c r="U51" i="43" s="1"/>
  <c r="T15" i="43"/>
  <c r="T51" i="43" s="1"/>
  <c r="S15" i="43"/>
  <c r="S51" i="43" s="1"/>
  <c r="R15" i="43"/>
  <c r="R51" i="43" s="1"/>
  <c r="Q15" i="43"/>
  <c r="Q51" i="43" s="1"/>
  <c r="P15" i="43"/>
  <c r="P51" i="43" s="1"/>
  <c r="O15" i="43"/>
  <c r="O51" i="43" s="1"/>
  <c r="N15" i="43"/>
  <c r="N51" i="43" s="1"/>
  <c r="M15" i="43"/>
  <c r="M51" i="43" s="1"/>
  <c r="L15" i="43"/>
  <c r="L51" i="43" s="1"/>
  <c r="K15" i="43"/>
  <c r="K51" i="43" s="1"/>
  <c r="J15" i="43"/>
  <c r="J51" i="43" s="1"/>
  <c r="I15" i="43"/>
  <c r="I51" i="43" s="1"/>
  <c r="H15" i="43"/>
  <c r="H51" i="43" s="1"/>
  <c r="G15" i="43"/>
  <c r="G51" i="43" s="1"/>
  <c r="F15" i="43"/>
  <c r="F51" i="43" s="1"/>
  <c r="E15" i="43"/>
  <c r="E51" i="43" s="1"/>
  <c r="AE14" i="43"/>
  <c r="AE50" i="43" s="1"/>
  <c r="AD14" i="43"/>
  <c r="AD50" i="43" s="1"/>
  <c r="AC14" i="43"/>
  <c r="AC50" i="43" s="1"/>
  <c r="AB14" i="43"/>
  <c r="AB50" i="43" s="1"/>
  <c r="AA14" i="43"/>
  <c r="AA50" i="43" s="1"/>
  <c r="Z14" i="43"/>
  <c r="Z50" i="43" s="1"/>
  <c r="Y14" i="43"/>
  <c r="Y50" i="43" s="1"/>
  <c r="X14" i="43"/>
  <c r="X50" i="43" s="1"/>
  <c r="W14" i="43"/>
  <c r="W50" i="43" s="1"/>
  <c r="V14" i="43"/>
  <c r="V50" i="43" s="1"/>
  <c r="U14" i="43"/>
  <c r="U50" i="43" s="1"/>
  <c r="T14" i="43"/>
  <c r="T50" i="43" s="1"/>
  <c r="S14" i="43"/>
  <c r="S50" i="43" s="1"/>
  <c r="R14" i="43"/>
  <c r="R50" i="43" s="1"/>
  <c r="Q14" i="43"/>
  <c r="Q50" i="43" s="1"/>
  <c r="P14" i="43"/>
  <c r="P50" i="43" s="1"/>
  <c r="O14" i="43"/>
  <c r="O50" i="43" s="1"/>
  <c r="N14" i="43"/>
  <c r="N50" i="43" s="1"/>
  <c r="M14" i="43"/>
  <c r="M50" i="43" s="1"/>
  <c r="L14" i="43"/>
  <c r="L50" i="43" s="1"/>
  <c r="K14" i="43"/>
  <c r="K50" i="43" s="1"/>
  <c r="J14" i="43"/>
  <c r="J50" i="43" s="1"/>
  <c r="I14" i="43"/>
  <c r="I50" i="43" s="1"/>
  <c r="H14" i="43"/>
  <c r="H50" i="43" s="1"/>
  <c r="G14" i="43"/>
  <c r="G50" i="43" s="1"/>
  <c r="F14" i="43"/>
  <c r="F50" i="43" s="1"/>
  <c r="E14" i="43"/>
  <c r="E50" i="43" s="1"/>
  <c r="AE13" i="43"/>
  <c r="AE49" i="43" s="1"/>
  <c r="AD13" i="43"/>
  <c r="AD49" i="43" s="1"/>
  <c r="AC13" i="43"/>
  <c r="AC49" i="43" s="1"/>
  <c r="AB13" i="43"/>
  <c r="AB49" i="43" s="1"/>
  <c r="AA13" i="43"/>
  <c r="AA49" i="43" s="1"/>
  <c r="Z13" i="43"/>
  <c r="Z49" i="43" s="1"/>
  <c r="Y13" i="43"/>
  <c r="Y49" i="43" s="1"/>
  <c r="X13" i="43"/>
  <c r="X49" i="43" s="1"/>
  <c r="W13" i="43"/>
  <c r="W49" i="43" s="1"/>
  <c r="V13" i="43"/>
  <c r="V49" i="43" s="1"/>
  <c r="U13" i="43"/>
  <c r="U49" i="43" s="1"/>
  <c r="T13" i="43"/>
  <c r="T49" i="43" s="1"/>
  <c r="S13" i="43"/>
  <c r="S49" i="43" s="1"/>
  <c r="R13" i="43"/>
  <c r="R49" i="43" s="1"/>
  <c r="Q13" i="43"/>
  <c r="Q49" i="43" s="1"/>
  <c r="P13" i="43"/>
  <c r="P49" i="43" s="1"/>
  <c r="O13" i="43"/>
  <c r="O49" i="43" s="1"/>
  <c r="N13" i="43"/>
  <c r="N49" i="43" s="1"/>
  <c r="M13" i="43"/>
  <c r="M49" i="43" s="1"/>
  <c r="L13" i="43"/>
  <c r="L49" i="43" s="1"/>
  <c r="K13" i="43"/>
  <c r="K49" i="43" s="1"/>
  <c r="J13" i="43"/>
  <c r="J49" i="43" s="1"/>
  <c r="I13" i="43"/>
  <c r="I49" i="43" s="1"/>
  <c r="H13" i="43"/>
  <c r="H49" i="43" s="1"/>
  <c r="G13" i="43"/>
  <c r="G49" i="43" s="1"/>
  <c r="F13" i="43"/>
  <c r="F49" i="43" s="1"/>
  <c r="E13" i="43"/>
  <c r="E49" i="43" s="1"/>
  <c r="AE51" i="61"/>
  <c r="AD51" i="61"/>
  <c r="AC51" i="61"/>
  <c r="AB51" i="61"/>
  <c r="AA51" i="61"/>
  <c r="Z51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AE50" i="61"/>
  <c r="AD50" i="61"/>
  <c r="AC50" i="61"/>
  <c r="AB50" i="61"/>
  <c r="AA50" i="61"/>
  <c r="Z50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AE49" i="61"/>
  <c r="AD49" i="61"/>
  <c r="AC49" i="61"/>
  <c r="AB49" i="61"/>
  <c r="AA49" i="61"/>
  <c r="Z49" i="61"/>
  <c r="Y49" i="61"/>
  <c r="X49" i="61"/>
  <c r="W49" i="61"/>
  <c r="V49" i="61"/>
  <c r="U49" i="61"/>
  <c r="T49" i="61"/>
  <c r="S49" i="61"/>
  <c r="R49" i="61"/>
  <c r="Q49" i="61"/>
  <c r="P49" i="61"/>
  <c r="O49" i="61"/>
  <c r="N49" i="61"/>
  <c r="M49" i="61"/>
  <c r="L49" i="61"/>
  <c r="K49" i="61"/>
  <c r="J49" i="61"/>
  <c r="I49" i="61"/>
  <c r="H49" i="61"/>
  <c r="G49" i="61"/>
  <c r="F49" i="61"/>
  <c r="E49" i="61"/>
  <c r="AE15" i="38"/>
  <c r="AE51" i="38" s="1"/>
  <c r="AD15" i="38"/>
  <c r="AD51" i="38" s="1"/>
  <c r="AC15" i="38"/>
  <c r="AC51" i="38" s="1"/>
  <c r="AB15" i="38"/>
  <c r="AB51" i="38" s="1"/>
  <c r="AA15" i="38"/>
  <c r="AA51" i="38" s="1"/>
  <c r="Z15" i="38"/>
  <c r="Z51" i="38" s="1"/>
  <c r="Y15" i="38"/>
  <c r="Y51" i="38" s="1"/>
  <c r="X15" i="38"/>
  <c r="X51" i="38" s="1"/>
  <c r="W15" i="38"/>
  <c r="W51" i="38" s="1"/>
  <c r="V15" i="38"/>
  <c r="V51" i="38" s="1"/>
  <c r="U15" i="38"/>
  <c r="U51" i="38" s="1"/>
  <c r="T15" i="38"/>
  <c r="T51" i="38" s="1"/>
  <c r="S15" i="38"/>
  <c r="S51" i="38" s="1"/>
  <c r="R15" i="38"/>
  <c r="R51" i="38" s="1"/>
  <c r="Q15" i="38"/>
  <c r="Q51" i="38" s="1"/>
  <c r="P15" i="38"/>
  <c r="P51" i="38" s="1"/>
  <c r="O15" i="38"/>
  <c r="O51" i="38" s="1"/>
  <c r="N15" i="38"/>
  <c r="N51" i="38" s="1"/>
  <c r="M15" i="38"/>
  <c r="M51" i="38" s="1"/>
  <c r="L15" i="38"/>
  <c r="L51" i="38" s="1"/>
  <c r="K15" i="38"/>
  <c r="K51" i="38" s="1"/>
  <c r="J15" i="38"/>
  <c r="J51" i="38" s="1"/>
  <c r="I15" i="38"/>
  <c r="I51" i="38" s="1"/>
  <c r="H15" i="38"/>
  <c r="H51" i="38" s="1"/>
  <c r="G15" i="38"/>
  <c r="G51" i="38" s="1"/>
  <c r="F15" i="38"/>
  <c r="F51" i="38" s="1"/>
  <c r="E15" i="38"/>
  <c r="E51" i="38" s="1"/>
  <c r="AE14" i="38"/>
  <c r="AE50" i="38" s="1"/>
  <c r="AD14" i="38"/>
  <c r="AD50" i="38" s="1"/>
  <c r="AC14" i="38"/>
  <c r="AC50" i="38" s="1"/>
  <c r="AB14" i="38"/>
  <c r="AB50" i="38" s="1"/>
  <c r="AA14" i="38"/>
  <c r="AA50" i="38" s="1"/>
  <c r="Z14" i="38"/>
  <c r="Z50" i="38" s="1"/>
  <c r="Y14" i="38"/>
  <c r="Y50" i="38" s="1"/>
  <c r="X14" i="38"/>
  <c r="X50" i="38" s="1"/>
  <c r="W14" i="38"/>
  <c r="W50" i="38" s="1"/>
  <c r="V14" i="38"/>
  <c r="V50" i="38" s="1"/>
  <c r="U14" i="38"/>
  <c r="U50" i="38" s="1"/>
  <c r="T14" i="38"/>
  <c r="T50" i="38" s="1"/>
  <c r="S14" i="38"/>
  <c r="S50" i="38" s="1"/>
  <c r="R14" i="38"/>
  <c r="R50" i="38" s="1"/>
  <c r="Q14" i="38"/>
  <c r="Q50" i="38" s="1"/>
  <c r="P14" i="38"/>
  <c r="P50" i="38" s="1"/>
  <c r="O14" i="38"/>
  <c r="O50" i="38" s="1"/>
  <c r="N14" i="38"/>
  <c r="N50" i="38" s="1"/>
  <c r="M14" i="38"/>
  <c r="M50" i="38" s="1"/>
  <c r="L14" i="38"/>
  <c r="L50" i="38" s="1"/>
  <c r="K14" i="38"/>
  <c r="K50" i="38" s="1"/>
  <c r="J14" i="38"/>
  <c r="J50" i="38" s="1"/>
  <c r="I14" i="38"/>
  <c r="I50" i="38" s="1"/>
  <c r="H14" i="38"/>
  <c r="H50" i="38" s="1"/>
  <c r="G14" i="38"/>
  <c r="G50" i="38" s="1"/>
  <c r="F14" i="38"/>
  <c r="F50" i="38" s="1"/>
  <c r="E14" i="38"/>
  <c r="E50" i="38" s="1"/>
  <c r="AE13" i="38"/>
  <c r="AE49" i="38" s="1"/>
  <c r="AD13" i="38"/>
  <c r="AD49" i="38" s="1"/>
  <c r="AC13" i="38"/>
  <c r="AC49" i="38" s="1"/>
  <c r="AB13" i="38"/>
  <c r="AB49" i="38" s="1"/>
  <c r="AA13" i="38"/>
  <c r="AA49" i="38" s="1"/>
  <c r="Z13" i="38"/>
  <c r="Z49" i="38" s="1"/>
  <c r="Y13" i="38"/>
  <c r="Y49" i="38" s="1"/>
  <c r="X13" i="38"/>
  <c r="X49" i="38" s="1"/>
  <c r="W13" i="38"/>
  <c r="W49" i="38" s="1"/>
  <c r="V13" i="38"/>
  <c r="V49" i="38" s="1"/>
  <c r="U13" i="38"/>
  <c r="U49" i="38" s="1"/>
  <c r="T13" i="38"/>
  <c r="T49" i="38" s="1"/>
  <c r="S13" i="38"/>
  <c r="S49" i="38" s="1"/>
  <c r="R13" i="38"/>
  <c r="R49" i="38" s="1"/>
  <c r="Q13" i="38"/>
  <c r="Q49" i="38" s="1"/>
  <c r="P13" i="38"/>
  <c r="P49" i="38" s="1"/>
  <c r="O13" i="38"/>
  <c r="O49" i="38" s="1"/>
  <c r="N13" i="38"/>
  <c r="N49" i="38" s="1"/>
  <c r="M13" i="38"/>
  <c r="M49" i="38" s="1"/>
  <c r="L13" i="38"/>
  <c r="L49" i="38" s="1"/>
  <c r="K13" i="38"/>
  <c r="K49" i="38" s="1"/>
  <c r="J13" i="38"/>
  <c r="J49" i="38" s="1"/>
  <c r="I13" i="38"/>
  <c r="I49" i="38" s="1"/>
  <c r="H13" i="38"/>
  <c r="H49" i="38" s="1"/>
  <c r="G13" i="38"/>
  <c r="G49" i="38" s="1"/>
  <c r="F13" i="38"/>
  <c r="F49" i="38" s="1"/>
  <c r="E13" i="38"/>
  <c r="E49" i="38" s="1"/>
  <c r="AE15" i="23"/>
  <c r="AE52" i="23" s="1"/>
  <c r="AD15" i="23"/>
  <c r="AD52" i="23" s="1"/>
  <c r="AC15" i="23"/>
  <c r="AC52" i="23" s="1"/>
  <c r="AB15" i="23"/>
  <c r="AB52" i="23" s="1"/>
  <c r="AA15" i="23"/>
  <c r="AA52" i="23" s="1"/>
  <c r="Z15" i="23"/>
  <c r="Z52" i="23" s="1"/>
  <c r="Y15" i="23"/>
  <c r="Y52" i="23" s="1"/>
  <c r="X15" i="23"/>
  <c r="X52" i="23" s="1"/>
  <c r="W15" i="23"/>
  <c r="W52" i="23" s="1"/>
  <c r="V15" i="23"/>
  <c r="V52" i="23" s="1"/>
  <c r="U15" i="23"/>
  <c r="U52" i="23" s="1"/>
  <c r="T15" i="23"/>
  <c r="T52" i="23" s="1"/>
  <c r="S15" i="23"/>
  <c r="S52" i="23" s="1"/>
  <c r="R15" i="23"/>
  <c r="R52" i="23" s="1"/>
  <c r="Q15" i="23"/>
  <c r="Q52" i="23" s="1"/>
  <c r="P15" i="23"/>
  <c r="P52" i="23" s="1"/>
  <c r="O15" i="23"/>
  <c r="O52" i="23" s="1"/>
  <c r="N15" i="23"/>
  <c r="N52" i="23" s="1"/>
  <c r="M15" i="23"/>
  <c r="M52" i="23" s="1"/>
  <c r="L15" i="23"/>
  <c r="L52" i="23" s="1"/>
  <c r="K15" i="23"/>
  <c r="K52" i="23" s="1"/>
  <c r="J15" i="23"/>
  <c r="J52" i="23" s="1"/>
  <c r="I15" i="23"/>
  <c r="I52" i="23" s="1"/>
  <c r="H15" i="23"/>
  <c r="H52" i="23" s="1"/>
  <c r="G15" i="23"/>
  <c r="G52" i="23" s="1"/>
  <c r="F15" i="23"/>
  <c r="F52" i="23" s="1"/>
  <c r="E15" i="23"/>
  <c r="E52" i="23" s="1"/>
  <c r="AE14" i="23"/>
  <c r="AE51" i="23" s="1"/>
  <c r="AD14" i="23"/>
  <c r="AD51" i="23" s="1"/>
  <c r="AC14" i="23"/>
  <c r="AC51" i="23" s="1"/>
  <c r="AB14" i="23"/>
  <c r="AB51" i="23" s="1"/>
  <c r="AA14" i="23"/>
  <c r="AA51" i="23" s="1"/>
  <c r="Z14" i="23"/>
  <c r="Z51" i="23" s="1"/>
  <c r="Y14" i="23"/>
  <c r="Y51" i="23" s="1"/>
  <c r="X14" i="23"/>
  <c r="X51" i="23" s="1"/>
  <c r="W14" i="23"/>
  <c r="W51" i="23" s="1"/>
  <c r="V14" i="23"/>
  <c r="V51" i="23" s="1"/>
  <c r="U14" i="23"/>
  <c r="U51" i="23" s="1"/>
  <c r="T14" i="23"/>
  <c r="T51" i="23" s="1"/>
  <c r="S14" i="23"/>
  <c r="S51" i="23" s="1"/>
  <c r="R14" i="23"/>
  <c r="R51" i="23" s="1"/>
  <c r="Q14" i="23"/>
  <c r="Q51" i="23" s="1"/>
  <c r="P14" i="23"/>
  <c r="P51" i="23" s="1"/>
  <c r="O14" i="23"/>
  <c r="O51" i="23" s="1"/>
  <c r="N14" i="23"/>
  <c r="N51" i="23" s="1"/>
  <c r="M14" i="23"/>
  <c r="M51" i="23" s="1"/>
  <c r="L14" i="23"/>
  <c r="L51" i="23" s="1"/>
  <c r="K14" i="23"/>
  <c r="K51" i="23" s="1"/>
  <c r="J14" i="23"/>
  <c r="J51" i="23" s="1"/>
  <c r="I14" i="23"/>
  <c r="I51" i="23" s="1"/>
  <c r="H14" i="23"/>
  <c r="H51" i="23" s="1"/>
  <c r="G14" i="23"/>
  <c r="G51" i="23" s="1"/>
  <c r="F14" i="23"/>
  <c r="F51" i="23" s="1"/>
  <c r="E14" i="23"/>
  <c r="E51" i="23" s="1"/>
  <c r="AE13" i="23"/>
  <c r="AE50" i="23" s="1"/>
  <c r="AD13" i="23"/>
  <c r="AD50" i="23" s="1"/>
  <c r="AC13" i="23"/>
  <c r="AC50" i="23" s="1"/>
  <c r="AB13" i="23"/>
  <c r="AB50" i="23" s="1"/>
  <c r="AA13" i="23"/>
  <c r="AA50" i="23" s="1"/>
  <c r="Z13" i="23"/>
  <c r="Z50" i="23" s="1"/>
  <c r="Y13" i="23"/>
  <c r="Y50" i="23" s="1"/>
  <c r="X13" i="23"/>
  <c r="X50" i="23" s="1"/>
  <c r="W13" i="23"/>
  <c r="W50" i="23" s="1"/>
  <c r="V13" i="23"/>
  <c r="V50" i="23" s="1"/>
  <c r="U13" i="23"/>
  <c r="U50" i="23" s="1"/>
  <c r="T13" i="23"/>
  <c r="T50" i="23" s="1"/>
  <c r="S13" i="23"/>
  <c r="S50" i="23" s="1"/>
  <c r="R13" i="23"/>
  <c r="R50" i="23" s="1"/>
  <c r="Q13" i="23"/>
  <c r="Q50" i="23" s="1"/>
  <c r="P13" i="23"/>
  <c r="P50" i="23" s="1"/>
  <c r="O13" i="23"/>
  <c r="O50" i="23" s="1"/>
  <c r="N13" i="23"/>
  <c r="N50" i="23" s="1"/>
  <c r="M13" i="23"/>
  <c r="M50" i="23" s="1"/>
  <c r="L13" i="23"/>
  <c r="L50" i="23" s="1"/>
  <c r="K13" i="23"/>
  <c r="K50" i="23" s="1"/>
  <c r="J13" i="23"/>
  <c r="J50" i="23" s="1"/>
  <c r="I13" i="23"/>
  <c r="I50" i="23" s="1"/>
  <c r="H13" i="23"/>
  <c r="H50" i="23" s="1"/>
  <c r="G13" i="23"/>
  <c r="G50" i="23" s="1"/>
  <c r="F13" i="23"/>
  <c r="F50" i="23" s="1"/>
  <c r="E13" i="23"/>
  <c r="E50" i="23" s="1"/>
  <c r="AE15" i="15"/>
  <c r="AE51" i="15" s="1"/>
  <c r="AD15" i="15"/>
  <c r="AD51" i="15" s="1"/>
  <c r="AC15" i="15"/>
  <c r="AC51" i="15" s="1"/>
  <c r="AB15" i="15"/>
  <c r="AB51" i="15" s="1"/>
  <c r="AA15" i="15"/>
  <c r="AA51" i="15" s="1"/>
  <c r="Z15" i="15"/>
  <c r="Z51" i="15" s="1"/>
  <c r="Y15" i="15"/>
  <c r="Y51" i="15" s="1"/>
  <c r="X15" i="15"/>
  <c r="X51" i="15" s="1"/>
  <c r="W15" i="15"/>
  <c r="W51" i="15" s="1"/>
  <c r="V15" i="15"/>
  <c r="V51" i="15" s="1"/>
  <c r="U15" i="15"/>
  <c r="U51" i="15" s="1"/>
  <c r="T15" i="15"/>
  <c r="T51" i="15" s="1"/>
  <c r="S15" i="15"/>
  <c r="S51" i="15" s="1"/>
  <c r="R15" i="15"/>
  <c r="R51" i="15" s="1"/>
  <c r="Q15" i="15"/>
  <c r="Q51" i="15" s="1"/>
  <c r="P15" i="15"/>
  <c r="P51" i="15" s="1"/>
  <c r="O15" i="15"/>
  <c r="O51" i="15" s="1"/>
  <c r="N15" i="15"/>
  <c r="N51" i="15" s="1"/>
  <c r="M15" i="15"/>
  <c r="M51" i="15" s="1"/>
  <c r="L15" i="15"/>
  <c r="L51" i="15" s="1"/>
  <c r="K15" i="15"/>
  <c r="K51" i="15" s="1"/>
  <c r="J15" i="15"/>
  <c r="J51" i="15" s="1"/>
  <c r="I15" i="15"/>
  <c r="I51" i="15" s="1"/>
  <c r="H15" i="15"/>
  <c r="H51" i="15" s="1"/>
  <c r="G15" i="15"/>
  <c r="G51" i="15" s="1"/>
  <c r="F15" i="15"/>
  <c r="F51" i="15" s="1"/>
  <c r="E15" i="15"/>
  <c r="E51" i="15" s="1"/>
  <c r="B51" i="15" s="1"/>
  <c r="AE14" i="15"/>
  <c r="AE50" i="15" s="1"/>
  <c r="AD14" i="15"/>
  <c r="AD50" i="15" s="1"/>
  <c r="AC14" i="15"/>
  <c r="AC50" i="15" s="1"/>
  <c r="AB14" i="15"/>
  <c r="AB50" i="15" s="1"/>
  <c r="AA14" i="15"/>
  <c r="AA50" i="15" s="1"/>
  <c r="Z14" i="15"/>
  <c r="Z50" i="15" s="1"/>
  <c r="Y14" i="15"/>
  <c r="Y50" i="15" s="1"/>
  <c r="X14" i="15"/>
  <c r="X50" i="15" s="1"/>
  <c r="W14" i="15"/>
  <c r="W50" i="15" s="1"/>
  <c r="V14" i="15"/>
  <c r="V50" i="15" s="1"/>
  <c r="U14" i="15"/>
  <c r="U50" i="15" s="1"/>
  <c r="T14" i="15"/>
  <c r="T50" i="15" s="1"/>
  <c r="S14" i="15"/>
  <c r="S50" i="15" s="1"/>
  <c r="R14" i="15"/>
  <c r="R50" i="15" s="1"/>
  <c r="Q14" i="15"/>
  <c r="Q50" i="15" s="1"/>
  <c r="P14" i="15"/>
  <c r="P50" i="15" s="1"/>
  <c r="O14" i="15"/>
  <c r="O50" i="15" s="1"/>
  <c r="N14" i="15"/>
  <c r="N50" i="15" s="1"/>
  <c r="M14" i="15"/>
  <c r="M50" i="15" s="1"/>
  <c r="L14" i="15"/>
  <c r="L50" i="15" s="1"/>
  <c r="K14" i="15"/>
  <c r="K50" i="15" s="1"/>
  <c r="J14" i="15"/>
  <c r="J50" i="15" s="1"/>
  <c r="I14" i="15"/>
  <c r="I50" i="15" s="1"/>
  <c r="H14" i="15"/>
  <c r="H50" i="15" s="1"/>
  <c r="G14" i="15"/>
  <c r="G50" i="15" s="1"/>
  <c r="F14" i="15"/>
  <c r="F50" i="15" s="1"/>
  <c r="E14" i="15"/>
  <c r="E50" i="15" s="1"/>
  <c r="AE13" i="15"/>
  <c r="AE49" i="15" s="1"/>
  <c r="AD13" i="15"/>
  <c r="AD49" i="15" s="1"/>
  <c r="AC13" i="15"/>
  <c r="AC49" i="15" s="1"/>
  <c r="AB13" i="15"/>
  <c r="AB49" i="15" s="1"/>
  <c r="AA13" i="15"/>
  <c r="AA49" i="15" s="1"/>
  <c r="Z13" i="15"/>
  <c r="Z49" i="15" s="1"/>
  <c r="Y13" i="15"/>
  <c r="Y49" i="15" s="1"/>
  <c r="X13" i="15"/>
  <c r="X49" i="15" s="1"/>
  <c r="W13" i="15"/>
  <c r="W49" i="15" s="1"/>
  <c r="V13" i="15"/>
  <c r="V49" i="15" s="1"/>
  <c r="U13" i="15"/>
  <c r="U49" i="15" s="1"/>
  <c r="T13" i="15"/>
  <c r="T49" i="15" s="1"/>
  <c r="S13" i="15"/>
  <c r="S49" i="15" s="1"/>
  <c r="R13" i="15"/>
  <c r="R49" i="15" s="1"/>
  <c r="Q13" i="15"/>
  <c r="Q49" i="15" s="1"/>
  <c r="P13" i="15"/>
  <c r="P49" i="15" s="1"/>
  <c r="O13" i="15"/>
  <c r="O49" i="15" s="1"/>
  <c r="N13" i="15"/>
  <c r="N49" i="15" s="1"/>
  <c r="M13" i="15"/>
  <c r="M49" i="15" s="1"/>
  <c r="L13" i="15"/>
  <c r="L49" i="15" s="1"/>
  <c r="K13" i="15"/>
  <c r="K49" i="15" s="1"/>
  <c r="J13" i="15"/>
  <c r="J49" i="15" s="1"/>
  <c r="I13" i="15"/>
  <c r="I49" i="15" s="1"/>
  <c r="H13" i="15"/>
  <c r="H49" i="15" s="1"/>
  <c r="G13" i="15"/>
  <c r="G49" i="15" s="1"/>
  <c r="F13" i="15"/>
  <c r="F49" i="15" s="1"/>
  <c r="E13" i="15"/>
  <c r="E49" i="15" s="1"/>
  <c r="AE15" i="13"/>
  <c r="AE51" i="13" s="1"/>
  <c r="AD15" i="13"/>
  <c r="AD51" i="13" s="1"/>
  <c r="AC15" i="13"/>
  <c r="AC51" i="13" s="1"/>
  <c r="AB15" i="13"/>
  <c r="AB51" i="13" s="1"/>
  <c r="AA15" i="13"/>
  <c r="AA51" i="13" s="1"/>
  <c r="Z15" i="13"/>
  <c r="Z51" i="13" s="1"/>
  <c r="Y15" i="13"/>
  <c r="Y51" i="13" s="1"/>
  <c r="X15" i="13"/>
  <c r="X51" i="13" s="1"/>
  <c r="W15" i="13"/>
  <c r="W51" i="13" s="1"/>
  <c r="V15" i="13"/>
  <c r="V51" i="13" s="1"/>
  <c r="U15" i="13"/>
  <c r="U51" i="13" s="1"/>
  <c r="T15" i="13"/>
  <c r="T51" i="13" s="1"/>
  <c r="S15" i="13"/>
  <c r="S51" i="13" s="1"/>
  <c r="R15" i="13"/>
  <c r="R51" i="13" s="1"/>
  <c r="Q15" i="13"/>
  <c r="Q51" i="13" s="1"/>
  <c r="P15" i="13"/>
  <c r="P51" i="13" s="1"/>
  <c r="O15" i="13"/>
  <c r="O51" i="13" s="1"/>
  <c r="N15" i="13"/>
  <c r="N51" i="13" s="1"/>
  <c r="M15" i="13"/>
  <c r="M51" i="13" s="1"/>
  <c r="L15" i="13"/>
  <c r="L51" i="13" s="1"/>
  <c r="K15" i="13"/>
  <c r="K51" i="13" s="1"/>
  <c r="J15" i="13"/>
  <c r="J51" i="13" s="1"/>
  <c r="I15" i="13"/>
  <c r="I51" i="13" s="1"/>
  <c r="H15" i="13"/>
  <c r="H51" i="13" s="1"/>
  <c r="G15" i="13"/>
  <c r="G51" i="13" s="1"/>
  <c r="F15" i="13"/>
  <c r="F51" i="13" s="1"/>
  <c r="E15" i="13"/>
  <c r="E51" i="13" s="1"/>
  <c r="AE14" i="13"/>
  <c r="AE50" i="13" s="1"/>
  <c r="AD14" i="13"/>
  <c r="AD50" i="13" s="1"/>
  <c r="AC14" i="13"/>
  <c r="AC50" i="13" s="1"/>
  <c r="AB14" i="13"/>
  <c r="AB50" i="13" s="1"/>
  <c r="AA14" i="13"/>
  <c r="AA50" i="13" s="1"/>
  <c r="Z14" i="13"/>
  <c r="Z50" i="13" s="1"/>
  <c r="Y14" i="13"/>
  <c r="Y50" i="13" s="1"/>
  <c r="X14" i="13"/>
  <c r="X50" i="13" s="1"/>
  <c r="W14" i="13"/>
  <c r="W50" i="13" s="1"/>
  <c r="V14" i="13"/>
  <c r="V50" i="13" s="1"/>
  <c r="U14" i="13"/>
  <c r="U50" i="13" s="1"/>
  <c r="T14" i="13"/>
  <c r="T50" i="13" s="1"/>
  <c r="S14" i="13"/>
  <c r="S50" i="13" s="1"/>
  <c r="R14" i="13"/>
  <c r="R50" i="13" s="1"/>
  <c r="Q14" i="13"/>
  <c r="Q50" i="13" s="1"/>
  <c r="P14" i="13"/>
  <c r="P50" i="13" s="1"/>
  <c r="O14" i="13"/>
  <c r="O50" i="13" s="1"/>
  <c r="N14" i="13"/>
  <c r="N50" i="13" s="1"/>
  <c r="M14" i="13"/>
  <c r="M50" i="13" s="1"/>
  <c r="L14" i="13"/>
  <c r="L50" i="13" s="1"/>
  <c r="K14" i="13"/>
  <c r="K50" i="13" s="1"/>
  <c r="J14" i="13"/>
  <c r="J50" i="13" s="1"/>
  <c r="I14" i="13"/>
  <c r="I50" i="13" s="1"/>
  <c r="H14" i="13"/>
  <c r="H50" i="13" s="1"/>
  <c r="G14" i="13"/>
  <c r="G50" i="13" s="1"/>
  <c r="F14" i="13"/>
  <c r="F50" i="13" s="1"/>
  <c r="E14" i="13"/>
  <c r="E50" i="13" s="1"/>
  <c r="AE13" i="13"/>
  <c r="AE49" i="13" s="1"/>
  <c r="AD13" i="13"/>
  <c r="AD49" i="13" s="1"/>
  <c r="AC13" i="13"/>
  <c r="AC49" i="13" s="1"/>
  <c r="AB13" i="13"/>
  <c r="AB49" i="13" s="1"/>
  <c r="AA13" i="13"/>
  <c r="AA49" i="13" s="1"/>
  <c r="Z13" i="13"/>
  <c r="Z49" i="13" s="1"/>
  <c r="Y13" i="13"/>
  <c r="Y49" i="13" s="1"/>
  <c r="X13" i="13"/>
  <c r="X49" i="13" s="1"/>
  <c r="W13" i="13"/>
  <c r="W49" i="13" s="1"/>
  <c r="V13" i="13"/>
  <c r="V49" i="13" s="1"/>
  <c r="U13" i="13"/>
  <c r="U49" i="13" s="1"/>
  <c r="T13" i="13"/>
  <c r="T49" i="13" s="1"/>
  <c r="S13" i="13"/>
  <c r="S49" i="13" s="1"/>
  <c r="R13" i="13"/>
  <c r="R49" i="13" s="1"/>
  <c r="Q13" i="13"/>
  <c r="Q49" i="13" s="1"/>
  <c r="P13" i="13"/>
  <c r="P49" i="13" s="1"/>
  <c r="O13" i="13"/>
  <c r="O49" i="13" s="1"/>
  <c r="N13" i="13"/>
  <c r="N49" i="13" s="1"/>
  <c r="M13" i="13"/>
  <c r="M49" i="13" s="1"/>
  <c r="L13" i="13"/>
  <c r="L49" i="13" s="1"/>
  <c r="K13" i="13"/>
  <c r="K49" i="13" s="1"/>
  <c r="J13" i="13"/>
  <c r="J49" i="13" s="1"/>
  <c r="I13" i="13"/>
  <c r="I49" i="13" s="1"/>
  <c r="H13" i="13"/>
  <c r="H49" i="13" s="1"/>
  <c r="G13" i="13"/>
  <c r="G49" i="13" s="1"/>
  <c r="F13" i="13"/>
  <c r="F49" i="13" s="1"/>
  <c r="E13" i="13"/>
  <c r="E49" i="13" s="1"/>
  <c r="AE15" i="12"/>
  <c r="AE52" i="12" s="1"/>
  <c r="AD15" i="12"/>
  <c r="AD52" i="12" s="1"/>
  <c r="AC15" i="12"/>
  <c r="AC52" i="12" s="1"/>
  <c r="AB15" i="12"/>
  <c r="AB52" i="12" s="1"/>
  <c r="AA15" i="12"/>
  <c r="AA52" i="12" s="1"/>
  <c r="Z15" i="12"/>
  <c r="Z52" i="12" s="1"/>
  <c r="Y15" i="12"/>
  <c r="Y52" i="12" s="1"/>
  <c r="X15" i="12"/>
  <c r="X52" i="12" s="1"/>
  <c r="W15" i="12"/>
  <c r="W52" i="12" s="1"/>
  <c r="V15" i="12"/>
  <c r="V52" i="12" s="1"/>
  <c r="U15" i="12"/>
  <c r="U52" i="12" s="1"/>
  <c r="T15" i="12"/>
  <c r="T52" i="12" s="1"/>
  <c r="S15" i="12"/>
  <c r="S52" i="12" s="1"/>
  <c r="R15" i="12"/>
  <c r="R52" i="12" s="1"/>
  <c r="Q15" i="12"/>
  <c r="Q52" i="12" s="1"/>
  <c r="P15" i="12"/>
  <c r="P52" i="12" s="1"/>
  <c r="O15" i="12"/>
  <c r="O52" i="12" s="1"/>
  <c r="N15" i="12"/>
  <c r="N52" i="12" s="1"/>
  <c r="M15" i="12"/>
  <c r="M52" i="12" s="1"/>
  <c r="L15" i="12"/>
  <c r="L52" i="12" s="1"/>
  <c r="K15" i="12"/>
  <c r="K52" i="12" s="1"/>
  <c r="J15" i="12"/>
  <c r="J52" i="12" s="1"/>
  <c r="I15" i="12"/>
  <c r="I52" i="12" s="1"/>
  <c r="H15" i="12"/>
  <c r="H52" i="12" s="1"/>
  <c r="G15" i="12"/>
  <c r="G52" i="12" s="1"/>
  <c r="F15" i="12"/>
  <c r="F52" i="12" s="1"/>
  <c r="E15" i="12"/>
  <c r="E52" i="12" s="1"/>
  <c r="AE14" i="12"/>
  <c r="AE51" i="12" s="1"/>
  <c r="AD14" i="12"/>
  <c r="AD51" i="12" s="1"/>
  <c r="AC14" i="12"/>
  <c r="AC51" i="12" s="1"/>
  <c r="AB14" i="12"/>
  <c r="AB51" i="12" s="1"/>
  <c r="AA14" i="12"/>
  <c r="AA51" i="12" s="1"/>
  <c r="Z14" i="12"/>
  <c r="Z51" i="12" s="1"/>
  <c r="Y14" i="12"/>
  <c r="Y51" i="12" s="1"/>
  <c r="X14" i="12"/>
  <c r="X51" i="12" s="1"/>
  <c r="W14" i="12"/>
  <c r="W51" i="12" s="1"/>
  <c r="V14" i="12"/>
  <c r="V51" i="12" s="1"/>
  <c r="U14" i="12"/>
  <c r="U51" i="12" s="1"/>
  <c r="T14" i="12"/>
  <c r="T51" i="12" s="1"/>
  <c r="S14" i="12"/>
  <c r="S51" i="12" s="1"/>
  <c r="R14" i="12"/>
  <c r="R51" i="12" s="1"/>
  <c r="Q14" i="12"/>
  <c r="Q51" i="12" s="1"/>
  <c r="P14" i="12"/>
  <c r="P51" i="12" s="1"/>
  <c r="O14" i="12"/>
  <c r="O51" i="12" s="1"/>
  <c r="N14" i="12"/>
  <c r="N51" i="12" s="1"/>
  <c r="M14" i="12"/>
  <c r="M51" i="12" s="1"/>
  <c r="L14" i="12"/>
  <c r="L51" i="12" s="1"/>
  <c r="K14" i="12"/>
  <c r="K51" i="12" s="1"/>
  <c r="J14" i="12"/>
  <c r="J51" i="12" s="1"/>
  <c r="I14" i="12"/>
  <c r="I51" i="12" s="1"/>
  <c r="H14" i="12"/>
  <c r="H51" i="12" s="1"/>
  <c r="G14" i="12"/>
  <c r="G51" i="12" s="1"/>
  <c r="F14" i="12"/>
  <c r="F51" i="12" s="1"/>
  <c r="E14" i="12"/>
  <c r="E51" i="12" s="1"/>
  <c r="AE13" i="12"/>
  <c r="AE50" i="12" s="1"/>
  <c r="AD13" i="12"/>
  <c r="AD50" i="12" s="1"/>
  <c r="AC13" i="12"/>
  <c r="AC50" i="12" s="1"/>
  <c r="AB13" i="12"/>
  <c r="AB50" i="12" s="1"/>
  <c r="AA13" i="12"/>
  <c r="AA50" i="12" s="1"/>
  <c r="Z13" i="12"/>
  <c r="Z50" i="12" s="1"/>
  <c r="Y13" i="12"/>
  <c r="Y50" i="12" s="1"/>
  <c r="X13" i="12"/>
  <c r="X50" i="12" s="1"/>
  <c r="W13" i="12"/>
  <c r="W50" i="12" s="1"/>
  <c r="V13" i="12"/>
  <c r="V50" i="12" s="1"/>
  <c r="U13" i="12"/>
  <c r="U50" i="12" s="1"/>
  <c r="T13" i="12"/>
  <c r="T50" i="12" s="1"/>
  <c r="S13" i="12"/>
  <c r="S50" i="12" s="1"/>
  <c r="R13" i="12"/>
  <c r="R50" i="12" s="1"/>
  <c r="Q13" i="12"/>
  <c r="Q50" i="12" s="1"/>
  <c r="P13" i="12"/>
  <c r="P50" i="12" s="1"/>
  <c r="O13" i="12"/>
  <c r="O50" i="12" s="1"/>
  <c r="N13" i="12"/>
  <c r="N50" i="12" s="1"/>
  <c r="M13" i="12"/>
  <c r="M50" i="12" s="1"/>
  <c r="L13" i="12"/>
  <c r="L50" i="12" s="1"/>
  <c r="K13" i="12"/>
  <c r="K50" i="12" s="1"/>
  <c r="J13" i="12"/>
  <c r="J50" i="12" s="1"/>
  <c r="I13" i="12"/>
  <c r="I50" i="12" s="1"/>
  <c r="H13" i="12"/>
  <c r="H50" i="12" s="1"/>
  <c r="G13" i="12"/>
  <c r="G50" i="12" s="1"/>
  <c r="F13" i="12"/>
  <c r="F50" i="12" s="1"/>
  <c r="E13" i="12"/>
  <c r="E50" i="12" s="1"/>
  <c r="B50" i="12" s="1"/>
  <c r="AE15" i="11"/>
  <c r="AE51" i="11" s="1"/>
  <c r="AD15" i="11"/>
  <c r="AD51" i="11" s="1"/>
  <c r="AC15" i="11"/>
  <c r="AC51" i="11" s="1"/>
  <c r="AB15" i="11"/>
  <c r="AB51" i="11" s="1"/>
  <c r="AA15" i="11"/>
  <c r="AA51" i="11" s="1"/>
  <c r="Z15" i="11"/>
  <c r="Z51" i="11" s="1"/>
  <c r="Y15" i="11"/>
  <c r="Y51" i="11" s="1"/>
  <c r="X15" i="11"/>
  <c r="X51" i="11" s="1"/>
  <c r="W15" i="11"/>
  <c r="W51" i="11" s="1"/>
  <c r="V15" i="11"/>
  <c r="V51" i="11" s="1"/>
  <c r="U15" i="11"/>
  <c r="U51" i="11" s="1"/>
  <c r="T15" i="11"/>
  <c r="T51" i="11" s="1"/>
  <c r="S15" i="11"/>
  <c r="S51" i="11" s="1"/>
  <c r="R15" i="11"/>
  <c r="R51" i="11" s="1"/>
  <c r="Q15" i="11"/>
  <c r="Q51" i="11" s="1"/>
  <c r="P15" i="11"/>
  <c r="P51" i="11" s="1"/>
  <c r="O15" i="11"/>
  <c r="O51" i="11" s="1"/>
  <c r="N15" i="11"/>
  <c r="N51" i="11" s="1"/>
  <c r="M15" i="11"/>
  <c r="M51" i="11" s="1"/>
  <c r="L15" i="11"/>
  <c r="L51" i="11" s="1"/>
  <c r="K15" i="11"/>
  <c r="K51" i="11" s="1"/>
  <c r="J15" i="11"/>
  <c r="J51" i="11" s="1"/>
  <c r="I15" i="11"/>
  <c r="I51" i="11" s="1"/>
  <c r="H15" i="11"/>
  <c r="H51" i="11" s="1"/>
  <c r="G15" i="11"/>
  <c r="G51" i="11" s="1"/>
  <c r="F15" i="11"/>
  <c r="F51" i="11" s="1"/>
  <c r="AE14" i="11"/>
  <c r="AE50" i="11" s="1"/>
  <c r="AD14" i="11"/>
  <c r="AD50" i="11" s="1"/>
  <c r="AC14" i="11"/>
  <c r="AC50" i="11" s="1"/>
  <c r="AB14" i="11"/>
  <c r="AB50" i="11" s="1"/>
  <c r="AA14" i="11"/>
  <c r="AA50" i="11" s="1"/>
  <c r="Z14" i="11"/>
  <c r="Z50" i="11" s="1"/>
  <c r="Y14" i="11"/>
  <c r="Y50" i="11" s="1"/>
  <c r="X14" i="11"/>
  <c r="X50" i="11" s="1"/>
  <c r="W14" i="11"/>
  <c r="W50" i="11" s="1"/>
  <c r="V14" i="11"/>
  <c r="V50" i="11" s="1"/>
  <c r="U14" i="11"/>
  <c r="U50" i="11" s="1"/>
  <c r="T14" i="11"/>
  <c r="T50" i="11" s="1"/>
  <c r="S14" i="11"/>
  <c r="S50" i="11" s="1"/>
  <c r="R14" i="11"/>
  <c r="R50" i="11" s="1"/>
  <c r="Q14" i="11"/>
  <c r="Q50" i="11" s="1"/>
  <c r="P14" i="11"/>
  <c r="P50" i="11" s="1"/>
  <c r="O14" i="11"/>
  <c r="O50" i="11" s="1"/>
  <c r="N14" i="11"/>
  <c r="N50" i="11" s="1"/>
  <c r="M14" i="11"/>
  <c r="M50" i="11" s="1"/>
  <c r="L14" i="11"/>
  <c r="L50" i="11" s="1"/>
  <c r="K14" i="11"/>
  <c r="K50" i="11" s="1"/>
  <c r="J14" i="11"/>
  <c r="J50" i="11" s="1"/>
  <c r="I14" i="11"/>
  <c r="I50" i="11" s="1"/>
  <c r="H14" i="11"/>
  <c r="H50" i="11" s="1"/>
  <c r="G14" i="11"/>
  <c r="G50" i="11" s="1"/>
  <c r="F14" i="11"/>
  <c r="F50" i="11" s="1"/>
  <c r="AE13" i="11"/>
  <c r="AE49" i="11" s="1"/>
  <c r="AD13" i="11"/>
  <c r="AD49" i="11" s="1"/>
  <c r="AC13" i="11"/>
  <c r="AC49" i="11" s="1"/>
  <c r="AB13" i="11"/>
  <c r="AB49" i="11" s="1"/>
  <c r="AA13" i="11"/>
  <c r="AA49" i="11" s="1"/>
  <c r="Z13" i="11"/>
  <c r="Z49" i="11" s="1"/>
  <c r="Y13" i="11"/>
  <c r="Y49" i="11" s="1"/>
  <c r="X13" i="11"/>
  <c r="X49" i="11" s="1"/>
  <c r="W13" i="11"/>
  <c r="W49" i="11" s="1"/>
  <c r="V13" i="11"/>
  <c r="V49" i="11" s="1"/>
  <c r="U13" i="11"/>
  <c r="U49" i="11" s="1"/>
  <c r="T13" i="11"/>
  <c r="T49" i="11" s="1"/>
  <c r="S13" i="11"/>
  <c r="S49" i="11" s="1"/>
  <c r="R13" i="11"/>
  <c r="R49" i="11" s="1"/>
  <c r="Q13" i="11"/>
  <c r="Q49" i="11" s="1"/>
  <c r="P13" i="11"/>
  <c r="P49" i="11" s="1"/>
  <c r="O13" i="11"/>
  <c r="O49" i="11" s="1"/>
  <c r="N13" i="11"/>
  <c r="N49" i="11" s="1"/>
  <c r="M13" i="11"/>
  <c r="M49" i="11" s="1"/>
  <c r="L13" i="11"/>
  <c r="L49" i="11" s="1"/>
  <c r="K13" i="11"/>
  <c r="K49" i="11" s="1"/>
  <c r="J13" i="11"/>
  <c r="J49" i="11" s="1"/>
  <c r="I13" i="11"/>
  <c r="I49" i="11" s="1"/>
  <c r="H13" i="11"/>
  <c r="H49" i="11" s="1"/>
  <c r="G13" i="11"/>
  <c r="G49" i="11" s="1"/>
  <c r="F13" i="11"/>
  <c r="F49" i="11" s="1"/>
  <c r="F15" i="10"/>
  <c r="F51" i="10" s="1"/>
  <c r="G15" i="10"/>
  <c r="G51" i="10" s="1"/>
  <c r="H15" i="10"/>
  <c r="H51" i="10" s="1"/>
  <c r="I15" i="10"/>
  <c r="I51" i="10" s="1"/>
  <c r="J15" i="10"/>
  <c r="J51" i="10" s="1"/>
  <c r="K15" i="10"/>
  <c r="K51" i="10" s="1"/>
  <c r="L15" i="10"/>
  <c r="L51" i="10" s="1"/>
  <c r="M15" i="10"/>
  <c r="M51" i="10" s="1"/>
  <c r="N15" i="10"/>
  <c r="N51" i="10" s="1"/>
  <c r="O15" i="10"/>
  <c r="O51" i="10" s="1"/>
  <c r="P15" i="10"/>
  <c r="P51" i="10" s="1"/>
  <c r="Q15" i="10"/>
  <c r="Q51" i="10" s="1"/>
  <c r="R15" i="10"/>
  <c r="R51" i="10" s="1"/>
  <c r="S15" i="10"/>
  <c r="S51" i="10" s="1"/>
  <c r="T15" i="10"/>
  <c r="T51" i="10" s="1"/>
  <c r="U15" i="10"/>
  <c r="U51" i="10" s="1"/>
  <c r="V15" i="10"/>
  <c r="V51" i="10" s="1"/>
  <c r="W15" i="10"/>
  <c r="W51" i="10" s="1"/>
  <c r="X15" i="10"/>
  <c r="X51" i="10" s="1"/>
  <c r="Y15" i="10"/>
  <c r="Y51" i="10" s="1"/>
  <c r="Z15" i="10"/>
  <c r="Z51" i="10" s="1"/>
  <c r="AA15" i="10"/>
  <c r="AA51" i="10" s="1"/>
  <c r="AB15" i="10"/>
  <c r="AB51" i="10" s="1"/>
  <c r="AC15" i="10"/>
  <c r="AC51" i="10" s="1"/>
  <c r="AD15" i="10"/>
  <c r="AD51" i="10" s="1"/>
  <c r="AE15" i="10"/>
  <c r="AE51" i="10" s="1"/>
  <c r="E15" i="10"/>
  <c r="E51" i="10" s="1"/>
  <c r="F13" i="10"/>
  <c r="F49" i="10" s="1"/>
  <c r="G13" i="10"/>
  <c r="G49" i="10" s="1"/>
  <c r="H13" i="10"/>
  <c r="H49" i="10" s="1"/>
  <c r="I13" i="10"/>
  <c r="I49" i="10" s="1"/>
  <c r="J13" i="10"/>
  <c r="J49" i="10" s="1"/>
  <c r="K13" i="10"/>
  <c r="K49" i="10" s="1"/>
  <c r="L13" i="10"/>
  <c r="L49" i="10" s="1"/>
  <c r="M13" i="10"/>
  <c r="M49" i="10" s="1"/>
  <c r="N13" i="10"/>
  <c r="N49" i="10" s="1"/>
  <c r="O13" i="10"/>
  <c r="O49" i="10" s="1"/>
  <c r="P13" i="10"/>
  <c r="P49" i="10" s="1"/>
  <c r="Q13" i="10"/>
  <c r="Q49" i="10" s="1"/>
  <c r="R13" i="10"/>
  <c r="R49" i="10" s="1"/>
  <c r="S13" i="10"/>
  <c r="S49" i="10" s="1"/>
  <c r="T13" i="10"/>
  <c r="T49" i="10" s="1"/>
  <c r="U13" i="10"/>
  <c r="U49" i="10" s="1"/>
  <c r="V13" i="10"/>
  <c r="V49" i="10" s="1"/>
  <c r="W13" i="10"/>
  <c r="W49" i="10" s="1"/>
  <c r="X13" i="10"/>
  <c r="X49" i="10" s="1"/>
  <c r="Y13" i="10"/>
  <c r="Y49" i="10" s="1"/>
  <c r="Z13" i="10"/>
  <c r="Z49" i="10" s="1"/>
  <c r="AA13" i="10"/>
  <c r="AA49" i="10" s="1"/>
  <c r="AB13" i="10"/>
  <c r="AB49" i="10" s="1"/>
  <c r="AC13" i="10"/>
  <c r="AC49" i="10" s="1"/>
  <c r="AD13" i="10"/>
  <c r="AD49" i="10" s="1"/>
  <c r="AE13" i="10"/>
  <c r="AE49" i="10" s="1"/>
  <c r="E13" i="10"/>
  <c r="E49" i="10" s="1"/>
  <c r="B50" i="47" l="1"/>
  <c r="E77" i="61"/>
  <c r="B50" i="61"/>
  <c r="U77" i="61"/>
  <c r="B49" i="13"/>
  <c r="I73" i="61"/>
  <c r="Y73" i="61"/>
  <c r="V77" i="61"/>
  <c r="B50" i="43"/>
  <c r="B51" i="12"/>
  <c r="B50" i="23"/>
  <c r="K73" i="61"/>
  <c r="S73" i="61"/>
  <c r="AA73" i="61"/>
  <c r="H77" i="61"/>
  <c r="P77" i="61"/>
  <c r="X77" i="61"/>
  <c r="B51" i="61"/>
  <c r="B51" i="47"/>
  <c r="P73" i="61"/>
  <c r="B50" i="13"/>
  <c r="B49" i="38"/>
  <c r="T73" i="61"/>
  <c r="I77" i="61"/>
  <c r="Y77" i="61"/>
  <c r="B50" i="15"/>
  <c r="E73" i="61"/>
  <c r="B49" i="61"/>
  <c r="M73" i="61"/>
  <c r="U73" i="61"/>
  <c r="AC73" i="61"/>
  <c r="J77" i="61"/>
  <c r="R77" i="61"/>
  <c r="Z77" i="61"/>
  <c r="B52" i="45"/>
  <c r="B51" i="58"/>
  <c r="B49" i="10"/>
  <c r="L73" i="61"/>
  <c r="B51" i="43"/>
  <c r="B51" i="11"/>
  <c r="B52" i="12"/>
  <c r="E30" i="18" s="1"/>
  <c r="AP41" i="18" s="1"/>
  <c r="F73" i="61"/>
  <c r="N73" i="61"/>
  <c r="V73" i="61"/>
  <c r="AD73" i="61"/>
  <c r="K77" i="61"/>
  <c r="S77" i="61"/>
  <c r="AA77" i="61"/>
  <c r="B49" i="43"/>
  <c r="B52" i="47"/>
  <c r="H73" i="61"/>
  <c r="M77" i="61"/>
  <c r="AC77" i="61"/>
  <c r="B50" i="11"/>
  <c r="AB73" i="61"/>
  <c r="Q77" i="61"/>
  <c r="B50" i="50"/>
  <c r="B51" i="10"/>
  <c r="B51" i="13"/>
  <c r="B50" i="38"/>
  <c r="G73" i="61"/>
  <c r="O73" i="61"/>
  <c r="W73" i="61"/>
  <c r="AE73" i="61"/>
  <c r="L77" i="61"/>
  <c r="T77" i="61"/>
  <c r="AB77" i="61"/>
  <c r="B50" i="45"/>
  <c r="B51" i="50"/>
  <c r="B52" i="58"/>
  <c r="B49" i="50"/>
  <c r="X73" i="61"/>
  <c r="Q73" i="61"/>
  <c r="F77" i="61"/>
  <c r="N77" i="61"/>
  <c r="AD77" i="61"/>
  <c r="B49" i="11"/>
  <c r="B49" i="15"/>
  <c r="B51" i="38"/>
  <c r="J73" i="61"/>
  <c r="R73" i="61"/>
  <c r="Z73" i="61"/>
  <c r="G77" i="61"/>
  <c r="O77" i="61"/>
  <c r="W77" i="61"/>
  <c r="AE77" i="61"/>
  <c r="B51" i="45"/>
  <c r="B50" i="58"/>
  <c r="B52" i="23"/>
  <c r="B51" i="23"/>
  <c r="C73" i="61" l="1"/>
  <c r="C77" i="61"/>
  <c r="E13" i="60"/>
  <c r="F13" i="60"/>
  <c r="F30" i="18"/>
  <c r="AP54" i="18" s="1"/>
  <c r="J13" i="60"/>
  <c r="J30" i="18"/>
  <c r="AP119" i="18" s="1"/>
  <c r="G13" i="60"/>
  <c r="G30" i="18"/>
  <c r="AP67" i="18" s="1"/>
  <c r="K30" i="18"/>
  <c r="AP132" i="18" s="1"/>
  <c r="K13" i="60"/>
  <c r="D30" i="18"/>
  <c r="AP25" i="18" s="1"/>
  <c r="D13" i="60"/>
  <c r="I13" i="60"/>
  <c r="I30" i="18"/>
  <c r="AP106" i="18" s="1"/>
  <c r="C13" i="60"/>
  <c r="C30" i="18"/>
  <c r="AP12" i="18" s="1"/>
  <c r="N30" i="18"/>
  <c r="AP171" i="18" s="1"/>
  <c r="N13" i="60"/>
  <c r="L30" i="18"/>
  <c r="AP145" i="18" s="1"/>
  <c r="L13" i="60"/>
  <c r="O30" i="18"/>
  <c r="AP184" i="18" s="1"/>
  <c r="O13" i="60"/>
  <c r="H30" i="18"/>
  <c r="AP93" i="18" s="1"/>
  <c r="H13" i="60"/>
  <c r="M30" i="18"/>
  <c r="AP158" i="18" s="1"/>
  <c r="M13" i="60"/>
  <c r="R13" i="60" l="1"/>
  <c r="P13" i="60"/>
  <c r="Q13" i="60"/>
  <c r="AQ118" i="18"/>
  <c r="T45" i="61"/>
  <c r="AE56" i="61"/>
  <c r="Z56" i="61"/>
  <c r="U56" i="61"/>
  <c r="O56" i="61"/>
  <c r="M56" i="61"/>
  <c r="L56" i="61"/>
  <c r="K56" i="61"/>
  <c r="J56" i="61"/>
  <c r="I56" i="61"/>
  <c r="H56" i="61"/>
  <c r="G56" i="61"/>
  <c r="F56" i="61"/>
  <c r="E56" i="61"/>
  <c r="AE55" i="61"/>
  <c r="Z55" i="61"/>
  <c r="U55" i="61"/>
  <c r="P55" i="61"/>
  <c r="O55" i="61"/>
  <c r="M55" i="61"/>
  <c r="L55" i="61"/>
  <c r="K55" i="61"/>
  <c r="J55" i="61"/>
  <c r="I55" i="61"/>
  <c r="H55" i="61"/>
  <c r="G55" i="61"/>
  <c r="F55" i="61"/>
  <c r="E55" i="61"/>
  <c r="AE54" i="61"/>
  <c r="Z54" i="61"/>
  <c r="U54" i="61"/>
  <c r="O54" i="61"/>
  <c r="M54" i="61"/>
  <c r="L54" i="61"/>
  <c r="K54" i="61"/>
  <c r="J54" i="61"/>
  <c r="I54" i="61"/>
  <c r="H54" i="61"/>
  <c r="G54" i="61"/>
  <c r="F54" i="61"/>
  <c r="E54" i="61"/>
  <c r="AE53" i="61"/>
  <c r="Z53" i="61"/>
  <c r="U53" i="61"/>
  <c r="R53" i="61"/>
  <c r="P53" i="61"/>
  <c r="O53" i="61"/>
  <c r="M53" i="61"/>
  <c r="L53" i="61"/>
  <c r="K53" i="61"/>
  <c r="J53" i="61"/>
  <c r="I53" i="61"/>
  <c r="H53" i="61"/>
  <c r="G53" i="61"/>
  <c r="F53" i="61"/>
  <c r="E53" i="61"/>
  <c r="AE52" i="61"/>
  <c r="Z52" i="61"/>
  <c r="U52" i="61"/>
  <c r="O52" i="61"/>
  <c r="K52" i="61"/>
  <c r="J52" i="61"/>
  <c r="I52" i="61"/>
  <c r="H52" i="61"/>
  <c r="G52" i="61"/>
  <c r="F52" i="61"/>
  <c r="E52" i="61"/>
  <c r="AE48" i="61"/>
  <c r="Z48" i="61"/>
  <c r="V48" i="61"/>
  <c r="U48" i="61"/>
  <c r="O48" i="61"/>
  <c r="K48" i="61"/>
  <c r="J48" i="61"/>
  <c r="I48" i="61"/>
  <c r="H48" i="61"/>
  <c r="G48" i="61"/>
  <c r="F48" i="61"/>
  <c r="E48" i="61"/>
  <c r="AE47" i="61"/>
  <c r="Z47" i="61"/>
  <c r="U47" i="61"/>
  <c r="O47" i="61"/>
  <c r="N47" i="61"/>
  <c r="L47" i="61"/>
  <c r="K47" i="61"/>
  <c r="J47" i="61"/>
  <c r="I47" i="61"/>
  <c r="H47" i="61"/>
  <c r="G47" i="61"/>
  <c r="F47" i="61"/>
  <c r="E47" i="61"/>
  <c r="AE46" i="61"/>
  <c r="Z46" i="61"/>
  <c r="U46" i="61"/>
  <c r="O46" i="61"/>
  <c r="L46" i="61"/>
  <c r="K46" i="61"/>
  <c r="J46" i="61"/>
  <c r="I46" i="61"/>
  <c r="H46" i="61"/>
  <c r="G46" i="61"/>
  <c r="F46" i="61"/>
  <c r="E46" i="61"/>
  <c r="AE45" i="61"/>
  <c r="AA45" i="61"/>
  <c r="Z45" i="61"/>
  <c r="U45" i="61"/>
  <c r="O45" i="61"/>
  <c r="L45" i="61"/>
  <c r="K45" i="61"/>
  <c r="J45" i="61"/>
  <c r="I45" i="61"/>
  <c r="H45" i="61"/>
  <c r="G45" i="61"/>
  <c r="F45" i="61"/>
  <c r="E45" i="61"/>
  <c r="AE44" i="61"/>
  <c r="Z44" i="61"/>
  <c r="U44" i="61"/>
  <c r="O44" i="61"/>
  <c r="K44" i="61"/>
  <c r="J44" i="61"/>
  <c r="I44" i="61"/>
  <c r="H44" i="61"/>
  <c r="G44" i="61"/>
  <c r="F44" i="61"/>
  <c r="E44" i="61"/>
  <c r="AE42" i="61"/>
  <c r="F42" i="61"/>
  <c r="E42" i="61"/>
  <c r="P54" i="61" l="1"/>
  <c r="AQ121" i="18"/>
  <c r="X48" i="61"/>
  <c r="V54" i="61"/>
  <c r="W44" i="61"/>
  <c r="AA44" i="61"/>
  <c r="V56" i="61"/>
  <c r="AQ124" i="18"/>
  <c r="P46" i="61"/>
  <c r="AA48" i="61"/>
  <c r="P44" i="61"/>
  <c r="L48" i="61"/>
  <c r="AA54" i="61"/>
  <c r="T52" i="61"/>
  <c r="P52" i="61"/>
  <c r="AA46" i="61"/>
  <c r="R52" i="61"/>
  <c r="W53" i="61"/>
  <c r="AD56" i="61"/>
  <c r="R44" i="61"/>
  <c r="S52" i="61"/>
  <c r="X53" i="61"/>
  <c r="W47" i="61"/>
  <c r="AQ123" i="18"/>
  <c r="V45" i="61"/>
  <c r="Q55" i="61"/>
  <c r="N56" i="61"/>
  <c r="R55" i="61"/>
  <c r="V47" i="61"/>
  <c r="AQ120" i="18"/>
  <c r="AQ122" i="18"/>
  <c r="AQ117" i="18"/>
  <c r="AB45" i="61"/>
  <c r="AC45" i="61"/>
  <c r="AQ112" i="18"/>
  <c r="X47" i="61"/>
  <c r="AQ113" i="18"/>
  <c r="V44" i="61"/>
  <c r="AD52" i="61"/>
  <c r="AD54" i="61"/>
  <c r="L52" i="61"/>
  <c r="X44" i="61"/>
  <c r="V52" i="61"/>
  <c r="L44" i="61"/>
  <c r="G42" i="61"/>
  <c r="G43" i="61" s="1"/>
  <c r="AB44" i="61"/>
  <c r="Q54" i="61"/>
  <c r="X46" i="61"/>
  <c r="H42" i="61"/>
  <c r="H43" i="61" s="1"/>
  <c r="AB47" i="61"/>
  <c r="R54" i="61"/>
  <c r="F43" i="61"/>
  <c r="I42" i="61"/>
  <c r="I43" i="61" s="1"/>
  <c r="N53" i="61"/>
  <c r="AD47" i="61"/>
  <c r="AB54" i="61"/>
  <c r="AB48" i="61"/>
  <c r="AA52" i="61"/>
  <c r="AC54" i="61"/>
  <c r="W56" i="61"/>
  <c r="T44" i="61"/>
  <c r="N54" i="61"/>
  <c r="AB46" i="61"/>
  <c r="AB52" i="61"/>
  <c r="AD45" i="61"/>
  <c r="K42" i="61"/>
  <c r="K43" i="61" s="1"/>
  <c r="M45" i="61"/>
  <c r="R46" i="61"/>
  <c r="Y46" i="61"/>
  <c r="E43" i="61"/>
  <c r="M42" i="61"/>
  <c r="M43" i="61" s="1"/>
  <c r="W45" i="61"/>
  <c r="T46" i="61"/>
  <c r="Y47" i="61"/>
  <c r="N48" i="61"/>
  <c r="T48" i="61"/>
  <c r="P48" i="61"/>
  <c r="N45" i="61"/>
  <c r="P45" i="61"/>
  <c r="X45" i="61"/>
  <c r="N52" i="61"/>
  <c r="J42" i="61"/>
  <c r="J43" i="61" s="1"/>
  <c r="N42" i="61"/>
  <c r="N43" i="61" s="1"/>
  <c r="L42" i="61"/>
  <c r="L43" i="61" s="1"/>
  <c r="T47" i="61"/>
  <c r="P47" i="61"/>
  <c r="X52" i="61"/>
  <c r="Q46" i="61"/>
  <c r="AC52" i="61"/>
  <c r="W54" i="61"/>
  <c r="T55" i="61"/>
  <c r="AB55" i="61"/>
  <c r="Q56" i="61"/>
  <c r="Y56" i="61"/>
  <c r="S44" i="61"/>
  <c r="M46" i="61"/>
  <c r="AC46" i="61"/>
  <c r="W48" i="61"/>
  <c r="S53" i="61"/>
  <c r="AA53" i="61"/>
  <c r="X54" i="61"/>
  <c r="AC55" i="61"/>
  <c r="R56" i="61"/>
  <c r="M52" i="61"/>
  <c r="AE43" i="61"/>
  <c r="Q45" i="61"/>
  <c r="Y45" i="61"/>
  <c r="N46" i="61"/>
  <c r="V46" i="61"/>
  <c r="AD46" i="61"/>
  <c r="AA47" i="61"/>
  <c r="W52" i="61"/>
  <c r="T53" i="61"/>
  <c r="AB53" i="61"/>
  <c r="Y54" i="61"/>
  <c r="N55" i="61"/>
  <c r="V55" i="61"/>
  <c r="AD55" i="61"/>
  <c r="S56" i="61"/>
  <c r="AA56" i="61"/>
  <c r="M44" i="61"/>
  <c r="AC44" i="61"/>
  <c r="R45" i="61"/>
  <c r="AC53" i="61"/>
  <c r="W55" i="61"/>
  <c r="T56" i="61"/>
  <c r="AB56" i="61"/>
  <c r="AD48" i="61"/>
  <c r="W46" i="61"/>
  <c r="Y48" i="61"/>
  <c r="N44" i="61"/>
  <c r="AD44" i="61"/>
  <c r="S45" i="61"/>
  <c r="M47" i="61"/>
  <c r="AC47" i="61"/>
  <c r="Q52" i="61"/>
  <c r="Y52" i="61"/>
  <c r="V53" i="61"/>
  <c r="AD53" i="61"/>
  <c r="S54" i="61"/>
  <c r="X55" i="61"/>
  <c r="AC56" i="61"/>
  <c r="T54" i="61"/>
  <c r="Y55" i="61"/>
  <c r="Q44" i="61"/>
  <c r="Y44" i="61"/>
  <c r="S46" i="61"/>
  <c r="M48" i="61"/>
  <c r="AC48" i="61"/>
  <c r="Q53" i="61"/>
  <c r="Y53" i="61"/>
  <c r="S55" i="61"/>
  <c r="AA55" i="61"/>
  <c r="P56" i="61"/>
  <c r="X56" i="61"/>
  <c r="B56" i="61" l="1"/>
  <c r="B55" i="61"/>
  <c r="B46" i="61"/>
  <c r="B45" i="61"/>
  <c r="B54" i="61"/>
  <c r="B53" i="61"/>
  <c r="B44" i="61"/>
  <c r="B52" i="61"/>
  <c r="J12" i="60"/>
  <c r="AQ114" i="18"/>
  <c r="AQ116" i="18"/>
  <c r="AQ115" i="18"/>
  <c r="R47" i="61"/>
  <c r="S48" i="61"/>
  <c r="S47" i="61"/>
  <c r="Q47" i="61"/>
  <c r="O42" i="61"/>
  <c r="Q48" i="61"/>
  <c r="R48" i="61"/>
  <c r="B47" i="61" l="1"/>
  <c r="B48" i="61"/>
  <c r="J29" i="18"/>
  <c r="J16" i="60"/>
  <c r="J33" i="18"/>
  <c r="J15" i="60"/>
  <c r="J32" i="18"/>
  <c r="J7" i="60"/>
  <c r="J24" i="18"/>
  <c r="J31" i="18"/>
  <c r="J14" i="60"/>
  <c r="J23" i="18"/>
  <c r="J6" i="60"/>
  <c r="J17" i="60"/>
  <c r="J34" i="18"/>
  <c r="J18" i="60"/>
  <c r="J35" i="18"/>
  <c r="J28" i="18"/>
  <c r="J11" i="60"/>
  <c r="J8" i="60"/>
  <c r="J25" i="18"/>
  <c r="P42" i="61"/>
  <c r="O43" i="61"/>
  <c r="P43" i="61" l="1"/>
  <c r="J27" i="18"/>
  <c r="J10" i="60"/>
  <c r="J9" i="60"/>
  <c r="J26" i="18"/>
  <c r="Q42" i="61"/>
  <c r="J26" i="59" l="1"/>
  <c r="Q43" i="61"/>
  <c r="R42" i="61"/>
  <c r="R43" i="61" l="1"/>
  <c r="S42" i="61"/>
  <c r="S43" i="61" l="1"/>
  <c r="T42" i="61"/>
  <c r="T43" i="61" s="1"/>
  <c r="U42" i="61" l="1"/>
  <c r="U43" i="61" l="1"/>
  <c r="V42" i="61"/>
  <c r="V43" i="61" s="1"/>
  <c r="W42" i="61" l="1"/>
  <c r="W43" i="61" s="1"/>
  <c r="X42" i="61" l="1"/>
  <c r="X43" i="61" s="1"/>
  <c r="Y42" i="61" l="1"/>
  <c r="Y43" i="61" s="1"/>
  <c r="Z42" i="61" l="1"/>
  <c r="Z43" i="61" s="1"/>
  <c r="AA42" i="61" l="1"/>
  <c r="AA43" i="61" s="1"/>
  <c r="AB42" i="61" l="1"/>
  <c r="AB43" i="61" s="1"/>
  <c r="AD42" i="61" l="1"/>
  <c r="AC42" i="61"/>
  <c r="AC43" i="61" s="1"/>
  <c r="B42" i="61" l="1"/>
  <c r="AD43" i="61"/>
  <c r="B43" i="61" s="1"/>
  <c r="J25" i="59" l="1"/>
  <c r="E35" i="59"/>
  <c r="K40" i="59"/>
  <c r="G40" i="59"/>
  <c r="I40" i="59" s="1"/>
  <c r="AL21" i="59"/>
  <c r="AM21" i="59" s="1"/>
  <c r="AM103" i="59"/>
  <c r="AM102" i="59"/>
  <c r="AM101" i="59"/>
  <c r="AM100" i="59"/>
  <c r="AM99" i="59"/>
  <c r="AM98" i="59"/>
  <c r="AM97" i="59"/>
  <c r="AM96" i="59"/>
  <c r="AM95" i="59"/>
  <c r="AM94" i="59"/>
  <c r="AM93" i="59"/>
  <c r="AM92" i="59"/>
  <c r="AM91" i="59"/>
  <c r="AM90" i="59"/>
  <c r="AM89" i="59"/>
  <c r="AM88" i="59"/>
  <c r="AM87" i="59"/>
  <c r="AM86" i="59"/>
  <c r="AM85" i="59"/>
  <c r="AM84" i="59"/>
  <c r="AM83" i="59"/>
  <c r="AM82" i="59"/>
  <c r="AM81" i="59"/>
  <c r="AM80" i="59"/>
  <c r="AM79" i="59"/>
  <c r="AM78" i="59"/>
  <c r="AM77" i="59"/>
  <c r="AM76" i="59"/>
  <c r="AM75" i="59"/>
  <c r="AM74" i="59"/>
  <c r="AM73" i="59"/>
  <c r="AM72" i="59"/>
  <c r="AM71" i="59"/>
  <c r="AM70" i="59"/>
  <c r="AM69" i="59"/>
  <c r="AM68" i="59"/>
  <c r="AM67" i="59"/>
  <c r="AM66" i="59"/>
  <c r="AM65" i="59"/>
  <c r="AM64" i="59"/>
  <c r="AM63" i="59"/>
  <c r="AM62" i="59"/>
  <c r="AM61" i="59"/>
  <c r="AM60" i="59"/>
  <c r="AM59" i="59"/>
  <c r="AM58" i="59"/>
  <c r="AM57" i="59"/>
  <c r="AM56" i="59"/>
  <c r="AM55" i="59"/>
  <c r="AM54" i="59"/>
  <c r="AM53" i="59"/>
  <c r="AM52" i="59"/>
  <c r="AM51" i="59"/>
  <c r="AM50" i="59"/>
  <c r="AM49" i="59"/>
  <c r="AM48" i="59"/>
  <c r="AM47" i="59"/>
  <c r="AM46" i="59"/>
  <c r="AM45" i="59"/>
  <c r="AM44" i="59"/>
  <c r="AM43" i="59"/>
  <c r="AM42" i="59"/>
  <c r="AM41" i="59"/>
  <c r="AL40" i="59"/>
  <c r="AM40" i="59" s="1"/>
  <c r="AL39" i="59"/>
  <c r="AM39" i="59" s="1"/>
  <c r="AL38" i="59"/>
  <c r="AM38" i="59" s="1"/>
  <c r="AL37" i="59"/>
  <c r="AM37" i="59" s="1"/>
  <c r="AL36" i="59"/>
  <c r="AM36" i="59" s="1"/>
  <c r="AL35" i="59"/>
  <c r="AM35" i="59" s="1"/>
  <c r="AL34" i="59"/>
  <c r="AM34" i="59" s="1"/>
  <c r="AL33" i="59"/>
  <c r="AM33" i="59" s="1"/>
  <c r="AL32" i="59"/>
  <c r="AM32" i="59" s="1"/>
  <c r="AL31" i="59"/>
  <c r="AM31" i="59" s="1"/>
  <c r="AL30" i="59"/>
  <c r="AM30" i="59" s="1"/>
  <c r="AL29" i="59"/>
  <c r="AM29" i="59" s="1"/>
  <c r="AL28" i="59"/>
  <c r="AM28" i="59" s="1"/>
  <c r="AL27" i="59"/>
  <c r="AM27" i="59" s="1"/>
  <c r="P35" i="59"/>
  <c r="O35" i="59"/>
  <c r="N35" i="59"/>
  <c r="M35" i="59"/>
  <c r="L35" i="59"/>
  <c r="K35" i="59"/>
  <c r="J35" i="59"/>
  <c r="I35" i="59"/>
  <c r="H35" i="59"/>
  <c r="G35" i="59"/>
  <c r="F35" i="59"/>
  <c r="D35" i="59"/>
  <c r="C35" i="59"/>
  <c r="A35" i="59"/>
  <c r="AL26" i="59"/>
  <c r="AM26" i="59" s="1"/>
  <c r="AL25" i="59"/>
  <c r="AM25" i="59" s="1"/>
  <c r="AL24" i="59"/>
  <c r="AM24" i="59" s="1"/>
  <c r="AL23" i="59"/>
  <c r="AM23" i="59" s="1"/>
  <c r="AL22" i="59"/>
  <c r="AM22" i="59" s="1"/>
  <c r="AL20" i="59"/>
  <c r="AM20" i="59" s="1"/>
  <c r="AL19" i="59"/>
  <c r="AM19" i="59" s="1"/>
  <c r="AL18" i="59"/>
  <c r="AM18" i="59" s="1"/>
  <c r="AL17" i="59"/>
  <c r="AM17" i="59" s="1"/>
  <c r="AL16" i="59"/>
  <c r="AM16" i="59" s="1"/>
  <c r="AL15" i="59"/>
  <c r="AM15" i="59" s="1"/>
  <c r="AL14" i="59"/>
  <c r="AM14" i="59" s="1"/>
  <c r="AL13" i="59"/>
  <c r="AM13" i="59" s="1"/>
  <c r="AM12" i="59"/>
  <c r="AL11" i="59"/>
  <c r="AM11" i="59" s="1"/>
  <c r="AL10" i="59"/>
  <c r="AM10" i="59" s="1"/>
  <c r="AL9" i="59"/>
  <c r="AM9" i="59" s="1"/>
  <c r="AL8" i="59"/>
  <c r="AM8" i="59" s="1"/>
  <c r="AL7" i="59"/>
  <c r="AM7" i="59" s="1"/>
  <c r="AL6" i="59"/>
  <c r="AM6" i="59" s="1"/>
  <c r="M40" i="59" l="1"/>
  <c r="O40" i="59" s="1"/>
  <c r="I39" i="59"/>
  <c r="G39" i="59"/>
  <c r="K39" i="59"/>
  <c r="C39" i="59"/>
  <c r="M39" i="59" l="1"/>
  <c r="O39" i="59"/>
  <c r="Q40" i="59"/>
  <c r="E39" i="59"/>
  <c r="S40" i="59" l="1"/>
  <c r="U40" i="59" s="1"/>
  <c r="Q39" i="59"/>
  <c r="W40" i="59" l="1"/>
  <c r="U39" i="59"/>
  <c r="S39" i="59"/>
  <c r="T47" i="18"/>
  <c r="R47" i="18"/>
  <c r="P47" i="18"/>
  <c r="P42" i="18"/>
  <c r="AA40" i="59" l="1"/>
  <c r="Y40" i="59"/>
  <c r="W39" i="59"/>
  <c r="C87" i="58"/>
  <c r="Y39" i="59" l="1"/>
  <c r="AA39" i="59"/>
  <c r="K12" i="60"/>
  <c r="C61" i="11"/>
  <c r="C62" i="11"/>
  <c r="C63" i="11"/>
  <c r="F14" i="10" l="1"/>
  <c r="F50" i="10" s="1"/>
  <c r="G14" i="10"/>
  <c r="G50" i="10" s="1"/>
  <c r="H14" i="10"/>
  <c r="H50" i="10" s="1"/>
  <c r="I14" i="10"/>
  <c r="I50" i="10" s="1"/>
  <c r="J14" i="10"/>
  <c r="J50" i="10" s="1"/>
  <c r="K14" i="10"/>
  <c r="K50" i="10" s="1"/>
  <c r="L14" i="10"/>
  <c r="L50" i="10" s="1"/>
  <c r="M14" i="10"/>
  <c r="M50" i="10" s="1"/>
  <c r="N14" i="10"/>
  <c r="N50" i="10" s="1"/>
  <c r="O14" i="10"/>
  <c r="O50" i="10" s="1"/>
  <c r="P14" i="10"/>
  <c r="P50" i="10" s="1"/>
  <c r="Q14" i="10"/>
  <c r="Q50" i="10" s="1"/>
  <c r="R14" i="10"/>
  <c r="R50" i="10" s="1"/>
  <c r="S14" i="10"/>
  <c r="S50" i="10" s="1"/>
  <c r="T14" i="10"/>
  <c r="T50" i="10" s="1"/>
  <c r="U14" i="10"/>
  <c r="U50" i="10" s="1"/>
  <c r="V14" i="10"/>
  <c r="V50" i="10" s="1"/>
  <c r="W14" i="10"/>
  <c r="W50" i="10" s="1"/>
  <c r="X14" i="10"/>
  <c r="X50" i="10" s="1"/>
  <c r="Y14" i="10"/>
  <c r="Y50" i="10" s="1"/>
  <c r="Z14" i="10"/>
  <c r="Z50" i="10" s="1"/>
  <c r="AA14" i="10"/>
  <c r="AA50" i="10" s="1"/>
  <c r="AB14" i="10"/>
  <c r="AB50" i="10" s="1"/>
  <c r="AC14" i="10"/>
  <c r="AC50" i="10" s="1"/>
  <c r="AD14" i="10"/>
  <c r="AD50" i="10" s="1"/>
  <c r="AE14" i="10"/>
  <c r="AE50" i="10" s="1"/>
  <c r="E14" i="10"/>
  <c r="E50" i="10" l="1"/>
  <c r="B50" i="10" s="1"/>
  <c r="AQ183" i="18"/>
  <c r="AO178" i="18"/>
  <c r="AO179" i="18"/>
  <c r="AO180" i="18"/>
  <c r="AO181" i="18"/>
  <c r="AO182" i="18"/>
  <c r="AO183" i="18"/>
  <c r="AO185" i="18"/>
  <c r="AO186" i="18"/>
  <c r="AO187" i="18"/>
  <c r="AO188" i="18"/>
  <c r="AO189" i="18"/>
  <c r="AO177" i="18"/>
  <c r="AE71" i="58" l="1"/>
  <c r="AD71" i="58"/>
  <c r="AC71" i="58"/>
  <c r="AB71" i="58"/>
  <c r="AA71" i="58"/>
  <c r="Z71" i="58"/>
  <c r="Y71" i="58"/>
  <c r="X71" i="58"/>
  <c r="W71" i="58"/>
  <c r="V71" i="58"/>
  <c r="U71" i="58"/>
  <c r="T71" i="58"/>
  <c r="S71" i="58"/>
  <c r="R71" i="58"/>
  <c r="Q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AE70" i="58"/>
  <c r="AD70" i="58"/>
  <c r="AC70" i="58"/>
  <c r="AB70" i="58"/>
  <c r="AA70" i="58"/>
  <c r="Z70" i="58"/>
  <c r="Y70" i="58"/>
  <c r="X70" i="58"/>
  <c r="W70" i="58"/>
  <c r="V70" i="58"/>
  <c r="U70" i="58"/>
  <c r="T70" i="58"/>
  <c r="S70" i="58"/>
  <c r="R70" i="58"/>
  <c r="Q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AE67" i="58"/>
  <c r="Z67" i="58"/>
  <c r="U67" i="58"/>
  <c r="K67" i="58"/>
  <c r="E67" i="58"/>
  <c r="AE66" i="58"/>
  <c r="Z66" i="58"/>
  <c r="U66" i="58"/>
  <c r="K66" i="58"/>
  <c r="E66" i="58"/>
  <c r="C64" i="58"/>
  <c r="B64" i="58"/>
  <c r="A64" i="58"/>
  <c r="C63" i="58"/>
  <c r="B63" i="58"/>
  <c r="A63" i="58"/>
  <c r="C62" i="58"/>
  <c r="B62" i="58"/>
  <c r="A62" i="58"/>
  <c r="C61" i="58"/>
  <c r="B61" i="58"/>
  <c r="A61" i="58"/>
  <c r="F39" i="58"/>
  <c r="G39" i="58" s="1"/>
  <c r="H39" i="58" s="1"/>
  <c r="I39" i="58" s="1"/>
  <c r="J39" i="58" s="1"/>
  <c r="K39" i="58" s="1"/>
  <c r="L39" i="58" s="1"/>
  <c r="M39" i="58" s="1"/>
  <c r="N39" i="58" s="1"/>
  <c r="O39" i="58" s="1"/>
  <c r="P39" i="58" s="1"/>
  <c r="Q39" i="58" s="1"/>
  <c r="R39" i="58" s="1"/>
  <c r="S39" i="58" s="1"/>
  <c r="T39" i="58" s="1"/>
  <c r="U39" i="58" s="1"/>
  <c r="V39" i="58" s="1"/>
  <c r="W39" i="58" s="1"/>
  <c r="X39" i="58" s="1"/>
  <c r="Y39" i="58" s="1"/>
  <c r="Z39" i="58" s="1"/>
  <c r="AA39" i="58" s="1"/>
  <c r="AB39" i="58" s="1"/>
  <c r="AC39" i="58" s="1"/>
  <c r="AD39" i="58" s="1"/>
  <c r="AE39" i="58" s="1"/>
  <c r="L66" i="58"/>
  <c r="AE12" i="58"/>
  <c r="AE57" i="58" s="1"/>
  <c r="Z12" i="58"/>
  <c r="Z57" i="58" s="1"/>
  <c r="U12" i="58"/>
  <c r="U57" i="58" s="1"/>
  <c r="O12" i="58"/>
  <c r="O57" i="58" s="1"/>
  <c r="K12" i="58"/>
  <c r="K57" i="58" s="1"/>
  <c r="F12" i="58"/>
  <c r="F57" i="58" s="1"/>
  <c r="E12" i="58"/>
  <c r="E57" i="58" s="1"/>
  <c r="AE11" i="58"/>
  <c r="AE56" i="58" s="1"/>
  <c r="Z11" i="58"/>
  <c r="Z56" i="58" s="1"/>
  <c r="U11" i="58"/>
  <c r="U56" i="58" s="1"/>
  <c r="O11" i="58"/>
  <c r="O56" i="58" s="1"/>
  <c r="K11" i="58"/>
  <c r="K56" i="58" s="1"/>
  <c r="F11" i="58"/>
  <c r="F56" i="58" s="1"/>
  <c r="E11" i="58"/>
  <c r="E56" i="58" s="1"/>
  <c r="AE10" i="58"/>
  <c r="AE55" i="58" s="1"/>
  <c r="Z10" i="58"/>
  <c r="Z55" i="58" s="1"/>
  <c r="U10" i="58"/>
  <c r="U55" i="58" s="1"/>
  <c r="O10" i="58"/>
  <c r="O55" i="58" s="1"/>
  <c r="K10" i="58"/>
  <c r="K55" i="58" s="1"/>
  <c r="F10" i="58"/>
  <c r="F55" i="58" s="1"/>
  <c r="E10" i="58"/>
  <c r="E55" i="58" s="1"/>
  <c r="AE9" i="58"/>
  <c r="AE54" i="58" s="1"/>
  <c r="Z9" i="58"/>
  <c r="Z54" i="58" s="1"/>
  <c r="U9" i="58"/>
  <c r="U54" i="58" s="1"/>
  <c r="O9" i="58"/>
  <c r="O54" i="58" s="1"/>
  <c r="K9" i="58"/>
  <c r="K54" i="58" s="1"/>
  <c r="F9" i="58"/>
  <c r="F54" i="58" s="1"/>
  <c r="E9" i="58"/>
  <c r="E54" i="58" s="1"/>
  <c r="AE8" i="58"/>
  <c r="AE53" i="58" s="1"/>
  <c r="Z8" i="58"/>
  <c r="Z53" i="58" s="1"/>
  <c r="U8" i="58"/>
  <c r="U53" i="58" s="1"/>
  <c r="O8" i="58"/>
  <c r="O53" i="58" s="1"/>
  <c r="K8" i="58"/>
  <c r="K53" i="58" s="1"/>
  <c r="F8" i="58"/>
  <c r="F53" i="58" s="1"/>
  <c r="E8" i="58"/>
  <c r="E53" i="58" s="1"/>
  <c r="AE7" i="58"/>
  <c r="AE49" i="58" s="1"/>
  <c r="Z7" i="58"/>
  <c r="Z49" i="58" s="1"/>
  <c r="U7" i="58"/>
  <c r="U49" i="58" s="1"/>
  <c r="O7" i="58"/>
  <c r="K7" i="58"/>
  <c r="K49" i="58" s="1"/>
  <c r="F7" i="58"/>
  <c r="E7" i="58"/>
  <c r="E49" i="58" s="1"/>
  <c r="AE6" i="58"/>
  <c r="AE48" i="58" s="1"/>
  <c r="Z6" i="58"/>
  <c r="Z48" i="58" s="1"/>
  <c r="U6" i="58"/>
  <c r="U48" i="58" s="1"/>
  <c r="O6" i="58"/>
  <c r="K6" i="58"/>
  <c r="K48" i="58" s="1"/>
  <c r="F6" i="58"/>
  <c r="F48" i="58" s="1"/>
  <c r="E6" i="58"/>
  <c r="E48" i="58" s="1"/>
  <c r="AE5" i="58"/>
  <c r="AE47" i="58" s="1"/>
  <c r="Z5" i="58"/>
  <c r="Z47" i="58" s="1"/>
  <c r="U5" i="58"/>
  <c r="U47" i="58" s="1"/>
  <c r="O5" i="58"/>
  <c r="K5" i="58"/>
  <c r="K47" i="58" s="1"/>
  <c r="F5" i="58"/>
  <c r="F47" i="58" s="1"/>
  <c r="E5" i="58"/>
  <c r="E47" i="58" s="1"/>
  <c r="AE4" i="58"/>
  <c r="AE46" i="58" s="1"/>
  <c r="Z4" i="58"/>
  <c r="Z46" i="58" s="1"/>
  <c r="U4" i="58"/>
  <c r="U46" i="58" s="1"/>
  <c r="P4" i="58"/>
  <c r="P46" i="58" s="1"/>
  <c r="O4" i="58"/>
  <c r="L4" i="58"/>
  <c r="K4" i="58"/>
  <c r="K46" i="58" s="1"/>
  <c r="G4" i="58"/>
  <c r="F4" i="58"/>
  <c r="E4" i="58"/>
  <c r="E46" i="58" s="1"/>
  <c r="AE3" i="58"/>
  <c r="AE45" i="58" s="1"/>
  <c r="Z3" i="58"/>
  <c r="Z45" i="58" s="1"/>
  <c r="V3" i="58"/>
  <c r="U3" i="58"/>
  <c r="U45" i="58" s="1"/>
  <c r="P3" i="58"/>
  <c r="P45" i="58" s="1"/>
  <c r="O3" i="58"/>
  <c r="K3" i="58"/>
  <c r="K45" i="58" s="1"/>
  <c r="G3" i="58"/>
  <c r="F3" i="58"/>
  <c r="E3" i="58"/>
  <c r="E45" i="58" s="1"/>
  <c r="AE2" i="58"/>
  <c r="AE43" i="58" s="1"/>
  <c r="G2" i="58"/>
  <c r="G43" i="58" s="1"/>
  <c r="F2" i="58"/>
  <c r="F43" i="58" s="1"/>
  <c r="E2" i="58"/>
  <c r="E43" i="58" s="1"/>
  <c r="C70" i="58" l="1"/>
  <c r="C71" i="58"/>
  <c r="F46" i="58"/>
  <c r="L46" i="58"/>
  <c r="K68" i="58"/>
  <c r="F45" i="58"/>
  <c r="V45" i="58"/>
  <c r="F72" i="58"/>
  <c r="N72" i="58"/>
  <c r="V72" i="58"/>
  <c r="AD72" i="58"/>
  <c r="U68" i="58"/>
  <c r="K72" i="58"/>
  <c r="S72" i="58"/>
  <c r="AA72" i="58"/>
  <c r="Z68" i="58"/>
  <c r="AE68" i="58"/>
  <c r="G45" i="58"/>
  <c r="G72" i="58"/>
  <c r="O72" i="58"/>
  <c r="W72" i="58"/>
  <c r="AE72" i="58"/>
  <c r="E68" i="58"/>
  <c r="AQ179" i="18"/>
  <c r="O45" i="58"/>
  <c r="AQ180" i="18"/>
  <c r="AQ188" i="18"/>
  <c r="AQ189" i="18"/>
  <c r="F44" i="58"/>
  <c r="AQ177" i="18"/>
  <c r="J72" i="58"/>
  <c r="R72" i="58"/>
  <c r="Z72" i="58"/>
  <c r="G44" i="58"/>
  <c r="AQ178" i="18"/>
  <c r="AQ187" i="18"/>
  <c r="L72" i="58"/>
  <c r="T72" i="58"/>
  <c r="E72" i="58"/>
  <c r="M72" i="58"/>
  <c r="U72" i="58"/>
  <c r="AC72" i="58"/>
  <c r="AB72" i="58"/>
  <c r="H72" i="58"/>
  <c r="X72" i="58"/>
  <c r="I72" i="58"/>
  <c r="Q72" i="58"/>
  <c r="Y72" i="58"/>
  <c r="P72" i="58"/>
  <c r="O47" i="58"/>
  <c r="E44" i="58"/>
  <c r="G46" i="58"/>
  <c r="O46" i="58"/>
  <c r="F49" i="58"/>
  <c r="O49" i="58"/>
  <c r="AE44" i="58"/>
  <c r="O48" i="58"/>
  <c r="C72" i="58" l="1"/>
  <c r="O24" i="59" s="1"/>
  <c r="AN97" i="59" s="1"/>
  <c r="O29" i="18"/>
  <c r="AP183" i="18" s="1"/>
  <c r="AQ181" i="18"/>
  <c r="O67" i="58"/>
  <c r="O66" i="58"/>
  <c r="O68" i="58" l="1"/>
  <c r="AQ185" i="18"/>
  <c r="AQ186" i="18"/>
  <c r="E61" i="58" l="1"/>
  <c r="E74" i="58" s="1"/>
  <c r="B12" i="16" l="1"/>
  <c r="E82" i="47" l="1"/>
  <c r="E81" i="15"/>
  <c r="E82" i="58"/>
  <c r="E81" i="38"/>
  <c r="E82" i="45"/>
  <c r="E81" i="50"/>
  <c r="E81" i="10"/>
  <c r="E82" i="23"/>
  <c r="E81" i="43"/>
  <c r="E82" i="12"/>
  <c r="AE81" i="38"/>
  <c r="AE81" i="11"/>
  <c r="AE82" i="45"/>
  <c r="AE81" i="50"/>
  <c r="AE81" i="13"/>
  <c r="AE82" i="23"/>
  <c r="AE81" i="10"/>
  <c r="AE81" i="43"/>
  <c r="AE82" i="12"/>
  <c r="AE82" i="47"/>
  <c r="AE81" i="15"/>
  <c r="AE82" i="58"/>
  <c r="AQ21" i="18"/>
  <c r="AN21" i="18"/>
  <c r="AO21" i="18" s="1"/>
  <c r="E69" i="10" l="1"/>
  <c r="E64" i="58" l="1"/>
  <c r="E79" i="58" s="1"/>
  <c r="E62" i="58" l="1"/>
  <c r="E78" i="58" s="1"/>
  <c r="K66" i="23"/>
  <c r="O66" i="23"/>
  <c r="U66" i="23"/>
  <c r="Z66" i="23"/>
  <c r="AE66" i="23"/>
  <c r="K67" i="23"/>
  <c r="O67" i="23"/>
  <c r="U67" i="23"/>
  <c r="Z67" i="23"/>
  <c r="AE67" i="23"/>
  <c r="E80" i="58" l="1"/>
  <c r="K68" i="23"/>
  <c r="F61" i="58"/>
  <c r="E63" i="58"/>
  <c r="U68" i="23"/>
  <c r="AE68" i="23"/>
  <c r="Z68" i="23"/>
  <c r="O68" i="23"/>
  <c r="F78" i="58" l="1"/>
  <c r="F74" i="58"/>
  <c r="G61" i="58"/>
  <c r="H61" i="58" l="1"/>
  <c r="G78" i="58"/>
  <c r="G74" i="58"/>
  <c r="AQ22" i="18"/>
  <c r="AQ20" i="18"/>
  <c r="AN22" i="18"/>
  <c r="AO22" i="18" s="1"/>
  <c r="AN20" i="18"/>
  <c r="AO20" i="18" s="1"/>
  <c r="AO13" i="18"/>
  <c r="AQ11" i="18"/>
  <c r="AO11" i="18"/>
  <c r="O42" i="18"/>
  <c r="N42" i="18"/>
  <c r="M42" i="18"/>
  <c r="L42" i="18"/>
  <c r="K42" i="18"/>
  <c r="J42" i="18"/>
  <c r="F70" i="23"/>
  <c r="G70" i="23"/>
  <c r="H70" i="23"/>
  <c r="I70" i="23"/>
  <c r="J70" i="23"/>
  <c r="K70" i="23"/>
  <c r="L70" i="23"/>
  <c r="M70" i="23"/>
  <c r="N70" i="23"/>
  <c r="O70" i="23"/>
  <c r="P70" i="23"/>
  <c r="Q70" i="23"/>
  <c r="R70" i="23"/>
  <c r="S70" i="23"/>
  <c r="T70" i="23"/>
  <c r="U70" i="23"/>
  <c r="V70" i="23"/>
  <c r="W70" i="23"/>
  <c r="X70" i="23"/>
  <c r="Y70" i="23"/>
  <c r="Z70" i="23"/>
  <c r="AA70" i="23"/>
  <c r="AB70" i="23"/>
  <c r="AC70" i="23"/>
  <c r="F71" i="23"/>
  <c r="G71" i="23"/>
  <c r="G72" i="23" s="1"/>
  <c r="H71" i="23"/>
  <c r="I71" i="23"/>
  <c r="J71" i="23"/>
  <c r="K71" i="23"/>
  <c r="L71" i="23"/>
  <c r="M71" i="23"/>
  <c r="N71" i="23"/>
  <c r="O71" i="23"/>
  <c r="O72" i="23" s="1"/>
  <c r="P71" i="23"/>
  <c r="Q71" i="23"/>
  <c r="R71" i="23"/>
  <c r="R72" i="23" s="1"/>
  <c r="S71" i="23"/>
  <c r="S72" i="23" s="1"/>
  <c r="T71" i="23"/>
  <c r="U71" i="23"/>
  <c r="V71" i="23"/>
  <c r="W71" i="23"/>
  <c r="W72" i="23" s="1"/>
  <c r="X71" i="23"/>
  <c r="Y71" i="23"/>
  <c r="Z71" i="23"/>
  <c r="Z72" i="23" s="1"/>
  <c r="AA71" i="23"/>
  <c r="AA72" i="23" s="1"/>
  <c r="AB71" i="23"/>
  <c r="AC71" i="23"/>
  <c r="E71" i="23"/>
  <c r="E70" i="23"/>
  <c r="E67" i="23"/>
  <c r="E66" i="23"/>
  <c r="J72" i="23" l="1"/>
  <c r="H78" i="58"/>
  <c r="H74" i="58"/>
  <c r="I61" i="58"/>
  <c r="E72" i="23"/>
  <c r="AC72" i="23"/>
  <c r="I72" i="23"/>
  <c r="X72" i="23"/>
  <c r="P72" i="23"/>
  <c r="H72" i="23"/>
  <c r="E68" i="23"/>
  <c r="U72" i="23"/>
  <c r="M72" i="23"/>
  <c r="V72" i="23"/>
  <c r="N72" i="23"/>
  <c r="F72" i="23"/>
  <c r="Y72" i="23"/>
  <c r="Q72" i="23"/>
  <c r="AB72" i="23"/>
  <c r="T72" i="23"/>
  <c r="L72" i="23"/>
  <c r="K72" i="23"/>
  <c r="J61" i="58" l="1"/>
  <c r="I78" i="58"/>
  <c r="I74" i="58"/>
  <c r="J78" i="58" l="1"/>
  <c r="J74" i="58"/>
  <c r="K61" i="58"/>
  <c r="F69" i="50"/>
  <c r="G69" i="50"/>
  <c r="H69" i="50"/>
  <c r="I69" i="50"/>
  <c r="J69" i="50"/>
  <c r="K69" i="50"/>
  <c r="L69" i="50"/>
  <c r="M69" i="50"/>
  <c r="N69" i="50"/>
  <c r="O69" i="50"/>
  <c r="P69" i="50"/>
  <c r="Q69" i="50"/>
  <c r="R69" i="50"/>
  <c r="S69" i="50"/>
  <c r="T69" i="50"/>
  <c r="U69" i="50"/>
  <c r="V69" i="50"/>
  <c r="W69" i="50"/>
  <c r="X69" i="50"/>
  <c r="Y69" i="50"/>
  <c r="Z69" i="50"/>
  <c r="AA69" i="50"/>
  <c r="AB69" i="50"/>
  <c r="AC69" i="50"/>
  <c r="F70" i="50"/>
  <c r="G70" i="50"/>
  <c r="H70" i="50"/>
  <c r="I70" i="50"/>
  <c r="J70" i="50"/>
  <c r="K70" i="50"/>
  <c r="L70" i="50"/>
  <c r="M70" i="50"/>
  <c r="N70" i="50"/>
  <c r="O70" i="50"/>
  <c r="P70" i="50"/>
  <c r="Q70" i="50"/>
  <c r="R70" i="50"/>
  <c r="S70" i="50"/>
  <c r="T70" i="50"/>
  <c r="U70" i="50"/>
  <c r="V70" i="50"/>
  <c r="W70" i="50"/>
  <c r="X70" i="50"/>
  <c r="X71" i="50" s="1"/>
  <c r="Y70" i="50"/>
  <c r="Z70" i="50"/>
  <c r="Z71" i="50" s="1"/>
  <c r="AA70" i="50"/>
  <c r="AB70" i="50"/>
  <c r="AB71" i="50" s="1"/>
  <c r="AC70" i="50"/>
  <c r="E70" i="50"/>
  <c r="E69" i="50"/>
  <c r="K65" i="50"/>
  <c r="O65" i="50"/>
  <c r="U65" i="50"/>
  <c r="Z65" i="50"/>
  <c r="AE65" i="50"/>
  <c r="K66" i="50"/>
  <c r="O66" i="50"/>
  <c r="U66" i="50"/>
  <c r="Z66" i="50"/>
  <c r="AE66" i="50"/>
  <c r="E66" i="50"/>
  <c r="E65" i="50"/>
  <c r="F70" i="47"/>
  <c r="G70" i="47"/>
  <c r="H70" i="47"/>
  <c r="I70" i="47"/>
  <c r="J70" i="47"/>
  <c r="K70" i="47"/>
  <c r="L70" i="47"/>
  <c r="M70" i="47"/>
  <c r="N70" i="47"/>
  <c r="O70" i="47"/>
  <c r="P70" i="47"/>
  <c r="Q70" i="47"/>
  <c r="R70" i="47"/>
  <c r="S70" i="47"/>
  <c r="T70" i="47"/>
  <c r="U70" i="47"/>
  <c r="V70" i="47"/>
  <c r="W70" i="47"/>
  <c r="X70" i="47"/>
  <c r="Y70" i="47"/>
  <c r="Z70" i="47"/>
  <c r="AA70" i="47"/>
  <c r="AB70" i="47"/>
  <c r="AC70" i="47"/>
  <c r="F71" i="47"/>
  <c r="G71" i="47"/>
  <c r="G72" i="47" s="1"/>
  <c r="H71" i="47"/>
  <c r="I71" i="47"/>
  <c r="J71" i="47"/>
  <c r="K71" i="47"/>
  <c r="L71" i="47"/>
  <c r="M71" i="47"/>
  <c r="N71" i="47"/>
  <c r="O71" i="47"/>
  <c r="P71" i="47"/>
  <c r="Q71" i="47"/>
  <c r="R71" i="47"/>
  <c r="R72" i="47" s="1"/>
  <c r="S71" i="47"/>
  <c r="T71" i="47"/>
  <c r="U71" i="47"/>
  <c r="V71" i="47"/>
  <c r="W71" i="47"/>
  <c r="W72" i="47" s="1"/>
  <c r="X71" i="47"/>
  <c r="Y71" i="47"/>
  <c r="Y72" i="47" s="1"/>
  <c r="Z71" i="47"/>
  <c r="Z72" i="47" s="1"/>
  <c r="AA71" i="47"/>
  <c r="AB71" i="47"/>
  <c r="AC71" i="47"/>
  <c r="E71" i="47"/>
  <c r="E70" i="47"/>
  <c r="K66" i="47"/>
  <c r="O66" i="47"/>
  <c r="U66" i="47"/>
  <c r="Z66" i="47"/>
  <c r="AE66" i="47"/>
  <c r="K67" i="47"/>
  <c r="O67" i="47"/>
  <c r="U67" i="47"/>
  <c r="Z67" i="47"/>
  <c r="AE67" i="47"/>
  <c r="E67" i="47"/>
  <c r="E66" i="47"/>
  <c r="F70" i="45"/>
  <c r="G70" i="45"/>
  <c r="H70" i="45"/>
  <c r="I70" i="45"/>
  <c r="J70" i="45"/>
  <c r="K70" i="45"/>
  <c r="L70" i="45"/>
  <c r="M70" i="45"/>
  <c r="N70" i="45"/>
  <c r="O70" i="45"/>
  <c r="P70" i="45"/>
  <c r="Q70" i="45"/>
  <c r="R70" i="45"/>
  <c r="S70" i="45"/>
  <c r="T70" i="45"/>
  <c r="U70" i="45"/>
  <c r="V70" i="45"/>
  <c r="W70" i="45"/>
  <c r="X70" i="45"/>
  <c r="Y70" i="45"/>
  <c r="Z70" i="45"/>
  <c r="AA70" i="45"/>
  <c r="AB70" i="45"/>
  <c r="AC70" i="45"/>
  <c r="F71" i="45"/>
  <c r="G71" i="45"/>
  <c r="H71" i="45"/>
  <c r="I71" i="45"/>
  <c r="I72" i="45" s="1"/>
  <c r="J71" i="45"/>
  <c r="J72" i="45" s="1"/>
  <c r="K71" i="45"/>
  <c r="L71" i="45"/>
  <c r="M71" i="45"/>
  <c r="N71" i="45"/>
  <c r="N72" i="45" s="1"/>
  <c r="O71" i="45"/>
  <c r="P71" i="45"/>
  <c r="Q71" i="45"/>
  <c r="Q72" i="45" s="1"/>
  <c r="R71" i="45"/>
  <c r="S71" i="45"/>
  <c r="T71" i="45"/>
  <c r="U71" i="45"/>
  <c r="V71" i="45"/>
  <c r="V72" i="45" s="1"/>
  <c r="W71" i="45"/>
  <c r="X71" i="45"/>
  <c r="Y71" i="45"/>
  <c r="Z71" i="45"/>
  <c r="Z72" i="45" s="1"/>
  <c r="AA71" i="45"/>
  <c r="AB71" i="45"/>
  <c r="AC71" i="45"/>
  <c r="E70" i="43"/>
  <c r="E71" i="45"/>
  <c r="E70" i="45"/>
  <c r="K66" i="45"/>
  <c r="O66" i="45"/>
  <c r="U66" i="45"/>
  <c r="Z66" i="45"/>
  <c r="AE66" i="45"/>
  <c r="K67" i="45"/>
  <c r="O67" i="45"/>
  <c r="U67" i="45"/>
  <c r="Z67" i="45"/>
  <c r="AE67" i="45"/>
  <c r="E67" i="45"/>
  <c r="E66" i="45"/>
  <c r="F69" i="43"/>
  <c r="G69" i="43"/>
  <c r="H69" i="43"/>
  <c r="I69" i="43"/>
  <c r="J69" i="43"/>
  <c r="K69" i="43"/>
  <c r="L69" i="43"/>
  <c r="M69" i="43"/>
  <c r="N69" i="43"/>
  <c r="O69" i="43"/>
  <c r="P69" i="43"/>
  <c r="Q69" i="43"/>
  <c r="R69" i="43"/>
  <c r="S69" i="43"/>
  <c r="T69" i="43"/>
  <c r="U69" i="43"/>
  <c r="V69" i="43"/>
  <c r="W69" i="43"/>
  <c r="X69" i="43"/>
  <c r="Y69" i="43"/>
  <c r="Z69" i="43"/>
  <c r="AA69" i="43"/>
  <c r="AB69" i="43"/>
  <c r="AC69" i="43"/>
  <c r="F70" i="43"/>
  <c r="G70" i="43"/>
  <c r="H70" i="43"/>
  <c r="I70" i="43"/>
  <c r="I71" i="43" s="1"/>
  <c r="J70" i="43"/>
  <c r="K70" i="43"/>
  <c r="L70" i="43"/>
  <c r="M70" i="43"/>
  <c r="N70" i="43"/>
  <c r="O70" i="43"/>
  <c r="P70" i="43"/>
  <c r="Q70" i="43"/>
  <c r="Q71" i="43" s="1"/>
  <c r="R70" i="43"/>
  <c r="S70" i="43"/>
  <c r="T70" i="43"/>
  <c r="U70" i="43"/>
  <c r="V70" i="43"/>
  <c r="W70" i="43"/>
  <c r="X70" i="43"/>
  <c r="Y70" i="43"/>
  <c r="Z70" i="43"/>
  <c r="AA70" i="43"/>
  <c r="AB70" i="43"/>
  <c r="AC70" i="43"/>
  <c r="E69" i="43"/>
  <c r="K65" i="43"/>
  <c r="U65" i="43"/>
  <c r="Z65" i="43"/>
  <c r="AE65" i="43"/>
  <c r="K66" i="43"/>
  <c r="U66" i="43"/>
  <c r="Z66" i="43"/>
  <c r="AE66" i="43"/>
  <c r="E66" i="43"/>
  <c r="E65" i="43"/>
  <c r="F69" i="38"/>
  <c r="G69" i="38"/>
  <c r="H69" i="38"/>
  <c r="I69" i="38"/>
  <c r="J69" i="38"/>
  <c r="K69" i="38"/>
  <c r="L69" i="38"/>
  <c r="M69" i="38"/>
  <c r="N69" i="38"/>
  <c r="O69" i="38"/>
  <c r="P69" i="38"/>
  <c r="Q69" i="38"/>
  <c r="R69" i="38"/>
  <c r="S69" i="38"/>
  <c r="T69" i="38"/>
  <c r="U69" i="38"/>
  <c r="V69" i="38"/>
  <c r="W69" i="38"/>
  <c r="X69" i="38"/>
  <c r="Y69" i="38"/>
  <c r="Z69" i="38"/>
  <c r="AA69" i="38"/>
  <c r="AB69" i="38"/>
  <c r="AC69" i="38"/>
  <c r="F70" i="38"/>
  <c r="F71" i="38" s="1"/>
  <c r="G70" i="38"/>
  <c r="H70" i="38"/>
  <c r="I70" i="38"/>
  <c r="I71" i="38" s="1"/>
  <c r="J70" i="38"/>
  <c r="K70" i="38"/>
  <c r="L70" i="38"/>
  <c r="L71" i="38" s="1"/>
  <c r="M70" i="38"/>
  <c r="M71" i="38" s="1"/>
  <c r="N70" i="38"/>
  <c r="O70" i="38"/>
  <c r="P70" i="38"/>
  <c r="P71" i="38" s="1"/>
  <c r="Q70" i="38"/>
  <c r="Q71" i="38" s="1"/>
  <c r="R70" i="38"/>
  <c r="S70" i="38"/>
  <c r="T70" i="38"/>
  <c r="T71" i="38" s="1"/>
  <c r="U70" i="38"/>
  <c r="U71" i="38" s="1"/>
  <c r="V70" i="38"/>
  <c r="W70" i="38"/>
  <c r="X70" i="38"/>
  <c r="X71" i="38" s="1"/>
  <c r="Y70" i="38"/>
  <c r="Y71" i="38" s="1"/>
  <c r="Z70" i="38"/>
  <c r="AA70" i="38"/>
  <c r="AB70" i="38"/>
  <c r="AB71" i="38" s="1"/>
  <c r="AC70" i="38"/>
  <c r="AC71" i="38" s="1"/>
  <c r="E70" i="38"/>
  <c r="E69" i="38"/>
  <c r="K65" i="38"/>
  <c r="O65" i="38"/>
  <c r="U65" i="38"/>
  <c r="Z65" i="38"/>
  <c r="AE65" i="38"/>
  <c r="K66" i="38"/>
  <c r="O66" i="38"/>
  <c r="U66" i="38"/>
  <c r="Z66" i="38"/>
  <c r="AE66" i="38"/>
  <c r="E66" i="38"/>
  <c r="E65" i="38"/>
  <c r="F72" i="45" l="1"/>
  <c r="R71" i="50"/>
  <c r="P71" i="50"/>
  <c r="H71" i="50"/>
  <c r="T71" i="50"/>
  <c r="N71" i="50"/>
  <c r="Y71" i="43"/>
  <c r="Q72" i="47"/>
  <c r="K78" i="58"/>
  <c r="K74" i="58"/>
  <c r="E68" i="47"/>
  <c r="L61" i="58"/>
  <c r="V71" i="50"/>
  <c r="L71" i="50"/>
  <c r="Y71" i="50"/>
  <c r="I72" i="47"/>
  <c r="Y72" i="45"/>
  <c r="R72" i="45"/>
  <c r="O71" i="43"/>
  <c r="G71" i="43"/>
  <c r="V71" i="38"/>
  <c r="N71" i="38"/>
  <c r="H71" i="38"/>
  <c r="E71" i="38"/>
  <c r="W71" i="38"/>
  <c r="J72" i="47"/>
  <c r="L71" i="43"/>
  <c r="Q71" i="50"/>
  <c r="K68" i="47"/>
  <c r="X72" i="45"/>
  <c r="P72" i="45"/>
  <c r="AA71" i="43"/>
  <c r="S71" i="43"/>
  <c r="K71" i="43"/>
  <c r="E71" i="50"/>
  <c r="AA71" i="50"/>
  <c r="S71" i="50"/>
  <c r="K71" i="50"/>
  <c r="AB72" i="45"/>
  <c r="T72" i="45"/>
  <c r="L72" i="45"/>
  <c r="J71" i="50"/>
  <c r="O67" i="38"/>
  <c r="O71" i="38"/>
  <c r="G71" i="38"/>
  <c r="V71" i="43"/>
  <c r="N71" i="43"/>
  <c r="AA72" i="47"/>
  <c r="S72" i="47"/>
  <c r="Z68" i="45"/>
  <c r="U67" i="38"/>
  <c r="AE68" i="45"/>
  <c r="F71" i="43"/>
  <c r="K72" i="47"/>
  <c r="AA71" i="38"/>
  <c r="S71" i="38"/>
  <c r="K71" i="38"/>
  <c r="U67" i="43"/>
  <c r="E71" i="43"/>
  <c r="W71" i="43"/>
  <c r="Z68" i="47"/>
  <c r="W71" i="50"/>
  <c r="O71" i="50"/>
  <c r="G71" i="50"/>
  <c r="Z71" i="38"/>
  <c r="R71" i="38"/>
  <c r="J71" i="38"/>
  <c r="H72" i="45"/>
  <c r="F71" i="50"/>
  <c r="K67" i="43"/>
  <c r="X72" i="47"/>
  <c r="P72" i="47"/>
  <c r="H72" i="47"/>
  <c r="AB71" i="43"/>
  <c r="T71" i="43"/>
  <c r="O72" i="47"/>
  <c r="Z67" i="38"/>
  <c r="Z67" i="43"/>
  <c r="X71" i="43"/>
  <c r="H71" i="43"/>
  <c r="Z71" i="43"/>
  <c r="J71" i="43"/>
  <c r="AE67" i="38"/>
  <c r="E67" i="43"/>
  <c r="U68" i="45"/>
  <c r="W72" i="45"/>
  <c r="O72" i="45"/>
  <c r="G72" i="45"/>
  <c r="O68" i="47"/>
  <c r="K67" i="50"/>
  <c r="AB72" i="47"/>
  <c r="T72" i="47"/>
  <c r="L72" i="47"/>
  <c r="V72" i="47"/>
  <c r="N72" i="47"/>
  <c r="F72" i="47"/>
  <c r="AC71" i="50"/>
  <c r="U71" i="50"/>
  <c r="M71" i="50"/>
  <c r="AC71" i="43"/>
  <c r="U71" i="43"/>
  <c r="M71" i="43"/>
  <c r="AA72" i="45"/>
  <c r="S72" i="45"/>
  <c r="K72" i="45"/>
  <c r="AC72" i="45"/>
  <c r="U72" i="45"/>
  <c r="M72" i="45"/>
  <c r="U68" i="47"/>
  <c r="E72" i="47"/>
  <c r="AC72" i="47"/>
  <c r="U72" i="47"/>
  <c r="M72" i="47"/>
  <c r="O67" i="50"/>
  <c r="AE67" i="43"/>
  <c r="O68" i="45"/>
  <c r="AE67" i="50"/>
  <c r="P71" i="43"/>
  <c r="R71" i="43"/>
  <c r="K68" i="45"/>
  <c r="AE68" i="47"/>
  <c r="I71" i="50"/>
  <c r="Z67" i="50"/>
  <c r="U67" i="50"/>
  <c r="K67" i="38"/>
  <c r="E67" i="50"/>
  <c r="E68" i="45"/>
  <c r="E67" i="38"/>
  <c r="E72" i="45"/>
  <c r="L78" i="58" l="1"/>
  <c r="L74" i="58"/>
  <c r="M61" i="58"/>
  <c r="O66" i="43"/>
  <c r="O65" i="43"/>
  <c r="M78" i="58" l="1"/>
  <c r="M74" i="58"/>
  <c r="N61" i="58"/>
  <c r="O67" i="43"/>
  <c r="N78" i="58" l="1"/>
  <c r="N74" i="58"/>
  <c r="O61" i="58"/>
  <c r="O78" i="58" l="1"/>
  <c r="O74" i="58"/>
  <c r="P61" i="58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AB69" i="15"/>
  <c r="AC69" i="15"/>
  <c r="F70" i="15"/>
  <c r="G70" i="15"/>
  <c r="H70" i="15"/>
  <c r="I70" i="15"/>
  <c r="J70" i="15"/>
  <c r="J71" i="15" s="1"/>
  <c r="K70" i="15"/>
  <c r="K71" i="15" s="1"/>
  <c r="L70" i="15"/>
  <c r="M70" i="15"/>
  <c r="N70" i="15"/>
  <c r="O70" i="15"/>
  <c r="P70" i="15"/>
  <c r="P71" i="15" s="1"/>
  <c r="Q70" i="15"/>
  <c r="R70" i="15"/>
  <c r="R71" i="15" s="1"/>
  <c r="S70" i="15"/>
  <c r="S71" i="15" s="1"/>
  <c r="T70" i="15"/>
  <c r="U70" i="15"/>
  <c r="V70" i="15"/>
  <c r="W70" i="15"/>
  <c r="W71" i="15" s="1"/>
  <c r="X70" i="15"/>
  <c r="Y70" i="15"/>
  <c r="Z70" i="15"/>
  <c r="Z71" i="15" s="1"/>
  <c r="AA70" i="15"/>
  <c r="AA71" i="15" s="1"/>
  <c r="AB70" i="15"/>
  <c r="AC70" i="15"/>
  <c r="E70" i="15"/>
  <c r="E69" i="15"/>
  <c r="K65" i="15"/>
  <c r="U65" i="15"/>
  <c r="Z65" i="15"/>
  <c r="AE65" i="15"/>
  <c r="K66" i="15"/>
  <c r="U66" i="15"/>
  <c r="Z66" i="15"/>
  <c r="AE66" i="15"/>
  <c r="E66" i="15"/>
  <c r="E65" i="15"/>
  <c r="AQ182" i="18" l="1"/>
  <c r="G71" i="15"/>
  <c r="X71" i="15"/>
  <c r="P78" i="58"/>
  <c r="P74" i="58"/>
  <c r="Q61" i="58"/>
  <c r="O71" i="15"/>
  <c r="AC71" i="15"/>
  <c r="U71" i="15"/>
  <c r="M71" i="15"/>
  <c r="E67" i="15"/>
  <c r="AB71" i="15"/>
  <c r="T71" i="15"/>
  <c r="L71" i="15"/>
  <c r="E71" i="15"/>
  <c r="Y71" i="15"/>
  <c r="Q71" i="15"/>
  <c r="I71" i="15"/>
  <c r="H71" i="15"/>
  <c r="Z67" i="15"/>
  <c r="K67" i="15"/>
  <c r="U67" i="15"/>
  <c r="V71" i="15"/>
  <c r="N71" i="15"/>
  <c r="F71" i="15"/>
  <c r="AE67" i="15"/>
  <c r="O66" i="15"/>
  <c r="O65" i="15"/>
  <c r="Q78" i="58" l="1"/>
  <c r="Q74" i="58"/>
  <c r="R61" i="58"/>
  <c r="O67" i="15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F70" i="13"/>
  <c r="G70" i="13"/>
  <c r="H70" i="13"/>
  <c r="I70" i="13"/>
  <c r="I71" i="13" s="1"/>
  <c r="J70" i="13"/>
  <c r="J71" i="13" s="1"/>
  <c r="K70" i="13"/>
  <c r="L70" i="13"/>
  <c r="M70" i="13"/>
  <c r="N70" i="13"/>
  <c r="N71" i="13" s="1"/>
  <c r="O70" i="13"/>
  <c r="P70" i="13"/>
  <c r="Q70" i="13"/>
  <c r="R70" i="13"/>
  <c r="R71" i="13" s="1"/>
  <c r="S70" i="13"/>
  <c r="T70" i="13"/>
  <c r="U70" i="13"/>
  <c r="V70" i="13"/>
  <c r="W70" i="13"/>
  <c r="X70" i="13"/>
  <c r="Y70" i="13"/>
  <c r="Y71" i="13" s="1"/>
  <c r="Z70" i="13"/>
  <c r="Z71" i="13" s="1"/>
  <c r="AA70" i="13"/>
  <c r="AB70" i="13"/>
  <c r="AC70" i="13"/>
  <c r="E70" i="13"/>
  <c r="E69" i="13"/>
  <c r="K65" i="13"/>
  <c r="O65" i="13"/>
  <c r="U65" i="13"/>
  <c r="Z65" i="13"/>
  <c r="AE65" i="13"/>
  <c r="K66" i="13"/>
  <c r="O66" i="13"/>
  <c r="U66" i="13"/>
  <c r="Z66" i="13"/>
  <c r="AE66" i="13"/>
  <c r="E66" i="13"/>
  <c r="E65" i="13"/>
  <c r="F71" i="13" l="1"/>
  <c r="R78" i="58"/>
  <c r="R74" i="58"/>
  <c r="S61" i="58"/>
  <c r="Q71" i="13"/>
  <c r="H71" i="13"/>
  <c r="P71" i="13"/>
  <c r="S71" i="13"/>
  <c r="K71" i="13"/>
  <c r="AA71" i="13"/>
  <c r="X71" i="13"/>
  <c r="U67" i="13"/>
  <c r="O67" i="13"/>
  <c r="AE67" i="13"/>
  <c r="G71" i="13"/>
  <c r="Z67" i="13"/>
  <c r="V71" i="13"/>
  <c r="AC71" i="13"/>
  <c r="U71" i="13"/>
  <c r="M71" i="13"/>
  <c r="AB71" i="13"/>
  <c r="T71" i="13"/>
  <c r="L71" i="13"/>
  <c r="W71" i="13"/>
  <c r="O71" i="13"/>
  <c r="K67" i="13"/>
  <c r="E67" i="13"/>
  <c r="S78" i="58" l="1"/>
  <c r="S74" i="58"/>
  <c r="T61" i="58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F71" i="12"/>
  <c r="G71" i="12"/>
  <c r="H71" i="12"/>
  <c r="I71" i="12"/>
  <c r="J71" i="12"/>
  <c r="J72" i="12" s="1"/>
  <c r="K71" i="12"/>
  <c r="L71" i="12"/>
  <c r="M71" i="12"/>
  <c r="N71" i="12"/>
  <c r="N72" i="12" s="1"/>
  <c r="O71" i="12"/>
  <c r="P71" i="12"/>
  <c r="Q71" i="12"/>
  <c r="R71" i="12"/>
  <c r="R72" i="12" s="1"/>
  <c r="S71" i="12"/>
  <c r="T71" i="12"/>
  <c r="U71" i="12"/>
  <c r="V71" i="12"/>
  <c r="W71" i="12"/>
  <c r="X71" i="12"/>
  <c r="Y71" i="12"/>
  <c r="Z71" i="12"/>
  <c r="AA71" i="12"/>
  <c r="AB71" i="12"/>
  <c r="AC71" i="12"/>
  <c r="E71" i="12"/>
  <c r="E70" i="12"/>
  <c r="K66" i="12"/>
  <c r="U66" i="12"/>
  <c r="Z66" i="12"/>
  <c r="AE66" i="12"/>
  <c r="K67" i="12"/>
  <c r="U67" i="12"/>
  <c r="Z67" i="12"/>
  <c r="AE67" i="12"/>
  <c r="E67" i="12"/>
  <c r="E66" i="12"/>
  <c r="O11" i="60" l="1"/>
  <c r="O28" i="18"/>
  <c r="AP182" i="18" s="1"/>
  <c r="V72" i="12"/>
  <c r="F72" i="12"/>
  <c r="T78" i="58"/>
  <c r="T74" i="58"/>
  <c r="U61" i="58"/>
  <c r="T72" i="12"/>
  <c r="L72" i="12"/>
  <c r="E72" i="12"/>
  <c r="AB72" i="12"/>
  <c r="Z72" i="12"/>
  <c r="K72" i="12"/>
  <c r="Y72" i="12"/>
  <c r="Q72" i="12"/>
  <c r="I72" i="12"/>
  <c r="S72" i="12"/>
  <c r="AC72" i="12"/>
  <c r="U72" i="12"/>
  <c r="M72" i="12"/>
  <c r="AA72" i="12"/>
  <c r="X72" i="12"/>
  <c r="P72" i="12"/>
  <c r="H72" i="12"/>
  <c r="W72" i="12"/>
  <c r="G72" i="12"/>
  <c r="O72" i="12"/>
  <c r="O67" i="12"/>
  <c r="O66" i="12"/>
  <c r="U78" i="58" l="1"/>
  <c r="U74" i="58"/>
  <c r="V61" i="58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AC69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AC70" i="11"/>
  <c r="K65" i="11"/>
  <c r="O65" i="11"/>
  <c r="U65" i="11"/>
  <c r="Z65" i="11"/>
  <c r="AE65" i="11"/>
  <c r="K66" i="11"/>
  <c r="O66" i="11"/>
  <c r="U66" i="11"/>
  <c r="Z66" i="11"/>
  <c r="AE66" i="11"/>
  <c r="V78" i="58" l="1"/>
  <c r="V74" i="58"/>
  <c r="W61" i="58"/>
  <c r="X61" i="58" l="1"/>
  <c r="W78" i="58"/>
  <c r="W74" i="58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AC70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E66" i="10"/>
  <c r="K66" i="10"/>
  <c r="O66" i="10"/>
  <c r="U66" i="10"/>
  <c r="Z66" i="10"/>
  <c r="AE66" i="10"/>
  <c r="K65" i="10"/>
  <c r="O65" i="10"/>
  <c r="U65" i="10"/>
  <c r="Z65" i="10"/>
  <c r="AE65" i="10"/>
  <c r="E65" i="10"/>
  <c r="X78" i="58" l="1"/>
  <c r="X74" i="58"/>
  <c r="Y61" i="58"/>
  <c r="F71" i="10"/>
  <c r="E71" i="10"/>
  <c r="Z61" i="58" l="1"/>
  <c r="Y78" i="58"/>
  <c r="Y74" i="58"/>
  <c r="Z78" i="58" l="1"/>
  <c r="Z74" i="58"/>
  <c r="AA61" i="58"/>
  <c r="S81" i="43" l="1"/>
  <c r="S81" i="11"/>
  <c r="S81" i="38"/>
  <c r="S81" i="10"/>
  <c r="S82" i="23"/>
  <c r="S81" i="15"/>
  <c r="S82" i="58"/>
  <c r="S81" i="50"/>
  <c r="S82" i="12"/>
  <c r="S82" i="45"/>
  <c r="S82" i="47"/>
  <c r="S81" i="13"/>
  <c r="I82" i="47"/>
  <c r="I82" i="45"/>
  <c r="I82" i="12"/>
  <c r="I81" i="43"/>
  <c r="I81" i="38"/>
  <c r="I82" i="23"/>
  <c r="I81" i="13"/>
  <c r="I81" i="15"/>
  <c r="I81" i="10"/>
  <c r="I82" i="58"/>
  <c r="I81" i="11"/>
  <c r="I81" i="50"/>
  <c r="AA81" i="43"/>
  <c r="AA81" i="11"/>
  <c r="AA81" i="38"/>
  <c r="AA81" i="10"/>
  <c r="AA82" i="23"/>
  <c r="AA81" i="15"/>
  <c r="AA82" i="58"/>
  <c r="AA82" i="45"/>
  <c r="AA81" i="50"/>
  <c r="AA82" i="12"/>
  <c r="AA82" i="47"/>
  <c r="AA81" i="13"/>
  <c r="R82" i="45"/>
  <c r="R81" i="10"/>
  <c r="R81" i="43"/>
  <c r="R82" i="47"/>
  <c r="R81" i="38"/>
  <c r="R82" i="23"/>
  <c r="R81" i="15"/>
  <c r="R81" i="11"/>
  <c r="R82" i="58"/>
  <c r="R81" i="13"/>
  <c r="R81" i="50"/>
  <c r="R82" i="12"/>
  <c r="Q82" i="47"/>
  <c r="Q82" i="45"/>
  <c r="Q81" i="50"/>
  <c r="Q81" i="43"/>
  <c r="Q81" i="38"/>
  <c r="Q82" i="23"/>
  <c r="Q81" i="13"/>
  <c r="Q81" i="15"/>
  <c r="Q82" i="12"/>
  <c r="Q82" i="58"/>
  <c r="Q81" i="11"/>
  <c r="Q81" i="10"/>
  <c r="X81" i="50"/>
  <c r="X82" i="12"/>
  <c r="X82" i="47"/>
  <c r="X82" i="45"/>
  <c r="X81" i="43"/>
  <c r="X81" i="13"/>
  <c r="X81" i="38"/>
  <c r="X82" i="58"/>
  <c r="X82" i="23"/>
  <c r="X81" i="11"/>
  <c r="X81" i="15"/>
  <c r="X81" i="10"/>
  <c r="P81" i="50"/>
  <c r="P82" i="12"/>
  <c r="P82" i="47"/>
  <c r="P82" i="58"/>
  <c r="P82" i="45"/>
  <c r="P81" i="43"/>
  <c r="P81" i="13"/>
  <c r="P81" i="38"/>
  <c r="P82" i="23"/>
  <c r="P81" i="11"/>
  <c r="P81" i="15"/>
  <c r="P81" i="10"/>
  <c r="H81" i="50"/>
  <c r="H82" i="12"/>
  <c r="H82" i="47"/>
  <c r="H82" i="45"/>
  <c r="H81" i="43"/>
  <c r="H81" i="13"/>
  <c r="H81" i="38"/>
  <c r="H82" i="23"/>
  <c r="H81" i="11"/>
  <c r="H81" i="15"/>
  <c r="H81" i="10"/>
  <c r="H82" i="58"/>
  <c r="Z82" i="45"/>
  <c r="Z81" i="10"/>
  <c r="Z81" i="43"/>
  <c r="Z81" i="11"/>
  <c r="Z81" i="38"/>
  <c r="Z82" i="23"/>
  <c r="Z81" i="15"/>
  <c r="Z82" i="58"/>
  <c r="Z81" i="13"/>
  <c r="Z82" i="47"/>
  <c r="Z81" i="50"/>
  <c r="Z82" i="12"/>
  <c r="Y82" i="47"/>
  <c r="Y82" i="45"/>
  <c r="Y81" i="43"/>
  <c r="Y81" i="38"/>
  <c r="Y82" i="23"/>
  <c r="Y81" i="13"/>
  <c r="Y81" i="15"/>
  <c r="Y81" i="50"/>
  <c r="Y82" i="58"/>
  <c r="Y81" i="11"/>
  <c r="Y82" i="12"/>
  <c r="Y81" i="10"/>
  <c r="W82" i="58"/>
  <c r="W81" i="50"/>
  <c r="W82" i="12"/>
  <c r="W82" i="47"/>
  <c r="W81" i="13"/>
  <c r="W82" i="45"/>
  <c r="W81" i="43"/>
  <c r="W81" i="11"/>
  <c r="W81" i="38"/>
  <c r="W81" i="10"/>
  <c r="W82" i="23"/>
  <c r="W81" i="15"/>
  <c r="O82" i="58"/>
  <c r="O81" i="50"/>
  <c r="O82" i="12"/>
  <c r="O81" i="15"/>
  <c r="O82" i="47"/>
  <c r="O81" i="13"/>
  <c r="O82" i="45"/>
  <c r="O81" i="43"/>
  <c r="O81" i="11"/>
  <c r="O81" i="38"/>
  <c r="O81" i="10"/>
  <c r="O82" i="23"/>
  <c r="G82" i="58"/>
  <c r="G81" i="50"/>
  <c r="G82" i="12"/>
  <c r="G82" i="47"/>
  <c r="G81" i="13"/>
  <c r="G82" i="45"/>
  <c r="G81" i="43"/>
  <c r="G81" i="11"/>
  <c r="G81" i="38"/>
  <c r="G81" i="10"/>
  <c r="G82" i="23"/>
  <c r="G81" i="15"/>
  <c r="K81" i="43"/>
  <c r="K81" i="11"/>
  <c r="K81" i="38"/>
  <c r="K81" i="10"/>
  <c r="K82" i="45"/>
  <c r="K82" i="23"/>
  <c r="K81" i="15"/>
  <c r="K82" i="58"/>
  <c r="K81" i="50"/>
  <c r="K82" i="12"/>
  <c r="K82" i="47"/>
  <c r="K81" i="13"/>
  <c r="J82" i="45"/>
  <c r="J81" i="10"/>
  <c r="J81" i="43"/>
  <c r="J81" i="38"/>
  <c r="J82" i="23"/>
  <c r="J81" i="15"/>
  <c r="J82" i="58"/>
  <c r="J81" i="13"/>
  <c r="J81" i="50"/>
  <c r="J82" i="12"/>
  <c r="J82" i="47"/>
  <c r="J81" i="11"/>
  <c r="AD81" i="15"/>
  <c r="AD82" i="58"/>
  <c r="AD81" i="13"/>
  <c r="AD81" i="10"/>
  <c r="AD82" i="23"/>
  <c r="AD81" i="50"/>
  <c r="AD82" i="12"/>
  <c r="AD82" i="47"/>
  <c r="AD81" i="11"/>
  <c r="AD82" i="45"/>
  <c r="AD81" i="43"/>
  <c r="AD81" i="38"/>
  <c r="V81" i="15"/>
  <c r="V82" i="58"/>
  <c r="V81" i="13"/>
  <c r="V81" i="50"/>
  <c r="V82" i="12"/>
  <c r="V82" i="47"/>
  <c r="V81" i="11"/>
  <c r="V82" i="45"/>
  <c r="V81" i="10"/>
  <c r="V81" i="43"/>
  <c r="V81" i="38"/>
  <c r="V82" i="23"/>
  <c r="N81" i="15"/>
  <c r="N82" i="58"/>
  <c r="N81" i="13"/>
  <c r="N81" i="50"/>
  <c r="N82" i="12"/>
  <c r="N82" i="47"/>
  <c r="N81" i="11"/>
  <c r="N82" i="45"/>
  <c r="N81" i="10"/>
  <c r="N81" i="43"/>
  <c r="N82" i="23"/>
  <c r="N81" i="38"/>
  <c r="F81" i="15"/>
  <c r="F82" i="58"/>
  <c r="F81" i="13"/>
  <c r="F81" i="50"/>
  <c r="F82" i="12"/>
  <c r="F82" i="47"/>
  <c r="F81" i="11"/>
  <c r="F82" i="45"/>
  <c r="F81" i="10"/>
  <c r="F82" i="23"/>
  <c r="F81" i="43"/>
  <c r="F81" i="38"/>
  <c r="AC82" i="23"/>
  <c r="AC81" i="13"/>
  <c r="AC81" i="15"/>
  <c r="AC82" i="58"/>
  <c r="AC81" i="11"/>
  <c r="AC81" i="50"/>
  <c r="AC82" i="12"/>
  <c r="AC81" i="10"/>
  <c r="AC82" i="47"/>
  <c r="AC82" i="45"/>
  <c r="AC81" i="43"/>
  <c r="AC81" i="38"/>
  <c r="U82" i="23"/>
  <c r="U81" i="13"/>
  <c r="U81" i="15"/>
  <c r="U82" i="58"/>
  <c r="U81" i="11"/>
  <c r="U81" i="50"/>
  <c r="U82" i="12"/>
  <c r="U81" i="10"/>
  <c r="U82" i="47"/>
  <c r="U81" i="38"/>
  <c r="U82" i="45"/>
  <c r="U81" i="43"/>
  <c r="M82" i="23"/>
  <c r="M81" i="13"/>
  <c r="M81" i="15"/>
  <c r="M82" i="58"/>
  <c r="M81" i="11"/>
  <c r="M81" i="50"/>
  <c r="M82" i="12"/>
  <c r="M81" i="10"/>
  <c r="M82" i="47"/>
  <c r="M82" i="45"/>
  <c r="M81" i="38"/>
  <c r="M81" i="43"/>
  <c r="AB81" i="38"/>
  <c r="AB82" i="23"/>
  <c r="AB81" i="11"/>
  <c r="AB81" i="15"/>
  <c r="AB81" i="10"/>
  <c r="AB82" i="58"/>
  <c r="AB81" i="50"/>
  <c r="AB82" i="12"/>
  <c r="AB81" i="13"/>
  <c r="AB82" i="47"/>
  <c r="AB82" i="45"/>
  <c r="AB81" i="43"/>
  <c r="T81" i="38"/>
  <c r="T82" i="23"/>
  <c r="T81" i="11"/>
  <c r="T81" i="13"/>
  <c r="T81" i="15"/>
  <c r="T81" i="10"/>
  <c r="T82" i="58"/>
  <c r="T81" i="50"/>
  <c r="T82" i="12"/>
  <c r="T82" i="47"/>
  <c r="T81" i="43"/>
  <c r="T82" i="45"/>
  <c r="L81" i="38"/>
  <c r="L82" i="23"/>
  <c r="L81" i="11"/>
  <c r="L81" i="43"/>
  <c r="L81" i="15"/>
  <c r="L81" i="10"/>
  <c r="L82" i="58"/>
  <c r="L81" i="50"/>
  <c r="L82" i="12"/>
  <c r="L82" i="47"/>
  <c r="L81" i="13"/>
  <c r="L82" i="45"/>
  <c r="AA78" i="58"/>
  <c r="AA74" i="58"/>
  <c r="AB61" i="58"/>
  <c r="L66" i="23"/>
  <c r="C81" i="43" l="1"/>
  <c r="C81" i="13"/>
  <c r="C82" i="58"/>
  <c r="C82" i="12"/>
  <c r="C81" i="15"/>
  <c r="C81" i="50"/>
  <c r="N29" i="59" s="1"/>
  <c r="AN95" i="59" s="1"/>
  <c r="C82" i="45"/>
  <c r="L29" i="59" s="1"/>
  <c r="AN81" i="59" s="1"/>
  <c r="C82" i="47"/>
  <c r="M29" i="59" s="1"/>
  <c r="AN88" i="59" s="1"/>
  <c r="C81" i="11"/>
  <c r="C81" i="10"/>
  <c r="C82" i="23"/>
  <c r="H29" i="59" s="1"/>
  <c r="AN53" i="59" s="1"/>
  <c r="C81" i="38"/>
  <c r="I29" i="59" s="1"/>
  <c r="AN60" i="59" s="1"/>
  <c r="K29" i="59"/>
  <c r="AN74" i="59" s="1"/>
  <c r="O29" i="59"/>
  <c r="AN102" i="59" s="1"/>
  <c r="G29" i="59"/>
  <c r="AN39" i="59" s="1"/>
  <c r="J29" i="59"/>
  <c r="AN67" i="59" s="1"/>
  <c r="L67" i="23"/>
  <c r="L68" i="23" s="1"/>
  <c r="L67" i="58"/>
  <c r="L68" i="58" s="1"/>
  <c r="P67" i="23"/>
  <c r="P67" i="58"/>
  <c r="AB78" i="58"/>
  <c r="AB74" i="58"/>
  <c r="AC61" i="58"/>
  <c r="P66" i="23"/>
  <c r="P66" i="58"/>
  <c r="V66" i="23"/>
  <c r="V66" i="58"/>
  <c r="V67" i="23"/>
  <c r="V67" i="58"/>
  <c r="F66" i="23"/>
  <c r="F66" i="58"/>
  <c r="AA66" i="23"/>
  <c r="AA66" i="58"/>
  <c r="F67" i="23"/>
  <c r="F67" i="58"/>
  <c r="AA67" i="23"/>
  <c r="AA67" i="58"/>
  <c r="AA67" i="47"/>
  <c r="AA66" i="38"/>
  <c r="AA66" i="43"/>
  <c r="AA67" i="45"/>
  <c r="AA66" i="50"/>
  <c r="AA66" i="15"/>
  <c r="AA66" i="13"/>
  <c r="AA67" i="12"/>
  <c r="AA66" i="11"/>
  <c r="AA66" i="10"/>
  <c r="AB66" i="58"/>
  <c r="AA65" i="38"/>
  <c r="AA65" i="43"/>
  <c r="AA66" i="45"/>
  <c r="AA65" i="50"/>
  <c r="AA66" i="47"/>
  <c r="AA65" i="15"/>
  <c r="AA65" i="13"/>
  <c r="AA66" i="12"/>
  <c r="AA65" i="11"/>
  <c r="AA65" i="10"/>
  <c r="V67" i="47"/>
  <c r="V66" i="43"/>
  <c r="V66" i="50"/>
  <c r="V66" i="38"/>
  <c r="V67" i="45"/>
  <c r="V66" i="15"/>
  <c r="V66" i="13"/>
  <c r="V67" i="12"/>
  <c r="V66" i="11"/>
  <c r="V66" i="10"/>
  <c r="W66" i="58"/>
  <c r="V65" i="38"/>
  <c r="V66" i="45"/>
  <c r="V66" i="47"/>
  <c r="V65" i="43"/>
  <c r="V65" i="50"/>
  <c r="V65" i="15"/>
  <c r="V65" i="13"/>
  <c r="V66" i="12"/>
  <c r="V65" i="11"/>
  <c r="V65" i="10"/>
  <c r="P66" i="47"/>
  <c r="P66" i="45"/>
  <c r="P65" i="43"/>
  <c r="P65" i="50"/>
  <c r="P65" i="38"/>
  <c r="P65" i="15"/>
  <c r="P65" i="13"/>
  <c r="P66" i="12"/>
  <c r="P65" i="11"/>
  <c r="P65" i="10"/>
  <c r="P66" i="50"/>
  <c r="P66" i="38"/>
  <c r="P67" i="47"/>
  <c r="P66" i="43"/>
  <c r="P67" i="45"/>
  <c r="P66" i="15"/>
  <c r="P66" i="13"/>
  <c r="P67" i="12"/>
  <c r="P66" i="11"/>
  <c r="P66" i="10"/>
  <c r="L66" i="45"/>
  <c r="L65" i="38"/>
  <c r="L65" i="50"/>
  <c r="L66" i="47"/>
  <c r="L65" i="43"/>
  <c r="L65" i="15"/>
  <c r="L65" i="13"/>
  <c r="L66" i="12"/>
  <c r="L65" i="11"/>
  <c r="L65" i="10"/>
  <c r="L66" i="50"/>
  <c r="L67" i="47"/>
  <c r="L66" i="43"/>
  <c r="L66" i="38"/>
  <c r="L67" i="45"/>
  <c r="L66" i="15"/>
  <c r="L66" i="13"/>
  <c r="L67" i="12"/>
  <c r="L66" i="11"/>
  <c r="L66" i="10"/>
  <c r="F66" i="45"/>
  <c r="F65" i="38"/>
  <c r="F65" i="50"/>
  <c r="F66" i="47"/>
  <c r="F65" i="43"/>
  <c r="F65" i="15"/>
  <c r="F65" i="13"/>
  <c r="F66" i="12"/>
  <c r="F65" i="11"/>
  <c r="F65" i="10"/>
  <c r="F67" i="45"/>
  <c r="F66" i="38"/>
  <c r="F66" i="43"/>
  <c r="F67" i="47"/>
  <c r="F66" i="50"/>
  <c r="F66" i="15"/>
  <c r="F66" i="13"/>
  <c r="F67" i="12"/>
  <c r="F66" i="11"/>
  <c r="F66" i="10"/>
  <c r="C29" i="59" l="1"/>
  <c r="AN11" i="59" s="1"/>
  <c r="L67" i="43"/>
  <c r="D29" i="59"/>
  <c r="AN18" i="59" s="1"/>
  <c r="O46" i="59" s="1"/>
  <c r="F29" i="59"/>
  <c r="AN32" i="59" s="1"/>
  <c r="AA46" i="59" s="1"/>
  <c r="E29" i="59"/>
  <c r="AN25" i="59" s="1"/>
  <c r="C46" i="59"/>
  <c r="P68" i="23"/>
  <c r="V68" i="23"/>
  <c r="I46" i="59"/>
  <c r="AA68" i="23"/>
  <c r="M46" i="59"/>
  <c r="K46" i="59"/>
  <c r="F68" i="23"/>
  <c r="AA68" i="47"/>
  <c r="F68" i="58"/>
  <c r="AC78" i="58"/>
  <c r="AC74" i="58"/>
  <c r="Q66" i="23"/>
  <c r="Q66" i="58"/>
  <c r="AB67" i="23"/>
  <c r="AC67" i="58"/>
  <c r="AB67" i="58"/>
  <c r="AB68" i="58" s="1"/>
  <c r="AE61" i="58"/>
  <c r="AD61" i="58"/>
  <c r="Q67" i="23"/>
  <c r="Q67" i="58"/>
  <c r="W67" i="23"/>
  <c r="W67" i="58"/>
  <c r="W68" i="58" s="1"/>
  <c r="M67" i="23"/>
  <c r="M67" i="58"/>
  <c r="V68" i="58"/>
  <c r="G66" i="23"/>
  <c r="G66" i="58"/>
  <c r="AA68" i="58"/>
  <c r="P68" i="58"/>
  <c r="G67" i="23"/>
  <c r="G67" i="58"/>
  <c r="L68" i="45"/>
  <c r="M66" i="23"/>
  <c r="M66" i="58"/>
  <c r="W66" i="23"/>
  <c r="AC65" i="50"/>
  <c r="AB66" i="23"/>
  <c r="L67" i="15"/>
  <c r="AA68" i="45"/>
  <c r="F67" i="15"/>
  <c r="AA67" i="43"/>
  <c r="AA67" i="38"/>
  <c r="X65" i="43"/>
  <c r="L67" i="38"/>
  <c r="V67" i="38"/>
  <c r="AB66" i="47"/>
  <c r="AB65" i="38"/>
  <c r="AB65" i="43"/>
  <c r="AB66" i="45"/>
  <c r="AB65" i="50"/>
  <c r="AB65" i="15"/>
  <c r="AB65" i="13"/>
  <c r="AB66" i="12"/>
  <c r="AB65" i="11"/>
  <c r="AB65" i="10"/>
  <c r="AA67" i="15"/>
  <c r="V67" i="50"/>
  <c r="V68" i="47"/>
  <c r="AA67" i="50"/>
  <c r="V68" i="45"/>
  <c r="AA67" i="13"/>
  <c r="AB66" i="50"/>
  <c r="AB67" i="47"/>
  <c r="AB66" i="38"/>
  <c r="AB66" i="43"/>
  <c r="AB67" i="45"/>
  <c r="AB66" i="15"/>
  <c r="AB66" i="13"/>
  <c r="AB67" i="12"/>
  <c r="AB66" i="11"/>
  <c r="AB66" i="10"/>
  <c r="W65" i="38"/>
  <c r="W66" i="45"/>
  <c r="W66" i="47"/>
  <c r="W65" i="43"/>
  <c r="W65" i="50"/>
  <c r="W65" i="15"/>
  <c r="W65" i="13"/>
  <c r="W66" i="12"/>
  <c r="W65" i="11"/>
  <c r="W65" i="10"/>
  <c r="P68" i="45"/>
  <c r="V67" i="15"/>
  <c r="P67" i="13"/>
  <c r="P67" i="15"/>
  <c r="V67" i="43"/>
  <c r="P67" i="43"/>
  <c r="V67" i="13"/>
  <c r="W67" i="45"/>
  <c r="W67" i="47"/>
  <c r="W66" i="43"/>
  <c r="W66" i="50"/>
  <c r="W66" i="38"/>
  <c r="W66" i="15"/>
  <c r="W66" i="13"/>
  <c r="W67" i="12"/>
  <c r="W66" i="11"/>
  <c r="W66" i="10"/>
  <c r="P67" i="38"/>
  <c r="P67" i="50"/>
  <c r="Q66" i="50"/>
  <c r="Q66" i="38"/>
  <c r="Q67" i="47"/>
  <c r="Q67" i="45"/>
  <c r="Q66" i="43"/>
  <c r="Q66" i="15"/>
  <c r="Q66" i="13"/>
  <c r="Q67" i="12"/>
  <c r="Q66" i="11"/>
  <c r="Q66" i="10"/>
  <c r="Q66" i="47"/>
  <c r="Q65" i="43"/>
  <c r="Q66" i="45"/>
  <c r="Q65" i="50"/>
  <c r="Q65" i="38"/>
  <c r="Q65" i="15"/>
  <c r="Q65" i="13"/>
  <c r="Q66" i="12"/>
  <c r="Q65" i="11"/>
  <c r="Q65" i="10"/>
  <c r="P68" i="47"/>
  <c r="L68" i="47"/>
  <c r="F68" i="47"/>
  <c r="L67" i="50"/>
  <c r="M66" i="38"/>
  <c r="M66" i="50"/>
  <c r="M67" i="47"/>
  <c r="M66" i="43"/>
  <c r="M67" i="45"/>
  <c r="M66" i="15"/>
  <c r="M66" i="13"/>
  <c r="M67" i="12"/>
  <c r="M66" i="11"/>
  <c r="M66" i="10"/>
  <c r="M66" i="45"/>
  <c r="M65" i="38"/>
  <c r="M65" i="43"/>
  <c r="M65" i="50"/>
  <c r="M66" i="47"/>
  <c r="M65" i="15"/>
  <c r="M65" i="13"/>
  <c r="M66" i="12"/>
  <c r="M65" i="11"/>
  <c r="M65" i="10"/>
  <c r="L67" i="13"/>
  <c r="F67" i="43"/>
  <c r="F67" i="50"/>
  <c r="F67" i="13"/>
  <c r="F67" i="38"/>
  <c r="G66" i="45"/>
  <c r="G65" i="38"/>
  <c r="G66" i="47"/>
  <c r="G65" i="50"/>
  <c r="G65" i="43"/>
  <c r="G65" i="15"/>
  <c r="G65" i="13"/>
  <c r="G66" i="12"/>
  <c r="G65" i="11"/>
  <c r="G65" i="10"/>
  <c r="G66" i="43"/>
  <c r="G67" i="45"/>
  <c r="G66" i="38"/>
  <c r="G66" i="50"/>
  <c r="G67" i="47"/>
  <c r="G66" i="15"/>
  <c r="G66" i="13"/>
  <c r="G67" i="12"/>
  <c r="G66" i="11"/>
  <c r="G66" i="10"/>
  <c r="F68" i="45"/>
  <c r="U46" i="59" l="1"/>
  <c r="W46" i="59"/>
  <c r="Y46" i="59"/>
  <c r="E46" i="59"/>
  <c r="G46" i="59"/>
  <c r="Q46" i="59"/>
  <c r="S46" i="59"/>
  <c r="Q68" i="23"/>
  <c r="G68" i="23"/>
  <c r="Q68" i="58"/>
  <c r="Y66" i="23"/>
  <c r="AB68" i="23"/>
  <c r="W68" i="23"/>
  <c r="AC65" i="10"/>
  <c r="AC65" i="13"/>
  <c r="G68" i="58"/>
  <c r="AC65" i="15"/>
  <c r="R67" i="23"/>
  <c r="R67" i="58"/>
  <c r="X65" i="13"/>
  <c r="H66" i="23"/>
  <c r="H66" i="58"/>
  <c r="X65" i="15"/>
  <c r="M68" i="23"/>
  <c r="N67" i="23"/>
  <c r="N67" i="58"/>
  <c r="H67" i="23"/>
  <c r="H67" i="58"/>
  <c r="AD66" i="23"/>
  <c r="AD66" i="58"/>
  <c r="R66" i="23"/>
  <c r="R66" i="58"/>
  <c r="X67" i="23"/>
  <c r="X67" i="58"/>
  <c r="AC67" i="23"/>
  <c r="AC66" i="23"/>
  <c r="AC66" i="58"/>
  <c r="AC68" i="58" s="1"/>
  <c r="AD78" i="58"/>
  <c r="AD74" i="58"/>
  <c r="X66" i="23"/>
  <c r="X66" i="58"/>
  <c r="AE78" i="58"/>
  <c r="AE74" i="58"/>
  <c r="X66" i="12"/>
  <c r="AC66" i="12"/>
  <c r="M68" i="58"/>
  <c r="N66" i="23"/>
  <c r="N66" i="58"/>
  <c r="X66" i="47"/>
  <c r="X65" i="10"/>
  <c r="X65" i="50"/>
  <c r="AC66" i="45"/>
  <c r="AC65" i="43"/>
  <c r="G67" i="43"/>
  <c r="X66" i="45"/>
  <c r="AC65" i="38"/>
  <c r="X65" i="11"/>
  <c r="X65" i="38"/>
  <c r="AB68" i="45"/>
  <c r="AC65" i="11"/>
  <c r="AC66" i="47"/>
  <c r="W67" i="38"/>
  <c r="W68" i="47"/>
  <c r="G67" i="13"/>
  <c r="AB67" i="15"/>
  <c r="Q67" i="15"/>
  <c r="M67" i="38"/>
  <c r="AB68" i="47"/>
  <c r="W67" i="43"/>
  <c r="AC67" i="45"/>
  <c r="AC66" i="50"/>
  <c r="AC67" i="50" s="1"/>
  <c r="AC67" i="47"/>
  <c r="AC66" i="38"/>
  <c r="AC66" i="43"/>
  <c r="AC66" i="15"/>
  <c r="AC66" i="13"/>
  <c r="AC67" i="12"/>
  <c r="AC66" i="11"/>
  <c r="AC66" i="10"/>
  <c r="AB67" i="13"/>
  <c r="AD66" i="45"/>
  <c r="AD65" i="50"/>
  <c r="AD66" i="47"/>
  <c r="AD65" i="38"/>
  <c r="AD65" i="43"/>
  <c r="AD65" i="15"/>
  <c r="AD65" i="13"/>
  <c r="AD66" i="12"/>
  <c r="AD65" i="11"/>
  <c r="AD65" i="10"/>
  <c r="AB67" i="43"/>
  <c r="W67" i="50"/>
  <c r="AB67" i="38"/>
  <c r="AB67" i="50"/>
  <c r="Y67" i="58"/>
  <c r="X66" i="38"/>
  <c r="X67" i="45"/>
  <c r="X67" i="47"/>
  <c r="X66" i="43"/>
  <c r="X67" i="43" s="1"/>
  <c r="X66" i="50"/>
  <c r="X66" i="15"/>
  <c r="X66" i="13"/>
  <c r="X67" i="12"/>
  <c r="X66" i="11"/>
  <c r="X66" i="10"/>
  <c r="Q67" i="38"/>
  <c r="W68" i="45"/>
  <c r="W67" i="13"/>
  <c r="Y65" i="13"/>
  <c r="Q67" i="50"/>
  <c r="Q67" i="13"/>
  <c r="Q68" i="45"/>
  <c r="W67" i="15"/>
  <c r="R65" i="50"/>
  <c r="R65" i="38"/>
  <c r="R66" i="47"/>
  <c r="R65" i="43"/>
  <c r="R66" i="45"/>
  <c r="R65" i="15"/>
  <c r="R65" i="13"/>
  <c r="R66" i="12"/>
  <c r="R65" i="11"/>
  <c r="R65" i="10"/>
  <c r="Q68" i="47"/>
  <c r="M68" i="45"/>
  <c r="M67" i="43"/>
  <c r="M68" i="47"/>
  <c r="R67" i="45"/>
  <c r="R66" i="50"/>
  <c r="R66" i="38"/>
  <c r="R67" i="47"/>
  <c r="R66" i="43"/>
  <c r="R66" i="15"/>
  <c r="R66" i="13"/>
  <c r="R67" i="12"/>
  <c r="R66" i="11"/>
  <c r="R66" i="10"/>
  <c r="M67" i="13"/>
  <c r="M67" i="15"/>
  <c r="Q67" i="43"/>
  <c r="N66" i="47"/>
  <c r="N65" i="43"/>
  <c r="N66" i="45"/>
  <c r="N65" i="38"/>
  <c r="N65" i="50"/>
  <c r="N65" i="15"/>
  <c r="N65" i="13"/>
  <c r="N66" i="12"/>
  <c r="N65" i="11"/>
  <c r="N65" i="10"/>
  <c r="N66" i="38"/>
  <c r="N66" i="50"/>
  <c r="N67" i="45"/>
  <c r="N67" i="47"/>
  <c r="N66" i="43"/>
  <c r="N66" i="15"/>
  <c r="N66" i="13"/>
  <c r="N67" i="12"/>
  <c r="N66" i="11"/>
  <c r="N66" i="10"/>
  <c r="M67" i="50"/>
  <c r="G68" i="45"/>
  <c r="G67" i="15"/>
  <c r="H66" i="45"/>
  <c r="H65" i="38"/>
  <c r="H66" i="47"/>
  <c r="H65" i="50"/>
  <c r="H65" i="43"/>
  <c r="H65" i="15"/>
  <c r="H65" i="13"/>
  <c r="H66" i="12"/>
  <c r="H65" i="11"/>
  <c r="H65" i="10"/>
  <c r="G67" i="38"/>
  <c r="G67" i="50"/>
  <c r="H66" i="50"/>
  <c r="H66" i="43"/>
  <c r="H67" i="45"/>
  <c r="H66" i="38"/>
  <c r="H67" i="47"/>
  <c r="H66" i="15"/>
  <c r="H66" i="13"/>
  <c r="H67" i="12"/>
  <c r="H66" i="11"/>
  <c r="H66" i="10"/>
  <c r="G68" i="47"/>
  <c r="C74" i="58" l="1"/>
  <c r="C78" i="58"/>
  <c r="X68" i="58"/>
  <c r="H68" i="23"/>
  <c r="X68" i="23"/>
  <c r="Y65" i="15"/>
  <c r="Y66" i="47"/>
  <c r="Y66" i="45"/>
  <c r="Y65" i="38"/>
  <c r="Y65" i="10"/>
  <c r="Y65" i="43"/>
  <c r="Y65" i="11"/>
  <c r="Y65" i="50"/>
  <c r="Y66" i="12"/>
  <c r="Y66" i="58"/>
  <c r="Y68" i="58" s="1"/>
  <c r="N68" i="23"/>
  <c r="R68" i="23"/>
  <c r="X67" i="15"/>
  <c r="AC68" i="23"/>
  <c r="AC67" i="43"/>
  <c r="AC67" i="15"/>
  <c r="N68" i="58"/>
  <c r="AC68" i="45"/>
  <c r="AC67" i="13"/>
  <c r="R68" i="58"/>
  <c r="X67" i="13"/>
  <c r="H68" i="58"/>
  <c r="S66" i="23"/>
  <c r="S66" i="58"/>
  <c r="R67" i="13"/>
  <c r="I66" i="23"/>
  <c r="I66" i="58"/>
  <c r="S67" i="23"/>
  <c r="S67" i="58"/>
  <c r="I67" i="23"/>
  <c r="I67" i="58"/>
  <c r="X67" i="50"/>
  <c r="X68" i="47"/>
  <c r="X68" i="45"/>
  <c r="N67" i="15"/>
  <c r="AD67" i="23"/>
  <c r="AD67" i="58"/>
  <c r="X67" i="38"/>
  <c r="AC67" i="38"/>
  <c r="AC68" i="47"/>
  <c r="Y67" i="23"/>
  <c r="Y68" i="23" s="1"/>
  <c r="N67" i="13"/>
  <c r="H68" i="45"/>
  <c r="H67" i="38"/>
  <c r="AD66" i="43"/>
  <c r="AD67" i="45"/>
  <c r="AD66" i="50"/>
  <c r="AD67" i="47"/>
  <c r="AD66" i="38"/>
  <c r="AD66" i="15"/>
  <c r="AD66" i="13"/>
  <c r="AD67" i="12"/>
  <c r="AD66" i="11"/>
  <c r="AD66" i="10"/>
  <c r="R67" i="15"/>
  <c r="R68" i="45"/>
  <c r="Y66" i="38"/>
  <c r="Y67" i="45"/>
  <c r="Y67" i="47"/>
  <c r="Y66" i="43"/>
  <c r="Y66" i="50"/>
  <c r="Y66" i="15"/>
  <c r="Y66" i="13"/>
  <c r="Y67" i="13" s="1"/>
  <c r="Y67" i="12"/>
  <c r="Y66" i="11"/>
  <c r="Y66" i="10"/>
  <c r="R67" i="43"/>
  <c r="R68" i="47"/>
  <c r="R67" i="38"/>
  <c r="R67" i="50"/>
  <c r="S66" i="43"/>
  <c r="S67" i="45"/>
  <c r="S66" i="38"/>
  <c r="S66" i="50"/>
  <c r="S67" i="47"/>
  <c r="S66" i="15"/>
  <c r="S66" i="13"/>
  <c r="S67" i="12"/>
  <c r="S66" i="11"/>
  <c r="S66" i="10"/>
  <c r="S65" i="50"/>
  <c r="S65" i="38"/>
  <c r="S66" i="47"/>
  <c r="S65" i="43"/>
  <c r="S66" i="45"/>
  <c r="S65" i="15"/>
  <c r="S65" i="13"/>
  <c r="S66" i="12"/>
  <c r="S65" i="11"/>
  <c r="S65" i="10"/>
  <c r="N67" i="50"/>
  <c r="N67" i="38"/>
  <c r="N68" i="45"/>
  <c r="N67" i="43"/>
  <c r="N68" i="47"/>
  <c r="H67" i="15"/>
  <c r="H67" i="50"/>
  <c r="H68" i="47"/>
  <c r="I65" i="50"/>
  <c r="I66" i="45"/>
  <c r="I65" i="38"/>
  <c r="I66" i="47"/>
  <c r="I65" i="43"/>
  <c r="I65" i="15"/>
  <c r="I65" i="13"/>
  <c r="I66" i="12"/>
  <c r="I65" i="11"/>
  <c r="I65" i="10"/>
  <c r="I67" i="47"/>
  <c r="I66" i="50"/>
  <c r="I66" i="43"/>
  <c r="I67" i="45"/>
  <c r="I66" i="38"/>
  <c r="I66" i="15"/>
  <c r="I66" i="13"/>
  <c r="I67" i="12"/>
  <c r="I66" i="11"/>
  <c r="I66" i="10"/>
  <c r="H67" i="43"/>
  <c r="H67" i="13"/>
  <c r="AD68" i="47" l="1"/>
  <c r="Y67" i="15"/>
  <c r="AD67" i="43"/>
  <c r="AD68" i="23"/>
  <c r="AD67" i="50"/>
  <c r="AD67" i="13"/>
  <c r="AD67" i="15"/>
  <c r="AD67" i="38"/>
  <c r="AD68" i="45"/>
  <c r="Y68" i="47"/>
  <c r="Y68" i="45"/>
  <c r="Y67" i="43"/>
  <c r="Y67" i="50"/>
  <c r="Y67" i="38"/>
  <c r="S68" i="23"/>
  <c r="I68" i="23"/>
  <c r="J66" i="23"/>
  <c r="J66" i="58"/>
  <c r="T66" i="23"/>
  <c r="T66" i="58"/>
  <c r="S68" i="58"/>
  <c r="J67" i="23"/>
  <c r="J67" i="58"/>
  <c r="T67" i="23"/>
  <c r="T67" i="58"/>
  <c r="I68" i="58"/>
  <c r="I67" i="38"/>
  <c r="AD68" i="58"/>
  <c r="S67" i="50"/>
  <c r="S67" i="43"/>
  <c r="S67" i="38"/>
  <c r="S68" i="45"/>
  <c r="S67" i="13"/>
  <c r="S68" i="47"/>
  <c r="T66" i="43"/>
  <c r="T66" i="38"/>
  <c r="T67" i="45"/>
  <c r="T66" i="50"/>
  <c r="T67" i="47"/>
  <c r="T66" i="15"/>
  <c r="T66" i="13"/>
  <c r="T67" i="12"/>
  <c r="T66" i="11"/>
  <c r="T66" i="10"/>
  <c r="T66" i="45"/>
  <c r="T65" i="50"/>
  <c r="T65" i="38"/>
  <c r="T66" i="47"/>
  <c r="T65" i="43"/>
  <c r="T65" i="15"/>
  <c r="T65" i="13"/>
  <c r="T66" i="12"/>
  <c r="T65" i="11"/>
  <c r="T65" i="10"/>
  <c r="S67" i="15"/>
  <c r="I67" i="43"/>
  <c r="I67" i="15"/>
  <c r="J67" i="47"/>
  <c r="J67" i="45"/>
  <c r="J66" i="50"/>
  <c r="C66" i="50" s="1"/>
  <c r="J66" i="43"/>
  <c r="C66" i="43" s="1"/>
  <c r="J66" i="38"/>
  <c r="C66" i="38" s="1"/>
  <c r="J66" i="15"/>
  <c r="J66" i="13"/>
  <c r="C66" i="13" s="1"/>
  <c r="J67" i="12"/>
  <c r="C67" i="12" s="1"/>
  <c r="J66" i="11"/>
  <c r="C66" i="11" s="1"/>
  <c r="J66" i="10"/>
  <c r="C66" i="10" s="1"/>
  <c r="I68" i="47"/>
  <c r="I68" i="45"/>
  <c r="I67" i="50"/>
  <c r="I67" i="13"/>
  <c r="J65" i="50"/>
  <c r="C65" i="50" s="1"/>
  <c r="J65" i="43"/>
  <c r="C65" i="43" s="1"/>
  <c r="J66" i="47"/>
  <c r="J66" i="45"/>
  <c r="J65" i="38"/>
  <c r="C65" i="38" s="1"/>
  <c r="J65" i="15"/>
  <c r="C65" i="15" s="1"/>
  <c r="J65" i="13"/>
  <c r="C65" i="13" s="1"/>
  <c r="J66" i="12"/>
  <c r="C66" i="12" s="1"/>
  <c r="J65" i="11"/>
  <c r="C65" i="11" s="1"/>
  <c r="J65" i="10"/>
  <c r="C65" i="10" s="1"/>
  <c r="C66" i="15" l="1"/>
  <c r="C67" i="47"/>
  <c r="C66" i="47"/>
  <c r="C67" i="58"/>
  <c r="C67" i="23"/>
  <c r="C66" i="58"/>
  <c r="C66" i="23"/>
  <c r="C67" i="45"/>
  <c r="C66" i="45"/>
  <c r="T68" i="58"/>
  <c r="J68" i="23"/>
  <c r="T68" i="23"/>
  <c r="J68" i="58"/>
  <c r="C68" i="58" s="1"/>
  <c r="J68" i="45"/>
  <c r="J68" i="47"/>
  <c r="T67" i="50"/>
  <c r="T68" i="47"/>
  <c r="T68" i="45"/>
  <c r="T67" i="15"/>
  <c r="T67" i="38"/>
  <c r="T67" i="13"/>
  <c r="T67" i="43"/>
  <c r="J67" i="50"/>
  <c r="C67" i="50" s="1"/>
  <c r="J67" i="13"/>
  <c r="C67" i="13" s="1"/>
  <c r="J67" i="38"/>
  <c r="J67" i="43"/>
  <c r="J67" i="15"/>
  <c r="C67" i="15" s="1"/>
  <c r="C67" i="43" l="1"/>
  <c r="C68" i="47"/>
  <c r="C68" i="45"/>
  <c r="C68" i="23"/>
  <c r="C67" i="38"/>
  <c r="O26" i="59"/>
  <c r="AN99" i="59" s="1"/>
  <c r="AQ13" i="18" l="1"/>
  <c r="AD70" i="23" l="1"/>
  <c r="AD70" i="45"/>
  <c r="AD69" i="50"/>
  <c r="AD69" i="43"/>
  <c r="AD69" i="38"/>
  <c r="AD70" i="47"/>
  <c r="AD69" i="15"/>
  <c r="AD69" i="13"/>
  <c r="AD70" i="12"/>
  <c r="AD69" i="11"/>
  <c r="AD69" i="10"/>
  <c r="AE70" i="23"/>
  <c r="AE69" i="50"/>
  <c r="AE70" i="47"/>
  <c r="AE70" i="45"/>
  <c r="AE69" i="43"/>
  <c r="AE69" i="38"/>
  <c r="AE69" i="15"/>
  <c r="AE69" i="13"/>
  <c r="AE70" i="12"/>
  <c r="AE69" i="11"/>
  <c r="C69" i="11" s="1"/>
  <c r="AE69" i="10"/>
  <c r="AD71" i="23"/>
  <c r="AD70" i="38"/>
  <c r="AD71" i="47"/>
  <c r="AD71" i="45"/>
  <c r="AD70" i="50"/>
  <c r="AD70" i="43"/>
  <c r="AD70" i="15"/>
  <c r="AD70" i="13"/>
  <c r="AD71" i="12"/>
  <c r="AD70" i="11"/>
  <c r="AD70" i="10"/>
  <c r="AE71" i="23"/>
  <c r="AE70" i="38"/>
  <c r="AE70" i="50"/>
  <c r="AE71" i="47"/>
  <c r="AE71" i="45"/>
  <c r="AE70" i="43"/>
  <c r="AE70" i="15"/>
  <c r="AE70" i="13"/>
  <c r="AE71" i="12"/>
  <c r="AE70" i="11"/>
  <c r="AE70" i="10"/>
  <c r="C71" i="12" l="1"/>
  <c r="C71" i="23"/>
  <c r="C69" i="10"/>
  <c r="C69" i="13"/>
  <c r="C69" i="15"/>
  <c r="C70" i="13"/>
  <c r="AD72" i="47"/>
  <c r="C70" i="47"/>
  <c r="C70" i="15"/>
  <c r="C70" i="43"/>
  <c r="C69" i="43"/>
  <c r="C70" i="50"/>
  <c r="C69" i="50"/>
  <c r="C70" i="11"/>
  <c r="C71" i="47"/>
  <c r="C70" i="12"/>
  <c r="C70" i="23"/>
  <c r="C70" i="10"/>
  <c r="AD71" i="38"/>
  <c r="C69" i="38"/>
  <c r="C70" i="38"/>
  <c r="C71" i="45"/>
  <c r="C70" i="45"/>
  <c r="AD72" i="45"/>
  <c r="AD72" i="12"/>
  <c r="AD71" i="43"/>
  <c r="AE71" i="15"/>
  <c r="AE72" i="23"/>
  <c r="AE72" i="47"/>
  <c r="AD71" i="15"/>
  <c r="AE71" i="13"/>
  <c r="AE72" i="12"/>
  <c r="AE71" i="38"/>
  <c r="AD71" i="50"/>
  <c r="AE71" i="43"/>
  <c r="AE71" i="50"/>
  <c r="AE72" i="45"/>
  <c r="AD71" i="13"/>
  <c r="AD72" i="23"/>
  <c r="C72" i="23" s="1"/>
  <c r="H24" i="59" s="1"/>
  <c r="C72" i="12" l="1"/>
  <c r="E24" i="59" s="1"/>
  <c r="C71" i="50"/>
  <c r="N24" i="59" s="1"/>
  <c r="C71" i="43"/>
  <c r="K24" i="59" s="1"/>
  <c r="C72" i="45"/>
  <c r="L24" i="59" s="1"/>
  <c r="C72" i="47"/>
  <c r="M24" i="59" s="1"/>
  <c r="C71" i="15"/>
  <c r="G24" i="59" s="1"/>
  <c r="C71" i="38"/>
  <c r="I24" i="59" s="1"/>
  <c r="AA8" i="58"/>
  <c r="AA53" i="58" s="1"/>
  <c r="AA9" i="58"/>
  <c r="AA54" i="58" s="1"/>
  <c r="AA10" i="58"/>
  <c r="AA55" i="58" s="1"/>
  <c r="V5" i="58"/>
  <c r="V47" i="58" s="1"/>
  <c r="V12" i="58"/>
  <c r="V57" i="58" s="1"/>
  <c r="V4" i="58"/>
  <c r="V46" i="58" s="1"/>
  <c r="V9" i="58"/>
  <c r="V54" i="58" s="1"/>
  <c r="AA11" i="58"/>
  <c r="AA56" i="58" s="1"/>
  <c r="V8" i="58"/>
  <c r="V53" i="58" s="1"/>
  <c r="V10" i="58"/>
  <c r="V55" i="58" s="1"/>
  <c r="AA7" i="58"/>
  <c r="AA49" i="58" s="1"/>
  <c r="AA12" i="58"/>
  <c r="AA57" i="58" s="1"/>
  <c r="AA4" i="58"/>
  <c r="AA46" i="58" s="1"/>
  <c r="V11" i="58"/>
  <c r="V56" i="58" s="1"/>
  <c r="V7" i="58"/>
  <c r="V49" i="58" s="1"/>
  <c r="V6" i="58"/>
  <c r="V48" i="58" s="1"/>
  <c r="AA6" i="58"/>
  <c r="AA48" i="58" s="1"/>
  <c r="AA5" i="58"/>
  <c r="AA47" i="58" s="1"/>
  <c r="AA3" i="58"/>
  <c r="AA45" i="58" s="1"/>
  <c r="AB4" i="58" l="1"/>
  <c r="AB46" i="58" s="1"/>
  <c r="P9" i="58"/>
  <c r="P54" i="58" s="1"/>
  <c r="W6" i="58"/>
  <c r="W48" i="58" s="1"/>
  <c r="AB12" i="58"/>
  <c r="AB57" i="58" s="1"/>
  <c r="AB11" i="58"/>
  <c r="AB56" i="58" s="1"/>
  <c r="W5" i="58"/>
  <c r="W47" i="58" s="1"/>
  <c r="P11" i="58"/>
  <c r="P56" i="58" s="1"/>
  <c r="W12" i="58"/>
  <c r="W57" i="58" s="1"/>
  <c r="P7" i="58"/>
  <c r="P49" i="58" s="1"/>
  <c r="AB8" i="58"/>
  <c r="AB53" i="58" s="1"/>
  <c r="P6" i="58"/>
  <c r="P48" i="58" s="1"/>
  <c r="W7" i="58"/>
  <c r="W49" i="58" s="1"/>
  <c r="AB7" i="58"/>
  <c r="AB49" i="58" s="1"/>
  <c r="W9" i="58"/>
  <c r="W54" i="58" s="1"/>
  <c r="AB10" i="58"/>
  <c r="AB55" i="58" s="1"/>
  <c r="W8" i="58"/>
  <c r="W53" i="58" s="1"/>
  <c r="P5" i="58"/>
  <c r="P47" i="58" s="1"/>
  <c r="AB5" i="58"/>
  <c r="AB47" i="58" s="1"/>
  <c r="W11" i="58"/>
  <c r="W56" i="58" s="1"/>
  <c r="W10" i="58"/>
  <c r="W55" i="58" s="1"/>
  <c r="W4" i="58"/>
  <c r="W46" i="58" s="1"/>
  <c r="AB9" i="58"/>
  <c r="AB54" i="58" s="1"/>
  <c r="AB6" i="58"/>
  <c r="AB48" i="58" s="1"/>
  <c r="P10" i="58"/>
  <c r="P55" i="58" s="1"/>
  <c r="P12" i="58"/>
  <c r="P57" i="58" s="1"/>
  <c r="AB3" i="58"/>
  <c r="AB45" i="58" s="1"/>
  <c r="Q3" i="58"/>
  <c r="Q45" i="58" s="1"/>
  <c r="Q4" i="58"/>
  <c r="Q46" i="58" s="1"/>
  <c r="L12" i="58"/>
  <c r="L57" i="58" s="1"/>
  <c r="Q10" i="58" l="1"/>
  <c r="Q55" i="58" s="1"/>
  <c r="Y10" i="58"/>
  <c r="Y55" i="58" s="1"/>
  <c r="X10" i="58"/>
  <c r="X55" i="58" s="1"/>
  <c r="Y8" i="58"/>
  <c r="Y53" i="58" s="1"/>
  <c r="X8" i="58"/>
  <c r="X53" i="58" s="1"/>
  <c r="Y7" i="58"/>
  <c r="Y49" i="58" s="1"/>
  <c r="X7" i="58"/>
  <c r="X49" i="58" s="1"/>
  <c r="Y12" i="58"/>
  <c r="Y57" i="58" s="1"/>
  <c r="X12" i="58"/>
  <c r="X57" i="58" s="1"/>
  <c r="AD12" i="58"/>
  <c r="AD57" i="58" s="1"/>
  <c r="AC12" i="58"/>
  <c r="AC57" i="58" s="1"/>
  <c r="AD6" i="58"/>
  <c r="AD48" i="58" s="1"/>
  <c r="AC6" i="58"/>
  <c r="AC48" i="58" s="1"/>
  <c r="Y11" i="58"/>
  <c r="Y56" i="58" s="1"/>
  <c r="X11" i="58"/>
  <c r="X56" i="58" s="1"/>
  <c r="AD10" i="58"/>
  <c r="AD55" i="58" s="1"/>
  <c r="AC10" i="58"/>
  <c r="AC55" i="58" s="1"/>
  <c r="Q6" i="58"/>
  <c r="Q48" i="58" s="1"/>
  <c r="Q11" i="58"/>
  <c r="Q56" i="58" s="1"/>
  <c r="Y6" i="58"/>
  <c r="Y48" i="58" s="1"/>
  <c r="X6" i="58"/>
  <c r="X48" i="58" s="1"/>
  <c r="N12" i="58"/>
  <c r="N57" i="58" s="1"/>
  <c r="M12" i="58"/>
  <c r="M57" i="58" s="1"/>
  <c r="L3" i="58"/>
  <c r="L45" i="58" s="1"/>
  <c r="L11" i="58"/>
  <c r="L56" i="58" s="1"/>
  <c r="L7" i="58"/>
  <c r="L49" i="58" s="1"/>
  <c r="AD9" i="58"/>
  <c r="AD54" i="58" s="1"/>
  <c r="AC9" i="58"/>
  <c r="AC54" i="58" s="1"/>
  <c r="AD5" i="58"/>
  <c r="AD47" i="58" s="1"/>
  <c r="AC5" i="58"/>
  <c r="AC47" i="58" s="1"/>
  <c r="Y9" i="58"/>
  <c r="Y54" i="58" s="1"/>
  <c r="X9" i="58"/>
  <c r="X54" i="58" s="1"/>
  <c r="AD8" i="58"/>
  <c r="AD53" i="58" s="1"/>
  <c r="AC8" i="58"/>
  <c r="AC53" i="58" s="1"/>
  <c r="Y5" i="58"/>
  <c r="Y47" i="58" s="1"/>
  <c r="X5" i="58"/>
  <c r="X47" i="58" s="1"/>
  <c r="Q9" i="58"/>
  <c r="Q54" i="58" s="1"/>
  <c r="L8" i="58"/>
  <c r="L53" i="58" s="1"/>
  <c r="L10" i="58"/>
  <c r="L55" i="58" s="1"/>
  <c r="L6" i="58"/>
  <c r="L48" i="58" s="1"/>
  <c r="L9" i="58"/>
  <c r="L54" i="58" s="1"/>
  <c r="L5" i="58"/>
  <c r="L47" i="58" s="1"/>
  <c r="P8" i="58"/>
  <c r="P53" i="58" s="1"/>
  <c r="Q12" i="58"/>
  <c r="Q57" i="58" s="1"/>
  <c r="Y4" i="58"/>
  <c r="Y46" i="58" s="1"/>
  <c r="X4" i="58"/>
  <c r="X46" i="58" s="1"/>
  <c r="Q5" i="58"/>
  <c r="Q47" i="58" s="1"/>
  <c r="AD7" i="58"/>
  <c r="AD49" i="58" s="1"/>
  <c r="AC7" i="58"/>
  <c r="AC49" i="58" s="1"/>
  <c r="Q7" i="58"/>
  <c r="Q49" i="58" s="1"/>
  <c r="AD11" i="58"/>
  <c r="AD56" i="58" s="1"/>
  <c r="AC11" i="58"/>
  <c r="AC56" i="58" s="1"/>
  <c r="AD4" i="58"/>
  <c r="AD46" i="58" s="1"/>
  <c r="AC4" i="58"/>
  <c r="AC46" i="58" s="1"/>
  <c r="AD3" i="58"/>
  <c r="AD45" i="58" s="1"/>
  <c r="AC3" i="58"/>
  <c r="AC45" i="58" s="1"/>
  <c r="R3" i="58"/>
  <c r="R45" i="58" s="1"/>
  <c r="R4" i="58"/>
  <c r="R46" i="58" s="1"/>
  <c r="N4" i="58"/>
  <c r="N46" i="58" s="1"/>
  <c r="M4" i="58"/>
  <c r="M46" i="58" s="1"/>
  <c r="R12" i="58" l="1"/>
  <c r="R57" i="58" s="1"/>
  <c r="Q8" i="58"/>
  <c r="Q53" i="58" s="1"/>
  <c r="N7" i="58"/>
  <c r="N49" i="58" s="1"/>
  <c r="M7" i="58"/>
  <c r="M49" i="58" s="1"/>
  <c r="N10" i="58"/>
  <c r="N55" i="58" s="1"/>
  <c r="M10" i="58"/>
  <c r="M55" i="58" s="1"/>
  <c r="R10" i="58"/>
  <c r="R55" i="58" s="1"/>
  <c r="N8" i="58"/>
  <c r="N53" i="58" s="1"/>
  <c r="M8" i="58"/>
  <c r="M53" i="58" s="1"/>
  <c r="N11" i="58"/>
  <c r="N56" i="58" s="1"/>
  <c r="M11" i="58"/>
  <c r="M56" i="58" s="1"/>
  <c r="R11" i="58"/>
  <c r="R56" i="58" s="1"/>
  <c r="N6" i="58"/>
  <c r="N48" i="58" s="1"/>
  <c r="M6" i="58"/>
  <c r="M48" i="58" s="1"/>
  <c r="R9" i="58"/>
  <c r="R54" i="58" s="1"/>
  <c r="N3" i="58"/>
  <c r="N45" i="58" s="1"/>
  <c r="M3" i="58"/>
  <c r="M45" i="58" s="1"/>
  <c r="R6" i="58"/>
  <c r="R48" i="58" s="1"/>
  <c r="R7" i="58"/>
  <c r="R49" i="58" s="1"/>
  <c r="R5" i="58"/>
  <c r="R47" i="58" s="1"/>
  <c r="N5" i="58"/>
  <c r="N47" i="58" s="1"/>
  <c r="M5" i="58"/>
  <c r="M47" i="58" s="1"/>
  <c r="N9" i="58"/>
  <c r="N54" i="58" s="1"/>
  <c r="M9" i="58"/>
  <c r="M54" i="58" s="1"/>
  <c r="T3" i="58"/>
  <c r="T45" i="58" s="1"/>
  <c r="S3" i="58"/>
  <c r="S45" i="58" s="1"/>
  <c r="T4" i="58"/>
  <c r="T46" i="58" s="1"/>
  <c r="S4" i="58"/>
  <c r="S46" i="58" s="1"/>
  <c r="T11" i="58" l="1"/>
  <c r="T56" i="58" s="1"/>
  <c r="S11" i="58"/>
  <c r="S56" i="58" s="1"/>
  <c r="T6" i="58"/>
  <c r="T48" i="58" s="1"/>
  <c r="S6" i="58"/>
  <c r="S48" i="58" s="1"/>
  <c r="T5" i="58"/>
  <c r="T47" i="58" s="1"/>
  <c r="S5" i="58"/>
  <c r="S47" i="58" s="1"/>
  <c r="R8" i="58"/>
  <c r="R53" i="58" s="1"/>
  <c r="T9" i="58"/>
  <c r="T54" i="58" s="1"/>
  <c r="S9" i="58"/>
  <c r="S54" i="58" s="1"/>
  <c r="T7" i="58"/>
  <c r="T49" i="58" s="1"/>
  <c r="S7" i="58"/>
  <c r="S49" i="58" s="1"/>
  <c r="T10" i="58"/>
  <c r="T55" i="58" s="1"/>
  <c r="S10" i="58"/>
  <c r="S55" i="58" s="1"/>
  <c r="T12" i="58"/>
  <c r="T57" i="58" s="1"/>
  <c r="S12" i="58"/>
  <c r="S57" i="58" s="1"/>
  <c r="N47" i="18"/>
  <c r="L47" i="18"/>
  <c r="J47" i="18"/>
  <c r="H47" i="18"/>
  <c r="F47" i="18"/>
  <c r="G47" i="18" s="1"/>
  <c r="I47" i="18" l="1"/>
  <c r="I46" i="18" s="1"/>
  <c r="T8" i="58"/>
  <c r="T53" i="58" s="1"/>
  <c r="S8" i="58"/>
  <c r="S53" i="58" s="1"/>
  <c r="K47" i="18"/>
  <c r="G46" i="18"/>
  <c r="C42" i="18"/>
  <c r="D42" i="18"/>
  <c r="E42" i="18"/>
  <c r="F42" i="18"/>
  <c r="G42" i="18"/>
  <c r="H42" i="18"/>
  <c r="I42" i="18"/>
  <c r="K46" i="18" l="1"/>
  <c r="M47" i="18"/>
  <c r="B63" i="11"/>
  <c r="A63" i="11"/>
  <c r="B62" i="11"/>
  <c r="A62" i="11"/>
  <c r="B61" i="11"/>
  <c r="A61" i="11"/>
  <c r="C60" i="11"/>
  <c r="B60" i="11"/>
  <c r="A60" i="11"/>
  <c r="AQ165" i="18"/>
  <c r="AQ166" i="18"/>
  <c r="AQ167" i="18"/>
  <c r="AQ168" i="18"/>
  <c r="AQ172" i="18"/>
  <c r="AQ173" i="18"/>
  <c r="AQ174" i="18"/>
  <c r="AQ175" i="18"/>
  <c r="AQ176" i="18"/>
  <c r="AQ164" i="18"/>
  <c r="AQ152" i="18"/>
  <c r="AQ153" i="18"/>
  <c r="AQ154" i="18"/>
  <c r="AQ155" i="18"/>
  <c r="AQ160" i="18"/>
  <c r="AQ161" i="18"/>
  <c r="AQ162" i="18"/>
  <c r="AQ163" i="18"/>
  <c r="AQ144" i="18"/>
  <c r="AQ146" i="18"/>
  <c r="AQ147" i="18"/>
  <c r="AQ148" i="18"/>
  <c r="AQ149" i="18"/>
  <c r="AQ150" i="18"/>
  <c r="AQ126" i="18"/>
  <c r="AQ127" i="18"/>
  <c r="AQ128" i="18"/>
  <c r="AQ129" i="18"/>
  <c r="AQ131" i="18"/>
  <c r="AQ125" i="18"/>
  <c r="AQ105" i="18"/>
  <c r="AQ92" i="18"/>
  <c r="AQ61" i="18"/>
  <c r="AQ62" i="18"/>
  <c r="AQ63" i="18"/>
  <c r="AQ64" i="18"/>
  <c r="AQ66" i="18"/>
  <c r="AQ68" i="18"/>
  <c r="AQ69" i="18"/>
  <c r="AQ70" i="18"/>
  <c r="AQ71" i="18"/>
  <c r="AQ72" i="18"/>
  <c r="AQ60" i="18"/>
  <c r="AQ48" i="18"/>
  <c r="AQ49" i="18"/>
  <c r="AQ50" i="18"/>
  <c r="AQ51" i="18"/>
  <c r="AQ53" i="18"/>
  <c r="AQ55" i="18"/>
  <c r="AQ56" i="18"/>
  <c r="AQ57" i="18"/>
  <c r="AQ58" i="18"/>
  <c r="AQ59" i="18"/>
  <c r="AQ47" i="18"/>
  <c r="AQ40" i="18"/>
  <c r="AQ19" i="18"/>
  <c r="AQ24" i="18"/>
  <c r="AQ18" i="18"/>
  <c r="AQ14" i="18"/>
  <c r="AQ15" i="18"/>
  <c r="AQ16" i="18"/>
  <c r="AQ17" i="18"/>
  <c r="M46" i="18" l="1"/>
  <c r="O47" i="18"/>
  <c r="Q47" i="18" l="1"/>
  <c r="O46" i="18"/>
  <c r="S47" i="18" l="1"/>
  <c r="Q46" i="18"/>
  <c r="C63" i="50"/>
  <c r="B63" i="50"/>
  <c r="A63" i="50"/>
  <c r="C62" i="50"/>
  <c r="B62" i="50"/>
  <c r="A62" i="50"/>
  <c r="C61" i="50"/>
  <c r="B61" i="50"/>
  <c r="A61" i="50"/>
  <c r="C60" i="50"/>
  <c r="B60" i="50"/>
  <c r="A60" i="50"/>
  <c r="C64" i="47"/>
  <c r="B64" i="47"/>
  <c r="A64" i="47"/>
  <c r="C63" i="47"/>
  <c r="B63" i="47"/>
  <c r="A63" i="47"/>
  <c r="C62" i="47"/>
  <c r="B62" i="47"/>
  <c r="A62" i="47"/>
  <c r="C61" i="47"/>
  <c r="B61" i="47"/>
  <c r="A61" i="47"/>
  <c r="C64" i="45"/>
  <c r="B64" i="45"/>
  <c r="A64" i="45"/>
  <c r="C63" i="45"/>
  <c r="B63" i="45"/>
  <c r="A63" i="45"/>
  <c r="C62" i="45"/>
  <c r="B62" i="45"/>
  <c r="A62" i="45"/>
  <c r="C61" i="45"/>
  <c r="B61" i="45"/>
  <c r="A61" i="45"/>
  <c r="C63" i="43"/>
  <c r="B63" i="43"/>
  <c r="A63" i="43"/>
  <c r="C62" i="43"/>
  <c r="B62" i="43"/>
  <c r="A62" i="43"/>
  <c r="C61" i="43"/>
  <c r="B61" i="43"/>
  <c r="A61" i="43"/>
  <c r="C60" i="43"/>
  <c r="B60" i="43"/>
  <c r="A60" i="43"/>
  <c r="C63" i="38"/>
  <c r="B63" i="38"/>
  <c r="A63" i="38"/>
  <c r="C62" i="38"/>
  <c r="B62" i="38"/>
  <c r="A62" i="38"/>
  <c r="C61" i="38"/>
  <c r="B61" i="38"/>
  <c r="A61" i="38"/>
  <c r="C60" i="38"/>
  <c r="B60" i="38"/>
  <c r="A60" i="38"/>
  <c r="C64" i="23"/>
  <c r="B64" i="23"/>
  <c r="A64" i="23"/>
  <c r="C63" i="23"/>
  <c r="B63" i="23"/>
  <c r="A63" i="23"/>
  <c r="C62" i="23"/>
  <c r="B62" i="23"/>
  <c r="A62" i="23"/>
  <c r="C61" i="23"/>
  <c r="B61" i="23"/>
  <c r="A61" i="23"/>
  <c r="C63" i="15"/>
  <c r="B63" i="15"/>
  <c r="A63" i="15"/>
  <c r="C62" i="15"/>
  <c r="B62" i="15"/>
  <c r="A62" i="15"/>
  <c r="C61" i="15"/>
  <c r="B61" i="15"/>
  <c r="A61" i="15"/>
  <c r="C60" i="15"/>
  <c r="B60" i="15"/>
  <c r="A60" i="15"/>
  <c r="C63" i="13"/>
  <c r="B63" i="13"/>
  <c r="A63" i="13"/>
  <c r="C62" i="13"/>
  <c r="B62" i="13"/>
  <c r="A62" i="13"/>
  <c r="C61" i="13"/>
  <c r="B61" i="13"/>
  <c r="A61" i="13"/>
  <c r="C60" i="13"/>
  <c r="B60" i="13"/>
  <c r="A60" i="13"/>
  <c r="C64" i="12"/>
  <c r="B64" i="12"/>
  <c r="A64" i="12"/>
  <c r="C63" i="12"/>
  <c r="B63" i="12"/>
  <c r="A63" i="12"/>
  <c r="C62" i="12"/>
  <c r="B62" i="12"/>
  <c r="A62" i="12"/>
  <c r="C61" i="12"/>
  <c r="B61" i="12"/>
  <c r="A61" i="12"/>
  <c r="U47" i="18" l="1"/>
  <c r="Y47" i="18"/>
  <c r="W47" i="18"/>
  <c r="AA47" i="18"/>
  <c r="S46" i="18"/>
  <c r="B60" i="10"/>
  <c r="C60" i="10"/>
  <c r="B61" i="10"/>
  <c r="C61" i="10"/>
  <c r="B62" i="10"/>
  <c r="C62" i="10"/>
  <c r="B63" i="10"/>
  <c r="C63" i="10"/>
  <c r="A61" i="10"/>
  <c r="A62" i="10"/>
  <c r="A63" i="10"/>
  <c r="A60" i="10"/>
  <c r="AA46" i="18" l="1"/>
  <c r="U46" i="18"/>
  <c r="W46" i="18"/>
  <c r="Y46" i="18"/>
  <c r="AQ159" i="18" l="1"/>
  <c r="AQ151" i="18"/>
  <c r="F38" i="50"/>
  <c r="G38" i="50" s="1"/>
  <c r="H38" i="50" s="1"/>
  <c r="I38" i="50" s="1"/>
  <c r="J38" i="50" s="1"/>
  <c r="K38" i="50" s="1"/>
  <c r="L38" i="50" s="1"/>
  <c r="M38" i="50" s="1"/>
  <c r="N38" i="50" s="1"/>
  <c r="O38" i="50" s="1"/>
  <c r="P38" i="50" s="1"/>
  <c r="Q38" i="50" s="1"/>
  <c r="R38" i="50" s="1"/>
  <c r="S38" i="50" s="1"/>
  <c r="T38" i="50" s="1"/>
  <c r="U38" i="50" s="1"/>
  <c r="V38" i="50" s="1"/>
  <c r="W38" i="50" s="1"/>
  <c r="X38" i="50" s="1"/>
  <c r="Y38" i="50" s="1"/>
  <c r="Z38" i="50" s="1"/>
  <c r="AA38" i="50" s="1"/>
  <c r="AB38" i="50" s="1"/>
  <c r="AC38" i="50" s="1"/>
  <c r="AD38" i="50" s="1"/>
  <c r="AE38" i="50" s="1"/>
  <c r="AQ170" i="18"/>
  <c r="AE12" i="50"/>
  <c r="AE56" i="50" s="1"/>
  <c r="U12" i="50"/>
  <c r="U56" i="50" s="1"/>
  <c r="K12" i="50"/>
  <c r="K56" i="50" s="1"/>
  <c r="F12" i="50"/>
  <c r="F56" i="50" s="1"/>
  <c r="E12" i="50"/>
  <c r="E56" i="50" s="1"/>
  <c r="AE11" i="50"/>
  <c r="AE55" i="50" s="1"/>
  <c r="U11" i="50"/>
  <c r="U55" i="50" s="1"/>
  <c r="K11" i="50"/>
  <c r="K55" i="50" s="1"/>
  <c r="F11" i="50"/>
  <c r="F55" i="50" s="1"/>
  <c r="E11" i="50"/>
  <c r="E55" i="50" s="1"/>
  <c r="AE10" i="50"/>
  <c r="AE54" i="50" s="1"/>
  <c r="U10" i="50"/>
  <c r="U54" i="50" s="1"/>
  <c r="K10" i="50"/>
  <c r="K54" i="50" s="1"/>
  <c r="F10" i="50"/>
  <c r="F54" i="50" s="1"/>
  <c r="E10" i="50"/>
  <c r="E54" i="50" s="1"/>
  <c r="AE9" i="50"/>
  <c r="AE53" i="50" s="1"/>
  <c r="U9" i="50"/>
  <c r="U53" i="50" s="1"/>
  <c r="K9" i="50"/>
  <c r="K53" i="50" s="1"/>
  <c r="F9" i="50"/>
  <c r="F53" i="50" s="1"/>
  <c r="E9" i="50"/>
  <c r="E53" i="50" s="1"/>
  <c r="AE8" i="50"/>
  <c r="AE52" i="50" s="1"/>
  <c r="U8" i="50"/>
  <c r="U52" i="50" s="1"/>
  <c r="K8" i="50"/>
  <c r="K52" i="50" s="1"/>
  <c r="F8" i="50"/>
  <c r="F52" i="50" s="1"/>
  <c r="E8" i="50"/>
  <c r="E52" i="50" s="1"/>
  <c r="AE7" i="50"/>
  <c r="AE48" i="50" s="1"/>
  <c r="U7" i="50"/>
  <c r="U48" i="50" s="1"/>
  <c r="K7" i="50"/>
  <c r="K48" i="50" s="1"/>
  <c r="F7" i="50"/>
  <c r="F48" i="50" s="1"/>
  <c r="E7" i="50"/>
  <c r="E48" i="50" s="1"/>
  <c r="AE6" i="50"/>
  <c r="AE47" i="50" s="1"/>
  <c r="U6" i="50"/>
  <c r="U47" i="50" s="1"/>
  <c r="L6" i="50"/>
  <c r="L47" i="50" s="1"/>
  <c r="K6" i="50"/>
  <c r="K47" i="50" s="1"/>
  <c r="F6" i="50"/>
  <c r="F47" i="50" s="1"/>
  <c r="E6" i="50"/>
  <c r="E47" i="50" s="1"/>
  <c r="AE5" i="50"/>
  <c r="AE46" i="50" s="1"/>
  <c r="U5" i="50"/>
  <c r="U46" i="50" s="1"/>
  <c r="L5" i="50"/>
  <c r="L46" i="50" s="1"/>
  <c r="K5" i="50"/>
  <c r="K46" i="50" s="1"/>
  <c r="F5" i="50"/>
  <c r="F46" i="50" s="1"/>
  <c r="E5" i="50"/>
  <c r="E46" i="50" s="1"/>
  <c r="AE4" i="50"/>
  <c r="AE45" i="50" s="1"/>
  <c r="U4" i="50"/>
  <c r="U45" i="50" s="1"/>
  <c r="K4" i="50"/>
  <c r="K45" i="50" s="1"/>
  <c r="F4" i="50"/>
  <c r="F45" i="50" s="1"/>
  <c r="E4" i="50"/>
  <c r="E45" i="50" s="1"/>
  <c r="AE3" i="50"/>
  <c r="AE44" i="50" s="1"/>
  <c r="U3" i="50"/>
  <c r="U44" i="50" s="1"/>
  <c r="K3" i="50"/>
  <c r="K44" i="50" s="1"/>
  <c r="F3" i="50"/>
  <c r="F44" i="50" s="1"/>
  <c r="E3" i="50"/>
  <c r="E44" i="50" s="1"/>
  <c r="AE2" i="50"/>
  <c r="AE42" i="50" s="1"/>
  <c r="F2" i="50"/>
  <c r="F42" i="50" s="1"/>
  <c r="E2" i="50"/>
  <c r="E42" i="50" s="1"/>
  <c r="AQ157" i="18"/>
  <c r="AE12" i="47"/>
  <c r="AE57" i="47" s="1"/>
  <c r="U12" i="47"/>
  <c r="U57" i="47" s="1"/>
  <c r="K12" i="47"/>
  <c r="K57" i="47" s="1"/>
  <c r="F12" i="47"/>
  <c r="F57" i="47" s="1"/>
  <c r="E12" i="47"/>
  <c r="E57" i="47" s="1"/>
  <c r="AE11" i="47"/>
  <c r="AE56" i="47" s="1"/>
  <c r="U11" i="47"/>
  <c r="U56" i="47" s="1"/>
  <c r="K11" i="47"/>
  <c r="K56" i="47" s="1"/>
  <c r="F11" i="47"/>
  <c r="F56" i="47" s="1"/>
  <c r="E11" i="47"/>
  <c r="E56" i="47" s="1"/>
  <c r="AE10" i="47"/>
  <c r="AE55" i="47" s="1"/>
  <c r="U10" i="47"/>
  <c r="U55" i="47" s="1"/>
  <c r="K10" i="47"/>
  <c r="K55" i="47" s="1"/>
  <c r="F10" i="47"/>
  <c r="F55" i="47" s="1"/>
  <c r="E10" i="47"/>
  <c r="E55" i="47" s="1"/>
  <c r="AE9" i="47"/>
  <c r="AE54" i="47" s="1"/>
  <c r="U9" i="47"/>
  <c r="U54" i="47" s="1"/>
  <c r="K9" i="47"/>
  <c r="K54" i="47" s="1"/>
  <c r="F9" i="47"/>
  <c r="F54" i="47" s="1"/>
  <c r="E9" i="47"/>
  <c r="E54" i="47" s="1"/>
  <c r="AE8" i="47"/>
  <c r="AE53" i="47" s="1"/>
  <c r="U8" i="47"/>
  <c r="U53" i="47" s="1"/>
  <c r="K8" i="47"/>
  <c r="K53" i="47" s="1"/>
  <c r="F8" i="47"/>
  <c r="F53" i="47" s="1"/>
  <c r="E8" i="47"/>
  <c r="E53" i="47" s="1"/>
  <c r="AE7" i="47"/>
  <c r="AE49" i="47" s="1"/>
  <c r="U7" i="47"/>
  <c r="U49" i="47" s="1"/>
  <c r="K7" i="47"/>
  <c r="K49" i="47" s="1"/>
  <c r="F7" i="47"/>
  <c r="F49" i="47" s="1"/>
  <c r="E7" i="47"/>
  <c r="E49" i="47" s="1"/>
  <c r="AE6" i="47"/>
  <c r="AE48" i="47" s="1"/>
  <c r="U6" i="47"/>
  <c r="U48" i="47" s="1"/>
  <c r="L6" i="47"/>
  <c r="L48" i="47" s="1"/>
  <c r="K6" i="47"/>
  <c r="K48" i="47" s="1"/>
  <c r="F6" i="47"/>
  <c r="F48" i="47" s="1"/>
  <c r="E6" i="47"/>
  <c r="E48" i="47" s="1"/>
  <c r="AE5" i="47"/>
  <c r="AE47" i="47" s="1"/>
  <c r="U5" i="47"/>
  <c r="U47" i="47" s="1"/>
  <c r="L5" i="47"/>
  <c r="L47" i="47" s="1"/>
  <c r="K5" i="47"/>
  <c r="K47" i="47" s="1"/>
  <c r="F5" i="47"/>
  <c r="F47" i="47" s="1"/>
  <c r="E5" i="47"/>
  <c r="E47" i="47" s="1"/>
  <c r="AE4" i="47"/>
  <c r="AE46" i="47" s="1"/>
  <c r="U4" i="47"/>
  <c r="U46" i="47" s="1"/>
  <c r="K4" i="47"/>
  <c r="K46" i="47" s="1"/>
  <c r="F4" i="47"/>
  <c r="F46" i="47" s="1"/>
  <c r="E4" i="47"/>
  <c r="E46" i="47" s="1"/>
  <c r="AE3" i="47"/>
  <c r="AE45" i="47" s="1"/>
  <c r="U3" i="47"/>
  <c r="U45" i="47" s="1"/>
  <c r="K3" i="47"/>
  <c r="K45" i="47" s="1"/>
  <c r="F3" i="47"/>
  <c r="F45" i="47" s="1"/>
  <c r="E3" i="47"/>
  <c r="E45" i="47" s="1"/>
  <c r="AE2" i="47"/>
  <c r="AE43" i="47" s="1"/>
  <c r="F2" i="47"/>
  <c r="F43" i="47" s="1"/>
  <c r="E2" i="47"/>
  <c r="E43" i="47" s="1"/>
  <c r="G39" i="45"/>
  <c r="H39" i="45" s="1"/>
  <c r="I39" i="45" s="1"/>
  <c r="J39" i="45" s="1"/>
  <c r="K39" i="45" s="1"/>
  <c r="L39" i="45" s="1"/>
  <c r="M39" i="45" s="1"/>
  <c r="N39" i="45" s="1"/>
  <c r="O39" i="45" s="1"/>
  <c r="P39" i="45" s="1"/>
  <c r="Q39" i="45" s="1"/>
  <c r="R39" i="45" s="1"/>
  <c r="S39" i="45" s="1"/>
  <c r="T39" i="45" s="1"/>
  <c r="U39" i="45" s="1"/>
  <c r="V39" i="45" s="1"/>
  <c r="W39" i="45" s="1"/>
  <c r="X39" i="45" s="1"/>
  <c r="Y39" i="45" s="1"/>
  <c r="Z39" i="45" s="1"/>
  <c r="AA39" i="45" s="1"/>
  <c r="AB39" i="45" s="1"/>
  <c r="AC39" i="45" s="1"/>
  <c r="AD39" i="45" s="1"/>
  <c r="AE39" i="45" s="1"/>
  <c r="AE12" i="45"/>
  <c r="AE57" i="45" s="1"/>
  <c r="U12" i="45"/>
  <c r="U57" i="45" s="1"/>
  <c r="K12" i="45"/>
  <c r="K57" i="45" s="1"/>
  <c r="F12" i="45"/>
  <c r="F57" i="45" s="1"/>
  <c r="E12" i="45"/>
  <c r="E57" i="45" s="1"/>
  <c r="AE11" i="45"/>
  <c r="AE56" i="45" s="1"/>
  <c r="U11" i="45"/>
  <c r="U56" i="45" s="1"/>
  <c r="K11" i="45"/>
  <c r="K56" i="45" s="1"/>
  <c r="F11" i="45"/>
  <c r="F56" i="45" s="1"/>
  <c r="E11" i="45"/>
  <c r="E56" i="45" s="1"/>
  <c r="AE10" i="45"/>
  <c r="AE55" i="45" s="1"/>
  <c r="U10" i="45"/>
  <c r="U55" i="45" s="1"/>
  <c r="K10" i="45"/>
  <c r="K55" i="45" s="1"/>
  <c r="F10" i="45"/>
  <c r="F55" i="45" s="1"/>
  <c r="E10" i="45"/>
  <c r="E55" i="45" s="1"/>
  <c r="AE9" i="45"/>
  <c r="AE54" i="45" s="1"/>
  <c r="U9" i="45"/>
  <c r="U54" i="45" s="1"/>
  <c r="K9" i="45"/>
  <c r="K54" i="45" s="1"/>
  <c r="F9" i="45"/>
  <c r="F54" i="45" s="1"/>
  <c r="E9" i="45"/>
  <c r="E54" i="45" s="1"/>
  <c r="AE8" i="45"/>
  <c r="AE53" i="45" s="1"/>
  <c r="U8" i="45"/>
  <c r="U53" i="45" s="1"/>
  <c r="K8" i="45"/>
  <c r="K53" i="45" s="1"/>
  <c r="F8" i="45"/>
  <c r="F53" i="45" s="1"/>
  <c r="E8" i="45"/>
  <c r="E53" i="45" s="1"/>
  <c r="AE7" i="45"/>
  <c r="AE49" i="45" s="1"/>
  <c r="U7" i="45"/>
  <c r="U49" i="45" s="1"/>
  <c r="K7" i="45"/>
  <c r="K49" i="45" s="1"/>
  <c r="F7" i="45"/>
  <c r="F49" i="45" s="1"/>
  <c r="E7" i="45"/>
  <c r="E49" i="45" s="1"/>
  <c r="AE6" i="45"/>
  <c r="AE48" i="45" s="1"/>
  <c r="U6" i="45"/>
  <c r="U48" i="45" s="1"/>
  <c r="L6" i="45"/>
  <c r="L48" i="45" s="1"/>
  <c r="K6" i="45"/>
  <c r="K48" i="45" s="1"/>
  <c r="F6" i="45"/>
  <c r="F48" i="45" s="1"/>
  <c r="E6" i="45"/>
  <c r="E48" i="45" s="1"/>
  <c r="AE5" i="45"/>
  <c r="AE47" i="45" s="1"/>
  <c r="U5" i="45"/>
  <c r="U47" i="45" s="1"/>
  <c r="L5" i="45"/>
  <c r="L47" i="45" s="1"/>
  <c r="K5" i="45"/>
  <c r="K47" i="45" s="1"/>
  <c r="F5" i="45"/>
  <c r="F47" i="45" s="1"/>
  <c r="E5" i="45"/>
  <c r="E47" i="45" s="1"/>
  <c r="AE4" i="45"/>
  <c r="AE46" i="45" s="1"/>
  <c r="U4" i="45"/>
  <c r="U46" i="45" s="1"/>
  <c r="K4" i="45"/>
  <c r="K46" i="45" s="1"/>
  <c r="F4" i="45"/>
  <c r="F46" i="45" s="1"/>
  <c r="E4" i="45"/>
  <c r="E46" i="45" s="1"/>
  <c r="AE3" i="45"/>
  <c r="AE45" i="45" s="1"/>
  <c r="U3" i="45"/>
  <c r="U45" i="45" s="1"/>
  <c r="K3" i="45"/>
  <c r="K45" i="45" s="1"/>
  <c r="F3" i="45"/>
  <c r="F45" i="45" s="1"/>
  <c r="E3" i="45"/>
  <c r="E45" i="45" s="1"/>
  <c r="AE2" i="45"/>
  <c r="AE43" i="45" s="1"/>
  <c r="F2" i="45"/>
  <c r="F43" i="45" s="1"/>
  <c r="E2" i="45"/>
  <c r="E43" i="45" s="1"/>
  <c r="F38" i="43"/>
  <c r="G38" i="43" s="1"/>
  <c r="H38" i="43" s="1"/>
  <c r="I38" i="43" s="1"/>
  <c r="J38" i="43" s="1"/>
  <c r="K38" i="43" s="1"/>
  <c r="L38" i="43" s="1"/>
  <c r="M38" i="43" s="1"/>
  <c r="N38" i="43" s="1"/>
  <c r="O38" i="43" s="1"/>
  <c r="P38" i="43" s="1"/>
  <c r="Q38" i="43" s="1"/>
  <c r="R38" i="43" s="1"/>
  <c r="S38" i="43" s="1"/>
  <c r="T38" i="43" s="1"/>
  <c r="U38" i="43" s="1"/>
  <c r="V38" i="43" s="1"/>
  <c r="W38" i="43" s="1"/>
  <c r="X38" i="43" s="1"/>
  <c r="Y38" i="43" s="1"/>
  <c r="Z38" i="43" s="1"/>
  <c r="AA38" i="43" s="1"/>
  <c r="AB38" i="43" s="1"/>
  <c r="AC38" i="43" s="1"/>
  <c r="AD38" i="43" s="1"/>
  <c r="AE38" i="43" s="1"/>
  <c r="AE12" i="43"/>
  <c r="AE56" i="43" s="1"/>
  <c r="U12" i="43"/>
  <c r="U56" i="43" s="1"/>
  <c r="K12" i="43"/>
  <c r="K56" i="43" s="1"/>
  <c r="F12" i="43"/>
  <c r="F56" i="43" s="1"/>
  <c r="E12" i="43"/>
  <c r="E56" i="43" s="1"/>
  <c r="AE11" i="43"/>
  <c r="AE55" i="43" s="1"/>
  <c r="U11" i="43"/>
  <c r="U55" i="43" s="1"/>
  <c r="K11" i="43"/>
  <c r="K55" i="43" s="1"/>
  <c r="F11" i="43"/>
  <c r="F55" i="43" s="1"/>
  <c r="E11" i="43"/>
  <c r="E55" i="43" s="1"/>
  <c r="AE10" i="43"/>
  <c r="AE54" i="43" s="1"/>
  <c r="U10" i="43"/>
  <c r="U54" i="43" s="1"/>
  <c r="K10" i="43"/>
  <c r="K54" i="43" s="1"/>
  <c r="F10" i="43"/>
  <c r="F54" i="43" s="1"/>
  <c r="E10" i="43"/>
  <c r="E54" i="43" s="1"/>
  <c r="AE9" i="43"/>
  <c r="AE53" i="43" s="1"/>
  <c r="U9" i="43"/>
  <c r="U53" i="43" s="1"/>
  <c r="K9" i="43"/>
  <c r="K53" i="43" s="1"/>
  <c r="F9" i="43"/>
  <c r="F53" i="43" s="1"/>
  <c r="E9" i="43"/>
  <c r="E53" i="43" s="1"/>
  <c r="AE8" i="43"/>
  <c r="AE52" i="43" s="1"/>
  <c r="U8" i="43"/>
  <c r="U52" i="43" s="1"/>
  <c r="K8" i="43"/>
  <c r="K52" i="43" s="1"/>
  <c r="F8" i="43"/>
  <c r="F52" i="43" s="1"/>
  <c r="E8" i="43"/>
  <c r="E52" i="43" s="1"/>
  <c r="AE7" i="43"/>
  <c r="AE48" i="43" s="1"/>
  <c r="U7" i="43"/>
  <c r="U48" i="43" s="1"/>
  <c r="K7" i="43"/>
  <c r="K48" i="43" s="1"/>
  <c r="F7" i="43"/>
  <c r="F48" i="43" s="1"/>
  <c r="E7" i="43"/>
  <c r="E48" i="43" s="1"/>
  <c r="AE6" i="43"/>
  <c r="AE47" i="43" s="1"/>
  <c r="U6" i="43"/>
  <c r="U47" i="43" s="1"/>
  <c r="L6" i="43"/>
  <c r="L47" i="43" s="1"/>
  <c r="K6" i="43"/>
  <c r="K47" i="43" s="1"/>
  <c r="F6" i="43"/>
  <c r="F47" i="43" s="1"/>
  <c r="E6" i="43"/>
  <c r="E47" i="43" s="1"/>
  <c r="AE5" i="43"/>
  <c r="AE46" i="43" s="1"/>
  <c r="U5" i="43"/>
  <c r="U46" i="43" s="1"/>
  <c r="L5" i="43"/>
  <c r="L46" i="43" s="1"/>
  <c r="K5" i="43"/>
  <c r="K46" i="43" s="1"/>
  <c r="F5" i="43"/>
  <c r="F46" i="43" s="1"/>
  <c r="E5" i="43"/>
  <c r="E46" i="43" s="1"/>
  <c r="AE4" i="43"/>
  <c r="AE45" i="43" s="1"/>
  <c r="U4" i="43"/>
  <c r="U45" i="43" s="1"/>
  <c r="K4" i="43"/>
  <c r="K45" i="43" s="1"/>
  <c r="F4" i="43"/>
  <c r="F45" i="43" s="1"/>
  <c r="E4" i="43"/>
  <c r="E45" i="43" s="1"/>
  <c r="AE3" i="43"/>
  <c r="AE44" i="43" s="1"/>
  <c r="U3" i="43"/>
  <c r="U44" i="43" s="1"/>
  <c r="K3" i="43"/>
  <c r="K44" i="43" s="1"/>
  <c r="F3" i="43"/>
  <c r="F44" i="43" s="1"/>
  <c r="E3" i="43"/>
  <c r="E44" i="43" s="1"/>
  <c r="AE2" i="43"/>
  <c r="AE42" i="43" s="1"/>
  <c r="F2" i="43"/>
  <c r="F42" i="43" s="1"/>
  <c r="E2" i="43"/>
  <c r="E42" i="43" s="1"/>
  <c r="F38" i="38"/>
  <c r="G38" i="38" s="1"/>
  <c r="H38" i="38" s="1"/>
  <c r="I38" i="38" s="1"/>
  <c r="J38" i="38" s="1"/>
  <c r="K38" i="38" s="1"/>
  <c r="L38" i="38" s="1"/>
  <c r="M38" i="38" s="1"/>
  <c r="N38" i="38" s="1"/>
  <c r="O38" i="38" s="1"/>
  <c r="P38" i="38" s="1"/>
  <c r="Q38" i="38" s="1"/>
  <c r="R38" i="38" s="1"/>
  <c r="S38" i="38" s="1"/>
  <c r="T38" i="38" s="1"/>
  <c r="U38" i="38" s="1"/>
  <c r="V38" i="38" s="1"/>
  <c r="W38" i="38" s="1"/>
  <c r="X38" i="38" s="1"/>
  <c r="Y38" i="38" s="1"/>
  <c r="Z38" i="38" s="1"/>
  <c r="AA38" i="38" s="1"/>
  <c r="AB38" i="38" s="1"/>
  <c r="AC38" i="38" s="1"/>
  <c r="AD38" i="38" s="1"/>
  <c r="AE38" i="38" s="1"/>
  <c r="AE12" i="38"/>
  <c r="AE56" i="38" s="1"/>
  <c r="U12" i="38"/>
  <c r="U56" i="38" s="1"/>
  <c r="K12" i="38"/>
  <c r="K56" i="38" s="1"/>
  <c r="F12" i="38"/>
  <c r="F56" i="38" s="1"/>
  <c r="E12" i="38"/>
  <c r="E56" i="38" s="1"/>
  <c r="AE11" i="38"/>
  <c r="AE55" i="38" s="1"/>
  <c r="U11" i="38"/>
  <c r="U55" i="38" s="1"/>
  <c r="K11" i="38"/>
  <c r="K55" i="38" s="1"/>
  <c r="F11" i="38"/>
  <c r="F55" i="38" s="1"/>
  <c r="E11" i="38"/>
  <c r="E55" i="38" s="1"/>
  <c r="AE10" i="38"/>
  <c r="AE54" i="38" s="1"/>
  <c r="U10" i="38"/>
  <c r="U54" i="38" s="1"/>
  <c r="K10" i="38"/>
  <c r="K54" i="38" s="1"/>
  <c r="F10" i="38"/>
  <c r="F54" i="38" s="1"/>
  <c r="E10" i="38"/>
  <c r="E54" i="38" s="1"/>
  <c r="AE9" i="38"/>
  <c r="AE53" i="38" s="1"/>
  <c r="U9" i="38"/>
  <c r="U53" i="38" s="1"/>
  <c r="K9" i="38"/>
  <c r="K53" i="38" s="1"/>
  <c r="F9" i="38"/>
  <c r="F53" i="38" s="1"/>
  <c r="E9" i="38"/>
  <c r="E53" i="38" s="1"/>
  <c r="AE8" i="38"/>
  <c r="AE52" i="38" s="1"/>
  <c r="U8" i="38"/>
  <c r="U52" i="38" s="1"/>
  <c r="K8" i="38"/>
  <c r="K52" i="38" s="1"/>
  <c r="F8" i="38"/>
  <c r="F52" i="38" s="1"/>
  <c r="E8" i="38"/>
  <c r="E52" i="38" s="1"/>
  <c r="AE7" i="38"/>
  <c r="AE48" i="38" s="1"/>
  <c r="U7" i="38"/>
  <c r="U48" i="38" s="1"/>
  <c r="K7" i="38"/>
  <c r="K48" i="38" s="1"/>
  <c r="F7" i="38"/>
  <c r="F48" i="38" s="1"/>
  <c r="E7" i="38"/>
  <c r="E48" i="38" s="1"/>
  <c r="AE6" i="38"/>
  <c r="AE47" i="38" s="1"/>
  <c r="U6" i="38"/>
  <c r="U47" i="38" s="1"/>
  <c r="L6" i="38"/>
  <c r="K6" i="38"/>
  <c r="K47" i="38" s="1"/>
  <c r="F6" i="38"/>
  <c r="F47" i="38" s="1"/>
  <c r="E6" i="38"/>
  <c r="E47" i="38" s="1"/>
  <c r="AE5" i="38"/>
  <c r="AE46" i="38" s="1"/>
  <c r="U5" i="38"/>
  <c r="U46" i="38" s="1"/>
  <c r="L5" i="38"/>
  <c r="L46" i="38" s="1"/>
  <c r="K5" i="38"/>
  <c r="K46" i="38" s="1"/>
  <c r="F5" i="38"/>
  <c r="F46" i="38" s="1"/>
  <c r="E5" i="38"/>
  <c r="E46" i="38" s="1"/>
  <c r="AE4" i="38"/>
  <c r="AE45" i="38" s="1"/>
  <c r="U4" i="38"/>
  <c r="U45" i="38" s="1"/>
  <c r="K4" i="38"/>
  <c r="K45" i="38" s="1"/>
  <c r="F4" i="38"/>
  <c r="F45" i="38" s="1"/>
  <c r="E4" i="38"/>
  <c r="E45" i="38" s="1"/>
  <c r="AE3" i="38"/>
  <c r="AE44" i="38" s="1"/>
  <c r="U3" i="38"/>
  <c r="U44" i="38" s="1"/>
  <c r="K3" i="38"/>
  <c r="K44" i="38" s="1"/>
  <c r="F3" i="38"/>
  <c r="F44" i="38" s="1"/>
  <c r="E3" i="38"/>
  <c r="E44" i="38" s="1"/>
  <c r="AE2" i="38"/>
  <c r="AE42" i="38" s="1"/>
  <c r="F2" i="38"/>
  <c r="F42" i="38" s="1"/>
  <c r="E2" i="38"/>
  <c r="E42" i="38" s="1"/>
  <c r="F39" i="23"/>
  <c r="G39" i="23" s="1"/>
  <c r="H39" i="23" s="1"/>
  <c r="I39" i="23" s="1"/>
  <c r="J39" i="23" s="1"/>
  <c r="K39" i="23" s="1"/>
  <c r="L39" i="23" s="1"/>
  <c r="M39" i="23" s="1"/>
  <c r="N39" i="23" s="1"/>
  <c r="O39" i="23" s="1"/>
  <c r="P39" i="23" s="1"/>
  <c r="Q39" i="23" s="1"/>
  <c r="R39" i="23" s="1"/>
  <c r="S39" i="23" s="1"/>
  <c r="T39" i="23" s="1"/>
  <c r="U39" i="23" s="1"/>
  <c r="V39" i="23" s="1"/>
  <c r="W39" i="23" s="1"/>
  <c r="X39" i="23" s="1"/>
  <c r="Y39" i="23" s="1"/>
  <c r="Z39" i="23" s="1"/>
  <c r="AA39" i="23" s="1"/>
  <c r="AB39" i="23" s="1"/>
  <c r="AC39" i="23" s="1"/>
  <c r="AD39" i="23" s="1"/>
  <c r="AE39" i="23" s="1"/>
  <c r="AE12" i="23"/>
  <c r="AE57" i="23" s="1"/>
  <c r="U12" i="23"/>
  <c r="K12" i="23"/>
  <c r="K57" i="23" s="1"/>
  <c r="F12" i="23"/>
  <c r="F57" i="23" s="1"/>
  <c r="E12" i="23"/>
  <c r="E57" i="23" s="1"/>
  <c r="AE11" i="23"/>
  <c r="AE56" i="23" s="1"/>
  <c r="U11" i="23"/>
  <c r="K11" i="23"/>
  <c r="K56" i="23" s="1"/>
  <c r="F11" i="23"/>
  <c r="F56" i="23" s="1"/>
  <c r="E11" i="23"/>
  <c r="E56" i="23" s="1"/>
  <c r="AE10" i="23"/>
  <c r="AE55" i="23" s="1"/>
  <c r="U10" i="23"/>
  <c r="K10" i="23"/>
  <c r="K55" i="23" s="1"/>
  <c r="F10" i="23"/>
  <c r="F55" i="23" s="1"/>
  <c r="E10" i="23"/>
  <c r="E55" i="23" s="1"/>
  <c r="AE9" i="23"/>
  <c r="AE54" i="23" s="1"/>
  <c r="U9" i="23"/>
  <c r="K9" i="23"/>
  <c r="K54" i="23" s="1"/>
  <c r="F9" i="23"/>
  <c r="F54" i="23" s="1"/>
  <c r="E9" i="23"/>
  <c r="E54" i="23" s="1"/>
  <c r="AE8" i="23"/>
  <c r="AE53" i="23" s="1"/>
  <c r="U8" i="23"/>
  <c r="U53" i="23" s="1"/>
  <c r="K8" i="23"/>
  <c r="K53" i="23" s="1"/>
  <c r="F8" i="23"/>
  <c r="F53" i="23" s="1"/>
  <c r="E8" i="23"/>
  <c r="E53" i="23" s="1"/>
  <c r="AE7" i="23"/>
  <c r="U7" i="23"/>
  <c r="K7" i="23"/>
  <c r="K49" i="23" s="1"/>
  <c r="F7" i="23"/>
  <c r="F49" i="23" s="1"/>
  <c r="E7" i="23"/>
  <c r="E49" i="23" s="1"/>
  <c r="AE6" i="23"/>
  <c r="U6" i="23"/>
  <c r="L6" i="23"/>
  <c r="K6" i="23"/>
  <c r="K48" i="23" s="1"/>
  <c r="F6" i="23"/>
  <c r="F48" i="23" s="1"/>
  <c r="E6" i="23"/>
  <c r="E48" i="23" s="1"/>
  <c r="AE5" i="23"/>
  <c r="U5" i="23"/>
  <c r="L5" i="23"/>
  <c r="K5" i="23"/>
  <c r="K47" i="23" s="1"/>
  <c r="F5" i="23"/>
  <c r="F47" i="23" s="1"/>
  <c r="E5" i="23"/>
  <c r="E47" i="23" s="1"/>
  <c r="AE4" i="23"/>
  <c r="U4" i="23"/>
  <c r="K4" i="23"/>
  <c r="K46" i="23" s="1"/>
  <c r="F4" i="23"/>
  <c r="F46" i="23" s="1"/>
  <c r="E4" i="23"/>
  <c r="E46" i="23" s="1"/>
  <c r="AE3" i="23"/>
  <c r="U3" i="23"/>
  <c r="K3" i="23"/>
  <c r="K45" i="23" s="1"/>
  <c r="F3" i="23"/>
  <c r="F45" i="23" s="1"/>
  <c r="E3" i="23"/>
  <c r="E45" i="23" s="1"/>
  <c r="AE2" i="23"/>
  <c r="AE43" i="23" s="1"/>
  <c r="F2" i="23"/>
  <c r="F43" i="23" s="1"/>
  <c r="E2" i="23"/>
  <c r="E43" i="23" s="1"/>
  <c r="F38" i="15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AD38" i="15" s="1"/>
  <c r="AE38" i="15" s="1"/>
  <c r="AE12" i="15"/>
  <c r="AE56" i="15" s="1"/>
  <c r="U12" i="15"/>
  <c r="U56" i="15" s="1"/>
  <c r="K12" i="15"/>
  <c r="K56" i="15" s="1"/>
  <c r="F12" i="15"/>
  <c r="F56" i="15" s="1"/>
  <c r="E12" i="15"/>
  <c r="E56" i="15" s="1"/>
  <c r="AE11" i="15"/>
  <c r="AE55" i="15" s="1"/>
  <c r="U11" i="15"/>
  <c r="U55" i="15" s="1"/>
  <c r="K11" i="15"/>
  <c r="K55" i="15" s="1"/>
  <c r="F11" i="15"/>
  <c r="F55" i="15" s="1"/>
  <c r="E11" i="15"/>
  <c r="E55" i="15" s="1"/>
  <c r="AE10" i="15"/>
  <c r="AE54" i="15" s="1"/>
  <c r="U10" i="15"/>
  <c r="U54" i="15" s="1"/>
  <c r="K10" i="15"/>
  <c r="K54" i="15" s="1"/>
  <c r="F10" i="15"/>
  <c r="F54" i="15" s="1"/>
  <c r="E10" i="15"/>
  <c r="E54" i="15" s="1"/>
  <c r="AE9" i="15"/>
  <c r="AE53" i="15" s="1"/>
  <c r="U9" i="15"/>
  <c r="U53" i="15" s="1"/>
  <c r="K9" i="15"/>
  <c r="K53" i="15" s="1"/>
  <c r="F9" i="15"/>
  <c r="F53" i="15" s="1"/>
  <c r="E9" i="15"/>
  <c r="E53" i="15" s="1"/>
  <c r="AE8" i="15"/>
  <c r="AE52" i="15" s="1"/>
  <c r="U8" i="15"/>
  <c r="U52" i="15" s="1"/>
  <c r="K8" i="15"/>
  <c r="K52" i="15" s="1"/>
  <c r="F8" i="15"/>
  <c r="F52" i="15" s="1"/>
  <c r="E8" i="15"/>
  <c r="E52" i="15" s="1"/>
  <c r="AE7" i="15"/>
  <c r="AE48" i="15" s="1"/>
  <c r="U7" i="15"/>
  <c r="U48" i="15" s="1"/>
  <c r="K7" i="15"/>
  <c r="K48" i="15" s="1"/>
  <c r="F7" i="15"/>
  <c r="F48" i="15" s="1"/>
  <c r="E7" i="15"/>
  <c r="E48" i="15" s="1"/>
  <c r="AE6" i="15"/>
  <c r="AE47" i="15" s="1"/>
  <c r="U6" i="15"/>
  <c r="U47" i="15" s="1"/>
  <c r="L6" i="15"/>
  <c r="L47" i="15" s="1"/>
  <c r="K6" i="15"/>
  <c r="K47" i="15" s="1"/>
  <c r="F6" i="15"/>
  <c r="F47" i="15" s="1"/>
  <c r="E6" i="15"/>
  <c r="E47" i="15" s="1"/>
  <c r="AE5" i="15"/>
  <c r="AE46" i="15" s="1"/>
  <c r="U5" i="15"/>
  <c r="U46" i="15" s="1"/>
  <c r="L5" i="15"/>
  <c r="L46" i="15" s="1"/>
  <c r="K5" i="15"/>
  <c r="K46" i="15" s="1"/>
  <c r="F5" i="15"/>
  <c r="F46" i="15" s="1"/>
  <c r="E5" i="15"/>
  <c r="E46" i="15" s="1"/>
  <c r="AE4" i="15"/>
  <c r="AE45" i="15" s="1"/>
  <c r="U4" i="15"/>
  <c r="U45" i="15" s="1"/>
  <c r="K4" i="15"/>
  <c r="K45" i="15" s="1"/>
  <c r="F4" i="15"/>
  <c r="F45" i="15" s="1"/>
  <c r="E4" i="15"/>
  <c r="E45" i="15" s="1"/>
  <c r="AE3" i="15"/>
  <c r="AE44" i="15" s="1"/>
  <c r="U3" i="15"/>
  <c r="U44" i="15" s="1"/>
  <c r="K3" i="15"/>
  <c r="K44" i="15" s="1"/>
  <c r="F3" i="15"/>
  <c r="F44" i="15" s="1"/>
  <c r="E3" i="15"/>
  <c r="E44" i="15" s="1"/>
  <c r="AE2" i="15"/>
  <c r="AE42" i="15" s="1"/>
  <c r="F2" i="15"/>
  <c r="F42" i="15" s="1"/>
  <c r="E2" i="15"/>
  <c r="E42" i="15" s="1"/>
  <c r="AE12" i="13"/>
  <c r="AE56" i="13" s="1"/>
  <c r="U12" i="13"/>
  <c r="U56" i="13" s="1"/>
  <c r="K12" i="13"/>
  <c r="K56" i="13" s="1"/>
  <c r="F12" i="13"/>
  <c r="F56" i="13" s="1"/>
  <c r="E12" i="13"/>
  <c r="E56" i="13" s="1"/>
  <c r="AE11" i="13"/>
  <c r="AE55" i="13" s="1"/>
  <c r="U11" i="13"/>
  <c r="U55" i="13" s="1"/>
  <c r="K11" i="13"/>
  <c r="K55" i="13" s="1"/>
  <c r="F11" i="13"/>
  <c r="F55" i="13" s="1"/>
  <c r="E11" i="13"/>
  <c r="E55" i="13" s="1"/>
  <c r="AE10" i="13"/>
  <c r="AE54" i="13" s="1"/>
  <c r="U10" i="13"/>
  <c r="U54" i="13" s="1"/>
  <c r="K10" i="13"/>
  <c r="K54" i="13" s="1"/>
  <c r="F10" i="13"/>
  <c r="F54" i="13" s="1"/>
  <c r="E10" i="13"/>
  <c r="E54" i="13" s="1"/>
  <c r="AE9" i="13"/>
  <c r="AE53" i="13" s="1"/>
  <c r="U9" i="13"/>
  <c r="U53" i="13" s="1"/>
  <c r="K9" i="13"/>
  <c r="K53" i="13" s="1"/>
  <c r="F9" i="13"/>
  <c r="F53" i="13" s="1"/>
  <c r="E9" i="13"/>
  <c r="E53" i="13" s="1"/>
  <c r="AE8" i="13"/>
  <c r="AE52" i="13" s="1"/>
  <c r="U8" i="13"/>
  <c r="U52" i="13" s="1"/>
  <c r="K8" i="13"/>
  <c r="K52" i="13" s="1"/>
  <c r="F8" i="13"/>
  <c r="F52" i="13" s="1"/>
  <c r="E8" i="13"/>
  <c r="E52" i="13" s="1"/>
  <c r="AE7" i="13"/>
  <c r="AE48" i="13" s="1"/>
  <c r="U7" i="13"/>
  <c r="U48" i="13" s="1"/>
  <c r="K7" i="13"/>
  <c r="K48" i="13" s="1"/>
  <c r="F7" i="13"/>
  <c r="F48" i="13" s="1"/>
  <c r="E7" i="13"/>
  <c r="E48" i="13" s="1"/>
  <c r="AE6" i="13"/>
  <c r="AE47" i="13" s="1"/>
  <c r="U6" i="13"/>
  <c r="U47" i="13" s="1"/>
  <c r="L6" i="13"/>
  <c r="L47" i="13" s="1"/>
  <c r="K6" i="13"/>
  <c r="K47" i="13" s="1"/>
  <c r="F6" i="13"/>
  <c r="F47" i="13" s="1"/>
  <c r="E6" i="13"/>
  <c r="E47" i="13" s="1"/>
  <c r="AE5" i="13"/>
  <c r="AE46" i="13" s="1"/>
  <c r="U5" i="13"/>
  <c r="U46" i="13" s="1"/>
  <c r="L5" i="13"/>
  <c r="L46" i="13" s="1"/>
  <c r="K5" i="13"/>
  <c r="K46" i="13" s="1"/>
  <c r="F5" i="13"/>
  <c r="F46" i="13" s="1"/>
  <c r="E5" i="13"/>
  <c r="E46" i="13" s="1"/>
  <c r="AE4" i="13"/>
  <c r="AE45" i="13" s="1"/>
  <c r="U4" i="13"/>
  <c r="U45" i="13" s="1"/>
  <c r="K4" i="13"/>
  <c r="K45" i="13" s="1"/>
  <c r="F4" i="13"/>
  <c r="F45" i="13" s="1"/>
  <c r="E4" i="13"/>
  <c r="E45" i="13" s="1"/>
  <c r="AE3" i="13"/>
  <c r="AE44" i="13" s="1"/>
  <c r="U3" i="13"/>
  <c r="U44" i="13" s="1"/>
  <c r="K3" i="13"/>
  <c r="K44" i="13" s="1"/>
  <c r="F3" i="13"/>
  <c r="F44" i="13" s="1"/>
  <c r="E3" i="13"/>
  <c r="E44" i="13" s="1"/>
  <c r="AE2" i="13"/>
  <c r="AE42" i="13" s="1"/>
  <c r="F2" i="13"/>
  <c r="F42" i="13" s="1"/>
  <c r="E2" i="13"/>
  <c r="E42" i="13" s="1"/>
  <c r="F39" i="12"/>
  <c r="G39" i="12" s="1"/>
  <c r="H39" i="12" s="1"/>
  <c r="I39" i="12" s="1"/>
  <c r="J39" i="12" s="1"/>
  <c r="K39" i="12" s="1"/>
  <c r="L39" i="12" s="1"/>
  <c r="M39" i="12" s="1"/>
  <c r="N39" i="12" s="1"/>
  <c r="O39" i="12" s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Z39" i="12" s="1"/>
  <c r="AA39" i="12" s="1"/>
  <c r="AB39" i="12" s="1"/>
  <c r="AC39" i="12" s="1"/>
  <c r="AD39" i="12" s="1"/>
  <c r="AE39" i="12" s="1"/>
  <c r="AE12" i="12"/>
  <c r="AE57" i="12" s="1"/>
  <c r="U12" i="12"/>
  <c r="U57" i="12" s="1"/>
  <c r="K12" i="12"/>
  <c r="K57" i="12" s="1"/>
  <c r="F12" i="12"/>
  <c r="F57" i="12" s="1"/>
  <c r="E12" i="12"/>
  <c r="E57" i="12" s="1"/>
  <c r="AE11" i="12"/>
  <c r="AE56" i="12" s="1"/>
  <c r="U11" i="12"/>
  <c r="U56" i="12" s="1"/>
  <c r="K11" i="12"/>
  <c r="K56" i="12" s="1"/>
  <c r="F11" i="12"/>
  <c r="F56" i="12" s="1"/>
  <c r="E11" i="12"/>
  <c r="E56" i="12" s="1"/>
  <c r="AE10" i="12"/>
  <c r="AE55" i="12" s="1"/>
  <c r="U10" i="12"/>
  <c r="U55" i="12" s="1"/>
  <c r="K10" i="12"/>
  <c r="K55" i="12" s="1"/>
  <c r="F10" i="12"/>
  <c r="F55" i="12" s="1"/>
  <c r="E10" i="12"/>
  <c r="E55" i="12" s="1"/>
  <c r="AE9" i="12"/>
  <c r="AE54" i="12" s="1"/>
  <c r="U9" i="12"/>
  <c r="U54" i="12" s="1"/>
  <c r="K9" i="12"/>
  <c r="K54" i="12" s="1"/>
  <c r="F9" i="12"/>
  <c r="F54" i="12" s="1"/>
  <c r="E9" i="12"/>
  <c r="E54" i="12" s="1"/>
  <c r="AE8" i="12"/>
  <c r="AE53" i="12" s="1"/>
  <c r="U8" i="12"/>
  <c r="U53" i="12" s="1"/>
  <c r="K8" i="12"/>
  <c r="K53" i="12" s="1"/>
  <c r="F8" i="12"/>
  <c r="F53" i="12" s="1"/>
  <c r="E8" i="12"/>
  <c r="E53" i="12" s="1"/>
  <c r="AE7" i="12"/>
  <c r="AE49" i="12" s="1"/>
  <c r="U7" i="12"/>
  <c r="U49" i="12" s="1"/>
  <c r="K7" i="12"/>
  <c r="K49" i="12" s="1"/>
  <c r="F7" i="12"/>
  <c r="F49" i="12" s="1"/>
  <c r="E7" i="12"/>
  <c r="E49" i="12" s="1"/>
  <c r="AE6" i="12"/>
  <c r="AE48" i="12" s="1"/>
  <c r="U6" i="12"/>
  <c r="U48" i="12" s="1"/>
  <c r="L6" i="12"/>
  <c r="L48" i="12" s="1"/>
  <c r="K6" i="12"/>
  <c r="K48" i="12" s="1"/>
  <c r="F6" i="12"/>
  <c r="F48" i="12" s="1"/>
  <c r="E6" i="12"/>
  <c r="E48" i="12" s="1"/>
  <c r="AE5" i="12"/>
  <c r="AE47" i="12" s="1"/>
  <c r="U5" i="12"/>
  <c r="U47" i="12" s="1"/>
  <c r="L5" i="12"/>
  <c r="L47" i="12" s="1"/>
  <c r="K5" i="12"/>
  <c r="K47" i="12" s="1"/>
  <c r="F5" i="12"/>
  <c r="F47" i="12" s="1"/>
  <c r="E5" i="12"/>
  <c r="E47" i="12" s="1"/>
  <c r="AE4" i="12"/>
  <c r="AE46" i="12" s="1"/>
  <c r="U4" i="12"/>
  <c r="U46" i="12" s="1"/>
  <c r="K4" i="12"/>
  <c r="K46" i="12" s="1"/>
  <c r="F4" i="12"/>
  <c r="F46" i="12" s="1"/>
  <c r="E4" i="12"/>
  <c r="E46" i="12" s="1"/>
  <c r="AE3" i="12"/>
  <c r="AE45" i="12" s="1"/>
  <c r="U3" i="12"/>
  <c r="U45" i="12" s="1"/>
  <c r="K3" i="12"/>
  <c r="K45" i="12" s="1"/>
  <c r="F3" i="12"/>
  <c r="F45" i="12" s="1"/>
  <c r="E3" i="12"/>
  <c r="E45" i="12" s="1"/>
  <c r="AE2" i="12"/>
  <c r="AE43" i="12" s="1"/>
  <c r="F2" i="12"/>
  <c r="F43" i="12" s="1"/>
  <c r="E2" i="12"/>
  <c r="E43" i="12" s="1"/>
  <c r="F38" i="11"/>
  <c r="G38" i="11" s="1"/>
  <c r="H38" i="11" s="1"/>
  <c r="I38" i="11" s="1"/>
  <c r="J38" i="11" s="1"/>
  <c r="K38" i="11" s="1"/>
  <c r="L38" i="11" s="1"/>
  <c r="M38" i="11" s="1"/>
  <c r="N38" i="11" s="1"/>
  <c r="O38" i="11" s="1"/>
  <c r="P38" i="11" s="1"/>
  <c r="Q38" i="11" s="1"/>
  <c r="R38" i="11" s="1"/>
  <c r="S38" i="11" s="1"/>
  <c r="T38" i="11" s="1"/>
  <c r="U38" i="11" s="1"/>
  <c r="V38" i="11" s="1"/>
  <c r="W38" i="11" s="1"/>
  <c r="X38" i="11" s="1"/>
  <c r="Y38" i="11" s="1"/>
  <c r="Z38" i="11" s="1"/>
  <c r="AA38" i="11" s="1"/>
  <c r="AB38" i="11" s="1"/>
  <c r="AC38" i="11" s="1"/>
  <c r="AD38" i="11" s="1"/>
  <c r="AE38" i="11" s="1"/>
  <c r="AE12" i="11"/>
  <c r="AE56" i="11" s="1"/>
  <c r="U12" i="11"/>
  <c r="U56" i="11" s="1"/>
  <c r="K12" i="11"/>
  <c r="K56" i="11" s="1"/>
  <c r="F12" i="11"/>
  <c r="F56" i="11" s="1"/>
  <c r="AE11" i="11"/>
  <c r="AE55" i="11" s="1"/>
  <c r="U11" i="11"/>
  <c r="U55" i="11" s="1"/>
  <c r="K11" i="11"/>
  <c r="K55" i="11" s="1"/>
  <c r="F11" i="11"/>
  <c r="F55" i="11" s="1"/>
  <c r="AE10" i="11"/>
  <c r="AE54" i="11" s="1"/>
  <c r="U10" i="11"/>
  <c r="U54" i="11" s="1"/>
  <c r="K10" i="11"/>
  <c r="K54" i="11" s="1"/>
  <c r="F10" i="11"/>
  <c r="F54" i="11" s="1"/>
  <c r="AE9" i="11"/>
  <c r="AE53" i="11" s="1"/>
  <c r="U9" i="11"/>
  <c r="U53" i="11" s="1"/>
  <c r="K9" i="11"/>
  <c r="K53" i="11" s="1"/>
  <c r="F9" i="11"/>
  <c r="F53" i="11" s="1"/>
  <c r="AE8" i="11"/>
  <c r="AE52" i="11" s="1"/>
  <c r="U8" i="11"/>
  <c r="U52" i="11" s="1"/>
  <c r="K8" i="11"/>
  <c r="K52" i="11" s="1"/>
  <c r="F8" i="11"/>
  <c r="F52" i="11" s="1"/>
  <c r="AE7" i="11"/>
  <c r="AE48" i="11" s="1"/>
  <c r="U7" i="11"/>
  <c r="U48" i="11" s="1"/>
  <c r="K7" i="11"/>
  <c r="K48" i="11" s="1"/>
  <c r="F7" i="11"/>
  <c r="F48" i="11" s="1"/>
  <c r="AE6" i="11"/>
  <c r="AE47" i="11" s="1"/>
  <c r="U6" i="11"/>
  <c r="U47" i="11" s="1"/>
  <c r="L6" i="11"/>
  <c r="L47" i="11" s="1"/>
  <c r="K6" i="11"/>
  <c r="K47" i="11" s="1"/>
  <c r="F6" i="11"/>
  <c r="F47" i="11" s="1"/>
  <c r="AE5" i="11"/>
  <c r="AE46" i="11" s="1"/>
  <c r="U5" i="11"/>
  <c r="U46" i="11" s="1"/>
  <c r="L5" i="11"/>
  <c r="L46" i="11" s="1"/>
  <c r="K5" i="11"/>
  <c r="K46" i="11" s="1"/>
  <c r="F5" i="11"/>
  <c r="F46" i="11" s="1"/>
  <c r="AE4" i="11"/>
  <c r="AE45" i="11" s="1"/>
  <c r="U4" i="11"/>
  <c r="U45" i="11" s="1"/>
  <c r="K4" i="11"/>
  <c r="K45" i="11" s="1"/>
  <c r="F4" i="11"/>
  <c r="F45" i="11" s="1"/>
  <c r="AE3" i="11"/>
  <c r="AE44" i="11" s="1"/>
  <c r="U3" i="11"/>
  <c r="U44" i="11" s="1"/>
  <c r="K3" i="11"/>
  <c r="K44" i="11" s="1"/>
  <c r="F3" i="11"/>
  <c r="F44" i="11" s="1"/>
  <c r="AE2" i="11"/>
  <c r="AE42" i="11" s="1"/>
  <c r="F2" i="11"/>
  <c r="F42" i="11" s="1"/>
  <c r="F38" i="10"/>
  <c r="G38" i="10" s="1"/>
  <c r="H38" i="10" s="1"/>
  <c r="I38" i="10" s="1"/>
  <c r="J38" i="10" s="1"/>
  <c r="K38" i="10" s="1"/>
  <c r="L38" i="10" s="1"/>
  <c r="M38" i="10" s="1"/>
  <c r="N38" i="10" s="1"/>
  <c r="O38" i="10" s="1"/>
  <c r="P38" i="10" s="1"/>
  <c r="Q38" i="10" s="1"/>
  <c r="R38" i="10" s="1"/>
  <c r="S38" i="10" s="1"/>
  <c r="T38" i="10" s="1"/>
  <c r="U38" i="10" s="1"/>
  <c r="V38" i="10" s="1"/>
  <c r="W38" i="10" s="1"/>
  <c r="X38" i="10" s="1"/>
  <c r="Y38" i="10" s="1"/>
  <c r="Z38" i="10" s="1"/>
  <c r="AA38" i="10" s="1"/>
  <c r="AB38" i="10" s="1"/>
  <c r="AC38" i="10" s="1"/>
  <c r="AD38" i="10" s="1"/>
  <c r="AE38" i="10" s="1"/>
  <c r="AE12" i="10"/>
  <c r="AE56" i="10" s="1"/>
  <c r="U12" i="10"/>
  <c r="U56" i="10" s="1"/>
  <c r="K12" i="10"/>
  <c r="K56" i="10" s="1"/>
  <c r="F12" i="10"/>
  <c r="F56" i="10" s="1"/>
  <c r="E12" i="10"/>
  <c r="E56" i="10" s="1"/>
  <c r="AE11" i="10"/>
  <c r="AE55" i="10" s="1"/>
  <c r="U11" i="10"/>
  <c r="U55" i="10" s="1"/>
  <c r="K11" i="10"/>
  <c r="K55" i="10" s="1"/>
  <c r="F11" i="10"/>
  <c r="F55" i="10" s="1"/>
  <c r="E11" i="10"/>
  <c r="E55" i="10" s="1"/>
  <c r="AE10" i="10"/>
  <c r="AE54" i="10" s="1"/>
  <c r="U10" i="10"/>
  <c r="U54" i="10" s="1"/>
  <c r="K10" i="10"/>
  <c r="K54" i="10" s="1"/>
  <c r="F10" i="10"/>
  <c r="F54" i="10" s="1"/>
  <c r="E10" i="10"/>
  <c r="E54" i="10" s="1"/>
  <c r="AE9" i="10"/>
  <c r="AE53" i="10" s="1"/>
  <c r="U9" i="10"/>
  <c r="U53" i="10" s="1"/>
  <c r="K9" i="10"/>
  <c r="K53" i="10" s="1"/>
  <c r="F9" i="10"/>
  <c r="F53" i="10" s="1"/>
  <c r="E9" i="10"/>
  <c r="E53" i="10" s="1"/>
  <c r="AE8" i="10"/>
  <c r="U8" i="10"/>
  <c r="K8" i="10"/>
  <c r="F8" i="10"/>
  <c r="E8" i="10"/>
  <c r="AE7" i="10"/>
  <c r="AE48" i="10" s="1"/>
  <c r="U7" i="10"/>
  <c r="U48" i="10" s="1"/>
  <c r="K7" i="10"/>
  <c r="K48" i="10" s="1"/>
  <c r="F7" i="10"/>
  <c r="F48" i="10" s="1"/>
  <c r="E7" i="10"/>
  <c r="E48" i="10" s="1"/>
  <c r="AE6" i="10"/>
  <c r="AE47" i="10" s="1"/>
  <c r="U6" i="10"/>
  <c r="U47" i="10" s="1"/>
  <c r="L6" i="10"/>
  <c r="L47" i="10" s="1"/>
  <c r="K6" i="10"/>
  <c r="K47" i="10" s="1"/>
  <c r="F6" i="10"/>
  <c r="F47" i="10" s="1"/>
  <c r="E6" i="10"/>
  <c r="E47" i="10" s="1"/>
  <c r="AE5" i="10"/>
  <c r="AE46" i="10" s="1"/>
  <c r="U5" i="10"/>
  <c r="U46" i="10" s="1"/>
  <c r="L5" i="10"/>
  <c r="L46" i="10" s="1"/>
  <c r="K5" i="10"/>
  <c r="K46" i="10" s="1"/>
  <c r="F5" i="10"/>
  <c r="F46" i="10" s="1"/>
  <c r="E5" i="10"/>
  <c r="E46" i="10" s="1"/>
  <c r="AE4" i="10"/>
  <c r="AE45" i="10" s="1"/>
  <c r="U4" i="10"/>
  <c r="U45" i="10" s="1"/>
  <c r="K4" i="10"/>
  <c r="K45" i="10" s="1"/>
  <c r="F4" i="10"/>
  <c r="F45" i="10" s="1"/>
  <c r="E4" i="10"/>
  <c r="E45" i="10" s="1"/>
  <c r="AE3" i="10"/>
  <c r="U3" i="10"/>
  <c r="K3" i="10"/>
  <c r="F3" i="10"/>
  <c r="E3" i="10"/>
  <c r="AE2" i="10"/>
  <c r="AE42" i="10" s="1"/>
  <c r="F2" i="10"/>
  <c r="F42" i="10" s="1"/>
  <c r="E2" i="10"/>
  <c r="E42" i="10" s="1"/>
  <c r="G12" i="58"/>
  <c r="G57" i="58" s="1"/>
  <c r="G11" i="58"/>
  <c r="G56" i="58" s="1"/>
  <c r="G10" i="58"/>
  <c r="G55" i="58" s="1"/>
  <c r="G9" i="58"/>
  <c r="G54" i="58" s="1"/>
  <c r="G8" i="58"/>
  <c r="G53" i="58" s="1"/>
  <c r="G6" i="58"/>
  <c r="G48" i="58" s="1"/>
  <c r="G5" i="58"/>
  <c r="G47" i="58" s="1"/>
  <c r="B7" i="16"/>
  <c r="AO176" i="18"/>
  <c r="AO175" i="18"/>
  <c r="AO174" i="18"/>
  <c r="AO173" i="18"/>
  <c r="AO172" i="18"/>
  <c r="AO170" i="18"/>
  <c r="AO169" i="18"/>
  <c r="AO168" i="18"/>
  <c r="AO167" i="18"/>
  <c r="AO166" i="18"/>
  <c r="AO165" i="18"/>
  <c r="AO164" i="18"/>
  <c r="AO163" i="18"/>
  <c r="AO162" i="18"/>
  <c r="AO161" i="18"/>
  <c r="AO160" i="18"/>
  <c r="AO159" i="18"/>
  <c r="AO157" i="18"/>
  <c r="AO156" i="18"/>
  <c r="AO155" i="18"/>
  <c r="AO154" i="18"/>
  <c r="AO153" i="18"/>
  <c r="AO152" i="18"/>
  <c r="AO151" i="18"/>
  <c r="AO150" i="18"/>
  <c r="AO149" i="18"/>
  <c r="AO148" i="18"/>
  <c r="AO147" i="18"/>
  <c r="AO146" i="18"/>
  <c r="AO144" i="18"/>
  <c r="AO143" i="18"/>
  <c r="AO142" i="18"/>
  <c r="AO141" i="18"/>
  <c r="AO140" i="18"/>
  <c r="AO139" i="18"/>
  <c r="AO138" i="18"/>
  <c r="AO137" i="18"/>
  <c r="AO136" i="18"/>
  <c r="AO135" i="18"/>
  <c r="AO134" i="18"/>
  <c r="AO133" i="18"/>
  <c r="AO131" i="18"/>
  <c r="AO130" i="18"/>
  <c r="AO129" i="18"/>
  <c r="AO128" i="18"/>
  <c r="AO127" i="18"/>
  <c r="AO126" i="18"/>
  <c r="AO125" i="18"/>
  <c r="AO124" i="18"/>
  <c r="AO123" i="18"/>
  <c r="AO122" i="18"/>
  <c r="AO121" i="18"/>
  <c r="AO120" i="18"/>
  <c r="AO118" i="18"/>
  <c r="AO117" i="18"/>
  <c r="AO116" i="18"/>
  <c r="AO115" i="18"/>
  <c r="AO114" i="18"/>
  <c r="AO113" i="18"/>
  <c r="AO112" i="18"/>
  <c r="AO111" i="18"/>
  <c r="AO110" i="18"/>
  <c r="AO109" i="18"/>
  <c r="AO108" i="18"/>
  <c r="AO107" i="18"/>
  <c r="AO105" i="18"/>
  <c r="AO104" i="18"/>
  <c r="AO103" i="18"/>
  <c r="AO102" i="18"/>
  <c r="AO101" i="18"/>
  <c r="AO100" i="18"/>
  <c r="AO99" i="18"/>
  <c r="AO98" i="18"/>
  <c r="AO97" i="18"/>
  <c r="AO96" i="18"/>
  <c r="AO95" i="18"/>
  <c r="AO94" i="18"/>
  <c r="AO92" i="18"/>
  <c r="AO91" i="18"/>
  <c r="AO90" i="18"/>
  <c r="AO89" i="18"/>
  <c r="AO88" i="18"/>
  <c r="AO87" i="18"/>
  <c r="AO86" i="18"/>
  <c r="AO85" i="18"/>
  <c r="AO84" i="18"/>
  <c r="AO83" i="18"/>
  <c r="AO82" i="18"/>
  <c r="AO81" i="18"/>
  <c r="AO79" i="18"/>
  <c r="AO78" i="18"/>
  <c r="AO77" i="18"/>
  <c r="AO76" i="18"/>
  <c r="AO75" i="18"/>
  <c r="AO74" i="18"/>
  <c r="AO73" i="18"/>
  <c r="AN72" i="18"/>
  <c r="AO72" i="18" s="1"/>
  <c r="AN71" i="18"/>
  <c r="AO71" i="18" s="1"/>
  <c r="AN70" i="18"/>
  <c r="AO70" i="18" s="1"/>
  <c r="AN69" i="18"/>
  <c r="AO69" i="18" s="1"/>
  <c r="AN68" i="18"/>
  <c r="AO68" i="18" s="1"/>
  <c r="AN66" i="18"/>
  <c r="AO66" i="18" s="1"/>
  <c r="AN65" i="18"/>
  <c r="AO65" i="18" s="1"/>
  <c r="AN64" i="18"/>
  <c r="AO64" i="18" s="1"/>
  <c r="AN63" i="18"/>
  <c r="AO63" i="18" s="1"/>
  <c r="AN62" i="18"/>
  <c r="AO62" i="18" s="1"/>
  <c r="AN61" i="18"/>
  <c r="AO61" i="18" s="1"/>
  <c r="AN60" i="18"/>
  <c r="AO60" i="18" s="1"/>
  <c r="AN59" i="18"/>
  <c r="AO59" i="18" s="1"/>
  <c r="AN58" i="18"/>
  <c r="AO58" i="18" s="1"/>
  <c r="AN57" i="18"/>
  <c r="AO57" i="18" s="1"/>
  <c r="AN56" i="18"/>
  <c r="AO56" i="18" s="1"/>
  <c r="AN55" i="18"/>
  <c r="AO55" i="18" s="1"/>
  <c r="AN53" i="18"/>
  <c r="AO53" i="18" s="1"/>
  <c r="AN52" i="18"/>
  <c r="AO52" i="18" s="1"/>
  <c r="AN51" i="18"/>
  <c r="AO51" i="18" s="1"/>
  <c r="B60" i="18"/>
  <c r="A60" i="18"/>
  <c r="AN50" i="18"/>
  <c r="AO50" i="18" s="1"/>
  <c r="B59" i="18"/>
  <c r="A59" i="18"/>
  <c r="AN49" i="18"/>
  <c r="AO49" i="18" s="1"/>
  <c r="B58" i="18"/>
  <c r="A58" i="18"/>
  <c r="AN48" i="18"/>
  <c r="AO48" i="18" s="1"/>
  <c r="B57" i="18"/>
  <c r="A57" i="18"/>
  <c r="AN47" i="18"/>
  <c r="AO47" i="18" s="1"/>
  <c r="B56" i="18"/>
  <c r="A56" i="18"/>
  <c r="AN46" i="18"/>
  <c r="AO46" i="18" s="1"/>
  <c r="B54" i="18"/>
  <c r="A54" i="18"/>
  <c r="AN45" i="18"/>
  <c r="AO45" i="18" s="1"/>
  <c r="B53" i="18"/>
  <c r="A53" i="18"/>
  <c r="AN44" i="18"/>
  <c r="AO44" i="18" s="1"/>
  <c r="B52" i="18"/>
  <c r="A52" i="18"/>
  <c r="AN43" i="18"/>
  <c r="AO43" i="18" s="1"/>
  <c r="B51" i="18"/>
  <c r="A51" i="18"/>
  <c r="AN42" i="18"/>
  <c r="AO42" i="18" s="1"/>
  <c r="B50" i="18"/>
  <c r="A50" i="18"/>
  <c r="AN40" i="18"/>
  <c r="AO40" i="18" s="1"/>
  <c r="B49" i="18"/>
  <c r="A49" i="18"/>
  <c r="AN39" i="18"/>
  <c r="AO39" i="18" s="1"/>
  <c r="B48" i="18"/>
  <c r="A48" i="18"/>
  <c r="AN35" i="18"/>
  <c r="AO35" i="18" s="1"/>
  <c r="D47" i="18"/>
  <c r="C47" i="18"/>
  <c r="AN34" i="18"/>
  <c r="AO34" i="18" s="1"/>
  <c r="AN33" i="18"/>
  <c r="AO33" i="18" s="1"/>
  <c r="AN32" i="18"/>
  <c r="AO32" i="18" s="1"/>
  <c r="AN31" i="18"/>
  <c r="AO31" i="18" s="1"/>
  <c r="AN30" i="18"/>
  <c r="AO30" i="18" s="1"/>
  <c r="A42" i="18"/>
  <c r="AN29" i="18"/>
  <c r="AO29" i="18" s="1"/>
  <c r="AN28" i="18"/>
  <c r="AO28" i="18" s="1"/>
  <c r="AN27" i="18"/>
  <c r="AO27" i="18" s="1"/>
  <c r="AN26" i="18"/>
  <c r="AO26" i="18" s="1"/>
  <c r="AN24" i="18"/>
  <c r="AO24" i="18" s="1"/>
  <c r="AN23" i="18"/>
  <c r="AO23" i="18" s="1"/>
  <c r="AN19" i="18"/>
  <c r="AO19" i="18" s="1"/>
  <c r="AN18" i="18"/>
  <c r="AO18" i="18" s="1"/>
  <c r="AN17" i="18"/>
  <c r="AO17" i="18" s="1"/>
  <c r="AN16" i="18"/>
  <c r="AO16" i="18" s="1"/>
  <c r="AN15" i="18"/>
  <c r="AO15" i="18" s="1"/>
  <c r="AN14" i="18"/>
  <c r="AO14" i="18" s="1"/>
  <c r="AN10" i="18"/>
  <c r="AO10" i="18" s="1"/>
  <c r="AN9" i="18"/>
  <c r="AO9" i="18" s="1"/>
  <c r="AN8" i="18"/>
  <c r="AO8" i="18" s="1"/>
  <c r="AN7" i="18"/>
  <c r="AO7" i="18" s="1"/>
  <c r="AN6" i="18"/>
  <c r="AO6" i="18" s="1"/>
  <c r="AN5" i="18"/>
  <c r="AO5" i="18" s="1"/>
  <c r="U57" i="18" l="1"/>
  <c r="AA57" i="18"/>
  <c r="Y57" i="18"/>
  <c r="U60" i="18"/>
  <c r="AA60" i="18"/>
  <c r="Y60" i="18"/>
  <c r="W54" i="18"/>
  <c r="AA54" i="18"/>
  <c r="U54" i="18"/>
  <c r="Y54" i="18"/>
  <c r="AA58" i="18"/>
  <c r="Y58" i="18"/>
  <c r="U58" i="18"/>
  <c r="AA55" i="18"/>
  <c r="U55" i="18"/>
  <c r="W55" i="18"/>
  <c r="Y55" i="18"/>
  <c r="U56" i="18"/>
  <c r="AA56" i="18"/>
  <c r="Y56" i="18"/>
  <c r="AA59" i="18"/>
  <c r="Y59" i="18"/>
  <c r="U59" i="18"/>
  <c r="J37" i="17"/>
  <c r="J38" i="17" s="1"/>
  <c r="R37" i="17"/>
  <c r="R38" i="17" s="1"/>
  <c r="Z37" i="17"/>
  <c r="Z38" i="17" s="1"/>
  <c r="D37" i="17"/>
  <c r="Y37" i="17"/>
  <c r="Y38" i="17" s="1"/>
  <c r="K37" i="17"/>
  <c r="K38" i="17" s="1"/>
  <c r="S37" i="17"/>
  <c r="S38" i="17" s="1"/>
  <c r="AA37" i="17"/>
  <c r="AA38" i="17" s="1"/>
  <c r="X37" i="17"/>
  <c r="X38" i="17" s="1"/>
  <c r="Q37" i="17"/>
  <c r="Q38" i="17" s="1"/>
  <c r="L37" i="17"/>
  <c r="L38" i="17" s="1"/>
  <c r="T37" i="17"/>
  <c r="T38" i="17" s="1"/>
  <c r="AB37" i="17"/>
  <c r="AB38" i="17" s="1"/>
  <c r="E37" i="17"/>
  <c r="E38" i="17" s="1"/>
  <c r="M37" i="17"/>
  <c r="M38" i="17" s="1"/>
  <c r="U37" i="17"/>
  <c r="U38" i="17" s="1"/>
  <c r="AC37" i="17"/>
  <c r="AC38" i="17" s="1"/>
  <c r="W37" i="17"/>
  <c r="W38" i="17" s="1"/>
  <c r="H37" i="17"/>
  <c r="H38" i="17" s="1"/>
  <c r="F37" i="17"/>
  <c r="F38" i="17" s="1"/>
  <c r="N37" i="17"/>
  <c r="N38" i="17" s="1"/>
  <c r="V37" i="17"/>
  <c r="V38" i="17" s="1"/>
  <c r="AD37" i="17"/>
  <c r="AD38" i="17" s="1"/>
  <c r="G37" i="17"/>
  <c r="G38" i="17" s="1"/>
  <c r="O37" i="17"/>
  <c r="O38" i="17" s="1"/>
  <c r="AE37" i="17"/>
  <c r="AE38" i="17" s="1"/>
  <c r="P37" i="17"/>
  <c r="P38" i="17" s="1"/>
  <c r="I37" i="17"/>
  <c r="I38" i="17" s="1"/>
  <c r="F33" i="17"/>
  <c r="F34" i="17" s="1"/>
  <c r="E33" i="17"/>
  <c r="E34" i="17" s="1"/>
  <c r="D33" i="17"/>
  <c r="D78" i="38"/>
  <c r="G33" i="17"/>
  <c r="G34" i="17" s="1"/>
  <c r="D75" i="23"/>
  <c r="D74" i="11"/>
  <c r="D74" i="10"/>
  <c r="D78" i="15"/>
  <c r="D75" i="45"/>
  <c r="D78" i="61"/>
  <c r="D74" i="38"/>
  <c r="D78" i="11"/>
  <c r="D78" i="50"/>
  <c r="D75" i="12"/>
  <c r="D78" i="10"/>
  <c r="H33" i="17"/>
  <c r="H34" i="17" s="1"/>
  <c r="D74" i="13"/>
  <c r="D75" i="13" s="1"/>
  <c r="D83" i="13" s="1"/>
  <c r="D84" i="13" s="1"/>
  <c r="D75" i="58"/>
  <c r="D74" i="61"/>
  <c r="D74" i="43"/>
  <c r="D75" i="47"/>
  <c r="D78" i="43"/>
  <c r="E74" i="11"/>
  <c r="E75" i="11" s="1"/>
  <c r="D74" i="15"/>
  <c r="D74" i="50"/>
  <c r="I33" i="17"/>
  <c r="I34" i="17" s="1"/>
  <c r="E78" i="11"/>
  <c r="E79" i="11" s="1"/>
  <c r="J33" i="17"/>
  <c r="J34" i="17" s="1"/>
  <c r="K33" i="17"/>
  <c r="K34" i="17" s="1"/>
  <c r="L33" i="17"/>
  <c r="L34" i="17" s="1"/>
  <c r="M33" i="17"/>
  <c r="M34" i="17" s="1"/>
  <c r="N33" i="17"/>
  <c r="N34" i="17" s="1"/>
  <c r="O33" i="17"/>
  <c r="O34" i="17" s="1"/>
  <c r="P33" i="17"/>
  <c r="P34" i="17" s="1"/>
  <c r="Q33" i="17"/>
  <c r="Q34" i="17" s="1"/>
  <c r="R33" i="17"/>
  <c r="R34" i="17" s="1"/>
  <c r="S33" i="17"/>
  <c r="S34" i="17" s="1"/>
  <c r="T33" i="17"/>
  <c r="T34" i="17" s="1"/>
  <c r="U33" i="17"/>
  <c r="U34" i="17" s="1"/>
  <c r="V33" i="17"/>
  <c r="V34" i="17" s="1"/>
  <c r="W33" i="17"/>
  <c r="W34" i="17" s="1"/>
  <c r="X33" i="17"/>
  <c r="X34" i="17" s="1"/>
  <c r="Y33" i="17"/>
  <c r="Y34" i="17" s="1"/>
  <c r="Z33" i="17"/>
  <c r="Z34" i="17" s="1"/>
  <c r="AA33" i="17"/>
  <c r="AA34" i="17" s="1"/>
  <c r="AB33" i="17"/>
  <c r="AB34" i="17" s="1"/>
  <c r="AC33" i="17"/>
  <c r="AC34" i="17" s="1"/>
  <c r="AD33" i="17"/>
  <c r="AD34" i="17" s="1"/>
  <c r="AE33" i="17"/>
  <c r="AE34" i="17" s="1"/>
  <c r="E74" i="61"/>
  <c r="E75" i="61" s="1"/>
  <c r="AC74" i="61"/>
  <c r="AC75" i="61" s="1"/>
  <c r="K78" i="61"/>
  <c r="K79" i="61" s="1"/>
  <c r="H74" i="61"/>
  <c r="H75" i="61" s="1"/>
  <c r="Q78" i="61"/>
  <c r="Q79" i="61" s="1"/>
  <c r="O74" i="61"/>
  <c r="O75" i="61" s="1"/>
  <c r="X74" i="61"/>
  <c r="X75" i="61" s="1"/>
  <c r="Z74" i="61"/>
  <c r="Z75" i="61" s="1"/>
  <c r="AE78" i="61"/>
  <c r="AE79" i="61" s="1"/>
  <c r="E78" i="61"/>
  <c r="E79" i="61" s="1"/>
  <c r="Y74" i="61"/>
  <c r="Y75" i="61" s="1"/>
  <c r="S74" i="61"/>
  <c r="S75" i="61" s="1"/>
  <c r="X78" i="61"/>
  <c r="X79" i="61" s="1"/>
  <c r="T74" i="61"/>
  <c r="T75" i="61" s="1"/>
  <c r="J78" i="61"/>
  <c r="J79" i="61" s="1"/>
  <c r="N74" i="61"/>
  <c r="N75" i="61" s="1"/>
  <c r="T78" i="61"/>
  <c r="T79" i="61" s="1"/>
  <c r="AD78" i="61"/>
  <c r="AD79" i="61" s="1"/>
  <c r="L74" i="61"/>
  <c r="L75" i="61" s="1"/>
  <c r="S78" i="61"/>
  <c r="S79" i="61" s="1"/>
  <c r="M78" i="61"/>
  <c r="M79" i="61" s="1"/>
  <c r="AB74" i="61"/>
  <c r="AB75" i="61" s="1"/>
  <c r="V78" i="61"/>
  <c r="V79" i="61" s="1"/>
  <c r="AA74" i="61"/>
  <c r="AA75" i="61" s="1"/>
  <c r="I78" i="61"/>
  <c r="I79" i="61" s="1"/>
  <c r="M74" i="61"/>
  <c r="M75" i="61" s="1"/>
  <c r="R78" i="61"/>
  <c r="R79" i="61" s="1"/>
  <c r="V74" i="61"/>
  <c r="V75" i="61" s="1"/>
  <c r="V83" i="61" s="1"/>
  <c r="V84" i="61" s="1"/>
  <c r="W74" i="61"/>
  <c r="W75" i="61" s="1"/>
  <c r="AB78" i="61"/>
  <c r="AB79" i="61" s="1"/>
  <c r="Q74" i="61"/>
  <c r="Q75" i="61" s="1"/>
  <c r="G78" i="61"/>
  <c r="G79" i="61" s="1"/>
  <c r="P74" i="61"/>
  <c r="P75" i="61" s="1"/>
  <c r="U78" i="61"/>
  <c r="U79" i="61" s="1"/>
  <c r="AA78" i="61"/>
  <c r="AA79" i="61" s="1"/>
  <c r="AC78" i="61"/>
  <c r="AC79" i="61" s="1"/>
  <c r="H78" i="61"/>
  <c r="H79" i="61" s="1"/>
  <c r="U74" i="61"/>
  <c r="U75" i="61" s="1"/>
  <c r="Z78" i="61"/>
  <c r="Z79" i="61" s="1"/>
  <c r="I74" i="61"/>
  <c r="I75" i="61" s="1"/>
  <c r="I83" i="61" s="1"/>
  <c r="I84" i="61" s="1"/>
  <c r="K74" i="61"/>
  <c r="K75" i="61" s="1"/>
  <c r="P78" i="61"/>
  <c r="P79" i="61" s="1"/>
  <c r="F74" i="61"/>
  <c r="F75" i="61" s="1"/>
  <c r="G74" i="61"/>
  <c r="G75" i="61" s="1"/>
  <c r="L78" i="61"/>
  <c r="L79" i="61" s="1"/>
  <c r="N78" i="61"/>
  <c r="N79" i="61" s="1"/>
  <c r="R74" i="61"/>
  <c r="R75" i="61" s="1"/>
  <c r="W78" i="61"/>
  <c r="W79" i="61" s="1"/>
  <c r="Y78" i="61"/>
  <c r="Y79" i="61" s="1"/>
  <c r="AD74" i="61"/>
  <c r="AD75" i="61" s="1"/>
  <c r="AD83" i="61" s="1"/>
  <c r="AD84" i="61" s="1"/>
  <c r="AE74" i="61"/>
  <c r="AE75" i="61" s="1"/>
  <c r="AE83" i="61" s="1"/>
  <c r="AE84" i="61" s="1"/>
  <c r="F78" i="61"/>
  <c r="F79" i="61" s="1"/>
  <c r="J74" i="61"/>
  <c r="J75" i="61" s="1"/>
  <c r="J83" i="61" s="1"/>
  <c r="J84" i="61" s="1"/>
  <c r="O78" i="61"/>
  <c r="O79" i="61" s="1"/>
  <c r="G7" i="58"/>
  <c r="G49" i="58" s="1"/>
  <c r="C53" i="18"/>
  <c r="C55" i="18"/>
  <c r="I55" i="18"/>
  <c r="G55" i="18"/>
  <c r="C74" i="18"/>
  <c r="C73" i="18"/>
  <c r="K55" i="18"/>
  <c r="M55" i="18"/>
  <c r="O55" i="18"/>
  <c r="Q55" i="18"/>
  <c r="S55" i="18"/>
  <c r="S59" i="18"/>
  <c r="S57" i="18"/>
  <c r="C54" i="18"/>
  <c r="G54" i="18"/>
  <c r="S60" i="18"/>
  <c r="S58" i="18"/>
  <c r="E75" i="58"/>
  <c r="S54" i="18"/>
  <c r="O54" i="18"/>
  <c r="Q54" i="18"/>
  <c r="M54" i="18"/>
  <c r="K54" i="18"/>
  <c r="I54" i="18"/>
  <c r="S56" i="18"/>
  <c r="E44" i="12"/>
  <c r="E43" i="10"/>
  <c r="F43" i="10"/>
  <c r="AE43" i="10"/>
  <c r="C46" i="18"/>
  <c r="E47" i="18"/>
  <c r="E46" i="18" s="1"/>
  <c r="E61" i="45"/>
  <c r="E74" i="45" s="1"/>
  <c r="E60" i="50"/>
  <c r="E73" i="50" s="1"/>
  <c r="E60" i="38"/>
  <c r="E73" i="38" s="1"/>
  <c r="E60" i="43"/>
  <c r="E73" i="43" s="1"/>
  <c r="E61" i="47"/>
  <c r="E74" i="47" s="1"/>
  <c r="E61" i="12"/>
  <c r="E74" i="12" s="1"/>
  <c r="E61" i="23"/>
  <c r="E74" i="23" s="1"/>
  <c r="E60" i="15"/>
  <c r="E73" i="15" s="1"/>
  <c r="E60" i="13"/>
  <c r="E73" i="13" s="1"/>
  <c r="E62" i="50"/>
  <c r="E74" i="50" s="1"/>
  <c r="E63" i="47"/>
  <c r="E62" i="38"/>
  <c r="E74" i="38" s="1"/>
  <c r="E63" i="45"/>
  <c r="E75" i="45" s="1"/>
  <c r="E62" i="13"/>
  <c r="E63" i="23"/>
  <c r="E75" i="23" s="1"/>
  <c r="E63" i="12"/>
  <c r="E75" i="12" s="1"/>
  <c r="E62" i="43"/>
  <c r="E62" i="15"/>
  <c r="E61" i="50"/>
  <c r="E77" i="50" s="1"/>
  <c r="E62" i="47"/>
  <c r="E78" i="47" s="1"/>
  <c r="E61" i="38"/>
  <c r="E77" i="38" s="1"/>
  <c r="E61" i="43"/>
  <c r="E77" i="43" s="1"/>
  <c r="E62" i="45"/>
  <c r="E78" i="45" s="1"/>
  <c r="E61" i="13"/>
  <c r="E77" i="13" s="1"/>
  <c r="E62" i="23"/>
  <c r="E78" i="23" s="1"/>
  <c r="E61" i="15"/>
  <c r="E77" i="15" s="1"/>
  <c r="E62" i="12"/>
  <c r="E78" i="12" s="1"/>
  <c r="AQ44" i="18"/>
  <c r="E64" i="45"/>
  <c r="E79" i="45" s="1"/>
  <c r="E63" i="50"/>
  <c r="E78" i="50" s="1"/>
  <c r="E63" i="38"/>
  <c r="E78" i="38" s="1"/>
  <c r="E63" i="43"/>
  <c r="E78" i="43" s="1"/>
  <c r="E64" i="12"/>
  <c r="E79" i="12" s="1"/>
  <c r="E63" i="15"/>
  <c r="E78" i="15" s="1"/>
  <c r="E63" i="13"/>
  <c r="E78" i="13" s="1"/>
  <c r="E64" i="23"/>
  <c r="E79" i="23" s="1"/>
  <c r="E64" i="47"/>
  <c r="E79" i="47" s="1"/>
  <c r="E44" i="10"/>
  <c r="F52" i="10"/>
  <c r="E60" i="10"/>
  <c r="E73" i="10" s="1"/>
  <c r="F44" i="10"/>
  <c r="K52" i="10"/>
  <c r="E61" i="10"/>
  <c r="E77" i="10" s="1"/>
  <c r="U44" i="10"/>
  <c r="AE52" i="10"/>
  <c r="E63" i="10"/>
  <c r="E78" i="10" s="1"/>
  <c r="AE44" i="10"/>
  <c r="K44" i="10"/>
  <c r="U52" i="10"/>
  <c r="F63" i="58"/>
  <c r="E62" i="10"/>
  <c r="E74" i="10" s="1"/>
  <c r="E52" i="10"/>
  <c r="V6" i="10"/>
  <c r="V47" i="10" s="1"/>
  <c r="H9" i="43"/>
  <c r="H53" i="43" s="1"/>
  <c r="G9" i="10"/>
  <c r="G53" i="10" s="1"/>
  <c r="L7" i="10"/>
  <c r="L48" i="10" s="1"/>
  <c r="M6" i="12"/>
  <c r="M48" i="12" s="1"/>
  <c r="G10" i="12"/>
  <c r="G55" i="12" s="1"/>
  <c r="M10" i="47"/>
  <c r="M55" i="47" s="1"/>
  <c r="V12" i="10"/>
  <c r="V56" i="10" s="1"/>
  <c r="L11" i="10"/>
  <c r="L55" i="10" s="1"/>
  <c r="G12" i="13"/>
  <c r="G56" i="13" s="1"/>
  <c r="E44" i="47"/>
  <c r="M11" i="43"/>
  <c r="M55" i="43" s="1"/>
  <c r="L47" i="38"/>
  <c r="E44" i="45"/>
  <c r="G3" i="10"/>
  <c r="AE46" i="23"/>
  <c r="F44" i="45"/>
  <c r="AE43" i="50"/>
  <c r="F44" i="47"/>
  <c r="L7" i="12"/>
  <c r="L49" i="12" s="1"/>
  <c r="AE44" i="47"/>
  <c r="L9" i="13"/>
  <c r="L53" i="13" s="1"/>
  <c r="L3" i="11"/>
  <c r="L44" i="11" s="1"/>
  <c r="G8" i="11"/>
  <c r="G52" i="11" s="1"/>
  <c r="G8" i="12"/>
  <c r="G53" i="12" s="1"/>
  <c r="M6" i="11"/>
  <c r="M47" i="11" s="1"/>
  <c r="L11" i="12"/>
  <c r="L56" i="12" s="1"/>
  <c r="E43" i="15"/>
  <c r="L10" i="10"/>
  <c r="L54" i="10" s="1"/>
  <c r="F43" i="11"/>
  <c r="F43" i="15"/>
  <c r="AE47" i="23"/>
  <c r="G12" i="10"/>
  <c r="G56" i="10" s="1"/>
  <c r="F44" i="23"/>
  <c r="G6" i="15"/>
  <c r="G47" i="15" s="1"/>
  <c r="L11" i="11"/>
  <c r="L55" i="11" s="1"/>
  <c r="F44" i="12"/>
  <c r="E43" i="13"/>
  <c r="F43" i="13"/>
  <c r="U56" i="23"/>
  <c r="F43" i="50"/>
  <c r="V3" i="50"/>
  <c r="V44" i="50" s="1"/>
  <c r="V3" i="47"/>
  <c r="V45" i="47" s="1"/>
  <c r="V3" i="43"/>
  <c r="V44" i="43" s="1"/>
  <c r="V3" i="38"/>
  <c r="V44" i="38" s="1"/>
  <c r="V3" i="45"/>
  <c r="V3" i="23"/>
  <c r="V3" i="15"/>
  <c r="V44" i="15" s="1"/>
  <c r="V3" i="13"/>
  <c r="V44" i="13" s="1"/>
  <c r="V3" i="12"/>
  <c r="V45" i="12" s="1"/>
  <c r="V3" i="11"/>
  <c r="V44" i="11" s="1"/>
  <c r="V3" i="10"/>
  <c r="W3" i="58"/>
  <c r="W45" i="58" s="1"/>
  <c r="AE44" i="12"/>
  <c r="W5" i="43"/>
  <c r="W46" i="43" s="1"/>
  <c r="W5" i="12"/>
  <c r="W47" i="12" s="1"/>
  <c r="M5" i="50"/>
  <c r="M46" i="50" s="1"/>
  <c r="M5" i="47"/>
  <c r="M47" i="47" s="1"/>
  <c r="M5" i="43"/>
  <c r="M46" i="43" s="1"/>
  <c r="M5" i="45"/>
  <c r="M47" i="45" s="1"/>
  <c r="M5" i="38"/>
  <c r="M5" i="23"/>
  <c r="M5" i="15"/>
  <c r="M46" i="15" s="1"/>
  <c r="M5" i="13"/>
  <c r="M46" i="13" s="1"/>
  <c r="M5" i="12"/>
  <c r="M47" i="12" s="1"/>
  <c r="M5" i="11"/>
  <c r="M46" i="11" s="1"/>
  <c r="M5" i="10"/>
  <c r="M46" i="10" s="1"/>
  <c r="V6" i="50"/>
  <c r="V47" i="50" s="1"/>
  <c r="V6" i="47"/>
  <c r="V48" i="47" s="1"/>
  <c r="V6" i="45"/>
  <c r="V6" i="43"/>
  <c r="V47" i="43" s="1"/>
  <c r="V6" i="38"/>
  <c r="V47" i="38" s="1"/>
  <c r="V6" i="23"/>
  <c r="V6" i="15"/>
  <c r="V47" i="15" s="1"/>
  <c r="V6" i="12"/>
  <c r="V48" i="12" s="1"/>
  <c r="V6" i="11"/>
  <c r="V47" i="11" s="1"/>
  <c r="V6" i="13"/>
  <c r="V47" i="13" s="1"/>
  <c r="V9" i="50"/>
  <c r="V53" i="50" s="1"/>
  <c r="V9" i="47"/>
  <c r="V54" i="47" s="1"/>
  <c r="V9" i="45"/>
  <c r="V54" i="45" s="1"/>
  <c r="V9" i="43"/>
  <c r="V53" i="43" s="1"/>
  <c r="V9" i="38"/>
  <c r="V53" i="38" s="1"/>
  <c r="V9" i="23"/>
  <c r="V9" i="13"/>
  <c r="V53" i="13" s="1"/>
  <c r="V9" i="15"/>
  <c r="V53" i="15" s="1"/>
  <c r="V9" i="11"/>
  <c r="V53" i="11" s="1"/>
  <c r="V9" i="12"/>
  <c r="V54" i="12" s="1"/>
  <c r="V9" i="10"/>
  <c r="V53" i="10" s="1"/>
  <c r="G11" i="50"/>
  <c r="G55" i="50" s="1"/>
  <c r="G11" i="43"/>
  <c r="G55" i="43" s="1"/>
  <c r="G11" i="45"/>
  <c r="G56" i="45" s="1"/>
  <c r="G11" i="38"/>
  <c r="G55" i="38" s="1"/>
  <c r="G11" i="47"/>
  <c r="G56" i="47" s="1"/>
  <c r="G11" i="23"/>
  <c r="G56" i="23" s="1"/>
  <c r="G11" i="15"/>
  <c r="G55" i="15" s="1"/>
  <c r="G11" i="13"/>
  <c r="G55" i="13" s="1"/>
  <c r="G11" i="12"/>
  <c r="G56" i="12" s="1"/>
  <c r="G11" i="11"/>
  <c r="G55" i="11" s="1"/>
  <c r="G11" i="10"/>
  <c r="G55" i="10" s="1"/>
  <c r="H11" i="58"/>
  <c r="H56" i="58" s="1"/>
  <c r="G4" i="50"/>
  <c r="G45" i="50" s="1"/>
  <c r="G4" i="45"/>
  <c r="G46" i="45" s="1"/>
  <c r="G4" i="43"/>
  <c r="G45" i="43" s="1"/>
  <c r="G4" i="47"/>
  <c r="G46" i="47" s="1"/>
  <c r="G4" i="38"/>
  <c r="G45" i="38" s="1"/>
  <c r="G4" i="23"/>
  <c r="G46" i="23" s="1"/>
  <c r="G4" i="15"/>
  <c r="G45" i="15" s="1"/>
  <c r="G4" i="13"/>
  <c r="G45" i="13" s="1"/>
  <c r="G4" i="12"/>
  <c r="G46" i="12" s="1"/>
  <c r="G4" i="10"/>
  <c r="G45" i="10" s="1"/>
  <c r="V5" i="47"/>
  <c r="V47" i="47" s="1"/>
  <c r="V5" i="50"/>
  <c r="V46" i="50" s="1"/>
  <c r="V5" i="45"/>
  <c r="V5" i="43"/>
  <c r="V46" i="43" s="1"/>
  <c r="V5" i="38"/>
  <c r="V46" i="38" s="1"/>
  <c r="V5" i="15"/>
  <c r="V46" i="15" s="1"/>
  <c r="V5" i="23"/>
  <c r="V5" i="13"/>
  <c r="V46" i="13" s="1"/>
  <c r="V5" i="12"/>
  <c r="V47" i="12" s="1"/>
  <c r="V5" i="10"/>
  <c r="V46" i="10" s="1"/>
  <c r="V5" i="11"/>
  <c r="V46" i="11" s="1"/>
  <c r="G6" i="50"/>
  <c r="G47" i="50" s="1"/>
  <c r="G6" i="47"/>
  <c r="G48" i="47" s="1"/>
  <c r="G6" i="45"/>
  <c r="G48" i="45" s="1"/>
  <c r="G6" i="43"/>
  <c r="G47" i="43" s="1"/>
  <c r="G6" i="38"/>
  <c r="G47" i="38" s="1"/>
  <c r="G6" i="23"/>
  <c r="G48" i="23" s="1"/>
  <c r="G6" i="13"/>
  <c r="G47" i="13" s="1"/>
  <c r="G6" i="12"/>
  <c r="G48" i="12" s="1"/>
  <c r="G6" i="11"/>
  <c r="G47" i="11" s="1"/>
  <c r="G7" i="50"/>
  <c r="G48" i="50" s="1"/>
  <c r="G7" i="47"/>
  <c r="G49" i="47" s="1"/>
  <c r="G7" i="43"/>
  <c r="G48" i="43" s="1"/>
  <c r="G7" i="45"/>
  <c r="G49" i="45" s="1"/>
  <c r="G7" i="38"/>
  <c r="G48" i="38" s="1"/>
  <c r="G7" i="23"/>
  <c r="G49" i="23" s="1"/>
  <c r="G7" i="15"/>
  <c r="G48" i="15" s="1"/>
  <c r="G7" i="13"/>
  <c r="G48" i="13" s="1"/>
  <c r="G7" i="12"/>
  <c r="G49" i="12" s="1"/>
  <c r="G7" i="11"/>
  <c r="G48" i="11" s="1"/>
  <c r="G7" i="10"/>
  <c r="G48" i="10" s="1"/>
  <c r="G6" i="10"/>
  <c r="G47" i="10" s="1"/>
  <c r="L3" i="12"/>
  <c r="L45" i="12" s="1"/>
  <c r="G2" i="50"/>
  <c r="G42" i="50" s="1"/>
  <c r="G43" i="50" s="1"/>
  <c r="G2" i="47"/>
  <c r="G43" i="47" s="1"/>
  <c r="G44" i="47" s="1"/>
  <c r="G2" i="45"/>
  <c r="G43" i="45" s="1"/>
  <c r="G44" i="45" s="1"/>
  <c r="G2" i="43"/>
  <c r="G42" i="43" s="1"/>
  <c r="G43" i="43" s="1"/>
  <c r="G2" i="38"/>
  <c r="G42" i="38" s="1"/>
  <c r="G43" i="38" s="1"/>
  <c r="G2" i="23"/>
  <c r="G43" i="23" s="1"/>
  <c r="G44" i="23" s="1"/>
  <c r="G2" i="15"/>
  <c r="G42" i="15" s="1"/>
  <c r="G43" i="15" s="1"/>
  <c r="G2" i="13"/>
  <c r="G42" i="13" s="1"/>
  <c r="G43" i="13" s="1"/>
  <c r="G2" i="11"/>
  <c r="G42" i="11" s="1"/>
  <c r="G43" i="11" s="1"/>
  <c r="G2" i="12"/>
  <c r="G43" i="12" s="1"/>
  <c r="G44" i="12" s="1"/>
  <c r="G2" i="10"/>
  <c r="G42" i="10" s="1"/>
  <c r="G43" i="10" s="1"/>
  <c r="G3" i="47"/>
  <c r="G45" i="47" s="1"/>
  <c r="G3" i="50"/>
  <c r="G44" i="50" s="1"/>
  <c r="G3" i="45"/>
  <c r="G45" i="45" s="1"/>
  <c r="G3" i="38"/>
  <c r="G44" i="38" s="1"/>
  <c r="G3" i="43"/>
  <c r="G44" i="43" s="1"/>
  <c r="G3" i="23"/>
  <c r="G45" i="23" s="1"/>
  <c r="G3" i="15"/>
  <c r="G44" i="15" s="1"/>
  <c r="G3" i="12"/>
  <c r="G45" i="12" s="1"/>
  <c r="G3" i="13"/>
  <c r="G44" i="13" s="1"/>
  <c r="G3" i="11"/>
  <c r="G44" i="11" s="1"/>
  <c r="L9" i="50"/>
  <c r="L53" i="50" s="1"/>
  <c r="L9" i="47"/>
  <c r="L54" i="47" s="1"/>
  <c r="L9" i="45"/>
  <c r="L54" i="45" s="1"/>
  <c r="L9" i="43"/>
  <c r="L53" i="43" s="1"/>
  <c r="L9" i="38"/>
  <c r="L53" i="38" s="1"/>
  <c r="L9" i="15"/>
  <c r="L53" i="15" s="1"/>
  <c r="L9" i="23"/>
  <c r="L54" i="23" s="1"/>
  <c r="L9" i="10"/>
  <c r="L53" i="10" s="1"/>
  <c r="M6" i="50"/>
  <c r="M47" i="50" s="1"/>
  <c r="M6" i="47"/>
  <c r="M48" i="47" s="1"/>
  <c r="M6" i="45"/>
  <c r="M48" i="45" s="1"/>
  <c r="M6" i="43"/>
  <c r="M47" i="43" s="1"/>
  <c r="M6" i="38"/>
  <c r="M47" i="38" s="1"/>
  <c r="M6" i="23"/>
  <c r="M6" i="13"/>
  <c r="M47" i="13" s="1"/>
  <c r="M6" i="15"/>
  <c r="M47" i="15" s="1"/>
  <c r="V10" i="50"/>
  <c r="V54" i="50" s="1"/>
  <c r="V10" i="47"/>
  <c r="V55" i="47" s="1"/>
  <c r="V10" i="45"/>
  <c r="V55" i="45" s="1"/>
  <c r="V10" i="43"/>
  <c r="V54" i="43" s="1"/>
  <c r="V10" i="38"/>
  <c r="V54" i="38" s="1"/>
  <c r="V10" i="23"/>
  <c r="V55" i="23" s="1"/>
  <c r="V10" i="13"/>
  <c r="V54" i="13" s="1"/>
  <c r="V10" i="15"/>
  <c r="V54" i="15" s="1"/>
  <c r="V10" i="12"/>
  <c r="V55" i="12" s="1"/>
  <c r="V10" i="11"/>
  <c r="V54" i="11" s="1"/>
  <c r="V10" i="10"/>
  <c r="V54" i="10" s="1"/>
  <c r="H12" i="23"/>
  <c r="H57" i="23" s="1"/>
  <c r="H12" i="10"/>
  <c r="H56" i="10" s="1"/>
  <c r="M6" i="10"/>
  <c r="M47" i="10" s="1"/>
  <c r="L9" i="11"/>
  <c r="L53" i="11" s="1"/>
  <c r="L9" i="12"/>
  <c r="L54" i="12" s="1"/>
  <c r="L4" i="50"/>
  <c r="L45" i="50" s="1"/>
  <c r="L4" i="47"/>
  <c r="L46" i="47" s="1"/>
  <c r="L4" i="45"/>
  <c r="L46" i="45" s="1"/>
  <c r="L4" i="43"/>
  <c r="L45" i="43" s="1"/>
  <c r="L4" i="38"/>
  <c r="L45" i="38" s="1"/>
  <c r="L4" i="23"/>
  <c r="L4" i="15"/>
  <c r="L45" i="15" s="1"/>
  <c r="L4" i="12"/>
  <c r="L46" i="12" s="1"/>
  <c r="L4" i="13"/>
  <c r="L45" i="13" s="1"/>
  <c r="L4" i="11"/>
  <c r="L45" i="11" s="1"/>
  <c r="L7" i="50"/>
  <c r="L48" i="50" s="1"/>
  <c r="L7" i="47"/>
  <c r="L49" i="47" s="1"/>
  <c r="L7" i="45"/>
  <c r="L49" i="45" s="1"/>
  <c r="L7" i="43"/>
  <c r="L48" i="43" s="1"/>
  <c r="L7" i="38"/>
  <c r="L48" i="38" s="1"/>
  <c r="L7" i="23"/>
  <c r="L7" i="13"/>
  <c r="L48" i="13" s="1"/>
  <c r="L7" i="15"/>
  <c r="L48" i="15" s="1"/>
  <c r="L7" i="11"/>
  <c r="L48" i="11" s="1"/>
  <c r="W10" i="10"/>
  <c r="W54" i="10" s="1"/>
  <c r="G4" i="11"/>
  <c r="G45" i="11" s="1"/>
  <c r="V4" i="50"/>
  <c r="V45" i="50" s="1"/>
  <c r="V4" i="45"/>
  <c r="V4" i="47"/>
  <c r="V46" i="47" s="1"/>
  <c r="V4" i="43"/>
  <c r="V45" i="43" s="1"/>
  <c r="V4" i="38"/>
  <c r="V45" i="38" s="1"/>
  <c r="V4" i="23"/>
  <c r="V4" i="15"/>
  <c r="V45" i="15" s="1"/>
  <c r="V4" i="12"/>
  <c r="V46" i="12" s="1"/>
  <c r="V4" i="11"/>
  <c r="V45" i="11" s="1"/>
  <c r="V4" i="13"/>
  <c r="V45" i="13" s="1"/>
  <c r="V4" i="10"/>
  <c r="V45" i="10" s="1"/>
  <c r="G5" i="50"/>
  <c r="G46" i="50" s="1"/>
  <c r="G5" i="47"/>
  <c r="G47" i="47" s="1"/>
  <c r="G5" i="45"/>
  <c r="G47" i="45" s="1"/>
  <c r="G5" i="43"/>
  <c r="G46" i="43" s="1"/>
  <c r="G5" i="38"/>
  <c r="G46" i="38" s="1"/>
  <c r="G5" i="15"/>
  <c r="G46" i="15" s="1"/>
  <c r="G5" i="13"/>
  <c r="G46" i="13" s="1"/>
  <c r="G5" i="23"/>
  <c r="G47" i="23" s="1"/>
  <c r="G5" i="12"/>
  <c r="G47" i="12" s="1"/>
  <c r="G5" i="11"/>
  <c r="G46" i="11" s="1"/>
  <c r="G5" i="10"/>
  <c r="G46" i="10" s="1"/>
  <c r="L3" i="50"/>
  <c r="L44" i="50" s="1"/>
  <c r="L3" i="47"/>
  <c r="L45" i="47" s="1"/>
  <c r="L3" i="45"/>
  <c r="L45" i="45" s="1"/>
  <c r="L3" i="43"/>
  <c r="L44" i="43" s="1"/>
  <c r="L3" i="38"/>
  <c r="L44" i="38" s="1"/>
  <c r="L3" i="15"/>
  <c r="L44" i="15" s="1"/>
  <c r="L3" i="13"/>
  <c r="L44" i="13" s="1"/>
  <c r="L3" i="10"/>
  <c r="L3" i="23"/>
  <c r="H5" i="58"/>
  <c r="H47" i="58" s="1"/>
  <c r="L4" i="10"/>
  <c r="L45" i="10" s="1"/>
  <c r="AE43" i="11"/>
  <c r="AE43" i="15"/>
  <c r="L8" i="47"/>
  <c r="L53" i="47" s="1"/>
  <c r="L8" i="50"/>
  <c r="L52" i="50" s="1"/>
  <c r="L8" i="45"/>
  <c r="L53" i="45" s="1"/>
  <c r="L8" i="43"/>
  <c r="L52" i="43" s="1"/>
  <c r="L8" i="38"/>
  <c r="L52" i="38" s="1"/>
  <c r="L8" i="23"/>
  <c r="L53" i="23" s="1"/>
  <c r="L8" i="13"/>
  <c r="L52" i="13" s="1"/>
  <c r="L8" i="15"/>
  <c r="L52" i="15" s="1"/>
  <c r="L8" i="12"/>
  <c r="L53" i="12" s="1"/>
  <c r="L8" i="11"/>
  <c r="L52" i="11" s="1"/>
  <c r="G10" i="50"/>
  <c r="G54" i="50" s="1"/>
  <c r="G10" i="47"/>
  <c r="G55" i="47" s="1"/>
  <c r="G10" i="45"/>
  <c r="G55" i="45" s="1"/>
  <c r="G10" i="43"/>
  <c r="G54" i="43" s="1"/>
  <c r="G10" i="38"/>
  <c r="G54" i="38" s="1"/>
  <c r="G10" i="23"/>
  <c r="G55" i="23" s="1"/>
  <c r="G10" i="15"/>
  <c r="G54" i="15" s="1"/>
  <c r="G10" i="13"/>
  <c r="G54" i="13" s="1"/>
  <c r="L12" i="50"/>
  <c r="L56" i="50" s="1"/>
  <c r="L12" i="47"/>
  <c r="L57" i="47" s="1"/>
  <c r="L12" i="43"/>
  <c r="L56" i="43" s="1"/>
  <c r="L12" i="45"/>
  <c r="L57" i="45" s="1"/>
  <c r="L12" i="38"/>
  <c r="L56" i="38" s="1"/>
  <c r="L12" i="15"/>
  <c r="L56" i="15" s="1"/>
  <c r="L12" i="23"/>
  <c r="L57" i="23" s="1"/>
  <c r="L12" i="13"/>
  <c r="L56" i="13" s="1"/>
  <c r="L12" i="12"/>
  <c r="L57" i="12" s="1"/>
  <c r="L12" i="11"/>
  <c r="L56" i="11" s="1"/>
  <c r="L8" i="10"/>
  <c r="G12" i="23"/>
  <c r="G57" i="23" s="1"/>
  <c r="V7" i="50"/>
  <c r="V48" i="50" s="1"/>
  <c r="V7" i="45"/>
  <c r="V7" i="43"/>
  <c r="V48" i="43" s="1"/>
  <c r="V7" i="47"/>
  <c r="V49" i="47" s="1"/>
  <c r="V7" i="38"/>
  <c r="V48" i="38" s="1"/>
  <c r="V7" i="23"/>
  <c r="V7" i="15"/>
  <c r="V48" i="15" s="1"/>
  <c r="V7" i="13"/>
  <c r="V48" i="13" s="1"/>
  <c r="V8" i="50"/>
  <c r="V52" i="50" s="1"/>
  <c r="V8" i="47"/>
  <c r="V53" i="47" s="1"/>
  <c r="V8" i="43"/>
  <c r="V52" i="43" s="1"/>
  <c r="V8" i="45"/>
  <c r="V53" i="45" s="1"/>
  <c r="V8" i="38"/>
  <c r="V52" i="38" s="1"/>
  <c r="V8" i="15"/>
  <c r="V52" i="15" s="1"/>
  <c r="V8" i="23"/>
  <c r="V53" i="23" s="1"/>
  <c r="V8" i="13"/>
  <c r="V52" i="13" s="1"/>
  <c r="V8" i="12"/>
  <c r="V53" i="12" s="1"/>
  <c r="V8" i="11"/>
  <c r="V52" i="11" s="1"/>
  <c r="H10" i="58"/>
  <c r="H55" i="58" s="1"/>
  <c r="V12" i="50"/>
  <c r="V56" i="50" s="1"/>
  <c r="V12" i="45"/>
  <c r="V57" i="45" s="1"/>
  <c r="V12" i="47"/>
  <c r="V57" i="47" s="1"/>
  <c r="V12" i="43"/>
  <c r="V56" i="43" s="1"/>
  <c r="V12" i="38"/>
  <c r="V56" i="38" s="1"/>
  <c r="V12" i="13"/>
  <c r="V56" i="13" s="1"/>
  <c r="V12" i="23"/>
  <c r="V57" i="23" s="1"/>
  <c r="V12" i="15"/>
  <c r="V56" i="15" s="1"/>
  <c r="V12" i="12"/>
  <c r="V57" i="12" s="1"/>
  <c r="V12" i="11"/>
  <c r="V56" i="11" s="1"/>
  <c r="V7" i="10"/>
  <c r="V48" i="10" s="1"/>
  <c r="G10" i="10"/>
  <c r="G54" i="10" s="1"/>
  <c r="W7" i="47"/>
  <c r="W49" i="47" s="1"/>
  <c r="W7" i="23"/>
  <c r="G9" i="50"/>
  <c r="G53" i="50" s="1"/>
  <c r="G9" i="47"/>
  <c r="G54" i="47" s="1"/>
  <c r="G9" i="45"/>
  <c r="G54" i="45" s="1"/>
  <c r="G9" i="43"/>
  <c r="G53" i="43" s="1"/>
  <c r="G9" i="38"/>
  <c r="G53" i="38" s="1"/>
  <c r="G9" i="13"/>
  <c r="G53" i="13" s="1"/>
  <c r="G9" i="15"/>
  <c r="G53" i="15" s="1"/>
  <c r="G9" i="23"/>
  <c r="G54" i="23" s="1"/>
  <c r="G9" i="12"/>
  <c r="G54" i="12" s="1"/>
  <c r="G9" i="11"/>
  <c r="G53" i="11" s="1"/>
  <c r="L11" i="50"/>
  <c r="L55" i="50" s="1"/>
  <c r="L11" i="47"/>
  <c r="L56" i="47" s="1"/>
  <c r="L11" i="45"/>
  <c r="L56" i="45" s="1"/>
  <c r="L11" i="43"/>
  <c r="L55" i="43" s="1"/>
  <c r="L11" i="23"/>
  <c r="L56" i="23" s="1"/>
  <c r="L11" i="15"/>
  <c r="L55" i="15" s="1"/>
  <c r="L11" i="38"/>
  <c r="L55" i="38" s="1"/>
  <c r="L11" i="13"/>
  <c r="L55" i="13" s="1"/>
  <c r="W7" i="10"/>
  <c r="W48" i="10" s="1"/>
  <c r="V8" i="10"/>
  <c r="V7" i="11"/>
  <c r="V48" i="11" s="1"/>
  <c r="M11" i="15"/>
  <c r="M55" i="15" s="1"/>
  <c r="V11" i="50"/>
  <c r="V55" i="50" s="1"/>
  <c r="V11" i="47"/>
  <c r="V56" i="47" s="1"/>
  <c r="V11" i="45"/>
  <c r="V56" i="45" s="1"/>
  <c r="V11" i="43"/>
  <c r="V55" i="43" s="1"/>
  <c r="V11" i="38"/>
  <c r="V55" i="38" s="1"/>
  <c r="V11" i="15"/>
  <c r="V55" i="15" s="1"/>
  <c r="V11" i="23"/>
  <c r="V56" i="23" s="1"/>
  <c r="V11" i="13"/>
  <c r="V55" i="13" s="1"/>
  <c r="G8" i="10"/>
  <c r="V11" i="10"/>
  <c r="V55" i="10" s="1"/>
  <c r="G10" i="11"/>
  <c r="G54" i="11" s="1"/>
  <c r="V11" i="11"/>
  <c r="V55" i="11" s="1"/>
  <c r="G12" i="11"/>
  <c r="G56" i="11" s="1"/>
  <c r="G8" i="50"/>
  <c r="G52" i="50" s="1"/>
  <c r="G8" i="45"/>
  <c r="G53" i="45" s="1"/>
  <c r="G8" i="47"/>
  <c r="G53" i="47" s="1"/>
  <c r="G8" i="43"/>
  <c r="G52" i="43" s="1"/>
  <c r="G8" i="38"/>
  <c r="G52" i="38" s="1"/>
  <c r="G8" i="23"/>
  <c r="G53" i="23" s="1"/>
  <c r="G8" i="15"/>
  <c r="G52" i="15" s="1"/>
  <c r="G8" i="13"/>
  <c r="G52" i="13" s="1"/>
  <c r="L10" i="50"/>
  <c r="L54" i="50" s="1"/>
  <c r="L10" i="45"/>
  <c r="L55" i="45" s="1"/>
  <c r="L10" i="47"/>
  <c r="L55" i="47" s="1"/>
  <c r="L10" i="43"/>
  <c r="L54" i="43" s="1"/>
  <c r="L10" i="38"/>
  <c r="L54" i="38" s="1"/>
  <c r="L10" i="13"/>
  <c r="L54" i="13" s="1"/>
  <c r="L10" i="15"/>
  <c r="L54" i="15" s="1"/>
  <c r="L10" i="12"/>
  <c r="L55" i="12" s="1"/>
  <c r="L10" i="11"/>
  <c r="L54" i="11" s="1"/>
  <c r="L10" i="23"/>
  <c r="L55" i="23" s="1"/>
  <c r="G12" i="50"/>
  <c r="G56" i="50" s="1"/>
  <c r="G12" i="47"/>
  <c r="G57" i="47" s="1"/>
  <c r="G12" i="45"/>
  <c r="G57" i="45" s="1"/>
  <c r="G12" i="43"/>
  <c r="G56" i="43" s="1"/>
  <c r="G12" i="38"/>
  <c r="G56" i="38" s="1"/>
  <c r="G12" i="15"/>
  <c r="G56" i="15" s="1"/>
  <c r="G12" i="12"/>
  <c r="G57" i="12" s="1"/>
  <c r="L12" i="10"/>
  <c r="L56" i="10" s="1"/>
  <c r="V7" i="12"/>
  <c r="V49" i="12" s="1"/>
  <c r="V11" i="12"/>
  <c r="V56" i="12" s="1"/>
  <c r="AE48" i="23"/>
  <c r="AE43" i="13"/>
  <c r="AE44" i="23"/>
  <c r="U57" i="23"/>
  <c r="E44" i="23"/>
  <c r="U55" i="23"/>
  <c r="AE45" i="23"/>
  <c r="AE49" i="23"/>
  <c r="AE43" i="38"/>
  <c r="AE43" i="43"/>
  <c r="E43" i="38"/>
  <c r="F43" i="38"/>
  <c r="E43" i="43"/>
  <c r="F43" i="43"/>
  <c r="AE44" i="45"/>
  <c r="E43" i="50"/>
  <c r="U83" i="61" l="1"/>
  <c r="U84" i="61" s="1"/>
  <c r="F83" i="61"/>
  <c r="F84" i="61" s="1"/>
  <c r="W83" i="61"/>
  <c r="W84" i="61" s="1"/>
  <c r="AA83" i="61"/>
  <c r="AA84" i="61" s="1"/>
  <c r="T83" i="61"/>
  <c r="T84" i="61" s="1"/>
  <c r="Y83" i="61"/>
  <c r="Y84" i="61" s="1"/>
  <c r="Z83" i="61"/>
  <c r="Z84" i="61" s="1"/>
  <c r="E83" i="11"/>
  <c r="E84" i="11" s="1"/>
  <c r="C37" i="17"/>
  <c r="D38" i="17"/>
  <c r="C38" i="17" s="1"/>
  <c r="R83" i="61"/>
  <c r="R84" i="61" s="1"/>
  <c r="Q83" i="61"/>
  <c r="Q84" i="61" s="1"/>
  <c r="X83" i="61"/>
  <c r="X84" i="61" s="1"/>
  <c r="D75" i="15"/>
  <c r="D79" i="15"/>
  <c r="O83" i="61"/>
  <c r="O84" i="61" s="1"/>
  <c r="D79" i="43"/>
  <c r="D76" i="12"/>
  <c r="D75" i="11"/>
  <c r="G83" i="61"/>
  <c r="G84" i="61" s="1"/>
  <c r="S83" i="61"/>
  <c r="S84" i="61" s="1"/>
  <c r="H83" i="61"/>
  <c r="H84" i="61" s="1"/>
  <c r="D76" i="47"/>
  <c r="D79" i="50"/>
  <c r="D76" i="23"/>
  <c r="L83" i="61"/>
  <c r="L84" i="61" s="1"/>
  <c r="D75" i="43"/>
  <c r="D79" i="11"/>
  <c r="D75" i="10"/>
  <c r="M83" i="61"/>
  <c r="M84" i="61" s="1"/>
  <c r="AC83" i="61"/>
  <c r="AC84" i="61" s="1"/>
  <c r="C74" i="61"/>
  <c r="D75" i="61"/>
  <c r="D75" i="38"/>
  <c r="D79" i="38"/>
  <c r="D79" i="10"/>
  <c r="K83" i="61"/>
  <c r="K84" i="61" s="1"/>
  <c r="P83" i="61"/>
  <c r="P84" i="61" s="1"/>
  <c r="E83" i="61"/>
  <c r="D76" i="58"/>
  <c r="C78" i="61"/>
  <c r="D79" i="61"/>
  <c r="C79" i="61" s="1"/>
  <c r="J28" i="59" s="1"/>
  <c r="C33" i="17"/>
  <c r="C59" i="17" s="1"/>
  <c r="D34" i="17"/>
  <c r="C34" i="17" s="1"/>
  <c r="C60" i="17" s="1"/>
  <c r="AB83" i="61"/>
  <c r="AB84" i="61" s="1"/>
  <c r="N83" i="61"/>
  <c r="N84" i="61" s="1"/>
  <c r="D75" i="50"/>
  <c r="D76" i="45"/>
  <c r="E55" i="18"/>
  <c r="E54" i="18"/>
  <c r="H6" i="45"/>
  <c r="H48" i="45" s="1"/>
  <c r="H6" i="58"/>
  <c r="H48" i="58" s="1"/>
  <c r="H9" i="50"/>
  <c r="H53" i="50" s="1"/>
  <c r="H9" i="58"/>
  <c r="H54" i="58" s="1"/>
  <c r="H12" i="13"/>
  <c r="H56" i="13" s="1"/>
  <c r="H12" i="58"/>
  <c r="H57" i="58" s="1"/>
  <c r="H8" i="10"/>
  <c r="H52" i="10" s="1"/>
  <c r="H8" i="58"/>
  <c r="H53" i="58" s="1"/>
  <c r="H12" i="43"/>
  <c r="H56" i="43" s="1"/>
  <c r="H7" i="38"/>
  <c r="H48" i="38" s="1"/>
  <c r="H7" i="58"/>
  <c r="H49" i="58" s="1"/>
  <c r="E80" i="47"/>
  <c r="E80" i="23"/>
  <c r="E79" i="15"/>
  <c r="E79" i="13"/>
  <c r="E76" i="58"/>
  <c r="E84" i="58" s="1"/>
  <c r="E85" i="58" s="1"/>
  <c r="F62" i="58"/>
  <c r="G63" i="58"/>
  <c r="E80" i="45"/>
  <c r="F75" i="58"/>
  <c r="F76" i="58" s="1"/>
  <c r="F79" i="58"/>
  <c r="E79" i="50"/>
  <c r="E79" i="43"/>
  <c r="E79" i="38"/>
  <c r="E80" i="12"/>
  <c r="E79" i="10"/>
  <c r="H4" i="58"/>
  <c r="H46" i="58" s="1"/>
  <c r="H3" i="58"/>
  <c r="H45" i="58" s="1"/>
  <c r="H2" i="38"/>
  <c r="H42" i="38" s="1"/>
  <c r="H43" i="38" s="1"/>
  <c r="H2" i="58"/>
  <c r="H43" i="58" s="1"/>
  <c r="F64" i="58"/>
  <c r="H9" i="45"/>
  <c r="H54" i="45" s="1"/>
  <c r="H12" i="38"/>
  <c r="H56" i="38" s="1"/>
  <c r="H9" i="15"/>
  <c r="H53" i="15" s="1"/>
  <c r="H12" i="11"/>
  <c r="H56" i="11" s="1"/>
  <c r="H12" i="50"/>
  <c r="H56" i="50" s="1"/>
  <c r="H9" i="10"/>
  <c r="H53" i="10" s="1"/>
  <c r="H12" i="12"/>
  <c r="H57" i="12" s="1"/>
  <c r="H12" i="47"/>
  <c r="H57" i="47" s="1"/>
  <c r="H9" i="12"/>
  <c r="H54" i="12" s="1"/>
  <c r="H9" i="38"/>
  <c r="H53" i="38" s="1"/>
  <c r="H7" i="13"/>
  <c r="H48" i="13" s="1"/>
  <c r="H7" i="47"/>
  <c r="H49" i="47" s="1"/>
  <c r="AQ135" i="18"/>
  <c r="W58" i="18" s="1"/>
  <c r="AQ137" i="18"/>
  <c r="W60" i="18" s="1"/>
  <c r="AQ136" i="18"/>
  <c r="W59" i="18" s="1"/>
  <c r="AQ46" i="18"/>
  <c r="AQ107" i="18"/>
  <c r="M56" i="18" s="1"/>
  <c r="W10" i="13"/>
  <c r="W54" i="13" s="1"/>
  <c r="W10" i="15"/>
  <c r="W54" i="15" s="1"/>
  <c r="W10" i="45"/>
  <c r="W55" i="45" s="1"/>
  <c r="W10" i="11"/>
  <c r="W54" i="11" s="1"/>
  <c r="W10" i="23"/>
  <c r="W55" i="23" s="1"/>
  <c r="W10" i="50"/>
  <c r="W54" i="50" s="1"/>
  <c r="W10" i="43"/>
  <c r="W54" i="43" s="1"/>
  <c r="W10" i="47"/>
  <c r="W55" i="47" s="1"/>
  <c r="W10" i="38"/>
  <c r="W54" i="38" s="1"/>
  <c r="H4" i="23"/>
  <c r="H46" i="23" s="1"/>
  <c r="AQ156" i="18"/>
  <c r="E75" i="47"/>
  <c r="E76" i="47" s="1"/>
  <c r="E74" i="13"/>
  <c r="E74" i="43"/>
  <c r="E75" i="43" s="1"/>
  <c r="AQ5" i="18"/>
  <c r="G63" i="47"/>
  <c r="G63" i="23"/>
  <c r="G63" i="12"/>
  <c r="F61" i="11"/>
  <c r="F77" i="11" s="1"/>
  <c r="F62" i="47"/>
  <c r="F78" i="47" s="1"/>
  <c r="F61" i="38"/>
  <c r="F77" i="38" s="1"/>
  <c r="F61" i="43"/>
  <c r="F77" i="43" s="1"/>
  <c r="F62" i="45"/>
  <c r="F78" i="45" s="1"/>
  <c r="F61" i="13"/>
  <c r="F77" i="13" s="1"/>
  <c r="F61" i="50"/>
  <c r="F77" i="50" s="1"/>
  <c r="F62" i="23"/>
  <c r="F78" i="23" s="1"/>
  <c r="F61" i="15"/>
  <c r="F77" i="15" s="1"/>
  <c r="F62" i="12"/>
  <c r="AQ109" i="18"/>
  <c r="E76" i="23"/>
  <c r="E75" i="50"/>
  <c r="E74" i="15"/>
  <c r="E75" i="15" s="1"/>
  <c r="AQ91" i="18"/>
  <c r="E53" i="18" s="1"/>
  <c r="F62" i="11"/>
  <c r="F62" i="50"/>
  <c r="F74" i="50" s="1"/>
  <c r="F63" i="47"/>
  <c r="F75" i="47" s="1"/>
  <c r="F62" i="38"/>
  <c r="F74" i="38" s="1"/>
  <c r="F62" i="43"/>
  <c r="F62" i="13"/>
  <c r="F63" i="12"/>
  <c r="F62" i="15"/>
  <c r="F63" i="45"/>
  <c r="F63" i="23"/>
  <c r="F75" i="23" s="1"/>
  <c r="E76" i="12"/>
  <c r="E76" i="45"/>
  <c r="AQ100" i="18"/>
  <c r="M49" i="18" s="1"/>
  <c r="AQ101" i="18"/>
  <c r="M50" i="18" s="1"/>
  <c r="AQ96" i="18"/>
  <c r="E58" i="18" s="1"/>
  <c r="E68" i="12"/>
  <c r="AQ99" i="18"/>
  <c r="M48" i="18" s="1"/>
  <c r="AQ95" i="18"/>
  <c r="E57" i="18" s="1"/>
  <c r="E71" i="13"/>
  <c r="C71" i="13" s="1"/>
  <c r="F24" i="59" s="1"/>
  <c r="H2" i="11"/>
  <c r="H42" i="11" s="1"/>
  <c r="H43" i="11" s="1"/>
  <c r="H9" i="11"/>
  <c r="H53" i="11" s="1"/>
  <c r="AQ45" i="18"/>
  <c r="AQ35" i="18"/>
  <c r="AQ94" i="18"/>
  <c r="E56" i="18" s="1"/>
  <c r="AQ29" i="18"/>
  <c r="AQ133" i="18"/>
  <c r="W56" i="18" s="1"/>
  <c r="AQ97" i="18"/>
  <c r="E59" i="18" s="1"/>
  <c r="AQ32" i="18"/>
  <c r="AQ110" i="18"/>
  <c r="M59" i="18" s="1"/>
  <c r="AQ43" i="18"/>
  <c r="AQ42" i="18"/>
  <c r="AQ134" i="18"/>
  <c r="W57" i="18" s="1"/>
  <c r="AQ34" i="18"/>
  <c r="AQ9" i="18"/>
  <c r="H9" i="13"/>
  <c r="H53" i="13" s="1"/>
  <c r="H9" i="47"/>
  <c r="H54" i="47" s="1"/>
  <c r="F63" i="10"/>
  <c r="F78" i="10" s="1"/>
  <c r="F63" i="11"/>
  <c r="F78" i="11" s="1"/>
  <c r="F63" i="50"/>
  <c r="F78" i="50" s="1"/>
  <c r="F64" i="47"/>
  <c r="F79" i="47" s="1"/>
  <c r="F63" i="43"/>
  <c r="F78" i="43" s="1"/>
  <c r="F64" i="45"/>
  <c r="F79" i="45" s="1"/>
  <c r="F63" i="15"/>
  <c r="F78" i="15" s="1"/>
  <c r="F63" i="38"/>
  <c r="F78" i="38" s="1"/>
  <c r="F63" i="13"/>
  <c r="F78" i="13" s="1"/>
  <c r="F64" i="12"/>
  <c r="F64" i="23"/>
  <c r="F79" i="23" s="1"/>
  <c r="AQ31" i="18"/>
  <c r="AQ27" i="18"/>
  <c r="AQ33" i="18"/>
  <c r="H9" i="23"/>
  <c r="H54" i="23" s="1"/>
  <c r="M46" i="38"/>
  <c r="AQ111" i="18"/>
  <c r="M60" i="18" s="1"/>
  <c r="AQ102" i="18"/>
  <c r="M51" i="18" s="1"/>
  <c r="E75" i="38"/>
  <c r="AQ108" i="18"/>
  <c r="M57" i="18" s="1"/>
  <c r="AQ103" i="18"/>
  <c r="M52" i="18" s="1"/>
  <c r="F60" i="11"/>
  <c r="F60" i="50"/>
  <c r="F61" i="47"/>
  <c r="F60" i="38"/>
  <c r="F60" i="43"/>
  <c r="F61" i="12"/>
  <c r="F78" i="12" s="1"/>
  <c r="F61" i="23"/>
  <c r="F60" i="15"/>
  <c r="F60" i="13"/>
  <c r="F61" i="45"/>
  <c r="E75" i="10"/>
  <c r="H4" i="47"/>
  <c r="H46" i="47" s="1"/>
  <c r="H4" i="10"/>
  <c r="H45" i="10" s="1"/>
  <c r="H2" i="12"/>
  <c r="H43" i="12" s="1"/>
  <c r="H2" i="43"/>
  <c r="H42" i="43" s="1"/>
  <c r="H2" i="13"/>
  <c r="H42" i="13" s="1"/>
  <c r="H43" i="13" s="1"/>
  <c r="H2" i="45"/>
  <c r="H43" i="45" s="1"/>
  <c r="H44" i="45" s="1"/>
  <c r="H2" i="15"/>
  <c r="H42" i="15" s="1"/>
  <c r="H43" i="15" s="1"/>
  <c r="H2" i="23"/>
  <c r="H43" i="23" s="1"/>
  <c r="H2" i="50"/>
  <c r="H42" i="50" s="1"/>
  <c r="H43" i="50" s="1"/>
  <c r="H2" i="47"/>
  <c r="H43" i="47" s="1"/>
  <c r="H2" i="10"/>
  <c r="H42" i="10" s="1"/>
  <c r="H43" i="10" s="1"/>
  <c r="H4" i="11"/>
  <c r="H45" i="11" s="1"/>
  <c r="H4" i="38"/>
  <c r="H45" i="38" s="1"/>
  <c r="H4" i="12"/>
  <c r="H46" i="12" s="1"/>
  <c r="H4" i="45"/>
  <c r="H46" i="45" s="1"/>
  <c r="H4" i="13"/>
  <c r="H45" i="13" s="1"/>
  <c r="H4" i="43"/>
  <c r="H45" i="43" s="1"/>
  <c r="H4" i="15"/>
  <c r="H45" i="15" s="1"/>
  <c r="H4" i="50"/>
  <c r="H45" i="50" s="1"/>
  <c r="H3" i="50"/>
  <c r="H44" i="50" s="1"/>
  <c r="N3" i="43"/>
  <c r="N44" i="43" s="1"/>
  <c r="H3" i="23"/>
  <c r="H45" i="23" s="1"/>
  <c r="W5" i="10"/>
  <c r="W46" i="10" s="1"/>
  <c r="W5" i="38"/>
  <c r="W46" i="38" s="1"/>
  <c r="H7" i="11"/>
  <c r="H48" i="11" s="1"/>
  <c r="H7" i="43"/>
  <c r="H48" i="43" s="1"/>
  <c r="M11" i="50"/>
  <c r="M55" i="50" s="1"/>
  <c r="W7" i="12"/>
  <c r="W49" i="12" s="1"/>
  <c r="W7" i="45"/>
  <c r="H63" i="58"/>
  <c r="G62" i="10"/>
  <c r="G74" i="10" s="1"/>
  <c r="W7" i="13"/>
  <c r="W48" i="13" s="1"/>
  <c r="W7" i="43"/>
  <c r="W48" i="43" s="1"/>
  <c r="W5" i="11"/>
  <c r="W46" i="11" s="1"/>
  <c r="H7" i="12"/>
  <c r="H49" i="12" s="1"/>
  <c r="H7" i="45"/>
  <c r="H49" i="45" s="1"/>
  <c r="G44" i="10"/>
  <c r="F60" i="10"/>
  <c r="W7" i="15"/>
  <c r="W48" i="15" s="1"/>
  <c r="N6" i="13"/>
  <c r="N47" i="13" s="1"/>
  <c r="F61" i="10"/>
  <c r="W5" i="13"/>
  <c r="W46" i="13" s="1"/>
  <c r="W5" i="45"/>
  <c r="H7" i="15"/>
  <c r="H48" i="15" s="1"/>
  <c r="H7" i="50"/>
  <c r="H48" i="50" s="1"/>
  <c r="G52" i="10"/>
  <c r="W7" i="50"/>
  <c r="W48" i="50" s="1"/>
  <c r="V52" i="10"/>
  <c r="N6" i="15"/>
  <c r="N47" i="15" s="1"/>
  <c r="W5" i="23"/>
  <c r="W5" i="47"/>
  <c r="W47" i="47" s="1"/>
  <c r="H7" i="23"/>
  <c r="H49" i="23" s="1"/>
  <c r="F62" i="10"/>
  <c r="L52" i="10"/>
  <c r="W7" i="38"/>
  <c r="W48" i="38" s="1"/>
  <c r="L44" i="10"/>
  <c r="N6" i="47"/>
  <c r="N48" i="47" s="1"/>
  <c r="W5" i="15"/>
  <c r="W46" i="15" s="1"/>
  <c r="W5" i="50"/>
  <c r="W46" i="50" s="1"/>
  <c r="V44" i="10"/>
  <c r="N6" i="45"/>
  <c r="N48" i="45" s="1"/>
  <c r="W7" i="11"/>
  <c r="W48" i="11" s="1"/>
  <c r="H7" i="10"/>
  <c r="H48" i="10" s="1"/>
  <c r="M10" i="38"/>
  <c r="M54" i="38" s="1"/>
  <c r="M10" i="11"/>
  <c r="M54" i="11" s="1"/>
  <c r="H6" i="43"/>
  <c r="H47" i="43" s="1"/>
  <c r="H3" i="13"/>
  <c r="H44" i="13" s="1"/>
  <c r="M11" i="38"/>
  <c r="M55" i="38" s="1"/>
  <c r="H3" i="38"/>
  <c r="H44" i="38" s="1"/>
  <c r="H3" i="10"/>
  <c r="M10" i="13"/>
  <c r="M54" i="13" s="1"/>
  <c r="M10" i="43"/>
  <c r="M54" i="43" s="1"/>
  <c r="H6" i="12"/>
  <c r="H48" i="12" s="1"/>
  <c r="M9" i="50"/>
  <c r="M53" i="50" s="1"/>
  <c r="N6" i="10"/>
  <c r="N47" i="10" s="1"/>
  <c r="H6" i="11"/>
  <c r="H47" i="11" s="1"/>
  <c r="M11" i="11"/>
  <c r="M55" i="11" s="1"/>
  <c r="M10" i="12"/>
  <c r="M55" i="12" s="1"/>
  <c r="M10" i="50"/>
  <c r="M54" i="50" s="1"/>
  <c r="H6" i="15"/>
  <c r="H47" i="15" s="1"/>
  <c r="H6" i="47"/>
  <c r="H48" i="47" s="1"/>
  <c r="M3" i="15"/>
  <c r="M44" i="15" s="1"/>
  <c r="I2" i="58"/>
  <c r="I43" i="58" s="1"/>
  <c r="I44" i="58" s="1"/>
  <c r="H6" i="23"/>
  <c r="H48" i="23" s="1"/>
  <c r="N6" i="23"/>
  <c r="M11" i="12"/>
  <c r="M56" i="12" s="1"/>
  <c r="M11" i="45"/>
  <c r="M56" i="45" s="1"/>
  <c r="N6" i="38"/>
  <c r="N47" i="38" s="1"/>
  <c r="H3" i="11"/>
  <c r="H44" i="11" s="1"/>
  <c r="H3" i="43"/>
  <c r="H44" i="43" s="1"/>
  <c r="M10" i="15"/>
  <c r="M54" i="15" s="1"/>
  <c r="M10" i="45"/>
  <c r="M55" i="45" s="1"/>
  <c r="H6" i="13"/>
  <c r="H47" i="13" s="1"/>
  <c r="H6" i="50"/>
  <c r="H47" i="50" s="1"/>
  <c r="M10" i="10"/>
  <c r="M54" i="10" s="1"/>
  <c r="N6" i="50"/>
  <c r="N47" i="50" s="1"/>
  <c r="N6" i="11"/>
  <c r="N47" i="11" s="1"/>
  <c r="H3" i="12"/>
  <c r="H45" i="12" s="1"/>
  <c r="H3" i="45"/>
  <c r="H45" i="45" s="1"/>
  <c r="M10" i="23"/>
  <c r="M55" i="23" s="1"/>
  <c r="W10" i="12"/>
  <c r="W55" i="12" s="1"/>
  <c r="M11" i="10"/>
  <c r="M55" i="10" s="1"/>
  <c r="M11" i="13"/>
  <c r="M55" i="13" s="1"/>
  <c r="M11" i="23"/>
  <c r="M56" i="23" s="1"/>
  <c r="M11" i="47"/>
  <c r="M56" i="47" s="1"/>
  <c r="N6" i="12"/>
  <c r="N48" i="12" s="1"/>
  <c r="N6" i="43"/>
  <c r="N47" i="43" s="1"/>
  <c r="H3" i="15"/>
  <c r="H44" i="15" s="1"/>
  <c r="H3" i="47"/>
  <c r="H45" i="47" s="1"/>
  <c r="H6" i="10"/>
  <c r="H47" i="10" s="1"/>
  <c r="H6" i="38"/>
  <c r="H47" i="38" s="1"/>
  <c r="I12" i="58"/>
  <c r="I57" i="58" s="1"/>
  <c r="H12" i="15"/>
  <c r="H56" i="15" s="1"/>
  <c r="H12" i="45"/>
  <c r="H57" i="45" s="1"/>
  <c r="M9" i="10"/>
  <c r="M53" i="10" s="1"/>
  <c r="M9" i="38"/>
  <c r="M53" i="38" s="1"/>
  <c r="H8" i="38"/>
  <c r="H52" i="38" s="1"/>
  <c r="V54" i="23"/>
  <c r="M9" i="45"/>
  <c r="M54" i="45" s="1"/>
  <c r="U54" i="23"/>
  <c r="M9" i="12"/>
  <c r="M54" i="12" s="1"/>
  <c r="M9" i="11"/>
  <c r="M53" i="11" s="1"/>
  <c r="M9" i="13"/>
  <c r="M53" i="13" s="1"/>
  <c r="M9" i="43"/>
  <c r="M53" i="43" s="1"/>
  <c r="M9" i="23"/>
  <c r="M54" i="23" s="1"/>
  <c r="M9" i="47"/>
  <c r="M54" i="47" s="1"/>
  <c r="M9" i="15"/>
  <c r="M53" i="15" s="1"/>
  <c r="H8" i="23"/>
  <c r="H53" i="23" s="1"/>
  <c r="H8" i="11"/>
  <c r="H52" i="11" s="1"/>
  <c r="H8" i="43"/>
  <c r="H52" i="43" s="1"/>
  <c r="M3" i="11"/>
  <c r="M44" i="11" s="1"/>
  <c r="H8" i="12"/>
  <c r="H53" i="12" s="1"/>
  <c r="H8" i="45"/>
  <c r="H53" i="45" s="1"/>
  <c r="M3" i="12"/>
  <c r="M45" i="12" s="1"/>
  <c r="M3" i="43"/>
  <c r="M44" i="43" s="1"/>
  <c r="M3" i="38"/>
  <c r="M44" i="38" s="1"/>
  <c r="H8" i="13"/>
  <c r="H52" i="13" s="1"/>
  <c r="H8" i="47"/>
  <c r="H53" i="47" s="1"/>
  <c r="M3" i="13"/>
  <c r="M44" i="13" s="1"/>
  <c r="M3" i="45"/>
  <c r="M45" i="45" s="1"/>
  <c r="M3" i="10"/>
  <c r="H8" i="15"/>
  <c r="H52" i="15" s="1"/>
  <c r="H8" i="50"/>
  <c r="H52" i="50" s="1"/>
  <c r="M3" i="23"/>
  <c r="M3" i="47"/>
  <c r="M45" i="47" s="1"/>
  <c r="M3" i="50"/>
  <c r="M44" i="50" s="1"/>
  <c r="M12" i="50"/>
  <c r="M56" i="50" s="1"/>
  <c r="M12" i="47"/>
  <c r="M57" i="47" s="1"/>
  <c r="M12" i="45"/>
  <c r="M57" i="45" s="1"/>
  <c r="M12" i="43"/>
  <c r="M56" i="43" s="1"/>
  <c r="M12" i="38"/>
  <c r="M56" i="38" s="1"/>
  <c r="M12" i="23"/>
  <c r="M57" i="23" s="1"/>
  <c r="M12" i="13"/>
  <c r="M56" i="13" s="1"/>
  <c r="M12" i="15"/>
  <c r="M56" i="15" s="1"/>
  <c r="M12" i="10"/>
  <c r="M56" i="10" s="1"/>
  <c r="M12" i="11"/>
  <c r="M56" i="11" s="1"/>
  <c r="M12" i="12"/>
  <c r="M57" i="12" s="1"/>
  <c r="H10" i="50"/>
  <c r="H54" i="50" s="1"/>
  <c r="H10" i="47"/>
  <c r="H55" i="47" s="1"/>
  <c r="H10" i="43"/>
  <c r="H54" i="43" s="1"/>
  <c r="H10" i="45"/>
  <c r="H55" i="45" s="1"/>
  <c r="H10" i="38"/>
  <c r="H54" i="38" s="1"/>
  <c r="H10" i="15"/>
  <c r="H54" i="15" s="1"/>
  <c r="H10" i="23"/>
  <c r="H55" i="23" s="1"/>
  <c r="H10" i="13"/>
  <c r="H54" i="13" s="1"/>
  <c r="H10" i="12"/>
  <c r="H55" i="12" s="1"/>
  <c r="H10" i="11"/>
  <c r="H54" i="11" s="1"/>
  <c r="H10" i="10"/>
  <c r="H54" i="10" s="1"/>
  <c r="I10" i="58"/>
  <c r="I55" i="58" s="1"/>
  <c r="O6" i="50"/>
  <c r="O47" i="50" s="1"/>
  <c r="O6" i="47"/>
  <c r="O48" i="47" s="1"/>
  <c r="O6" i="45"/>
  <c r="O48" i="45" s="1"/>
  <c r="O6" i="43"/>
  <c r="O47" i="43" s="1"/>
  <c r="O6" i="38"/>
  <c r="O47" i="38" s="1"/>
  <c r="O6" i="23"/>
  <c r="O6" i="13"/>
  <c r="O47" i="13" s="1"/>
  <c r="O6" i="15"/>
  <c r="O47" i="15" s="1"/>
  <c r="O6" i="12"/>
  <c r="O48" i="12" s="1"/>
  <c r="O6" i="10"/>
  <c r="O47" i="10" s="1"/>
  <c r="O6" i="11"/>
  <c r="O47" i="11" s="1"/>
  <c r="I9" i="38"/>
  <c r="I53" i="38" s="1"/>
  <c r="I9" i="10"/>
  <c r="I53" i="10" s="1"/>
  <c r="W6" i="50"/>
  <c r="W47" i="50" s="1"/>
  <c r="W6" i="47"/>
  <c r="W48" i="47" s="1"/>
  <c r="W6" i="45"/>
  <c r="W6" i="43"/>
  <c r="W47" i="43" s="1"/>
  <c r="W6" i="38"/>
  <c r="W47" i="38" s="1"/>
  <c r="W6" i="23"/>
  <c r="W6" i="15"/>
  <c r="W47" i="15" s="1"/>
  <c r="W6" i="13"/>
  <c r="W47" i="13" s="1"/>
  <c r="W6" i="12"/>
  <c r="W48" i="12" s="1"/>
  <c r="W6" i="11"/>
  <c r="W47" i="11" s="1"/>
  <c r="W6" i="10"/>
  <c r="W47" i="10" s="1"/>
  <c r="M7" i="50"/>
  <c r="M48" i="50" s="1"/>
  <c r="M7" i="47"/>
  <c r="M49" i="47" s="1"/>
  <c r="M7" i="45"/>
  <c r="M49" i="45" s="1"/>
  <c r="M7" i="43"/>
  <c r="M48" i="43" s="1"/>
  <c r="M7" i="38"/>
  <c r="M48" i="38" s="1"/>
  <c r="M7" i="13"/>
  <c r="M48" i="13" s="1"/>
  <c r="M7" i="15"/>
  <c r="M48" i="15" s="1"/>
  <c r="M7" i="23"/>
  <c r="M7" i="12"/>
  <c r="M49" i="12" s="1"/>
  <c r="M7" i="11"/>
  <c r="M48" i="11" s="1"/>
  <c r="M7" i="10"/>
  <c r="M48" i="10" s="1"/>
  <c r="H11" i="50"/>
  <c r="H55" i="50" s="1"/>
  <c r="H11" i="47"/>
  <c r="H56" i="47" s="1"/>
  <c r="H11" i="45"/>
  <c r="H56" i="45" s="1"/>
  <c r="H11" i="38"/>
  <c r="H55" i="38" s="1"/>
  <c r="H11" i="43"/>
  <c r="H55" i="43" s="1"/>
  <c r="H11" i="23"/>
  <c r="H56" i="23" s="1"/>
  <c r="H11" i="13"/>
  <c r="H55" i="13" s="1"/>
  <c r="H11" i="15"/>
  <c r="H55" i="15" s="1"/>
  <c r="H11" i="12"/>
  <c r="H56" i="12" s="1"/>
  <c r="H11" i="11"/>
  <c r="H55" i="11" s="1"/>
  <c r="I11" i="58"/>
  <c r="I56" i="58" s="1"/>
  <c r="H11" i="10"/>
  <c r="H55" i="10" s="1"/>
  <c r="H5" i="50"/>
  <c r="H46" i="50" s="1"/>
  <c r="H5" i="47"/>
  <c r="H47" i="47" s="1"/>
  <c r="H5" i="45"/>
  <c r="H47" i="45" s="1"/>
  <c r="H5" i="43"/>
  <c r="H46" i="43" s="1"/>
  <c r="H5" i="38"/>
  <c r="H46" i="38" s="1"/>
  <c r="H5" i="23"/>
  <c r="H47" i="23" s="1"/>
  <c r="H5" i="13"/>
  <c r="H46" i="13" s="1"/>
  <c r="H5" i="15"/>
  <c r="H46" i="15" s="1"/>
  <c r="H5" i="12"/>
  <c r="H47" i="12" s="1"/>
  <c r="H5" i="11"/>
  <c r="H46" i="11" s="1"/>
  <c r="H5" i="10"/>
  <c r="H46" i="10" s="1"/>
  <c r="I5" i="58"/>
  <c r="I47" i="58" s="1"/>
  <c r="X10" i="50"/>
  <c r="X54" i="50" s="1"/>
  <c r="X10" i="47"/>
  <c r="X55" i="47" s="1"/>
  <c r="X10" i="43"/>
  <c r="X54" i="43" s="1"/>
  <c r="X10" i="45"/>
  <c r="X55" i="45" s="1"/>
  <c r="X10" i="38"/>
  <c r="X54" i="38" s="1"/>
  <c r="X10" i="23"/>
  <c r="X55" i="23" s="1"/>
  <c r="X10" i="15"/>
  <c r="X54" i="15" s="1"/>
  <c r="X10" i="13"/>
  <c r="X54" i="13" s="1"/>
  <c r="X10" i="12"/>
  <c r="X55" i="12" s="1"/>
  <c r="X10" i="11"/>
  <c r="X54" i="11" s="1"/>
  <c r="X10" i="10"/>
  <c r="X54" i="10" s="1"/>
  <c r="W9" i="50"/>
  <c r="W53" i="50" s="1"/>
  <c r="W9" i="47"/>
  <c r="W54" i="47" s="1"/>
  <c r="W9" i="45"/>
  <c r="W54" i="45" s="1"/>
  <c r="W9" i="43"/>
  <c r="W53" i="43" s="1"/>
  <c r="W9" i="38"/>
  <c r="W53" i="38" s="1"/>
  <c r="W9" i="13"/>
  <c r="W53" i="13" s="1"/>
  <c r="W9" i="23"/>
  <c r="W54" i="23" s="1"/>
  <c r="W9" i="15"/>
  <c r="W53" i="15" s="1"/>
  <c r="W9" i="12"/>
  <c r="W54" i="12" s="1"/>
  <c r="W9" i="11"/>
  <c r="W53" i="11" s="1"/>
  <c r="W9" i="10"/>
  <c r="W53" i="10" s="1"/>
  <c r="N11" i="47"/>
  <c r="N56" i="47" s="1"/>
  <c r="N11" i="45"/>
  <c r="N56" i="45" s="1"/>
  <c r="N11" i="43"/>
  <c r="N55" i="43" s="1"/>
  <c r="N11" i="23"/>
  <c r="N56" i="23" s="1"/>
  <c r="N11" i="13"/>
  <c r="N55" i="13" s="1"/>
  <c r="N11" i="10"/>
  <c r="N55" i="10" s="1"/>
  <c r="W3" i="50"/>
  <c r="W44" i="50" s="1"/>
  <c r="W3" i="47"/>
  <c r="W45" i="47" s="1"/>
  <c r="W3" i="45"/>
  <c r="W3" i="38"/>
  <c r="W44" i="38" s="1"/>
  <c r="W3" i="43"/>
  <c r="W44" i="43" s="1"/>
  <c r="W3" i="15"/>
  <c r="W44" i="15" s="1"/>
  <c r="W3" i="23"/>
  <c r="W3" i="12"/>
  <c r="W45" i="12" s="1"/>
  <c r="W3" i="13"/>
  <c r="W44" i="13" s="1"/>
  <c r="W3" i="10"/>
  <c r="W3" i="11"/>
  <c r="W44" i="11" s="1"/>
  <c r="X3" i="58"/>
  <c r="X45" i="58" s="1"/>
  <c r="W12" i="50"/>
  <c r="W56" i="50" s="1"/>
  <c r="W12" i="47"/>
  <c r="W57" i="47" s="1"/>
  <c r="W12" i="45"/>
  <c r="W57" i="45" s="1"/>
  <c r="W12" i="43"/>
  <c r="W56" i="43" s="1"/>
  <c r="W12" i="38"/>
  <c r="W56" i="38" s="1"/>
  <c r="W12" i="23"/>
  <c r="W57" i="23" s="1"/>
  <c r="W12" i="13"/>
  <c r="W56" i="13" s="1"/>
  <c r="W12" i="12"/>
  <c r="W57" i="12" s="1"/>
  <c r="W12" i="15"/>
  <c r="W56" i="15" s="1"/>
  <c r="W12" i="11"/>
  <c r="W56" i="11" s="1"/>
  <c r="W12" i="10"/>
  <c r="W56" i="10" s="1"/>
  <c r="W4" i="50"/>
  <c r="W45" i="50" s="1"/>
  <c r="W4" i="45"/>
  <c r="W4" i="43"/>
  <c r="W45" i="43" s="1"/>
  <c r="W4" i="47"/>
  <c r="W46" i="47" s="1"/>
  <c r="W4" i="38"/>
  <c r="W45" i="38" s="1"/>
  <c r="W4" i="23"/>
  <c r="W4" i="15"/>
  <c r="W45" i="15" s="1"/>
  <c r="W4" i="13"/>
  <c r="W45" i="13" s="1"/>
  <c r="W4" i="12"/>
  <c r="W46" i="12" s="1"/>
  <c r="W4" i="11"/>
  <c r="W45" i="11" s="1"/>
  <c r="W4" i="10"/>
  <c r="W45" i="10" s="1"/>
  <c r="N5" i="50"/>
  <c r="N46" i="50" s="1"/>
  <c r="N5" i="47"/>
  <c r="N47" i="47" s="1"/>
  <c r="N5" i="45"/>
  <c r="N47" i="45" s="1"/>
  <c r="N5" i="43"/>
  <c r="N46" i="43" s="1"/>
  <c r="N5" i="38"/>
  <c r="N46" i="38" s="1"/>
  <c r="N5" i="23"/>
  <c r="N5" i="15"/>
  <c r="N46" i="15" s="1"/>
  <c r="N5" i="13"/>
  <c r="N46" i="13" s="1"/>
  <c r="N5" i="11"/>
  <c r="N46" i="11" s="1"/>
  <c r="N5" i="10"/>
  <c r="N46" i="10" s="1"/>
  <c r="N5" i="12"/>
  <c r="N47" i="12" s="1"/>
  <c r="I7" i="38"/>
  <c r="I48" i="38" s="1"/>
  <c r="W8" i="50"/>
  <c r="W52" i="50" s="1"/>
  <c r="W8" i="47"/>
  <c r="W53" i="47" s="1"/>
  <c r="W8" i="45"/>
  <c r="W53" i="45" s="1"/>
  <c r="W8" i="43"/>
  <c r="W52" i="43" s="1"/>
  <c r="W8" i="38"/>
  <c r="W52" i="38" s="1"/>
  <c r="W8" i="15"/>
  <c r="W52" i="15" s="1"/>
  <c r="W8" i="23"/>
  <c r="W53" i="23" s="1"/>
  <c r="W8" i="13"/>
  <c r="W52" i="13" s="1"/>
  <c r="W8" i="11"/>
  <c r="W8" i="10"/>
  <c r="W8" i="12"/>
  <c r="W53" i="12" s="1"/>
  <c r="M4" i="50"/>
  <c r="M45" i="50" s="1"/>
  <c r="M4" i="47"/>
  <c r="M46" i="47" s="1"/>
  <c r="M4" i="45"/>
  <c r="M46" i="45" s="1"/>
  <c r="M4" i="43"/>
  <c r="M45" i="43" s="1"/>
  <c r="M4" i="38"/>
  <c r="M45" i="38" s="1"/>
  <c r="M4" i="15"/>
  <c r="M45" i="15" s="1"/>
  <c r="M4" i="11"/>
  <c r="M45" i="11" s="1"/>
  <c r="M4" i="13"/>
  <c r="M45" i="13" s="1"/>
  <c r="M4" i="23"/>
  <c r="M4" i="12"/>
  <c r="M46" i="12" s="1"/>
  <c r="M4" i="10"/>
  <c r="M45" i="10" s="1"/>
  <c r="N3" i="50"/>
  <c r="N44" i="50" s="1"/>
  <c r="N3" i="47"/>
  <c r="N45" i="47" s="1"/>
  <c r="N3" i="45"/>
  <c r="N45" i="45" s="1"/>
  <c r="N3" i="15"/>
  <c r="N44" i="15" s="1"/>
  <c r="N3" i="13"/>
  <c r="N44" i="13" s="1"/>
  <c r="W11" i="50"/>
  <c r="W55" i="50" s="1"/>
  <c r="W11" i="47"/>
  <c r="W56" i="47" s="1"/>
  <c r="W11" i="43"/>
  <c r="W55" i="43" s="1"/>
  <c r="W11" i="45"/>
  <c r="W56" i="45" s="1"/>
  <c r="W11" i="38"/>
  <c r="W55" i="38" s="1"/>
  <c r="W11" i="15"/>
  <c r="W55" i="15" s="1"/>
  <c r="W11" i="13"/>
  <c r="W55" i="13" s="1"/>
  <c r="W11" i="23"/>
  <c r="W56" i="23" s="1"/>
  <c r="W11" i="12"/>
  <c r="W56" i="12" s="1"/>
  <c r="W11" i="11"/>
  <c r="W55" i="11" s="1"/>
  <c r="W11" i="10"/>
  <c r="W55" i="10" s="1"/>
  <c r="M8" i="50"/>
  <c r="M52" i="50" s="1"/>
  <c r="M8" i="45"/>
  <c r="M53" i="45" s="1"/>
  <c r="M8" i="47"/>
  <c r="M53" i="47" s="1"/>
  <c r="M8" i="43"/>
  <c r="M52" i="43" s="1"/>
  <c r="M8" i="38"/>
  <c r="M52" i="38" s="1"/>
  <c r="M8" i="23"/>
  <c r="M53" i="23" s="1"/>
  <c r="M8" i="15"/>
  <c r="M52" i="15" s="1"/>
  <c r="M8" i="13"/>
  <c r="M52" i="13" s="1"/>
  <c r="M8" i="10"/>
  <c r="M8" i="12"/>
  <c r="M53" i="12" s="1"/>
  <c r="M8" i="11"/>
  <c r="M52" i="11" s="1"/>
  <c r="Y48" i="18" l="1"/>
  <c r="W48" i="18"/>
  <c r="AA48" i="18"/>
  <c r="Q52" i="18"/>
  <c r="W52" i="18"/>
  <c r="AA52" i="18"/>
  <c r="Y52" i="18"/>
  <c r="K49" i="18"/>
  <c r="K50" i="18"/>
  <c r="K51" i="18"/>
  <c r="K48" i="18"/>
  <c r="K56" i="18"/>
  <c r="H44" i="47"/>
  <c r="H44" i="12"/>
  <c r="D84" i="12"/>
  <c r="D83" i="15"/>
  <c r="S48" i="18"/>
  <c r="Q48" i="18"/>
  <c r="D83" i="10"/>
  <c r="D84" i="10" s="1"/>
  <c r="D84" i="23"/>
  <c r="D85" i="23" s="1"/>
  <c r="H44" i="23"/>
  <c r="Q59" i="18"/>
  <c r="O59" i="18"/>
  <c r="K52" i="18"/>
  <c r="D84" i="45"/>
  <c r="D84" i="58"/>
  <c r="Q57" i="18"/>
  <c r="O57" i="18"/>
  <c r="D83" i="50"/>
  <c r="E84" i="61"/>
  <c r="D83" i="38"/>
  <c r="D84" i="38" s="1"/>
  <c r="D83" i="43"/>
  <c r="D84" i="47"/>
  <c r="D83" i="11"/>
  <c r="C75" i="61"/>
  <c r="J27" i="59" s="1"/>
  <c r="D83" i="61"/>
  <c r="K59" i="18"/>
  <c r="K60" i="18"/>
  <c r="M58" i="18"/>
  <c r="K58" i="18"/>
  <c r="K57" i="18"/>
  <c r="I58" i="18"/>
  <c r="H43" i="43"/>
  <c r="E75" i="13"/>
  <c r="AQ7" i="18"/>
  <c r="S52" i="18"/>
  <c r="E84" i="47"/>
  <c r="E85" i="47" s="1"/>
  <c r="AQ30" i="18"/>
  <c r="AQ8" i="18"/>
  <c r="J7" i="58"/>
  <c r="J49" i="58" s="1"/>
  <c r="J8" i="58"/>
  <c r="J53" i="58" s="1"/>
  <c r="I8" i="58"/>
  <c r="I53" i="58" s="1"/>
  <c r="I6" i="58"/>
  <c r="I48" i="58" s="1"/>
  <c r="I9" i="58"/>
  <c r="I54" i="58" s="1"/>
  <c r="I7" i="58"/>
  <c r="I49" i="58" s="1"/>
  <c r="B49" i="58" s="1"/>
  <c r="E84" i="45"/>
  <c r="E85" i="45" s="1"/>
  <c r="E84" i="23"/>
  <c r="E85" i="23" s="1"/>
  <c r="G62" i="43"/>
  <c r="G74" i="43" s="1"/>
  <c r="G62" i="38"/>
  <c r="G74" i="38" s="1"/>
  <c r="G62" i="15"/>
  <c r="G74" i="15" s="1"/>
  <c r="G62" i="50"/>
  <c r="G74" i="50" s="1"/>
  <c r="G62" i="13"/>
  <c r="G74" i="13" s="1"/>
  <c r="G63" i="45"/>
  <c r="G75" i="45" s="1"/>
  <c r="G62" i="11"/>
  <c r="G74" i="11" s="1"/>
  <c r="E83" i="13"/>
  <c r="E84" i="13" s="1"/>
  <c r="E84" i="12"/>
  <c r="E85" i="12" s="1"/>
  <c r="F79" i="13"/>
  <c r="F79" i="11"/>
  <c r="H79" i="58"/>
  <c r="H80" i="58" s="1"/>
  <c r="H75" i="58"/>
  <c r="H76" i="58" s="1"/>
  <c r="F80" i="58"/>
  <c r="G79" i="58"/>
  <c r="G80" i="58" s="1"/>
  <c r="G75" i="58"/>
  <c r="G76" i="58" s="1"/>
  <c r="E83" i="15"/>
  <c r="E84" i="15" s="1"/>
  <c r="F79" i="50"/>
  <c r="E83" i="50"/>
  <c r="E84" i="50" s="1"/>
  <c r="F80" i="47"/>
  <c r="F80" i="45"/>
  <c r="F79" i="43"/>
  <c r="E83" i="43"/>
  <c r="E84" i="43" s="1"/>
  <c r="F79" i="38"/>
  <c r="E83" i="38"/>
  <c r="E84" i="38" s="1"/>
  <c r="G58" i="18"/>
  <c r="F80" i="23"/>
  <c r="F79" i="15"/>
  <c r="I57" i="18"/>
  <c r="G57" i="18"/>
  <c r="I59" i="18"/>
  <c r="G59" i="18"/>
  <c r="G56" i="18"/>
  <c r="I56" i="18"/>
  <c r="G75" i="12"/>
  <c r="AQ6" i="18"/>
  <c r="F77" i="10"/>
  <c r="I4" i="58"/>
  <c r="I46" i="58" s="1"/>
  <c r="I4" i="43"/>
  <c r="I45" i="43" s="1"/>
  <c r="I3" i="45"/>
  <c r="I45" i="45" s="1"/>
  <c r="I3" i="58"/>
  <c r="I45" i="58" s="1"/>
  <c r="H44" i="58"/>
  <c r="G64" i="58"/>
  <c r="G62" i="58"/>
  <c r="I6" i="43"/>
  <c r="I47" i="43" s="1"/>
  <c r="I9" i="11"/>
  <c r="I53" i="11" s="1"/>
  <c r="I9" i="12"/>
  <c r="I54" i="12" s="1"/>
  <c r="I9" i="43"/>
  <c r="I53" i="43" s="1"/>
  <c r="I9" i="15"/>
  <c r="I53" i="15" s="1"/>
  <c r="I9" i="45"/>
  <c r="I54" i="45" s="1"/>
  <c r="I9" i="13"/>
  <c r="I53" i="13" s="1"/>
  <c r="I9" i="47"/>
  <c r="I54" i="47" s="1"/>
  <c r="I9" i="23"/>
  <c r="I54" i="23" s="1"/>
  <c r="I9" i="50"/>
  <c r="I53" i="50" s="1"/>
  <c r="J9" i="58"/>
  <c r="J54" i="58" s="1"/>
  <c r="I6" i="23"/>
  <c r="I48" i="23" s="1"/>
  <c r="I6" i="10"/>
  <c r="I47" i="10" s="1"/>
  <c r="I6" i="15"/>
  <c r="I47" i="15" s="1"/>
  <c r="I4" i="45"/>
  <c r="I46" i="45" s="1"/>
  <c r="I4" i="11"/>
  <c r="I45" i="11" s="1"/>
  <c r="I4" i="10"/>
  <c r="I45" i="10" s="1"/>
  <c r="I4" i="50"/>
  <c r="I45" i="50" s="1"/>
  <c r="I4" i="13"/>
  <c r="I45" i="13" s="1"/>
  <c r="F74" i="43"/>
  <c r="I4" i="23"/>
  <c r="I46" i="23" s="1"/>
  <c r="I4" i="12"/>
  <c r="I46" i="12" s="1"/>
  <c r="I6" i="13"/>
  <c r="I47" i="13" s="1"/>
  <c r="I6" i="11"/>
  <c r="I47" i="11" s="1"/>
  <c r="I6" i="45"/>
  <c r="I48" i="45" s="1"/>
  <c r="I6" i="12"/>
  <c r="I48" i="12" s="1"/>
  <c r="I6" i="47"/>
  <c r="I48" i="47" s="1"/>
  <c r="I6" i="50"/>
  <c r="I47" i="50" s="1"/>
  <c r="I6" i="38"/>
  <c r="I47" i="38" s="1"/>
  <c r="G75" i="47"/>
  <c r="E67" i="10"/>
  <c r="X5" i="13"/>
  <c r="X46" i="13" s="1"/>
  <c r="X5" i="47"/>
  <c r="X47" i="47" s="1"/>
  <c r="X5" i="23"/>
  <c r="X5" i="50"/>
  <c r="X46" i="50" s="1"/>
  <c r="X5" i="10"/>
  <c r="X46" i="10" s="1"/>
  <c r="X5" i="38"/>
  <c r="X46" i="38" s="1"/>
  <c r="X5" i="11"/>
  <c r="X46" i="11" s="1"/>
  <c r="X5" i="43"/>
  <c r="X46" i="43" s="1"/>
  <c r="X5" i="12"/>
  <c r="X47" i="12" s="1"/>
  <c r="X5" i="15"/>
  <c r="X46" i="15" s="1"/>
  <c r="X5" i="45"/>
  <c r="I7" i="10"/>
  <c r="I48" i="10" s="1"/>
  <c r="I7" i="13"/>
  <c r="I48" i="13" s="1"/>
  <c r="I7" i="43"/>
  <c r="I48" i="43" s="1"/>
  <c r="N10" i="12"/>
  <c r="N55" i="12" s="1"/>
  <c r="N10" i="38"/>
  <c r="N54" i="38" s="1"/>
  <c r="N10" i="45"/>
  <c r="N55" i="45" s="1"/>
  <c r="N9" i="47"/>
  <c r="N54" i="47" s="1"/>
  <c r="I7" i="11"/>
  <c r="I48" i="11" s="1"/>
  <c r="I7" i="12"/>
  <c r="I49" i="12" s="1"/>
  <c r="I7" i="45"/>
  <c r="I49" i="45" s="1"/>
  <c r="I7" i="15"/>
  <c r="I48" i="15" s="1"/>
  <c r="I7" i="23"/>
  <c r="I49" i="23" s="1"/>
  <c r="I7" i="50"/>
  <c r="I48" i="50" s="1"/>
  <c r="I7" i="47"/>
  <c r="I49" i="47" s="1"/>
  <c r="J6" i="58"/>
  <c r="J48" i="58" s="1"/>
  <c r="B48" i="58" s="1"/>
  <c r="I4" i="38"/>
  <c r="I45" i="38" s="1"/>
  <c r="I4" i="47"/>
  <c r="I46" i="47" s="1"/>
  <c r="I4" i="15"/>
  <c r="I45" i="15" s="1"/>
  <c r="J4" i="43"/>
  <c r="J45" i="43" s="1"/>
  <c r="G75" i="23"/>
  <c r="F74" i="15"/>
  <c r="F74" i="13"/>
  <c r="G79" i="12"/>
  <c r="F79" i="12"/>
  <c r="F75" i="12"/>
  <c r="F75" i="45"/>
  <c r="F73" i="10"/>
  <c r="H62" i="11"/>
  <c r="H63" i="47"/>
  <c r="H62" i="38"/>
  <c r="H62" i="43"/>
  <c r="H63" i="45"/>
  <c r="H62" i="50"/>
  <c r="H62" i="13"/>
  <c r="H63" i="23"/>
  <c r="H62" i="15"/>
  <c r="H63" i="12"/>
  <c r="F74" i="11"/>
  <c r="G63" i="10"/>
  <c r="G78" i="10" s="1"/>
  <c r="G63" i="11"/>
  <c r="G78" i="11" s="1"/>
  <c r="G63" i="50"/>
  <c r="G78" i="50" s="1"/>
  <c r="G64" i="47"/>
  <c r="G79" i="47" s="1"/>
  <c r="G63" i="38"/>
  <c r="G78" i="38" s="1"/>
  <c r="G64" i="45"/>
  <c r="G79" i="45" s="1"/>
  <c r="G63" i="43"/>
  <c r="G78" i="43" s="1"/>
  <c r="G63" i="13"/>
  <c r="G78" i="13" s="1"/>
  <c r="G63" i="15"/>
  <c r="G78" i="15" s="1"/>
  <c r="G64" i="12"/>
  <c r="G64" i="23"/>
  <c r="G79" i="23" s="1"/>
  <c r="F74" i="10"/>
  <c r="F71" i="11"/>
  <c r="G61" i="10"/>
  <c r="G77" i="10" s="1"/>
  <c r="G61" i="11"/>
  <c r="G77" i="11" s="1"/>
  <c r="G61" i="38"/>
  <c r="G77" i="38" s="1"/>
  <c r="G61" i="43"/>
  <c r="G77" i="43" s="1"/>
  <c r="G62" i="45"/>
  <c r="G78" i="45" s="1"/>
  <c r="G61" i="50"/>
  <c r="G77" i="50" s="1"/>
  <c r="G62" i="47"/>
  <c r="G78" i="47" s="1"/>
  <c r="G62" i="23"/>
  <c r="G78" i="23" s="1"/>
  <c r="G61" i="15"/>
  <c r="G77" i="15" s="1"/>
  <c r="G61" i="13"/>
  <c r="G77" i="13" s="1"/>
  <c r="G62" i="12"/>
  <c r="F74" i="47"/>
  <c r="F73" i="15"/>
  <c r="F73" i="43"/>
  <c r="F73" i="50"/>
  <c r="F74" i="45"/>
  <c r="F74" i="23"/>
  <c r="F73" i="38"/>
  <c r="F73" i="11"/>
  <c r="G60" i="11"/>
  <c r="G61" i="47"/>
  <c r="G60" i="38"/>
  <c r="G60" i="43"/>
  <c r="G61" i="45"/>
  <c r="G61" i="23"/>
  <c r="G60" i="15"/>
  <c r="G60" i="50"/>
  <c r="G60" i="13"/>
  <c r="G61" i="12"/>
  <c r="G78" i="12" s="1"/>
  <c r="F73" i="13"/>
  <c r="F74" i="12"/>
  <c r="G60" i="10"/>
  <c r="I3" i="23"/>
  <c r="I45" i="23" s="1"/>
  <c r="I3" i="13"/>
  <c r="I44" i="13" s="1"/>
  <c r="N3" i="23"/>
  <c r="I3" i="15"/>
  <c r="I44" i="15" s="1"/>
  <c r="I3" i="47"/>
  <c r="I45" i="47" s="1"/>
  <c r="N11" i="15"/>
  <c r="N55" i="15" s="1"/>
  <c r="N11" i="50"/>
  <c r="N55" i="50" s="1"/>
  <c r="I3" i="12"/>
  <c r="I45" i="12" s="1"/>
  <c r="I3" i="38"/>
  <c r="I44" i="38" s="1"/>
  <c r="N3" i="12"/>
  <c r="N45" i="12" s="1"/>
  <c r="N11" i="11"/>
  <c r="N55" i="11" s="1"/>
  <c r="N11" i="38"/>
  <c r="N55" i="38" s="1"/>
  <c r="I3" i="11"/>
  <c r="I44" i="11" s="1"/>
  <c r="I3" i="10"/>
  <c r="I44" i="10" s="1"/>
  <c r="I3" i="50"/>
  <c r="I44" i="50" s="1"/>
  <c r="N3" i="38"/>
  <c r="N44" i="38" s="1"/>
  <c r="N3" i="10"/>
  <c r="N44" i="10" s="1"/>
  <c r="N3" i="11"/>
  <c r="N44" i="11" s="1"/>
  <c r="N11" i="12"/>
  <c r="N56" i="12" s="1"/>
  <c r="I3" i="43"/>
  <c r="I44" i="43" s="1"/>
  <c r="W44" i="10"/>
  <c r="M52" i="10"/>
  <c r="M44" i="10"/>
  <c r="H44" i="10"/>
  <c r="I63" i="58"/>
  <c r="H62" i="10"/>
  <c r="W52" i="10"/>
  <c r="N10" i="11"/>
  <c r="N54" i="11" s="1"/>
  <c r="N10" i="43"/>
  <c r="N54" i="43" s="1"/>
  <c r="N10" i="15"/>
  <c r="N54" i="15" s="1"/>
  <c r="N10" i="47"/>
  <c r="N55" i="47" s="1"/>
  <c r="N10" i="13"/>
  <c r="N54" i="13" s="1"/>
  <c r="N10" i="50"/>
  <c r="N54" i="50" s="1"/>
  <c r="N10" i="23"/>
  <c r="N55" i="23" s="1"/>
  <c r="I8" i="47"/>
  <c r="I53" i="47" s="1"/>
  <c r="N10" i="10"/>
  <c r="N54" i="10" s="1"/>
  <c r="I8" i="13"/>
  <c r="I52" i="13" s="1"/>
  <c r="N9" i="50"/>
  <c r="N53" i="50" s="1"/>
  <c r="N9" i="12"/>
  <c r="N54" i="12" s="1"/>
  <c r="I8" i="43"/>
  <c r="I52" i="43" s="1"/>
  <c r="I12" i="12"/>
  <c r="I57" i="12" s="1"/>
  <c r="I12" i="38"/>
  <c r="I56" i="38" s="1"/>
  <c r="I12" i="23"/>
  <c r="I57" i="23" s="1"/>
  <c r="I12" i="50"/>
  <c r="I56" i="50" s="1"/>
  <c r="I12" i="11"/>
  <c r="I56" i="11" s="1"/>
  <c r="I12" i="47"/>
  <c r="I57" i="47" s="1"/>
  <c r="I12" i="15"/>
  <c r="I56" i="15" s="1"/>
  <c r="I12" i="43"/>
  <c r="I56" i="43" s="1"/>
  <c r="I12" i="10"/>
  <c r="I56" i="10" s="1"/>
  <c r="I12" i="45"/>
  <c r="I57" i="45" s="1"/>
  <c r="I12" i="13"/>
  <c r="I56" i="13" s="1"/>
  <c r="J12" i="58"/>
  <c r="J57" i="58" s="1"/>
  <c r="B57" i="58" s="1"/>
  <c r="N9" i="13"/>
  <c r="N53" i="13" s="1"/>
  <c r="I8" i="50"/>
  <c r="I52" i="50" s="1"/>
  <c r="I8" i="10"/>
  <c r="N9" i="23"/>
  <c r="N54" i="23" s="1"/>
  <c r="I8" i="23"/>
  <c r="I53" i="23" s="1"/>
  <c r="I8" i="45"/>
  <c r="I53" i="45" s="1"/>
  <c r="I8" i="11"/>
  <c r="I52" i="11" s="1"/>
  <c r="I8" i="12"/>
  <c r="I53" i="12" s="1"/>
  <c r="I2" i="10"/>
  <c r="I42" i="10" s="1"/>
  <c r="I43" i="10" s="1"/>
  <c r="I2" i="47"/>
  <c r="I43" i="47" s="1"/>
  <c r="I44" i="47" s="1"/>
  <c r="I2" i="15"/>
  <c r="I42" i="15" s="1"/>
  <c r="I43" i="15" s="1"/>
  <c r="I2" i="45"/>
  <c r="I43" i="45" s="1"/>
  <c r="I44" i="45" s="1"/>
  <c r="I2" i="12"/>
  <c r="I43" i="12" s="1"/>
  <c r="I44" i="12" s="1"/>
  <c r="I2" i="50"/>
  <c r="I42" i="50" s="1"/>
  <c r="I43" i="50" s="1"/>
  <c r="J2" i="58"/>
  <c r="J43" i="58" s="1"/>
  <c r="J44" i="58" s="1"/>
  <c r="I2" i="43"/>
  <c r="I42" i="43" s="1"/>
  <c r="I43" i="43" s="1"/>
  <c r="I2" i="13"/>
  <c r="I42" i="13" s="1"/>
  <c r="I43" i="13" s="1"/>
  <c r="I2" i="38"/>
  <c r="I42" i="38" s="1"/>
  <c r="I43" i="38" s="1"/>
  <c r="I2" i="11"/>
  <c r="I42" i="11" s="1"/>
  <c r="I43" i="11" s="1"/>
  <c r="I2" i="23"/>
  <c r="I43" i="23" s="1"/>
  <c r="I44" i="23" s="1"/>
  <c r="N9" i="38"/>
  <c r="N53" i="38" s="1"/>
  <c r="N9" i="43"/>
  <c r="N53" i="43" s="1"/>
  <c r="I8" i="15"/>
  <c r="I52" i="15" s="1"/>
  <c r="I8" i="38"/>
  <c r="I52" i="38" s="1"/>
  <c r="X7" i="12"/>
  <c r="X49" i="12" s="1"/>
  <c r="X7" i="47"/>
  <c r="X49" i="47" s="1"/>
  <c r="X7" i="13"/>
  <c r="X48" i="13" s="1"/>
  <c r="X7" i="45"/>
  <c r="X7" i="23"/>
  <c r="X7" i="50"/>
  <c r="X48" i="50" s="1"/>
  <c r="X7" i="43"/>
  <c r="X48" i="43" s="1"/>
  <c r="X7" i="11"/>
  <c r="X48" i="11" s="1"/>
  <c r="X7" i="10"/>
  <c r="X48" i="10" s="1"/>
  <c r="X7" i="38"/>
  <c r="X48" i="38" s="1"/>
  <c r="X7" i="15"/>
  <c r="X48" i="15" s="1"/>
  <c r="O9" i="38"/>
  <c r="O53" i="38" s="1"/>
  <c r="N9" i="15"/>
  <c r="N53" i="15" s="1"/>
  <c r="N9" i="45"/>
  <c r="N54" i="45" s="1"/>
  <c r="N9" i="10"/>
  <c r="N53" i="10" s="1"/>
  <c r="N9" i="11"/>
  <c r="N53" i="11" s="1"/>
  <c r="J8" i="13"/>
  <c r="J52" i="13" s="1"/>
  <c r="J7" i="50"/>
  <c r="J48" i="50" s="1"/>
  <c r="J7" i="47"/>
  <c r="J49" i="47" s="1"/>
  <c r="J7" i="45"/>
  <c r="J49" i="45" s="1"/>
  <c r="J7" i="43"/>
  <c r="J48" i="43" s="1"/>
  <c r="J7" i="38"/>
  <c r="J48" i="38" s="1"/>
  <c r="J7" i="23"/>
  <c r="J49" i="23" s="1"/>
  <c r="J7" i="13"/>
  <c r="J48" i="13" s="1"/>
  <c r="J7" i="15"/>
  <c r="J48" i="15" s="1"/>
  <c r="J7" i="12"/>
  <c r="J49" i="12" s="1"/>
  <c r="J7" i="11"/>
  <c r="J48" i="11" s="1"/>
  <c r="J7" i="10"/>
  <c r="J48" i="10" s="1"/>
  <c r="P6" i="50"/>
  <c r="P47" i="50" s="1"/>
  <c r="P6" i="45"/>
  <c r="P6" i="47"/>
  <c r="P48" i="47" s="1"/>
  <c r="P6" i="43"/>
  <c r="P47" i="43" s="1"/>
  <c r="P6" i="38"/>
  <c r="P47" i="38" s="1"/>
  <c r="P6" i="13"/>
  <c r="P47" i="13" s="1"/>
  <c r="P6" i="23"/>
  <c r="P6" i="15"/>
  <c r="P47" i="15" s="1"/>
  <c r="P6" i="12"/>
  <c r="P48" i="12" s="1"/>
  <c r="P6" i="11"/>
  <c r="P47" i="11" s="1"/>
  <c r="P6" i="10"/>
  <c r="P47" i="10" s="1"/>
  <c r="I11" i="50"/>
  <c r="I55" i="50" s="1"/>
  <c r="I11" i="47"/>
  <c r="I56" i="47" s="1"/>
  <c r="I11" i="45"/>
  <c r="I56" i="45" s="1"/>
  <c r="I11" i="43"/>
  <c r="I55" i="43" s="1"/>
  <c r="I11" i="38"/>
  <c r="I55" i="38" s="1"/>
  <c r="I11" i="13"/>
  <c r="I55" i="13" s="1"/>
  <c r="I11" i="15"/>
  <c r="I55" i="15" s="1"/>
  <c r="I11" i="12"/>
  <c r="I56" i="12" s="1"/>
  <c r="I11" i="11"/>
  <c r="I55" i="11" s="1"/>
  <c r="I11" i="23"/>
  <c r="I56" i="23" s="1"/>
  <c r="J11" i="58"/>
  <c r="J56" i="58" s="1"/>
  <c r="B56" i="58" s="1"/>
  <c r="I11" i="10"/>
  <c r="I55" i="10" s="1"/>
  <c r="O10" i="50"/>
  <c r="O54" i="50" s="1"/>
  <c r="O10" i="47"/>
  <c r="O55" i="47" s="1"/>
  <c r="O10" i="45"/>
  <c r="O55" i="45" s="1"/>
  <c r="O10" i="43"/>
  <c r="O54" i="43" s="1"/>
  <c r="O10" i="38"/>
  <c r="O54" i="38" s="1"/>
  <c r="O10" i="23"/>
  <c r="O55" i="23" s="1"/>
  <c r="O10" i="15"/>
  <c r="O54" i="15" s="1"/>
  <c r="O10" i="13"/>
  <c r="O54" i="13" s="1"/>
  <c r="O10" i="12"/>
  <c r="O55" i="12" s="1"/>
  <c r="O10" i="10"/>
  <c r="O54" i="10" s="1"/>
  <c r="O10" i="11"/>
  <c r="O54" i="11" s="1"/>
  <c r="N8" i="50"/>
  <c r="N52" i="50" s="1"/>
  <c r="N8" i="47"/>
  <c r="N53" i="47" s="1"/>
  <c r="N8" i="45"/>
  <c r="N53" i="45" s="1"/>
  <c r="N8" i="43"/>
  <c r="N52" i="43" s="1"/>
  <c r="N8" i="38"/>
  <c r="N52" i="38" s="1"/>
  <c r="N8" i="15"/>
  <c r="N52" i="15" s="1"/>
  <c r="N8" i="23"/>
  <c r="N53" i="23" s="1"/>
  <c r="N8" i="13"/>
  <c r="N52" i="13" s="1"/>
  <c r="N8" i="12"/>
  <c r="N53" i="12" s="1"/>
  <c r="N8" i="11"/>
  <c r="N52" i="11" s="1"/>
  <c r="N8" i="10"/>
  <c r="N4" i="50"/>
  <c r="N45" i="50" s="1"/>
  <c r="N4" i="47"/>
  <c r="N46" i="47" s="1"/>
  <c r="N4" i="45"/>
  <c r="N46" i="45" s="1"/>
  <c r="N4" i="43"/>
  <c r="N45" i="43" s="1"/>
  <c r="N4" i="38"/>
  <c r="N45" i="38" s="1"/>
  <c r="N4" i="15"/>
  <c r="N45" i="15" s="1"/>
  <c r="N4" i="23"/>
  <c r="N4" i="12"/>
  <c r="N46" i="12" s="1"/>
  <c r="N4" i="11"/>
  <c r="N45" i="11" s="1"/>
  <c r="N4" i="13"/>
  <c r="N45" i="13" s="1"/>
  <c r="N4" i="10"/>
  <c r="N45" i="10" s="1"/>
  <c r="I10" i="50"/>
  <c r="I54" i="50" s="1"/>
  <c r="I10" i="47"/>
  <c r="I55" i="47" s="1"/>
  <c r="I10" i="45"/>
  <c r="I55" i="45" s="1"/>
  <c r="I10" i="43"/>
  <c r="I54" i="43" s="1"/>
  <c r="I10" i="38"/>
  <c r="I54" i="38" s="1"/>
  <c r="I10" i="15"/>
  <c r="I54" i="15" s="1"/>
  <c r="I10" i="23"/>
  <c r="I55" i="23" s="1"/>
  <c r="I10" i="13"/>
  <c r="I54" i="13" s="1"/>
  <c r="I10" i="11"/>
  <c r="I54" i="11" s="1"/>
  <c r="I10" i="10"/>
  <c r="I54" i="10" s="1"/>
  <c r="J10" i="58"/>
  <c r="J55" i="58" s="1"/>
  <c r="B55" i="58" s="1"/>
  <c r="I10" i="12"/>
  <c r="I55" i="12" s="1"/>
  <c r="I5" i="50"/>
  <c r="I46" i="50" s="1"/>
  <c r="I5" i="45"/>
  <c r="I47" i="45" s="1"/>
  <c r="I5" i="47"/>
  <c r="I47" i="47" s="1"/>
  <c r="I5" i="43"/>
  <c r="I46" i="43" s="1"/>
  <c r="I5" i="38"/>
  <c r="I46" i="38" s="1"/>
  <c r="I5" i="15"/>
  <c r="I46" i="15" s="1"/>
  <c r="I5" i="12"/>
  <c r="I47" i="12" s="1"/>
  <c r="I5" i="11"/>
  <c r="I46" i="11" s="1"/>
  <c r="I5" i="13"/>
  <c r="I46" i="13" s="1"/>
  <c r="I5" i="23"/>
  <c r="I47" i="23" s="1"/>
  <c r="I5" i="10"/>
  <c r="I46" i="10" s="1"/>
  <c r="J5" i="58"/>
  <c r="J47" i="58" s="1"/>
  <c r="B47" i="58" s="1"/>
  <c r="Y10" i="50"/>
  <c r="Y54" i="50" s="1"/>
  <c r="Y10" i="47"/>
  <c r="Y55" i="47" s="1"/>
  <c r="Y10" i="45"/>
  <c r="Y55" i="45" s="1"/>
  <c r="Y10" i="43"/>
  <c r="Y54" i="43" s="1"/>
  <c r="Y10" i="38"/>
  <c r="Y54" i="38" s="1"/>
  <c r="Y10" i="15"/>
  <c r="Y54" i="15" s="1"/>
  <c r="Y10" i="13"/>
  <c r="Y54" i="13" s="1"/>
  <c r="Y10" i="23"/>
  <c r="Y55" i="23" s="1"/>
  <c r="Y10" i="11"/>
  <c r="Y54" i="11" s="1"/>
  <c r="Y10" i="10"/>
  <c r="Y54" i="10" s="1"/>
  <c r="Y10" i="12"/>
  <c r="Y55" i="12" s="1"/>
  <c r="J9" i="45"/>
  <c r="J54" i="45" s="1"/>
  <c r="J9" i="38"/>
  <c r="J53" i="38" s="1"/>
  <c r="J9" i="23"/>
  <c r="J54" i="23" s="1"/>
  <c r="J9" i="10"/>
  <c r="J53" i="10" s="1"/>
  <c r="J9" i="12"/>
  <c r="J54" i="12" s="1"/>
  <c r="Y5" i="50"/>
  <c r="Y46" i="50" s="1"/>
  <c r="Y5" i="45"/>
  <c r="Y5" i="47"/>
  <c r="Y47" i="47" s="1"/>
  <c r="Y5" i="43"/>
  <c r="Y46" i="43" s="1"/>
  <c r="Y5" i="38"/>
  <c r="Y46" i="38" s="1"/>
  <c r="Y5" i="23"/>
  <c r="Y5" i="15"/>
  <c r="Y46" i="15" s="1"/>
  <c r="Y5" i="13"/>
  <c r="Y46" i="13" s="1"/>
  <c r="Y5" i="12"/>
  <c r="Y47" i="12" s="1"/>
  <c r="Y5" i="11"/>
  <c r="Y46" i="11" s="1"/>
  <c r="Y5" i="10"/>
  <c r="Y46" i="10" s="1"/>
  <c r="W45" i="23"/>
  <c r="W48" i="23"/>
  <c r="X8" i="50"/>
  <c r="X52" i="50" s="1"/>
  <c r="X8" i="47"/>
  <c r="X53" i="47" s="1"/>
  <c r="X8" i="45"/>
  <c r="X53" i="45" s="1"/>
  <c r="X8" i="43"/>
  <c r="X52" i="43" s="1"/>
  <c r="X8" i="38"/>
  <c r="X52" i="38" s="1"/>
  <c r="X8" i="15"/>
  <c r="X52" i="15" s="1"/>
  <c r="X8" i="23"/>
  <c r="X53" i="23" s="1"/>
  <c r="X8" i="13"/>
  <c r="X52" i="13" s="1"/>
  <c r="X8" i="12"/>
  <c r="X53" i="12" s="1"/>
  <c r="X8" i="11"/>
  <c r="X8" i="10"/>
  <c r="X4" i="50"/>
  <c r="X45" i="50" s="1"/>
  <c r="X4" i="47"/>
  <c r="X46" i="47" s="1"/>
  <c r="X4" i="43"/>
  <c r="X45" i="43" s="1"/>
  <c r="X4" i="45"/>
  <c r="X4" i="38"/>
  <c r="X45" i="38" s="1"/>
  <c r="X4" i="15"/>
  <c r="X45" i="15" s="1"/>
  <c r="X4" i="23"/>
  <c r="X4" i="13"/>
  <c r="X45" i="13" s="1"/>
  <c r="X4" i="12"/>
  <c r="X46" i="12" s="1"/>
  <c r="X4" i="11"/>
  <c r="X45" i="11" s="1"/>
  <c r="X4" i="10"/>
  <c r="X45" i="10" s="1"/>
  <c r="X12" i="47"/>
  <c r="X57" i="47" s="1"/>
  <c r="X12" i="50"/>
  <c r="X56" i="50" s="1"/>
  <c r="X12" i="45"/>
  <c r="X57" i="45" s="1"/>
  <c r="X12" i="43"/>
  <c r="X56" i="43" s="1"/>
  <c r="X12" i="38"/>
  <c r="X56" i="38" s="1"/>
  <c r="X12" i="23"/>
  <c r="X12" i="13"/>
  <c r="X56" i="13" s="1"/>
  <c r="X12" i="15"/>
  <c r="X56" i="15" s="1"/>
  <c r="X12" i="12"/>
  <c r="X57" i="12" s="1"/>
  <c r="X12" i="11"/>
  <c r="X56" i="11" s="1"/>
  <c r="X12" i="10"/>
  <c r="X56" i="10" s="1"/>
  <c r="N7" i="50"/>
  <c r="N48" i="50" s="1"/>
  <c r="N7" i="47"/>
  <c r="N49" i="47" s="1"/>
  <c r="N7" i="45"/>
  <c r="N49" i="45" s="1"/>
  <c r="N7" i="43"/>
  <c r="N48" i="43" s="1"/>
  <c r="N7" i="38"/>
  <c r="N48" i="38" s="1"/>
  <c r="N7" i="23"/>
  <c r="N7" i="15"/>
  <c r="N48" i="15" s="1"/>
  <c r="N7" i="13"/>
  <c r="N48" i="13" s="1"/>
  <c r="N7" i="10"/>
  <c r="N48" i="10" s="1"/>
  <c r="N7" i="12"/>
  <c r="N49" i="12" s="1"/>
  <c r="N7" i="11"/>
  <c r="N48" i="11" s="1"/>
  <c r="O3" i="50"/>
  <c r="O44" i="50" s="1"/>
  <c r="O3" i="45"/>
  <c r="O45" i="45" s="1"/>
  <c r="O3" i="47"/>
  <c r="O45" i="47" s="1"/>
  <c r="O3" i="43"/>
  <c r="O44" i="43" s="1"/>
  <c r="O3" i="38"/>
  <c r="O44" i="38" s="1"/>
  <c r="O3" i="23"/>
  <c r="O3" i="15"/>
  <c r="O44" i="15" s="1"/>
  <c r="O3" i="12"/>
  <c r="O45" i="12" s="1"/>
  <c r="O3" i="13"/>
  <c r="O44" i="13" s="1"/>
  <c r="O3" i="11"/>
  <c r="O44" i="11" s="1"/>
  <c r="O3" i="10"/>
  <c r="X3" i="50"/>
  <c r="X44" i="50" s="1"/>
  <c r="X3" i="47"/>
  <c r="X45" i="47" s="1"/>
  <c r="X3" i="45"/>
  <c r="X3" i="43"/>
  <c r="X44" i="43" s="1"/>
  <c r="X3" i="38"/>
  <c r="X44" i="38" s="1"/>
  <c r="X3" i="23"/>
  <c r="X3" i="15"/>
  <c r="X44" i="15" s="1"/>
  <c r="X3" i="12"/>
  <c r="X45" i="12" s="1"/>
  <c r="X3" i="13"/>
  <c r="X44" i="13" s="1"/>
  <c r="Y3" i="58"/>
  <c r="Y45" i="58" s="1"/>
  <c r="X3" i="11"/>
  <c r="X44" i="11" s="1"/>
  <c r="X3" i="10"/>
  <c r="X9" i="50"/>
  <c r="X53" i="50" s="1"/>
  <c r="X9" i="47"/>
  <c r="X54" i="47" s="1"/>
  <c r="X9" i="45"/>
  <c r="X54" i="45" s="1"/>
  <c r="X9" i="43"/>
  <c r="X53" i="43" s="1"/>
  <c r="X9" i="38"/>
  <c r="X53" i="38" s="1"/>
  <c r="X9" i="23"/>
  <c r="X54" i="23" s="1"/>
  <c r="X9" i="13"/>
  <c r="X53" i="13" s="1"/>
  <c r="X9" i="15"/>
  <c r="X53" i="15" s="1"/>
  <c r="X9" i="11"/>
  <c r="X53" i="11" s="1"/>
  <c r="X9" i="12"/>
  <c r="X54" i="12" s="1"/>
  <c r="X9" i="10"/>
  <c r="X53" i="10" s="1"/>
  <c r="O9" i="11"/>
  <c r="O53" i="11" s="1"/>
  <c r="X6" i="50"/>
  <c r="X47" i="50" s="1"/>
  <c r="X6" i="47"/>
  <c r="X48" i="47" s="1"/>
  <c r="X6" i="45"/>
  <c r="X6" i="43"/>
  <c r="X47" i="43" s="1"/>
  <c r="X6" i="38"/>
  <c r="X47" i="38" s="1"/>
  <c r="X6" i="13"/>
  <c r="X47" i="13" s="1"/>
  <c r="X6" i="23"/>
  <c r="X6" i="15"/>
  <c r="X47" i="15" s="1"/>
  <c r="X6" i="12"/>
  <c r="X48" i="12" s="1"/>
  <c r="X6" i="11"/>
  <c r="X47" i="11" s="1"/>
  <c r="X6" i="10"/>
  <c r="X47" i="10" s="1"/>
  <c r="X11" i="50"/>
  <c r="X55" i="50" s="1"/>
  <c r="X11" i="47"/>
  <c r="X56" i="47" s="1"/>
  <c r="X11" i="45"/>
  <c r="X56" i="45" s="1"/>
  <c r="X11" i="43"/>
  <c r="X55" i="43" s="1"/>
  <c r="X11" i="38"/>
  <c r="X55" i="38" s="1"/>
  <c r="X11" i="23"/>
  <c r="X56" i="23" s="1"/>
  <c r="X11" i="13"/>
  <c r="X55" i="13" s="1"/>
  <c r="X11" i="11"/>
  <c r="X55" i="11" s="1"/>
  <c r="X11" i="15"/>
  <c r="X55" i="15" s="1"/>
  <c r="X11" i="10"/>
  <c r="X55" i="10" s="1"/>
  <c r="X11" i="12"/>
  <c r="X56" i="12" s="1"/>
  <c r="O5" i="50"/>
  <c r="O46" i="50" s="1"/>
  <c r="O5" i="47"/>
  <c r="O47" i="47" s="1"/>
  <c r="O5" i="43"/>
  <c r="O46" i="43" s="1"/>
  <c r="O5" i="45"/>
  <c r="O47" i="45" s="1"/>
  <c r="O5" i="38"/>
  <c r="O46" i="38" s="1"/>
  <c r="O5" i="15"/>
  <c r="O46" i="15" s="1"/>
  <c r="O5" i="13"/>
  <c r="O46" i="13" s="1"/>
  <c r="O5" i="23"/>
  <c r="O5" i="12"/>
  <c r="O47" i="12" s="1"/>
  <c r="O5" i="11"/>
  <c r="O46" i="11" s="1"/>
  <c r="O5" i="10"/>
  <c r="O46" i="10" s="1"/>
  <c r="J6" i="13"/>
  <c r="J47" i="13" s="1"/>
  <c r="N12" i="50"/>
  <c r="N56" i="50" s="1"/>
  <c r="N12" i="45"/>
  <c r="N57" i="45" s="1"/>
  <c r="N12" i="47"/>
  <c r="N57" i="47" s="1"/>
  <c r="N12" i="43"/>
  <c r="N56" i="43" s="1"/>
  <c r="N12" i="38"/>
  <c r="N56" i="38" s="1"/>
  <c r="N12" i="23"/>
  <c r="N57" i="23" s="1"/>
  <c r="N12" i="13"/>
  <c r="N56" i="13" s="1"/>
  <c r="N12" i="15"/>
  <c r="N56" i="15" s="1"/>
  <c r="N12" i="12"/>
  <c r="N57" i="12" s="1"/>
  <c r="N12" i="11"/>
  <c r="N56" i="11" s="1"/>
  <c r="N12" i="10"/>
  <c r="N56" i="10" s="1"/>
  <c r="D84" i="61" l="1"/>
  <c r="C84" i="61" s="1"/>
  <c r="C83" i="61"/>
  <c r="C88" i="61" s="1"/>
  <c r="Q51" i="18"/>
  <c r="W51" i="18"/>
  <c r="AA51" i="18"/>
  <c r="Y51" i="18"/>
  <c r="Q50" i="18"/>
  <c r="W50" i="18"/>
  <c r="AA50" i="18"/>
  <c r="Y50" i="18"/>
  <c r="Q49" i="18"/>
  <c r="W49" i="18"/>
  <c r="AA49" i="18"/>
  <c r="Y49" i="18"/>
  <c r="D84" i="50"/>
  <c r="D84" i="15"/>
  <c r="B54" i="58"/>
  <c r="O15" i="60" s="1"/>
  <c r="B53" i="58"/>
  <c r="O14" i="60" s="1"/>
  <c r="D84" i="11"/>
  <c r="D85" i="58"/>
  <c r="D85" i="12"/>
  <c r="F80" i="12"/>
  <c r="D85" i="47"/>
  <c r="D85" i="45"/>
  <c r="F79" i="10"/>
  <c r="Q60" i="18"/>
  <c r="O60" i="18"/>
  <c r="F75" i="50"/>
  <c r="D84" i="43"/>
  <c r="S50" i="18"/>
  <c r="E83" i="10"/>
  <c r="E84" i="10" s="1"/>
  <c r="AQ77" i="18"/>
  <c r="C71" i="18" s="1"/>
  <c r="S49" i="18"/>
  <c r="S51" i="18"/>
  <c r="J6" i="23"/>
  <c r="J48" i="23" s="1"/>
  <c r="J9" i="13"/>
  <c r="J53" i="13" s="1"/>
  <c r="J9" i="43"/>
  <c r="J53" i="43" s="1"/>
  <c r="J6" i="50"/>
  <c r="J47" i="50" s="1"/>
  <c r="J9" i="15"/>
  <c r="J53" i="15" s="1"/>
  <c r="J9" i="50"/>
  <c r="J53" i="50" s="1"/>
  <c r="J8" i="15"/>
  <c r="J52" i="15" s="1"/>
  <c r="J6" i="47"/>
  <c r="J48" i="47" s="1"/>
  <c r="J9" i="11"/>
  <c r="J53" i="11" s="1"/>
  <c r="J9" i="47"/>
  <c r="J54" i="47" s="1"/>
  <c r="J6" i="15"/>
  <c r="J47" i="15" s="1"/>
  <c r="O9" i="60"/>
  <c r="J6" i="10"/>
  <c r="J47" i="10" s="1"/>
  <c r="J6" i="38"/>
  <c r="J47" i="38" s="1"/>
  <c r="J6" i="11"/>
  <c r="J47" i="11" s="1"/>
  <c r="J6" i="45"/>
  <c r="J48" i="45" s="1"/>
  <c r="J6" i="12"/>
  <c r="J48" i="12" s="1"/>
  <c r="J6" i="43"/>
  <c r="J47" i="43" s="1"/>
  <c r="O17" i="60"/>
  <c r="O34" i="18"/>
  <c r="AP188" i="18" s="1"/>
  <c r="O33" i="18"/>
  <c r="AP187" i="18" s="1"/>
  <c r="O16" i="60"/>
  <c r="O10" i="60"/>
  <c r="O27" i="18"/>
  <c r="AP181" i="18" s="1"/>
  <c r="J8" i="45"/>
  <c r="J53" i="45" s="1"/>
  <c r="O35" i="18"/>
  <c r="AP189" i="18" s="1"/>
  <c r="O18" i="60"/>
  <c r="J8" i="50"/>
  <c r="J52" i="50" s="1"/>
  <c r="J8" i="23"/>
  <c r="J53" i="23" s="1"/>
  <c r="J8" i="38"/>
  <c r="J52" i="38" s="1"/>
  <c r="J8" i="47"/>
  <c r="J53" i="47" s="1"/>
  <c r="J4" i="13"/>
  <c r="J45" i="13" s="1"/>
  <c r="J8" i="11"/>
  <c r="J52" i="11" s="1"/>
  <c r="J8" i="10"/>
  <c r="J52" i="10" s="1"/>
  <c r="O8" i="60"/>
  <c r="O25" i="18"/>
  <c r="AP179" i="18" s="1"/>
  <c r="J8" i="12"/>
  <c r="J53" i="12" s="1"/>
  <c r="J8" i="43"/>
  <c r="J52" i="43" s="1"/>
  <c r="G84" i="58"/>
  <c r="G85" i="58" s="1"/>
  <c r="G79" i="15"/>
  <c r="H84" i="58"/>
  <c r="H85" i="58" s="1"/>
  <c r="I79" i="58"/>
  <c r="I80" i="58" s="1"/>
  <c r="I75" i="58"/>
  <c r="H62" i="58"/>
  <c r="G79" i="11"/>
  <c r="F84" i="58"/>
  <c r="F85" i="58" s="1"/>
  <c r="G79" i="50"/>
  <c r="F83" i="50"/>
  <c r="F84" i="50" s="1"/>
  <c r="G80" i="47"/>
  <c r="G80" i="45"/>
  <c r="G79" i="43"/>
  <c r="G79" i="38"/>
  <c r="G80" i="23"/>
  <c r="G79" i="13"/>
  <c r="G80" i="12"/>
  <c r="G79" i="10"/>
  <c r="AQ28" i="18"/>
  <c r="J4" i="58"/>
  <c r="J46" i="58" s="1"/>
  <c r="J3" i="58"/>
  <c r="J45" i="58" s="1"/>
  <c r="H64" i="58"/>
  <c r="I63" i="38"/>
  <c r="I78" i="38" s="1"/>
  <c r="J4" i="10"/>
  <c r="J45" i="10" s="1"/>
  <c r="J4" i="38"/>
  <c r="J45" i="38" s="1"/>
  <c r="J4" i="11"/>
  <c r="J45" i="11" s="1"/>
  <c r="J4" i="12"/>
  <c r="J46" i="12" s="1"/>
  <c r="J4" i="45"/>
  <c r="J46" i="45" s="1"/>
  <c r="J4" i="23"/>
  <c r="J46" i="23" s="1"/>
  <c r="J4" i="47"/>
  <c r="J46" i="47" s="1"/>
  <c r="J4" i="15"/>
  <c r="J45" i="15" s="1"/>
  <c r="J4" i="50"/>
  <c r="J45" i="50" s="1"/>
  <c r="F67" i="10"/>
  <c r="F75" i="10"/>
  <c r="H75" i="47"/>
  <c r="H74" i="50"/>
  <c r="H75" i="45"/>
  <c r="H74" i="43"/>
  <c r="H74" i="38"/>
  <c r="H75" i="23"/>
  <c r="H74" i="15"/>
  <c r="H74" i="13"/>
  <c r="H75" i="12"/>
  <c r="H79" i="12"/>
  <c r="H74" i="11"/>
  <c r="H74" i="10"/>
  <c r="O9" i="12"/>
  <c r="O54" i="12" s="1"/>
  <c r="O9" i="43"/>
  <c r="O53" i="43" s="1"/>
  <c r="O9" i="15"/>
  <c r="O53" i="15" s="1"/>
  <c r="O9" i="45"/>
  <c r="O54" i="45" s="1"/>
  <c r="G71" i="11"/>
  <c r="O9" i="47"/>
  <c r="O54" i="47" s="1"/>
  <c r="H63" i="10"/>
  <c r="H78" i="10" s="1"/>
  <c r="H63" i="11"/>
  <c r="H78" i="11" s="1"/>
  <c r="H63" i="50"/>
  <c r="H78" i="50" s="1"/>
  <c r="H64" i="47"/>
  <c r="H79" i="47" s="1"/>
  <c r="H63" i="38"/>
  <c r="H78" i="38" s="1"/>
  <c r="H63" i="43"/>
  <c r="H78" i="43" s="1"/>
  <c r="H64" i="45"/>
  <c r="H79" i="45" s="1"/>
  <c r="H63" i="13"/>
  <c r="H78" i="13" s="1"/>
  <c r="H64" i="23"/>
  <c r="H79" i="23" s="1"/>
  <c r="H64" i="12"/>
  <c r="H63" i="15"/>
  <c r="H78" i="15" s="1"/>
  <c r="O9" i="23"/>
  <c r="O54" i="23" s="1"/>
  <c r="O9" i="50"/>
  <c r="O53" i="50" s="1"/>
  <c r="G71" i="10"/>
  <c r="O9" i="13"/>
  <c r="O53" i="13" s="1"/>
  <c r="I62" i="11"/>
  <c r="I62" i="38"/>
  <c r="I62" i="43"/>
  <c r="I63" i="45"/>
  <c r="I62" i="50"/>
  <c r="I63" i="23"/>
  <c r="I62" i="15"/>
  <c r="I63" i="47"/>
  <c r="I62" i="13"/>
  <c r="I63" i="12"/>
  <c r="H61" i="10"/>
  <c r="H77" i="10" s="1"/>
  <c r="H61" i="11"/>
  <c r="H77" i="11" s="1"/>
  <c r="H61" i="43"/>
  <c r="H77" i="43" s="1"/>
  <c r="H62" i="45"/>
  <c r="H78" i="45" s="1"/>
  <c r="H62" i="47"/>
  <c r="H78" i="47" s="1"/>
  <c r="H62" i="23"/>
  <c r="H78" i="23" s="1"/>
  <c r="H61" i="15"/>
  <c r="H77" i="15" s="1"/>
  <c r="H61" i="50"/>
  <c r="H77" i="50" s="1"/>
  <c r="H61" i="13"/>
  <c r="H77" i="13" s="1"/>
  <c r="H61" i="38"/>
  <c r="H77" i="38" s="1"/>
  <c r="H62" i="12"/>
  <c r="O9" i="10"/>
  <c r="O53" i="10" s="1"/>
  <c r="G73" i="50"/>
  <c r="G75" i="50" s="1"/>
  <c r="F67" i="11"/>
  <c r="G73" i="10"/>
  <c r="G75" i="10" s="1"/>
  <c r="F76" i="12"/>
  <c r="G73" i="13"/>
  <c r="G75" i="13" s="1"/>
  <c r="G73" i="38"/>
  <c r="G75" i="38" s="1"/>
  <c r="F76" i="23"/>
  <c r="F75" i="43"/>
  <c r="G74" i="45"/>
  <c r="G76" i="45" s="1"/>
  <c r="I60" i="10"/>
  <c r="H60" i="11"/>
  <c r="H60" i="43"/>
  <c r="H61" i="45"/>
  <c r="H60" i="50"/>
  <c r="H60" i="13"/>
  <c r="H61" i="23"/>
  <c r="H60" i="38"/>
  <c r="H61" i="12"/>
  <c r="H78" i="12" s="1"/>
  <c r="H61" i="47"/>
  <c r="H60" i="15"/>
  <c r="F75" i="13"/>
  <c r="F83" i="13" s="1"/>
  <c r="F84" i="13" s="1"/>
  <c r="G73" i="15"/>
  <c r="G75" i="15" s="1"/>
  <c r="G74" i="47"/>
  <c r="G76" i="47" s="1"/>
  <c r="G73" i="11"/>
  <c r="G75" i="11" s="1"/>
  <c r="G67" i="11"/>
  <c r="F75" i="11"/>
  <c r="F75" i="38"/>
  <c r="F76" i="45"/>
  <c r="F75" i="15"/>
  <c r="F76" i="47"/>
  <c r="F68" i="12"/>
  <c r="G74" i="12"/>
  <c r="G68" i="12"/>
  <c r="G74" i="23"/>
  <c r="G76" i="23" s="1"/>
  <c r="G73" i="43"/>
  <c r="G75" i="43" s="1"/>
  <c r="G67" i="10"/>
  <c r="H60" i="10"/>
  <c r="J3" i="13"/>
  <c r="J44" i="13" s="1"/>
  <c r="J3" i="50"/>
  <c r="J44" i="50" s="1"/>
  <c r="J3" i="11"/>
  <c r="J44" i="11" s="1"/>
  <c r="J3" i="47"/>
  <c r="J45" i="47" s="1"/>
  <c r="J3" i="45"/>
  <c r="J45" i="45" s="1"/>
  <c r="O11" i="11"/>
  <c r="O55" i="11" s="1"/>
  <c r="O11" i="38"/>
  <c r="O55" i="38" s="1"/>
  <c r="O11" i="12"/>
  <c r="O56" i="12" s="1"/>
  <c r="O11" i="43"/>
  <c r="O55" i="43" s="1"/>
  <c r="J3" i="10"/>
  <c r="J44" i="10" s="1"/>
  <c r="J3" i="15"/>
  <c r="J44" i="15" s="1"/>
  <c r="O11" i="45"/>
  <c r="O56" i="45" s="1"/>
  <c r="J3" i="23"/>
  <c r="J45" i="23" s="1"/>
  <c r="O11" i="13"/>
  <c r="O55" i="13" s="1"/>
  <c r="O11" i="23"/>
  <c r="O56" i="23" s="1"/>
  <c r="O11" i="47"/>
  <c r="O56" i="47" s="1"/>
  <c r="J3" i="38"/>
  <c r="J44" i="38" s="1"/>
  <c r="O11" i="10"/>
  <c r="O55" i="10" s="1"/>
  <c r="O11" i="15"/>
  <c r="O55" i="15" s="1"/>
  <c r="O11" i="50"/>
  <c r="O55" i="50" s="1"/>
  <c r="J3" i="43"/>
  <c r="J44" i="43" s="1"/>
  <c r="J3" i="12"/>
  <c r="J45" i="12" s="1"/>
  <c r="I52" i="10"/>
  <c r="J63" i="58"/>
  <c r="I62" i="10"/>
  <c r="O44" i="10"/>
  <c r="X52" i="10"/>
  <c r="N52" i="10"/>
  <c r="X44" i="10"/>
  <c r="Y7" i="50"/>
  <c r="Y48" i="50" s="1"/>
  <c r="Y7" i="15"/>
  <c r="Y48" i="15" s="1"/>
  <c r="Y7" i="47"/>
  <c r="Y49" i="47" s="1"/>
  <c r="Y7" i="23"/>
  <c r="Y7" i="43"/>
  <c r="Y48" i="43" s="1"/>
  <c r="Y7" i="13"/>
  <c r="Y48" i="13" s="1"/>
  <c r="Y7" i="45"/>
  <c r="Y7" i="12"/>
  <c r="Y49" i="12" s="1"/>
  <c r="Y7" i="11"/>
  <c r="Y48" i="11" s="1"/>
  <c r="Y7" i="10"/>
  <c r="Y48" i="10" s="1"/>
  <c r="Y7" i="38"/>
  <c r="Y48" i="38" s="1"/>
  <c r="J12" i="47"/>
  <c r="J57" i="47" s="1"/>
  <c r="J12" i="23"/>
  <c r="J57" i="23" s="1"/>
  <c r="J12" i="43"/>
  <c r="J56" i="43" s="1"/>
  <c r="J12" i="13"/>
  <c r="J56" i="13" s="1"/>
  <c r="J12" i="50"/>
  <c r="J56" i="50" s="1"/>
  <c r="J12" i="45"/>
  <c r="J57" i="45" s="1"/>
  <c r="J12" i="12"/>
  <c r="J57" i="12" s="1"/>
  <c r="J12" i="15"/>
  <c r="J56" i="15" s="1"/>
  <c r="J12" i="11"/>
  <c r="J56" i="11" s="1"/>
  <c r="J12" i="38"/>
  <c r="J56" i="38" s="1"/>
  <c r="J12" i="10"/>
  <c r="J56" i="10" s="1"/>
  <c r="J2" i="10"/>
  <c r="J42" i="10" s="1"/>
  <c r="J43" i="10" s="1"/>
  <c r="J2" i="12"/>
  <c r="J43" i="12" s="1"/>
  <c r="J44" i="12" s="1"/>
  <c r="J2" i="11"/>
  <c r="J42" i="11" s="1"/>
  <c r="J43" i="11" s="1"/>
  <c r="J2" i="43"/>
  <c r="J42" i="43" s="1"/>
  <c r="J43" i="43" s="1"/>
  <c r="J2" i="47"/>
  <c r="J43" i="47" s="1"/>
  <c r="J44" i="47" s="1"/>
  <c r="J2" i="13"/>
  <c r="J42" i="13" s="1"/>
  <c r="J43" i="13" s="1"/>
  <c r="J2" i="38"/>
  <c r="J42" i="38" s="1"/>
  <c r="J43" i="38" s="1"/>
  <c r="J2" i="50"/>
  <c r="J42" i="50" s="1"/>
  <c r="J43" i="50" s="1"/>
  <c r="J2" i="23"/>
  <c r="J43" i="23" s="1"/>
  <c r="J44" i="23" s="1"/>
  <c r="J2" i="45"/>
  <c r="J43" i="45" s="1"/>
  <c r="J44" i="45" s="1"/>
  <c r="J2" i="15"/>
  <c r="J42" i="15" s="1"/>
  <c r="J43" i="15" s="1"/>
  <c r="K2" i="58"/>
  <c r="K43" i="58" s="1"/>
  <c r="K44" i="58" s="1"/>
  <c r="P5" i="50"/>
  <c r="P46" i="50" s="1"/>
  <c r="P5" i="47"/>
  <c r="P47" i="47" s="1"/>
  <c r="P5" i="45"/>
  <c r="P5" i="43"/>
  <c r="P46" i="43" s="1"/>
  <c r="P5" i="38"/>
  <c r="P46" i="38" s="1"/>
  <c r="P5" i="23"/>
  <c r="P5" i="13"/>
  <c r="P46" i="13" s="1"/>
  <c r="P5" i="15"/>
  <c r="P46" i="15" s="1"/>
  <c r="P5" i="12"/>
  <c r="P47" i="12" s="1"/>
  <c r="P5" i="10"/>
  <c r="P46" i="10" s="1"/>
  <c r="P5" i="11"/>
  <c r="P46" i="11" s="1"/>
  <c r="Z5" i="50"/>
  <c r="Z46" i="50" s="1"/>
  <c r="Z5" i="47"/>
  <c r="Z47" i="47" s="1"/>
  <c r="Z5" i="45"/>
  <c r="Z47" i="45" s="1"/>
  <c r="Z5" i="43"/>
  <c r="Z46" i="43" s="1"/>
  <c r="Z5" i="38"/>
  <c r="Z46" i="38" s="1"/>
  <c r="Z5" i="13"/>
  <c r="Z46" i="13" s="1"/>
  <c r="Z5" i="15"/>
  <c r="Z46" i="15" s="1"/>
  <c r="Z5" i="11"/>
  <c r="Z46" i="11" s="1"/>
  <c r="Z5" i="23"/>
  <c r="Z5" i="10"/>
  <c r="Z46" i="10" s="1"/>
  <c r="Z5" i="12"/>
  <c r="Z47" i="12" s="1"/>
  <c r="Y9" i="50"/>
  <c r="Y53" i="50" s="1"/>
  <c r="Y9" i="47"/>
  <c r="Y54" i="47" s="1"/>
  <c r="Y9" i="45"/>
  <c r="Y54" i="45" s="1"/>
  <c r="Y9" i="43"/>
  <c r="Y53" i="43" s="1"/>
  <c r="Y9" i="38"/>
  <c r="Y53" i="38" s="1"/>
  <c r="Y9" i="23"/>
  <c r="Y54" i="23" s="1"/>
  <c r="Y9" i="13"/>
  <c r="Y53" i="13" s="1"/>
  <c r="Y9" i="15"/>
  <c r="Y53" i="15" s="1"/>
  <c r="Y9" i="12"/>
  <c r="Y54" i="12" s="1"/>
  <c r="Y9" i="11"/>
  <c r="Y53" i="11" s="1"/>
  <c r="Y9" i="10"/>
  <c r="Y53" i="10" s="1"/>
  <c r="W47" i="23"/>
  <c r="Z10" i="50"/>
  <c r="Z54" i="50" s="1"/>
  <c r="Z10" i="47"/>
  <c r="Z55" i="47" s="1"/>
  <c r="Z10" i="45"/>
  <c r="Z55" i="45" s="1"/>
  <c r="Z10" i="43"/>
  <c r="Z54" i="43" s="1"/>
  <c r="Z10" i="38"/>
  <c r="Z54" i="38" s="1"/>
  <c r="Z10" i="15"/>
  <c r="Z54" i="15" s="1"/>
  <c r="Z10" i="13"/>
  <c r="Z54" i="13" s="1"/>
  <c r="Z10" i="23"/>
  <c r="Z55" i="23" s="1"/>
  <c r="Z10" i="12"/>
  <c r="Z55" i="12" s="1"/>
  <c r="Z10" i="11"/>
  <c r="Z54" i="11" s="1"/>
  <c r="Z10" i="10"/>
  <c r="Z54" i="10" s="1"/>
  <c r="O8" i="50"/>
  <c r="O52" i="50" s="1"/>
  <c r="O8" i="47"/>
  <c r="O53" i="47" s="1"/>
  <c r="O8" i="45"/>
  <c r="O53" i="45" s="1"/>
  <c r="O8" i="43"/>
  <c r="O52" i="43" s="1"/>
  <c r="O8" i="38"/>
  <c r="O52" i="38" s="1"/>
  <c r="O8" i="15"/>
  <c r="O52" i="15" s="1"/>
  <c r="O8" i="23"/>
  <c r="O53" i="23" s="1"/>
  <c r="O8" i="13"/>
  <c r="O52" i="13" s="1"/>
  <c r="O8" i="10"/>
  <c r="O8" i="12"/>
  <c r="O53" i="12" s="1"/>
  <c r="O8" i="11"/>
  <c r="O52" i="11" s="1"/>
  <c r="O7" i="50"/>
  <c r="O48" i="50" s="1"/>
  <c r="O7" i="47"/>
  <c r="O49" i="47" s="1"/>
  <c r="O7" i="43"/>
  <c r="O48" i="43" s="1"/>
  <c r="O7" i="45"/>
  <c r="O49" i="45" s="1"/>
  <c r="O7" i="38"/>
  <c r="O48" i="38" s="1"/>
  <c r="O7" i="15"/>
  <c r="O48" i="15" s="1"/>
  <c r="O7" i="23"/>
  <c r="O7" i="13"/>
  <c r="O48" i="13" s="1"/>
  <c r="O7" i="12"/>
  <c r="O49" i="12" s="1"/>
  <c r="O7" i="11"/>
  <c r="O48" i="11" s="1"/>
  <c r="O7" i="10"/>
  <c r="O48" i="10" s="1"/>
  <c r="J10" i="50"/>
  <c r="J54" i="50" s="1"/>
  <c r="J10" i="47"/>
  <c r="J55" i="47" s="1"/>
  <c r="J10" i="45"/>
  <c r="J55" i="45" s="1"/>
  <c r="J10" i="43"/>
  <c r="J54" i="43" s="1"/>
  <c r="J10" i="38"/>
  <c r="J54" i="38" s="1"/>
  <c r="J10" i="15"/>
  <c r="J54" i="15" s="1"/>
  <c r="J10" i="23"/>
  <c r="J55" i="23" s="1"/>
  <c r="J10" i="13"/>
  <c r="J54" i="13" s="1"/>
  <c r="J10" i="12"/>
  <c r="J55" i="12" s="1"/>
  <c r="J10" i="11"/>
  <c r="J54" i="11" s="1"/>
  <c r="J10" i="10"/>
  <c r="J54" i="10" s="1"/>
  <c r="Q6" i="50"/>
  <c r="Q47" i="50" s="1"/>
  <c r="Q6" i="45"/>
  <c r="Q6" i="47"/>
  <c r="Q48" i="47" s="1"/>
  <c r="Q6" i="43"/>
  <c r="Q47" i="43" s="1"/>
  <c r="Q6" i="38"/>
  <c r="Q47" i="38" s="1"/>
  <c r="Q6" i="23"/>
  <c r="Q6" i="15"/>
  <c r="Q47" i="15" s="1"/>
  <c r="Q6" i="13"/>
  <c r="Q47" i="13" s="1"/>
  <c r="Q6" i="12"/>
  <c r="Q48" i="12" s="1"/>
  <c r="Q6" i="10"/>
  <c r="Q47" i="10" s="1"/>
  <c r="Q6" i="11"/>
  <c r="Q47" i="11" s="1"/>
  <c r="Y6" i="50"/>
  <c r="Y47" i="50" s="1"/>
  <c r="Y6" i="45"/>
  <c r="Y6" i="43"/>
  <c r="Y47" i="43" s="1"/>
  <c r="Y6" i="47"/>
  <c r="Y48" i="47" s="1"/>
  <c r="Y6" i="38"/>
  <c r="Y47" i="38" s="1"/>
  <c r="Y6" i="23"/>
  <c r="Y6" i="15"/>
  <c r="Y47" i="15" s="1"/>
  <c r="Y6" i="13"/>
  <c r="Y47" i="13" s="1"/>
  <c r="Y6" i="11"/>
  <c r="Y47" i="11" s="1"/>
  <c r="Y6" i="10"/>
  <c r="Y47" i="10" s="1"/>
  <c r="Y6" i="12"/>
  <c r="Y48" i="12" s="1"/>
  <c r="P9" i="38"/>
  <c r="P53" i="38" s="1"/>
  <c r="Y8" i="50"/>
  <c r="Y52" i="50" s="1"/>
  <c r="Y8" i="45"/>
  <c r="Y53" i="45" s="1"/>
  <c r="Y8" i="47"/>
  <c r="Y53" i="47" s="1"/>
  <c r="Y8" i="43"/>
  <c r="Y52" i="43" s="1"/>
  <c r="Y8" i="38"/>
  <c r="Y52" i="38" s="1"/>
  <c r="Y8" i="23"/>
  <c r="Y53" i="23" s="1"/>
  <c r="Y8" i="13"/>
  <c r="Y52" i="13" s="1"/>
  <c r="Y8" i="15"/>
  <c r="Y52" i="15" s="1"/>
  <c r="Y8" i="11"/>
  <c r="Y8" i="10"/>
  <c r="Y8" i="12"/>
  <c r="Y53" i="12" s="1"/>
  <c r="W49" i="23"/>
  <c r="J11" i="50"/>
  <c r="J55" i="50" s="1"/>
  <c r="J11" i="47"/>
  <c r="J56" i="47" s="1"/>
  <c r="J11" i="45"/>
  <c r="J56" i="45" s="1"/>
  <c r="J11" i="43"/>
  <c r="J55" i="43" s="1"/>
  <c r="J11" i="38"/>
  <c r="J55" i="38" s="1"/>
  <c r="J11" i="23"/>
  <c r="J56" i="23" s="1"/>
  <c r="J11" i="15"/>
  <c r="J55" i="15" s="1"/>
  <c r="J11" i="13"/>
  <c r="J55" i="13" s="1"/>
  <c r="J11" i="11"/>
  <c r="J55" i="11" s="1"/>
  <c r="J11" i="12"/>
  <c r="J56" i="12" s="1"/>
  <c r="J11" i="10"/>
  <c r="J55" i="10" s="1"/>
  <c r="Y11" i="50"/>
  <c r="Y55" i="50" s="1"/>
  <c r="Y11" i="47"/>
  <c r="Y56" i="47" s="1"/>
  <c r="Y11" i="45"/>
  <c r="Y56" i="45" s="1"/>
  <c r="Y11" i="43"/>
  <c r="Y55" i="43" s="1"/>
  <c r="Y11" i="38"/>
  <c r="Y55" i="38" s="1"/>
  <c r="Y11" i="13"/>
  <c r="Y55" i="13" s="1"/>
  <c r="Y11" i="23"/>
  <c r="Y56" i="23" s="1"/>
  <c r="Y11" i="15"/>
  <c r="Y55" i="15" s="1"/>
  <c r="Y11" i="12"/>
  <c r="Y56" i="12" s="1"/>
  <c r="Y11" i="11"/>
  <c r="Y55" i="11" s="1"/>
  <c r="Y11" i="10"/>
  <c r="Y55" i="10" s="1"/>
  <c r="Y4" i="50"/>
  <c r="Y45" i="50" s="1"/>
  <c r="Y4" i="47"/>
  <c r="Y46" i="47" s="1"/>
  <c r="Y4" i="45"/>
  <c r="Y4" i="43"/>
  <c r="Y45" i="43" s="1"/>
  <c r="Y4" i="38"/>
  <c r="Y45" i="38" s="1"/>
  <c r="Y4" i="15"/>
  <c r="Y45" i="15" s="1"/>
  <c r="Y4" i="23"/>
  <c r="Y4" i="13"/>
  <c r="Y45" i="13" s="1"/>
  <c r="Y4" i="12"/>
  <c r="Y46" i="12" s="1"/>
  <c r="Y4" i="10"/>
  <c r="Y45" i="10" s="1"/>
  <c r="Y4" i="11"/>
  <c r="Y45" i="11" s="1"/>
  <c r="W46" i="23"/>
  <c r="P3" i="50"/>
  <c r="P44" i="50" s="1"/>
  <c r="P3" i="47"/>
  <c r="P45" i="47" s="1"/>
  <c r="P3" i="45"/>
  <c r="P3" i="43"/>
  <c r="P44" i="43" s="1"/>
  <c r="P3" i="38"/>
  <c r="P44" i="38" s="1"/>
  <c r="P3" i="23"/>
  <c r="P3" i="15"/>
  <c r="P44" i="15" s="1"/>
  <c r="P3" i="13"/>
  <c r="P44" i="13" s="1"/>
  <c r="P3" i="11"/>
  <c r="P44" i="11" s="1"/>
  <c r="P3" i="10"/>
  <c r="P3" i="12"/>
  <c r="P45" i="12" s="1"/>
  <c r="O4" i="50"/>
  <c r="O45" i="50" s="1"/>
  <c r="O4" i="47"/>
  <c r="O46" i="47" s="1"/>
  <c r="O4" i="45"/>
  <c r="O46" i="45" s="1"/>
  <c r="O4" i="43"/>
  <c r="O45" i="43" s="1"/>
  <c r="O4" i="38"/>
  <c r="O45" i="38" s="1"/>
  <c r="O4" i="23"/>
  <c r="O4" i="15"/>
  <c r="O45" i="15" s="1"/>
  <c r="O4" i="13"/>
  <c r="O45" i="13" s="1"/>
  <c r="O4" i="10"/>
  <c r="O45" i="10" s="1"/>
  <c r="O4" i="11"/>
  <c r="O45" i="11" s="1"/>
  <c r="O4" i="12"/>
  <c r="O46" i="12" s="1"/>
  <c r="P10" i="50"/>
  <c r="P54" i="50" s="1"/>
  <c r="P10" i="47"/>
  <c r="P55" i="47" s="1"/>
  <c r="P10" i="43"/>
  <c r="P54" i="43" s="1"/>
  <c r="P10" i="45"/>
  <c r="P55" i="45" s="1"/>
  <c r="P10" i="38"/>
  <c r="P54" i="38" s="1"/>
  <c r="P10" i="15"/>
  <c r="P54" i="15" s="1"/>
  <c r="P10" i="13"/>
  <c r="P54" i="13" s="1"/>
  <c r="P10" i="12"/>
  <c r="P55" i="12" s="1"/>
  <c r="P10" i="11"/>
  <c r="P54" i="11" s="1"/>
  <c r="P10" i="10"/>
  <c r="P54" i="10" s="1"/>
  <c r="P10" i="23"/>
  <c r="P55" i="23" s="1"/>
  <c r="O12" i="50"/>
  <c r="O56" i="50" s="1"/>
  <c r="O12" i="47"/>
  <c r="O57" i="47" s="1"/>
  <c r="O12" i="45"/>
  <c r="O57" i="45" s="1"/>
  <c r="O12" i="43"/>
  <c r="O56" i="43" s="1"/>
  <c r="O12" i="38"/>
  <c r="O56" i="38" s="1"/>
  <c r="O12" i="23"/>
  <c r="O57" i="23" s="1"/>
  <c r="O12" i="12"/>
  <c r="O57" i="12" s="1"/>
  <c r="O12" i="13"/>
  <c r="O56" i="13" s="1"/>
  <c r="O12" i="11"/>
  <c r="O56" i="11" s="1"/>
  <c r="O12" i="15"/>
  <c r="O56" i="15" s="1"/>
  <c r="O12" i="10"/>
  <c r="O56" i="10" s="1"/>
  <c r="Y3" i="50"/>
  <c r="Y44" i="50" s="1"/>
  <c r="Y3" i="47"/>
  <c r="Y45" i="47" s="1"/>
  <c r="Y3" i="45"/>
  <c r="Y3" i="43"/>
  <c r="Y44" i="43" s="1"/>
  <c r="Y3" i="38"/>
  <c r="Y44" i="38" s="1"/>
  <c r="Y3" i="23"/>
  <c r="Y3" i="15"/>
  <c r="Y44" i="15" s="1"/>
  <c r="Y3" i="12"/>
  <c r="Y45" i="12" s="1"/>
  <c r="Y3" i="11"/>
  <c r="Y44" i="11" s="1"/>
  <c r="Y3" i="13"/>
  <c r="Y44" i="13" s="1"/>
  <c r="Y3" i="10"/>
  <c r="Y12" i="50"/>
  <c r="Y56" i="50" s="1"/>
  <c r="Y12" i="47"/>
  <c r="Y57" i="47" s="1"/>
  <c r="Y12" i="45"/>
  <c r="Y57" i="45" s="1"/>
  <c r="Y12" i="43"/>
  <c r="Y56" i="43" s="1"/>
  <c r="Y12" i="38"/>
  <c r="Y56" i="38" s="1"/>
  <c r="Y12" i="23"/>
  <c r="Y57" i="23" s="1"/>
  <c r="Y12" i="15"/>
  <c r="Y56" i="15" s="1"/>
  <c r="Y12" i="11"/>
  <c r="Y56" i="11" s="1"/>
  <c r="Y12" i="12"/>
  <c r="Y57" i="12" s="1"/>
  <c r="Y12" i="10"/>
  <c r="Y56" i="10" s="1"/>
  <c r="Y12" i="13"/>
  <c r="Y56" i="13" s="1"/>
  <c r="J5" i="50"/>
  <c r="J46" i="50" s="1"/>
  <c r="J5" i="47"/>
  <c r="J47" i="47" s="1"/>
  <c r="J5" i="45"/>
  <c r="J47" i="45" s="1"/>
  <c r="J5" i="43"/>
  <c r="J46" i="43" s="1"/>
  <c r="J5" i="38"/>
  <c r="J46" i="38" s="1"/>
  <c r="J5" i="23"/>
  <c r="J47" i="23" s="1"/>
  <c r="J5" i="15"/>
  <c r="J46" i="15" s="1"/>
  <c r="J5" i="13"/>
  <c r="J46" i="13" s="1"/>
  <c r="J5" i="12"/>
  <c r="J47" i="12" s="1"/>
  <c r="J5" i="11"/>
  <c r="J46" i="11" s="1"/>
  <c r="J5" i="10"/>
  <c r="J46" i="10" s="1"/>
  <c r="J30" i="59" l="1"/>
  <c r="F84" i="23"/>
  <c r="F85" i="23" s="1"/>
  <c r="F84" i="45"/>
  <c r="F83" i="38"/>
  <c r="F84" i="38" s="1"/>
  <c r="J10" i="7"/>
  <c r="F14" i="7"/>
  <c r="B45" i="58"/>
  <c r="O23" i="18" s="1"/>
  <c r="AP177" i="18" s="1"/>
  <c r="F84" i="47"/>
  <c r="Q58" i="18"/>
  <c r="O58" i="18"/>
  <c r="F83" i="15"/>
  <c r="B46" i="58"/>
  <c r="O24" i="18" s="1"/>
  <c r="AP178" i="18" s="1"/>
  <c r="F83" i="43"/>
  <c r="G84" i="23"/>
  <c r="G85" i="23" s="1"/>
  <c r="O31" i="18"/>
  <c r="AP185" i="18" s="1"/>
  <c r="O26" i="18"/>
  <c r="AP180" i="18" s="1"/>
  <c r="O32" i="18"/>
  <c r="AP186" i="18" s="1"/>
  <c r="I63" i="50"/>
  <c r="I78" i="50" s="1"/>
  <c r="F84" i="12"/>
  <c r="H79" i="43"/>
  <c r="I64" i="12"/>
  <c r="G83" i="15"/>
  <c r="G84" i="15" s="1"/>
  <c r="I64" i="23"/>
  <c r="I79" i="23" s="1"/>
  <c r="I63" i="13"/>
  <c r="I78" i="13" s="1"/>
  <c r="I63" i="11"/>
  <c r="I78" i="11" s="1"/>
  <c r="I63" i="10"/>
  <c r="I78" i="10" s="1"/>
  <c r="G83" i="11"/>
  <c r="G84" i="11" s="1"/>
  <c r="H79" i="15"/>
  <c r="I64" i="45"/>
  <c r="I79" i="45" s="1"/>
  <c r="I63" i="43"/>
  <c r="I78" i="43" s="1"/>
  <c r="G83" i="10"/>
  <c r="G84" i="10" s="1"/>
  <c r="F83" i="11"/>
  <c r="H80" i="12"/>
  <c r="H80" i="23"/>
  <c r="G83" i="13"/>
  <c r="G84" i="13" s="1"/>
  <c r="I62" i="58"/>
  <c r="I76" i="58"/>
  <c r="J79" i="58"/>
  <c r="J75" i="58"/>
  <c r="J76" i="58" s="1"/>
  <c r="H79" i="50"/>
  <c r="G83" i="50"/>
  <c r="G84" i="50" s="1"/>
  <c r="H80" i="47"/>
  <c r="G84" i="47"/>
  <c r="G85" i="47" s="1"/>
  <c r="H80" i="45"/>
  <c r="G84" i="45"/>
  <c r="G85" i="45" s="1"/>
  <c r="G83" i="43"/>
  <c r="G84" i="43" s="1"/>
  <c r="G83" i="38"/>
  <c r="G84" i="38" s="1"/>
  <c r="H79" i="38"/>
  <c r="H79" i="13"/>
  <c r="H79" i="11"/>
  <c r="F83" i="10"/>
  <c r="F84" i="10" s="1"/>
  <c r="H79" i="10"/>
  <c r="I64" i="58"/>
  <c r="I63" i="15"/>
  <c r="I78" i="15" s="1"/>
  <c r="I64" i="47"/>
  <c r="I79" i="47" s="1"/>
  <c r="P9" i="11"/>
  <c r="P53" i="11" s="1"/>
  <c r="P11" i="12"/>
  <c r="P56" i="12" s="1"/>
  <c r="P11" i="45"/>
  <c r="P56" i="45" s="1"/>
  <c r="P11" i="15"/>
  <c r="P55" i="15" s="1"/>
  <c r="P11" i="43"/>
  <c r="P55" i="43" s="1"/>
  <c r="P11" i="13"/>
  <c r="P55" i="13" s="1"/>
  <c r="P11" i="50"/>
  <c r="P55" i="50" s="1"/>
  <c r="P11" i="23"/>
  <c r="P56" i="23" s="1"/>
  <c r="P11" i="10"/>
  <c r="P55" i="10" s="1"/>
  <c r="P11" i="47"/>
  <c r="P56" i="47" s="1"/>
  <c r="P11" i="11"/>
  <c r="P55" i="11" s="1"/>
  <c r="P11" i="38"/>
  <c r="P55" i="38" s="1"/>
  <c r="P9" i="10"/>
  <c r="P53" i="10" s="1"/>
  <c r="P9" i="12"/>
  <c r="P54" i="12" s="1"/>
  <c r="P9" i="43"/>
  <c r="P53" i="43" s="1"/>
  <c r="P9" i="23"/>
  <c r="P54" i="23" s="1"/>
  <c r="P9" i="45"/>
  <c r="P54" i="45" s="1"/>
  <c r="P9" i="13"/>
  <c r="P53" i="13" s="1"/>
  <c r="P9" i="50"/>
  <c r="P53" i="50" s="1"/>
  <c r="P9" i="15"/>
  <c r="P53" i="15" s="1"/>
  <c r="P9" i="47"/>
  <c r="P54" i="47" s="1"/>
  <c r="H71" i="10"/>
  <c r="I75" i="47"/>
  <c r="I74" i="50"/>
  <c r="I74" i="43"/>
  <c r="I74" i="38"/>
  <c r="I75" i="23"/>
  <c r="I74" i="15"/>
  <c r="I74" i="13"/>
  <c r="I75" i="12"/>
  <c r="I79" i="12"/>
  <c r="H71" i="11"/>
  <c r="I74" i="11"/>
  <c r="I74" i="10"/>
  <c r="I73" i="10"/>
  <c r="J62" i="11"/>
  <c r="J62" i="43"/>
  <c r="J63" i="45"/>
  <c r="J63" i="47"/>
  <c r="J63" i="23"/>
  <c r="J62" i="15"/>
  <c r="J62" i="13"/>
  <c r="J62" i="50"/>
  <c r="J62" i="38"/>
  <c r="J63" i="12"/>
  <c r="I75" i="45"/>
  <c r="I61" i="10"/>
  <c r="I61" i="11"/>
  <c r="I77" i="11" s="1"/>
  <c r="I62" i="45"/>
  <c r="I78" i="45" s="1"/>
  <c r="I61" i="50"/>
  <c r="I77" i="50" s="1"/>
  <c r="I61" i="38"/>
  <c r="I77" i="38" s="1"/>
  <c r="I79" i="38" s="1"/>
  <c r="I62" i="47"/>
  <c r="I78" i="47" s="1"/>
  <c r="I61" i="13"/>
  <c r="I77" i="13" s="1"/>
  <c r="I61" i="43"/>
  <c r="I77" i="43" s="1"/>
  <c r="I61" i="15"/>
  <c r="I77" i="15" s="1"/>
  <c r="I62" i="12"/>
  <c r="I62" i="23"/>
  <c r="I78" i="23" s="1"/>
  <c r="I60" i="11"/>
  <c r="I61" i="45"/>
  <c r="I60" i="50"/>
  <c r="I61" i="47"/>
  <c r="I60" i="38"/>
  <c r="I61" i="12"/>
  <c r="I78" i="12" s="1"/>
  <c r="I60" i="43"/>
  <c r="I61" i="23"/>
  <c r="I60" i="15"/>
  <c r="I60" i="13"/>
  <c r="G76" i="12"/>
  <c r="G84" i="12" s="1"/>
  <c r="G85" i="12" s="1"/>
  <c r="H73" i="15"/>
  <c r="H75" i="15" s="1"/>
  <c r="H73" i="38"/>
  <c r="H73" i="11"/>
  <c r="H75" i="11" s="1"/>
  <c r="H74" i="23"/>
  <c r="H76" i="23" s="1"/>
  <c r="J60" i="10"/>
  <c r="H74" i="47"/>
  <c r="H73" i="13"/>
  <c r="H74" i="45"/>
  <c r="H76" i="45" s="1"/>
  <c r="H73" i="10"/>
  <c r="H75" i="10" s="1"/>
  <c r="H74" i="12"/>
  <c r="H76" i="12" s="1"/>
  <c r="H73" i="50"/>
  <c r="H73" i="43"/>
  <c r="H75" i="43" s="1"/>
  <c r="Y44" i="10"/>
  <c r="P44" i="10"/>
  <c r="O52" i="10"/>
  <c r="Y52" i="10"/>
  <c r="J62" i="10"/>
  <c r="K2" i="12"/>
  <c r="K43" i="12" s="1"/>
  <c r="K44" i="12" s="1"/>
  <c r="K2" i="50"/>
  <c r="K42" i="50" s="1"/>
  <c r="K43" i="50" s="1"/>
  <c r="K2" i="23"/>
  <c r="K43" i="23" s="1"/>
  <c r="K44" i="23" s="1"/>
  <c r="K2" i="13"/>
  <c r="K42" i="13" s="1"/>
  <c r="K43" i="13" s="1"/>
  <c r="K2" i="43"/>
  <c r="K42" i="43" s="1"/>
  <c r="K43" i="43" s="1"/>
  <c r="K2" i="38"/>
  <c r="K42" i="38" s="1"/>
  <c r="K43" i="38" s="1"/>
  <c r="K2" i="45"/>
  <c r="K43" i="45" s="1"/>
  <c r="K44" i="45" s="1"/>
  <c r="L2" i="58"/>
  <c r="L43" i="58" s="1"/>
  <c r="L44" i="58" s="1"/>
  <c r="K2" i="47"/>
  <c r="K43" i="47" s="1"/>
  <c r="K44" i="47" s="1"/>
  <c r="K2" i="10"/>
  <c r="K42" i="10" s="1"/>
  <c r="K43" i="10" s="1"/>
  <c r="K2" i="11"/>
  <c r="K42" i="11" s="1"/>
  <c r="K43" i="11" s="1"/>
  <c r="K2" i="15"/>
  <c r="K42" i="15" s="1"/>
  <c r="K43" i="15" s="1"/>
  <c r="Z7" i="50"/>
  <c r="Z48" i="50" s="1"/>
  <c r="Z7" i="47"/>
  <c r="Z49" i="47" s="1"/>
  <c r="Z7" i="13"/>
  <c r="Z48" i="13" s="1"/>
  <c r="Z7" i="12"/>
  <c r="Z49" i="12" s="1"/>
  <c r="Z7" i="43"/>
  <c r="Z48" i="43" s="1"/>
  <c r="Z7" i="15"/>
  <c r="Z48" i="15" s="1"/>
  <c r="Z7" i="23"/>
  <c r="Z7" i="38"/>
  <c r="Z48" i="38" s="1"/>
  <c r="Z7" i="11"/>
  <c r="Z48" i="11" s="1"/>
  <c r="Z7" i="10"/>
  <c r="Z48" i="10" s="1"/>
  <c r="Z7" i="45"/>
  <c r="Z49" i="45" s="1"/>
  <c r="Z8" i="50"/>
  <c r="Z52" i="50" s="1"/>
  <c r="Z8" i="45"/>
  <c r="Z53" i="45" s="1"/>
  <c r="Z8" i="47"/>
  <c r="Z53" i="47" s="1"/>
  <c r="Z8" i="43"/>
  <c r="Z52" i="43" s="1"/>
  <c r="Z8" i="38"/>
  <c r="Z52" i="38" s="1"/>
  <c r="Z8" i="13"/>
  <c r="Z52" i="13" s="1"/>
  <c r="Z8" i="23"/>
  <c r="Z53" i="23" s="1"/>
  <c r="Z8" i="15"/>
  <c r="Z52" i="15" s="1"/>
  <c r="Z8" i="12"/>
  <c r="Z53" i="12" s="1"/>
  <c r="Z8" i="11"/>
  <c r="Z52" i="11" s="1"/>
  <c r="Z8" i="10"/>
  <c r="R6" i="50"/>
  <c r="R47" i="50" s="1"/>
  <c r="R6" i="47"/>
  <c r="R48" i="47" s="1"/>
  <c r="R6" i="43"/>
  <c r="R47" i="43" s="1"/>
  <c r="R6" i="45"/>
  <c r="R6" i="38"/>
  <c r="R47" i="38" s="1"/>
  <c r="R6" i="23"/>
  <c r="R6" i="15"/>
  <c r="R47" i="15" s="1"/>
  <c r="R6" i="13"/>
  <c r="R47" i="13" s="1"/>
  <c r="R6" i="12"/>
  <c r="R48" i="12" s="1"/>
  <c r="R6" i="11"/>
  <c r="R47" i="11" s="1"/>
  <c r="R6" i="10"/>
  <c r="R47" i="10" s="1"/>
  <c r="Z9" i="50"/>
  <c r="Z53" i="50" s="1"/>
  <c r="Z9" i="47"/>
  <c r="Z54" i="47" s="1"/>
  <c r="Z9" i="45"/>
  <c r="Z54" i="45" s="1"/>
  <c r="Z9" i="43"/>
  <c r="Z53" i="43" s="1"/>
  <c r="Z9" i="38"/>
  <c r="Z53" i="38" s="1"/>
  <c r="Z9" i="23"/>
  <c r="Z54" i="23" s="1"/>
  <c r="Z9" i="15"/>
  <c r="Z53" i="15" s="1"/>
  <c r="Z9" i="13"/>
  <c r="Z53" i="13" s="1"/>
  <c r="Z9" i="10"/>
  <c r="Z53" i="10" s="1"/>
  <c r="Z9" i="11"/>
  <c r="Z53" i="11" s="1"/>
  <c r="Z9" i="12"/>
  <c r="Z54" i="12" s="1"/>
  <c r="Q10" i="50"/>
  <c r="Q54" i="50" s="1"/>
  <c r="Q10" i="47"/>
  <c r="Q55" i="47" s="1"/>
  <c r="Q10" i="45"/>
  <c r="Q55" i="45" s="1"/>
  <c r="Q10" i="43"/>
  <c r="Q54" i="43" s="1"/>
  <c r="Q10" i="38"/>
  <c r="Q54" i="38" s="1"/>
  <c r="Q10" i="15"/>
  <c r="Q54" i="15" s="1"/>
  <c r="Q10" i="23"/>
  <c r="Q55" i="23" s="1"/>
  <c r="Q10" i="10"/>
  <c r="Q54" i="10" s="1"/>
  <c r="Q10" i="12"/>
  <c r="Q55" i="12" s="1"/>
  <c r="Q10" i="11"/>
  <c r="Q54" i="11" s="1"/>
  <c r="Q10" i="13"/>
  <c r="Q54" i="13" s="1"/>
  <c r="Q3" i="50"/>
  <c r="Q44" i="50" s="1"/>
  <c r="Q3" i="45"/>
  <c r="Q3" i="47"/>
  <c r="Q45" i="47" s="1"/>
  <c r="Q3" i="43"/>
  <c r="Q44" i="43" s="1"/>
  <c r="Q3" i="38"/>
  <c r="Q44" i="38" s="1"/>
  <c r="Q3" i="23"/>
  <c r="Q3" i="15"/>
  <c r="Q44" i="15" s="1"/>
  <c r="Q3" i="12"/>
  <c r="Q45" i="12" s="1"/>
  <c r="Q3" i="11"/>
  <c r="Q44" i="11" s="1"/>
  <c r="Q3" i="13"/>
  <c r="Q44" i="13" s="1"/>
  <c r="Q3" i="10"/>
  <c r="Z12" i="50"/>
  <c r="Z56" i="50" s="1"/>
  <c r="Z12" i="47"/>
  <c r="Z57" i="47" s="1"/>
  <c r="Z12" i="45"/>
  <c r="Z57" i="45" s="1"/>
  <c r="Z12" i="43"/>
  <c r="Z56" i="43" s="1"/>
  <c r="Z12" i="38"/>
  <c r="Z56" i="38" s="1"/>
  <c r="Z12" i="23"/>
  <c r="Z12" i="15"/>
  <c r="Z56" i="15" s="1"/>
  <c r="Z12" i="13"/>
  <c r="Z56" i="13" s="1"/>
  <c r="Z12" i="12"/>
  <c r="Z57" i="12" s="1"/>
  <c r="Z12" i="11"/>
  <c r="Z56" i="11" s="1"/>
  <c r="Z12" i="10"/>
  <c r="Z56" i="10" s="1"/>
  <c r="Z3" i="50"/>
  <c r="Z44" i="50" s="1"/>
  <c r="Z3" i="47"/>
  <c r="Z45" i="47" s="1"/>
  <c r="Z3" i="45"/>
  <c r="Z45" i="45" s="1"/>
  <c r="Z3" i="43"/>
  <c r="Z44" i="43" s="1"/>
  <c r="Z3" i="38"/>
  <c r="Z44" i="38" s="1"/>
  <c r="Z3" i="23"/>
  <c r="Z3" i="15"/>
  <c r="Z44" i="15" s="1"/>
  <c r="Z3" i="13"/>
  <c r="Z44" i="13" s="1"/>
  <c r="Z3" i="10"/>
  <c r="Z3" i="11"/>
  <c r="Z44" i="11" s="1"/>
  <c r="Z3" i="12"/>
  <c r="Z45" i="12" s="1"/>
  <c r="Z6" i="50"/>
  <c r="Z47" i="50" s="1"/>
  <c r="Z6" i="47"/>
  <c r="Z48" i="47" s="1"/>
  <c r="Z6" i="43"/>
  <c r="Z47" i="43" s="1"/>
  <c r="Z6" i="45"/>
  <c r="Z48" i="45" s="1"/>
  <c r="Z6" i="38"/>
  <c r="Z47" i="38" s="1"/>
  <c r="Z6" i="23"/>
  <c r="Z6" i="15"/>
  <c r="Z47" i="15" s="1"/>
  <c r="Z6" i="13"/>
  <c r="Z47" i="13" s="1"/>
  <c r="Z6" i="12"/>
  <c r="Z48" i="12" s="1"/>
  <c r="Z6" i="11"/>
  <c r="Z47" i="11" s="1"/>
  <c r="Z6" i="10"/>
  <c r="Z47" i="10" s="1"/>
  <c r="Q11" i="45"/>
  <c r="Q56" i="45" s="1"/>
  <c r="Q11" i="15"/>
  <c r="Q55" i="15" s="1"/>
  <c r="Q11" i="10"/>
  <c r="Q55" i="10" s="1"/>
  <c r="P4" i="50"/>
  <c r="P45" i="50" s="1"/>
  <c r="P4" i="47"/>
  <c r="P46" i="47" s="1"/>
  <c r="P4" i="43"/>
  <c r="P45" i="43" s="1"/>
  <c r="P4" i="45"/>
  <c r="P4" i="38"/>
  <c r="P45" i="38" s="1"/>
  <c r="P4" i="15"/>
  <c r="P45" i="15" s="1"/>
  <c r="P4" i="13"/>
  <c r="P45" i="13" s="1"/>
  <c r="P4" i="23"/>
  <c r="P4" i="12"/>
  <c r="P46" i="12" s="1"/>
  <c r="P4" i="11"/>
  <c r="P45" i="11" s="1"/>
  <c r="P4" i="10"/>
  <c r="P45" i="10" s="1"/>
  <c r="Q9" i="50"/>
  <c r="Q53" i="50" s="1"/>
  <c r="Q9" i="47"/>
  <c r="Q54" i="47" s="1"/>
  <c r="Q9" i="23"/>
  <c r="Q54" i="23" s="1"/>
  <c r="Q9" i="10"/>
  <c r="Q53" i="10" s="1"/>
  <c r="Z11" i="50"/>
  <c r="Z55" i="50" s="1"/>
  <c r="Z11" i="47"/>
  <c r="Z56" i="47" s="1"/>
  <c r="Z11" i="45"/>
  <c r="Z56" i="45" s="1"/>
  <c r="Z11" i="43"/>
  <c r="Z55" i="43" s="1"/>
  <c r="Z11" i="38"/>
  <c r="Z55" i="38" s="1"/>
  <c r="Z11" i="23"/>
  <c r="Z56" i="23" s="1"/>
  <c r="Z11" i="12"/>
  <c r="Z56" i="12" s="1"/>
  <c r="Z11" i="15"/>
  <c r="Z55" i="15" s="1"/>
  <c r="Z11" i="13"/>
  <c r="Z55" i="13" s="1"/>
  <c r="Z11" i="11"/>
  <c r="Z55" i="11" s="1"/>
  <c r="Z11" i="10"/>
  <c r="Z55" i="10" s="1"/>
  <c r="P7" i="50"/>
  <c r="P48" i="50" s="1"/>
  <c r="P7" i="47"/>
  <c r="P49" i="47" s="1"/>
  <c r="P7" i="45"/>
  <c r="P7" i="43"/>
  <c r="P48" i="43" s="1"/>
  <c r="P7" i="38"/>
  <c r="P48" i="38" s="1"/>
  <c r="P7" i="15"/>
  <c r="P48" i="15" s="1"/>
  <c r="P7" i="23"/>
  <c r="P7" i="10"/>
  <c r="P48" i="10" s="1"/>
  <c r="P7" i="13"/>
  <c r="P48" i="13" s="1"/>
  <c r="P7" i="12"/>
  <c r="P49" i="12" s="1"/>
  <c r="P7" i="11"/>
  <c r="P48" i="11" s="1"/>
  <c r="Q5" i="50"/>
  <c r="Q46" i="50" s="1"/>
  <c r="Q5" i="47"/>
  <c r="Q47" i="47" s="1"/>
  <c r="Q5" i="45"/>
  <c r="Q5" i="43"/>
  <c r="Q46" i="43" s="1"/>
  <c r="Q5" i="38"/>
  <c r="Q46" i="38" s="1"/>
  <c r="Q5" i="23"/>
  <c r="Q5" i="15"/>
  <c r="Q46" i="15" s="1"/>
  <c r="Q5" i="13"/>
  <c r="Q46" i="13" s="1"/>
  <c r="Q5" i="12"/>
  <c r="Q47" i="12" s="1"/>
  <c r="Q5" i="11"/>
  <c r="Q46" i="11" s="1"/>
  <c r="Q5" i="10"/>
  <c r="Q46" i="10" s="1"/>
  <c r="P12" i="50"/>
  <c r="P56" i="50" s="1"/>
  <c r="P12" i="47"/>
  <c r="P57" i="47" s="1"/>
  <c r="P12" i="45"/>
  <c r="P57" i="45" s="1"/>
  <c r="P12" i="43"/>
  <c r="P56" i="43" s="1"/>
  <c r="P12" i="38"/>
  <c r="P56" i="38" s="1"/>
  <c r="P12" i="23"/>
  <c r="P57" i="23" s="1"/>
  <c r="P12" i="13"/>
  <c r="P56" i="13" s="1"/>
  <c r="P12" i="15"/>
  <c r="P56" i="15" s="1"/>
  <c r="P12" i="12"/>
  <c r="P57" i="12" s="1"/>
  <c r="P12" i="11"/>
  <c r="P56" i="11" s="1"/>
  <c r="P12" i="10"/>
  <c r="P56" i="10" s="1"/>
  <c r="Z4" i="50"/>
  <c r="Z45" i="50" s="1"/>
  <c r="Z4" i="47"/>
  <c r="Z46" i="47" s="1"/>
  <c r="Z4" i="45"/>
  <c r="Z46" i="45" s="1"/>
  <c r="Z4" i="43"/>
  <c r="Z45" i="43" s="1"/>
  <c r="Z4" i="38"/>
  <c r="Z45" i="38" s="1"/>
  <c r="Z4" i="15"/>
  <c r="Z45" i="15" s="1"/>
  <c r="Z4" i="13"/>
  <c r="Z45" i="13" s="1"/>
  <c r="Z4" i="23"/>
  <c r="Z4" i="12"/>
  <c r="Z46" i="12" s="1"/>
  <c r="Z4" i="11"/>
  <c r="Z45" i="11" s="1"/>
  <c r="Z4" i="10"/>
  <c r="Z45" i="10" s="1"/>
  <c r="P8" i="50"/>
  <c r="P52" i="50" s="1"/>
  <c r="P8" i="47"/>
  <c r="P53" i="47" s="1"/>
  <c r="P8" i="43"/>
  <c r="P52" i="43" s="1"/>
  <c r="P8" i="38"/>
  <c r="P52" i="38" s="1"/>
  <c r="P8" i="45"/>
  <c r="P53" i="45" s="1"/>
  <c r="P8" i="15"/>
  <c r="P52" i="15" s="1"/>
  <c r="P8" i="23"/>
  <c r="P53" i="23" s="1"/>
  <c r="P8" i="13"/>
  <c r="P52" i="13" s="1"/>
  <c r="P8" i="12"/>
  <c r="P53" i="12" s="1"/>
  <c r="P8" i="11"/>
  <c r="P52" i="11" s="1"/>
  <c r="P8" i="10"/>
  <c r="AA10" i="50"/>
  <c r="AA54" i="50" s="1"/>
  <c r="AA10" i="47"/>
  <c r="AA55" i="47" s="1"/>
  <c r="AA10" i="45"/>
  <c r="AA55" i="45" s="1"/>
  <c r="AA10" i="43"/>
  <c r="AA54" i="43" s="1"/>
  <c r="AA10" i="38"/>
  <c r="AA54" i="38" s="1"/>
  <c r="AA10" i="23"/>
  <c r="AA55" i="23" s="1"/>
  <c r="AA10" i="13"/>
  <c r="AA54" i="13" s="1"/>
  <c r="AA10" i="15"/>
  <c r="AA54" i="15" s="1"/>
  <c r="AA10" i="11"/>
  <c r="AA54" i="11" s="1"/>
  <c r="AA10" i="12"/>
  <c r="AA55" i="12" s="1"/>
  <c r="AA10" i="10"/>
  <c r="AA54" i="10" s="1"/>
  <c r="AA5" i="50"/>
  <c r="AA46" i="50" s="1"/>
  <c r="AA5" i="45"/>
  <c r="AA47" i="45" s="1"/>
  <c r="AA5" i="47"/>
  <c r="AA47" i="47" s="1"/>
  <c r="AA5" i="43"/>
  <c r="AA46" i="43" s="1"/>
  <c r="AA5" i="38"/>
  <c r="AA46" i="38" s="1"/>
  <c r="AA5" i="15"/>
  <c r="AA46" i="15" s="1"/>
  <c r="AA5" i="23"/>
  <c r="AA5" i="12"/>
  <c r="AA47" i="12" s="1"/>
  <c r="AA5" i="11"/>
  <c r="AA46" i="11" s="1"/>
  <c r="AA5" i="13"/>
  <c r="AA46" i="13" s="1"/>
  <c r="AA5" i="10"/>
  <c r="AA46" i="10" s="1"/>
  <c r="F84" i="43" l="1"/>
  <c r="O6" i="60"/>
  <c r="O7" i="60"/>
  <c r="F84" i="11"/>
  <c r="F85" i="47"/>
  <c r="F85" i="12"/>
  <c r="F85" i="45"/>
  <c r="F84" i="15"/>
  <c r="H83" i="43"/>
  <c r="H84" i="43" s="1"/>
  <c r="H84" i="45"/>
  <c r="H85" i="45" s="1"/>
  <c r="I79" i="50"/>
  <c r="I80" i="23"/>
  <c r="I79" i="11"/>
  <c r="H84" i="23"/>
  <c r="H85" i="23" s="1"/>
  <c r="I79" i="13"/>
  <c r="J63" i="10"/>
  <c r="J78" i="10" s="1"/>
  <c r="H83" i="15"/>
  <c r="H84" i="15" s="1"/>
  <c r="J64" i="12"/>
  <c r="J64" i="23"/>
  <c r="J79" i="23" s="1"/>
  <c r="J64" i="45"/>
  <c r="J79" i="45" s="1"/>
  <c r="J63" i="43"/>
  <c r="J78" i="43" s="1"/>
  <c r="K63" i="43"/>
  <c r="K78" i="43" s="1"/>
  <c r="J63" i="13"/>
  <c r="J78" i="13" s="1"/>
  <c r="J63" i="11"/>
  <c r="J78" i="11" s="1"/>
  <c r="J63" i="38"/>
  <c r="J78" i="38" s="1"/>
  <c r="J64" i="47"/>
  <c r="J79" i="47" s="1"/>
  <c r="J64" i="58"/>
  <c r="I80" i="45"/>
  <c r="J63" i="50"/>
  <c r="J78" i="50" s="1"/>
  <c r="J63" i="15"/>
  <c r="J78" i="15" s="1"/>
  <c r="I79" i="43"/>
  <c r="J80" i="58"/>
  <c r="K63" i="58"/>
  <c r="I80" i="47"/>
  <c r="I84" i="58"/>
  <c r="I79" i="15"/>
  <c r="I80" i="12"/>
  <c r="I77" i="10"/>
  <c r="I79" i="10" s="1"/>
  <c r="J62" i="58"/>
  <c r="I71" i="11"/>
  <c r="I75" i="10"/>
  <c r="Q11" i="13"/>
  <c r="Q55" i="13" s="1"/>
  <c r="Q11" i="47"/>
  <c r="Q56" i="47" s="1"/>
  <c r="Q11" i="23"/>
  <c r="Q56" i="23" s="1"/>
  <c r="Q11" i="50"/>
  <c r="Q55" i="50" s="1"/>
  <c r="Q11" i="38"/>
  <c r="Q55" i="38" s="1"/>
  <c r="Q11" i="11"/>
  <c r="Q55" i="11" s="1"/>
  <c r="Q11" i="43"/>
  <c r="Q55" i="43" s="1"/>
  <c r="Q11" i="12"/>
  <c r="Q56" i="12" s="1"/>
  <c r="Q9" i="11"/>
  <c r="Q53" i="11" s="1"/>
  <c r="Q9" i="13"/>
  <c r="Q53" i="13" s="1"/>
  <c r="Q9" i="12"/>
  <c r="Q54" i="12" s="1"/>
  <c r="Q9" i="43"/>
  <c r="Q53" i="43" s="1"/>
  <c r="Q9" i="15"/>
  <c r="Q53" i="15" s="1"/>
  <c r="Q9" i="45"/>
  <c r="Q54" i="45" s="1"/>
  <c r="Q9" i="38"/>
  <c r="Q53" i="38" s="1"/>
  <c r="J74" i="50"/>
  <c r="J75" i="47"/>
  <c r="J75" i="45"/>
  <c r="J74" i="43"/>
  <c r="J74" i="38"/>
  <c r="J75" i="23"/>
  <c r="J74" i="15"/>
  <c r="J74" i="13"/>
  <c r="J75" i="12"/>
  <c r="J79" i="12"/>
  <c r="J74" i="11"/>
  <c r="I71" i="10"/>
  <c r="J74" i="10"/>
  <c r="I67" i="10"/>
  <c r="J73" i="10"/>
  <c r="J61" i="10"/>
  <c r="J77" i="10" s="1"/>
  <c r="J61" i="11"/>
  <c r="J77" i="11" s="1"/>
  <c r="J61" i="50"/>
  <c r="J77" i="50" s="1"/>
  <c r="J62" i="47"/>
  <c r="J78" i="47" s="1"/>
  <c r="J61" i="43"/>
  <c r="J77" i="43" s="1"/>
  <c r="J61" i="15"/>
  <c r="J77" i="15" s="1"/>
  <c r="J61" i="38"/>
  <c r="J77" i="38" s="1"/>
  <c r="J62" i="45"/>
  <c r="J78" i="45" s="1"/>
  <c r="J62" i="12"/>
  <c r="J62" i="23"/>
  <c r="J78" i="23" s="1"/>
  <c r="J61" i="13"/>
  <c r="J77" i="13" s="1"/>
  <c r="K62" i="11"/>
  <c r="K63" i="45"/>
  <c r="K62" i="50"/>
  <c r="K62" i="38"/>
  <c r="K62" i="13"/>
  <c r="K63" i="47"/>
  <c r="K62" i="15"/>
  <c r="K63" i="12"/>
  <c r="K79" i="12" s="1"/>
  <c r="K62" i="43"/>
  <c r="K63" i="23"/>
  <c r="J60" i="11"/>
  <c r="J60" i="50"/>
  <c r="J61" i="47"/>
  <c r="J60" i="38"/>
  <c r="J60" i="43"/>
  <c r="J61" i="23"/>
  <c r="J60" i="15"/>
  <c r="J61" i="45"/>
  <c r="J60" i="13"/>
  <c r="J61" i="12"/>
  <c r="J78" i="12" s="1"/>
  <c r="H75" i="50"/>
  <c r="H76" i="47"/>
  <c r="H67" i="11"/>
  <c r="H83" i="11" s="1"/>
  <c r="H84" i="11" s="1"/>
  <c r="I73" i="13"/>
  <c r="I75" i="13" s="1"/>
  <c r="I74" i="47"/>
  <c r="I76" i="47" s="1"/>
  <c r="I73" i="11"/>
  <c r="I75" i="11" s="1"/>
  <c r="I67" i="11"/>
  <c r="H68" i="12"/>
  <c r="H84" i="12" s="1"/>
  <c r="H85" i="12" s="1"/>
  <c r="I73" i="15"/>
  <c r="I74" i="12"/>
  <c r="I76" i="12" s="1"/>
  <c r="I68" i="12"/>
  <c r="I73" i="50"/>
  <c r="I75" i="50" s="1"/>
  <c r="I83" i="50" s="1"/>
  <c r="I84" i="50" s="1"/>
  <c r="H75" i="13"/>
  <c r="I74" i="23"/>
  <c r="I73" i="38"/>
  <c r="I75" i="38" s="1"/>
  <c r="I83" i="38" s="1"/>
  <c r="I84" i="38" s="1"/>
  <c r="H67" i="10"/>
  <c r="H75" i="38"/>
  <c r="I73" i="43"/>
  <c r="I74" i="45"/>
  <c r="I76" i="45" s="1"/>
  <c r="Z44" i="10"/>
  <c r="Z52" i="10"/>
  <c r="P52" i="10"/>
  <c r="K62" i="10"/>
  <c r="L63" i="58"/>
  <c r="Q44" i="10"/>
  <c r="L2" i="38"/>
  <c r="L42" i="38" s="1"/>
  <c r="L43" i="38" s="1"/>
  <c r="L2" i="13"/>
  <c r="L42" i="13" s="1"/>
  <c r="L43" i="13" s="1"/>
  <c r="L2" i="45"/>
  <c r="L43" i="45" s="1"/>
  <c r="L44" i="45" s="1"/>
  <c r="L2" i="10"/>
  <c r="L42" i="10" s="1"/>
  <c r="L43" i="10" s="1"/>
  <c r="L2" i="15"/>
  <c r="L42" i="15" s="1"/>
  <c r="L43" i="15" s="1"/>
  <c r="M2" i="58"/>
  <c r="M43" i="58" s="1"/>
  <c r="M44" i="58" s="1"/>
  <c r="L2" i="11"/>
  <c r="L42" i="11" s="1"/>
  <c r="L43" i="11" s="1"/>
  <c r="L2" i="43"/>
  <c r="L42" i="43" s="1"/>
  <c r="L43" i="43" s="1"/>
  <c r="L2" i="50"/>
  <c r="L42" i="50" s="1"/>
  <c r="L43" i="50" s="1"/>
  <c r="L2" i="23"/>
  <c r="L43" i="23" s="1"/>
  <c r="L44" i="23" s="1"/>
  <c r="L2" i="47"/>
  <c r="L43" i="47" s="1"/>
  <c r="L44" i="47" s="1"/>
  <c r="L2" i="12"/>
  <c r="L43" i="12" s="1"/>
  <c r="L44" i="12" s="1"/>
  <c r="AA7" i="47"/>
  <c r="AA49" i="47" s="1"/>
  <c r="AA7" i="15"/>
  <c r="AA48" i="15" s="1"/>
  <c r="AA7" i="12"/>
  <c r="AA49" i="12" s="1"/>
  <c r="AA7" i="43"/>
  <c r="AA48" i="43" s="1"/>
  <c r="AA7" i="11"/>
  <c r="AA48" i="11" s="1"/>
  <c r="AA7" i="38"/>
  <c r="AA48" i="38" s="1"/>
  <c r="AA7" i="10"/>
  <c r="AA48" i="10" s="1"/>
  <c r="AA7" i="50"/>
  <c r="AA48" i="50" s="1"/>
  <c r="AA7" i="13"/>
  <c r="AA48" i="13" s="1"/>
  <c r="AA7" i="45"/>
  <c r="AA49" i="45" s="1"/>
  <c r="AA7" i="23"/>
  <c r="R10" i="50"/>
  <c r="R54" i="50" s="1"/>
  <c r="R10" i="47"/>
  <c r="R55" i="47" s="1"/>
  <c r="R10" i="43"/>
  <c r="R54" i="43" s="1"/>
  <c r="R10" i="45"/>
  <c r="R55" i="45" s="1"/>
  <c r="R10" i="38"/>
  <c r="R54" i="38" s="1"/>
  <c r="R10" i="15"/>
  <c r="R54" i="15" s="1"/>
  <c r="R10" i="23"/>
  <c r="R55" i="23" s="1"/>
  <c r="R10" i="13"/>
  <c r="R54" i="13" s="1"/>
  <c r="R10" i="12"/>
  <c r="R55" i="12" s="1"/>
  <c r="R10" i="11"/>
  <c r="R54" i="11" s="1"/>
  <c r="R10" i="10"/>
  <c r="R54" i="10" s="1"/>
  <c r="AB10" i="50"/>
  <c r="AB54" i="50" s="1"/>
  <c r="AB10" i="47"/>
  <c r="AB55" i="47" s="1"/>
  <c r="AB10" i="45"/>
  <c r="AB55" i="45" s="1"/>
  <c r="AB10" i="43"/>
  <c r="AB54" i="43" s="1"/>
  <c r="AB10" i="38"/>
  <c r="AB54" i="38" s="1"/>
  <c r="AB10" i="13"/>
  <c r="AB54" i="13" s="1"/>
  <c r="AB10" i="15"/>
  <c r="AB54" i="15" s="1"/>
  <c r="AB10" i="23"/>
  <c r="AB55" i="23" s="1"/>
  <c r="AB10" i="12"/>
  <c r="AB55" i="12" s="1"/>
  <c r="AB10" i="11"/>
  <c r="AB54" i="11" s="1"/>
  <c r="AB10" i="10"/>
  <c r="AB54" i="10" s="1"/>
  <c r="AA3" i="50"/>
  <c r="AA44" i="50" s="1"/>
  <c r="AA3" i="47"/>
  <c r="AA45" i="47" s="1"/>
  <c r="AA3" i="43"/>
  <c r="AA44" i="43" s="1"/>
  <c r="AA3" i="45"/>
  <c r="AA45" i="45" s="1"/>
  <c r="AA3" i="38"/>
  <c r="AA44" i="38" s="1"/>
  <c r="AA3" i="23"/>
  <c r="AA3" i="15"/>
  <c r="AA44" i="15" s="1"/>
  <c r="AA3" i="13"/>
  <c r="AA44" i="13" s="1"/>
  <c r="AA3" i="12"/>
  <c r="AA45" i="12" s="1"/>
  <c r="AA3" i="10"/>
  <c r="AA3" i="11"/>
  <c r="AA44" i="11" s="1"/>
  <c r="AB5" i="50"/>
  <c r="AB46" i="50" s="1"/>
  <c r="AB5" i="45"/>
  <c r="AB47" i="45" s="1"/>
  <c r="AB5" i="43"/>
  <c r="AB46" i="43" s="1"/>
  <c r="AB5" i="47"/>
  <c r="AB47" i="47" s="1"/>
  <c r="AB5" i="38"/>
  <c r="AB46" i="38" s="1"/>
  <c r="AB5" i="23"/>
  <c r="AB5" i="15"/>
  <c r="AB46" i="15" s="1"/>
  <c r="AB5" i="13"/>
  <c r="AB46" i="13" s="1"/>
  <c r="AB5" i="11"/>
  <c r="AB46" i="11" s="1"/>
  <c r="AB5" i="10"/>
  <c r="AB46" i="10" s="1"/>
  <c r="AB5" i="12"/>
  <c r="AB47" i="12" s="1"/>
  <c r="AA11" i="50"/>
  <c r="AA55" i="50" s="1"/>
  <c r="AA11" i="47"/>
  <c r="AA56" i="47" s="1"/>
  <c r="AA11" i="45"/>
  <c r="AA56" i="45" s="1"/>
  <c r="AA11" i="43"/>
  <c r="AA55" i="43" s="1"/>
  <c r="AA11" i="38"/>
  <c r="AA55" i="38" s="1"/>
  <c r="AA11" i="23"/>
  <c r="AA56" i="23" s="1"/>
  <c r="AA11" i="13"/>
  <c r="AA55" i="13" s="1"/>
  <c r="AA11" i="15"/>
  <c r="AA55" i="15" s="1"/>
  <c r="AA11" i="12"/>
  <c r="AA56" i="12" s="1"/>
  <c r="AA11" i="11"/>
  <c r="AA55" i="11" s="1"/>
  <c r="AA11" i="10"/>
  <c r="AA55" i="10" s="1"/>
  <c r="R11" i="50"/>
  <c r="R55" i="50" s="1"/>
  <c r="R11" i="47"/>
  <c r="R56" i="47" s="1"/>
  <c r="R11" i="45"/>
  <c r="R56" i="45" s="1"/>
  <c r="R11" i="43"/>
  <c r="R55" i="43" s="1"/>
  <c r="R11" i="38"/>
  <c r="R55" i="38" s="1"/>
  <c r="R11" i="23"/>
  <c r="R56" i="23" s="1"/>
  <c r="R11" i="13"/>
  <c r="R55" i="13" s="1"/>
  <c r="R11" i="12"/>
  <c r="R56" i="12" s="1"/>
  <c r="R11" i="11"/>
  <c r="R55" i="11" s="1"/>
  <c r="R11" i="10"/>
  <c r="R55" i="10" s="1"/>
  <c r="R11" i="15"/>
  <c r="R55" i="15" s="1"/>
  <c r="S6" i="50"/>
  <c r="S47" i="50" s="1"/>
  <c r="S6" i="47"/>
  <c r="S48" i="47" s="1"/>
  <c r="S6" i="45"/>
  <c r="S6" i="43"/>
  <c r="S47" i="43" s="1"/>
  <c r="S6" i="38"/>
  <c r="S47" i="38" s="1"/>
  <c r="S6" i="15"/>
  <c r="S47" i="15" s="1"/>
  <c r="S6" i="10"/>
  <c r="S47" i="10" s="1"/>
  <c r="S6" i="12"/>
  <c r="S48" i="12" s="1"/>
  <c r="S6" i="13"/>
  <c r="S47" i="13" s="1"/>
  <c r="S6" i="11"/>
  <c r="S47" i="11" s="1"/>
  <c r="S6" i="23"/>
  <c r="AA8" i="50"/>
  <c r="AA52" i="50" s="1"/>
  <c r="AA8" i="47"/>
  <c r="AA53" i="47" s="1"/>
  <c r="AA8" i="45"/>
  <c r="AA53" i="45" s="1"/>
  <c r="AA8" i="43"/>
  <c r="AA52" i="43" s="1"/>
  <c r="AA8" i="38"/>
  <c r="AA52" i="38" s="1"/>
  <c r="AA8" i="23"/>
  <c r="AA53" i="23" s="1"/>
  <c r="AA8" i="15"/>
  <c r="AA52" i="15" s="1"/>
  <c r="AA8" i="13"/>
  <c r="AA52" i="13" s="1"/>
  <c r="AA8" i="12"/>
  <c r="AA53" i="12" s="1"/>
  <c r="AA8" i="11"/>
  <c r="AA52" i="11" s="1"/>
  <c r="AA8" i="10"/>
  <c r="AA4" i="50"/>
  <c r="AA45" i="50" s="1"/>
  <c r="AA4" i="47"/>
  <c r="AA46" i="47" s="1"/>
  <c r="AA4" i="45"/>
  <c r="AA46" i="45" s="1"/>
  <c r="AA4" i="43"/>
  <c r="AA45" i="43" s="1"/>
  <c r="AA4" i="38"/>
  <c r="AA45" i="38" s="1"/>
  <c r="AA4" i="23"/>
  <c r="AA4" i="15"/>
  <c r="AA45" i="15" s="1"/>
  <c r="AA4" i="11"/>
  <c r="AA45" i="11" s="1"/>
  <c r="AA4" i="12"/>
  <c r="AA46" i="12" s="1"/>
  <c r="AA4" i="13"/>
  <c r="AA45" i="13" s="1"/>
  <c r="AA4" i="10"/>
  <c r="AA45" i="10" s="1"/>
  <c r="AA12" i="50"/>
  <c r="AA56" i="50" s="1"/>
  <c r="AA12" i="45"/>
  <c r="AA57" i="45" s="1"/>
  <c r="AA12" i="47"/>
  <c r="AA57" i="47" s="1"/>
  <c r="AA12" i="43"/>
  <c r="AA56" i="43" s="1"/>
  <c r="AA12" i="38"/>
  <c r="AA56" i="38" s="1"/>
  <c r="AA12" i="23"/>
  <c r="AA12" i="15"/>
  <c r="AA56" i="15" s="1"/>
  <c r="AA12" i="13"/>
  <c r="AA56" i="13" s="1"/>
  <c r="AA12" i="10"/>
  <c r="AA56" i="10" s="1"/>
  <c r="AA12" i="12"/>
  <c r="AA57" i="12" s="1"/>
  <c r="AA12" i="11"/>
  <c r="AA56" i="11" s="1"/>
  <c r="AA9" i="50"/>
  <c r="AA53" i="50" s="1"/>
  <c r="AA9" i="47"/>
  <c r="AA54" i="47" s="1"/>
  <c r="AA9" i="43"/>
  <c r="AA53" i="43" s="1"/>
  <c r="AA9" i="45"/>
  <c r="AA54" i="45" s="1"/>
  <c r="AA9" i="38"/>
  <c r="AA53" i="38" s="1"/>
  <c r="AA9" i="23"/>
  <c r="AA54" i="23" s="1"/>
  <c r="AA9" i="15"/>
  <c r="AA53" i="15" s="1"/>
  <c r="AA9" i="13"/>
  <c r="AA53" i="13" s="1"/>
  <c r="AA9" i="12"/>
  <c r="AA54" i="12" s="1"/>
  <c r="AA9" i="11"/>
  <c r="AA53" i="11" s="1"/>
  <c r="AA9" i="10"/>
  <c r="AA53" i="10" s="1"/>
  <c r="R5" i="50"/>
  <c r="R46" i="50" s="1"/>
  <c r="R5" i="47"/>
  <c r="R47" i="47" s="1"/>
  <c r="R5" i="45"/>
  <c r="R5" i="43"/>
  <c r="R46" i="43" s="1"/>
  <c r="R5" i="38"/>
  <c r="R46" i="38" s="1"/>
  <c r="R5" i="23"/>
  <c r="R5" i="15"/>
  <c r="R46" i="15" s="1"/>
  <c r="R5" i="12"/>
  <c r="R47" i="12" s="1"/>
  <c r="R5" i="13"/>
  <c r="R46" i="13" s="1"/>
  <c r="R5" i="11"/>
  <c r="R46" i="11" s="1"/>
  <c r="R5" i="10"/>
  <c r="R46" i="10" s="1"/>
  <c r="R9" i="50"/>
  <c r="R53" i="50" s="1"/>
  <c r="R9" i="45"/>
  <c r="R54" i="45" s="1"/>
  <c r="R9" i="47"/>
  <c r="R54" i="47" s="1"/>
  <c r="R9" i="43"/>
  <c r="R53" i="43" s="1"/>
  <c r="R9" i="38"/>
  <c r="R53" i="38" s="1"/>
  <c r="R9" i="23"/>
  <c r="R54" i="23" s="1"/>
  <c r="R9" i="15"/>
  <c r="R53" i="15" s="1"/>
  <c r="R9" i="13"/>
  <c r="R53" i="13" s="1"/>
  <c r="R9" i="12"/>
  <c r="R54" i="12" s="1"/>
  <c r="R9" i="10"/>
  <c r="R53" i="10" s="1"/>
  <c r="R9" i="11"/>
  <c r="R53" i="11" s="1"/>
  <c r="Q4" i="50"/>
  <c r="Q45" i="50" s="1"/>
  <c r="Q4" i="47"/>
  <c r="Q46" i="47" s="1"/>
  <c r="Q4" i="45"/>
  <c r="Q4" i="43"/>
  <c r="Q45" i="43" s="1"/>
  <c r="Q4" i="38"/>
  <c r="Q45" i="38" s="1"/>
  <c r="Q4" i="15"/>
  <c r="Q45" i="15" s="1"/>
  <c r="Q4" i="23"/>
  <c r="Q4" i="13"/>
  <c r="Q45" i="13" s="1"/>
  <c r="Q4" i="10"/>
  <c r="Q45" i="10" s="1"/>
  <c r="Q4" i="12"/>
  <c r="Q46" i="12" s="1"/>
  <c r="Q4" i="11"/>
  <c r="Q45" i="11" s="1"/>
  <c r="AA6" i="50"/>
  <c r="AA47" i="50" s="1"/>
  <c r="AA6" i="47"/>
  <c r="AA48" i="47" s="1"/>
  <c r="AA6" i="45"/>
  <c r="AA48" i="45" s="1"/>
  <c r="AA6" i="43"/>
  <c r="AA47" i="43" s="1"/>
  <c r="AA6" i="38"/>
  <c r="AA47" i="38" s="1"/>
  <c r="AA6" i="23"/>
  <c r="AA6" i="15"/>
  <c r="AA47" i="15" s="1"/>
  <c r="AA6" i="13"/>
  <c r="AA47" i="13" s="1"/>
  <c r="AA6" i="11"/>
  <c r="AA47" i="11" s="1"/>
  <c r="AA6" i="10"/>
  <c r="AA47" i="10" s="1"/>
  <c r="AA6" i="12"/>
  <c r="AA48" i="12" s="1"/>
  <c r="R3" i="50"/>
  <c r="R44" i="50" s="1"/>
  <c r="R3" i="45"/>
  <c r="R3" i="47"/>
  <c r="R45" i="47" s="1"/>
  <c r="R3" i="43"/>
  <c r="R44" i="43" s="1"/>
  <c r="R3" i="38"/>
  <c r="R44" i="38" s="1"/>
  <c r="R3" i="23"/>
  <c r="R3" i="15"/>
  <c r="R44" i="15" s="1"/>
  <c r="R3" i="13"/>
  <c r="R44" i="13" s="1"/>
  <c r="R3" i="11"/>
  <c r="R44" i="11" s="1"/>
  <c r="R3" i="10"/>
  <c r="R3" i="12"/>
  <c r="R45" i="12" s="1"/>
  <c r="Q7" i="50"/>
  <c r="Q48" i="50" s="1"/>
  <c r="Q7" i="47"/>
  <c r="Q49" i="47" s="1"/>
  <c r="Q7" i="45"/>
  <c r="Q7" i="43"/>
  <c r="Q48" i="43" s="1"/>
  <c r="Q7" i="38"/>
  <c r="Q48" i="38" s="1"/>
  <c r="Q7" i="15"/>
  <c r="Q48" i="15" s="1"/>
  <c r="Q7" i="23"/>
  <c r="Q7" i="13"/>
  <c r="Q48" i="13" s="1"/>
  <c r="Q7" i="12"/>
  <c r="Q49" i="12" s="1"/>
  <c r="Q7" i="11"/>
  <c r="Q48" i="11" s="1"/>
  <c r="Q7" i="10"/>
  <c r="Q48" i="10" s="1"/>
  <c r="Q8" i="50"/>
  <c r="Q52" i="50" s="1"/>
  <c r="Q8" i="47"/>
  <c r="Q53" i="47" s="1"/>
  <c r="Q8" i="45"/>
  <c r="Q53" i="45" s="1"/>
  <c r="Q8" i="43"/>
  <c r="Q52" i="43" s="1"/>
  <c r="Q8" i="38"/>
  <c r="Q52" i="38" s="1"/>
  <c r="Q8" i="23"/>
  <c r="Q53" i="23" s="1"/>
  <c r="Q8" i="13"/>
  <c r="Q52" i="13" s="1"/>
  <c r="Q8" i="15"/>
  <c r="Q52" i="15" s="1"/>
  <c r="Q8" i="12"/>
  <c r="Q53" i="12" s="1"/>
  <c r="Q8" i="11"/>
  <c r="Q52" i="11" s="1"/>
  <c r="Q8" i="10"/>
  <c r="Q12" i="50"/>
  <c r="Q56" i="50" s="1"/>
  <c r="Q12" i="47"/>
  <c r="Q57" i="47" s="1"/>
  <c r="Q12" i="45"/>
  <c r="Q57" i="45" s="1"/>
  <c r="Q12" i="43"/>
  <c r="Q56" i="43" s="1"/>
  <c r="Q12" i="38"/>
  <c r="Q56" i="38" s="1"/>
  <c r="Q12" i="23"/>
  <c r="Q57" i="23" s="1"/>
  <c r="Q12" i="15"/>
  <c r="Q56" i="15" s="1"/>
  <c r="Q12" i="13"/>
  <c r="Q56" i="13" s="1"/>
  <c r="Q12" i="10"/>
  <c r="Q56" i="10" s="1"/>
  <c r="Q12" i="11"/>
  <c r="Q56" i="11" s="1"/>
  <c r="Q12" i="12"/>
  <c r="Q57" i="12" s="1"/>
  <c r="J79" i="11" l="1"/>
  <c r="H83" i="50"/>
  <c r="I85" i="58"/>
  <c r="H83" i="38"/>
  <c r="H84" i="38" s="1"/>
  <c r="H84" i="47"/>
  <c r="H83" i="10"/>
  <c r="H84" i="10" s="1"/>
  <c r="H83" i="13"/>
  <c r="H84" i="13" s="1"/>
  <c r="K63" i="13"/>
  <c r="K78" i="13" s="1"/>
  <c r="K63" i="38"/>
  <c r="K78" i="38" s="1"/>
  <c r="I83" i="13"/>
  <c r="I84" i="13" s="1"/>
  <c r="J79" i="43"/>
  <c r="J79" i="10"/>
  <c r="J79" i="38"/>
  <c r="J79" i="15"/>
  <c r="J80" i="45"/>
  <c r="I84" i="45"/>
  <c r="I85" i="45" s="1"/>
  <c r="J79" i="13"/>
  <c r="J80" i="23"/>
  <c r="J80" i="12"/>
  <c r="J79" i="50"/>
  <c r="K64" i="47"/>
  <c r="K79" i="47" s="1"/>
  <c r="K63" i="15"/>
  <c r="K78" i="15" s="1"/>
  <c r="K64" i="58"/>
  <c r="L64" i="58"/>
  <c r="K64" i="23"/>
  <c r="K79" i="23" s="1"/>
  <c r="K63" i="11"/>
  <c r="K78" i="11" s="1"/>
  <c r="K63" i="50"/>
  <c r="K78" i="50" s="1"/>
  <c r="K63" i="10"/>
  <c r="K78" i="10" s="1"/>
  <c r="K64" i="12"/>
  <c r="K64" i="45"/>
  <c r="K79" i="45" s="1"/>
  <c r="J80" i="47"/>
  <c r="I83" i="10"/>
  <c r="I84" i="10" s="1"/>
  <c r="I84" i="47"/>
  <c r="I85" i="47" s="1"/>
  <c r="L79" i="58"/>
  <c r="L80" i="58" s="1"/>
  <c r="L75" i="58"/>
  <c r="L76" i="58" s="1"/>
  <c r="K79" i="58"/>
  <c r="K75" i="58"/>
  <c r="J84" i="58"/>
  <c r="J85" i="58" s="1"/>
  <c r="I84" i="12"/>
  <c r="I85" i="12" s="1"/>
  <c r="I83" i="11"/>
  <c r="I84" i="11" s="1"/>
  <c r="K62" i="58"/>
  <c r="J71" i="10"/>
  <c r="K60" i="10"/>
  <c r="K73" i="10" s="1"/>
  <c r="J75" i="10"/>
  <c r="J67" i="10"/>
  <c r="K74" i="10"/>
  <c r="K74" i="11"/>
  <c r="J71" i="11"/>
  <c r="L63" i="10"/>
  <c r="L78" i="10" s="1"/>
  <c r="L63" i="11"/>
  <c r="L78" i="11" s="1"/>
  <c r="L63" i="43"/>
  <c r="L78" i="43" s="1"/>
  <c r="L64" i="45"/>
  <c r="L79" i="45" s="1"/>
  <c r="L64" i="47"/>
  <c r="L79" i="47" s="1"/>
  <c r="L64" i="23"/>
  <c r="L79" i="23" s="1"/>
  <c r="L63" i="15"/>
  <c r="L78" i="15" s="1"/>
  <c r="L63" i="38"/>
  <c r="L78" i="38" s="1"/>
  <c r="L63" i="13"/>
  <c r="L78" i="13" s="1"/>
  <c r="L63" i="50"/>
  <c r="L78" i="50" s="1"/>
  <c r="L64" i="12"/>
  <c r="K74" i="43"/>
  <c r="K74" i="38"/>
  <c r="K61" i="10"/>
  <c r="K77" i="10" s="1"/>
  <c r="K61" i="11"/>
  <c r="K77" i="11" s="1"/>
  <c r="K61" i="50"/>
  <c r="K77" i="50" s="1"/>
  <c r="K62" i="47"/>
  <c r="K78" i="47" s="1"/>
  <c r="K61" i="38"/>
  <c r="K77" i="38" s="1"/>
  <c r="K79" i="38" s="1"/>
  <c r="K62" i="45"/>
  <c r="K78" i="45" s="1"/>
  <c r="K61" i="13"/>
  <c r="K77" i="13" s="1"/>
  <c r="K61" i="15"/>
  <c r="K77" i="15" s="1"/>
  <c r="K61" i="43"/>
  <c r="K77" i="43" s="1"/>
  <c r="K79" i="43" s="1"/>
  <c r="K62" i="12"/>
  <c r="K62" i="23"/>
  <c r="K78" i="23" s="1"/>
  <c r="K75" i="12"/>
  <c r="K74" i="50"/>
  <c r="K74" i="15"/>
  <c r="K75" i="45"/>
  <c r="L62" i="11"/>
  <c r="L62" i="50"/>
  <c r="L63" i="47"/>
  <c r="L62" i="43"/>
  <c r="L63" i="45"/>
  <c r="L62" i="15"/>
  <c r="L63" i="12"/>
  <c r="L79" i="12" s="1"/>
  <c r="L62" i="38"/>
  <c r="L63" i="23"/>
  <c r="L62" i="13"/>
  <c r="K75" i="23"/>
  <c r="K75" i="47"/>
  <c r="K74" i="13"/>
  <c r="J73" i="11"/>
  <c r="I75" i="43"/>
  <c r="K60" i="11"/>
  <c r="K61" i="47"/>
  <c r="K60" i="38"/>
  <c r="K60" i="43"/>
  <c r="K61" i="45"/>
  <c r="K60" i="50"/>
  <c r="K61" i="23"/>
  <c r="K60" i="15"/>
  <c r="K60" i="13"/>
  <c r="K61" i="12"/>
  <c r="K78" i="12" s="1"/>
  <c r="K80" i="12" s="1"/>
  <c r="I75" i="15"/>
  <c r="J74" i="23"/>
  <c r="J76" i="23" s="1"/>
  <c r="J74" i="12"/>
  <c r="J73" i="38"/>
  <c r="J75" i="38" s="1"/>
  <c r="L60" i="10"/>
  <c r="I76" i="23"/>
  <c r="J73" i="13"/>
  <c r="J74" i="47"/>
  <c r="J76" i="47" s="1"/>
  <c r="J73" i="15"/>
  <c r="J75" i="15" s="1"/>
  <c r="J74" i="45"/>
  <c r="J76" i="45" s="1"/>
  <c r="J73" i="43"/>
  <c r="J73" i="50"/>
  <c r="J75" i="50" s="1"/>
  <c r="AA52" i="10"/>
  <c r="L62" i="10"/>
  <c r="M63" i="58"/>
  <c r="Q52" i="10"/>
  <c r="AA44" i="10"/>
  <c r="R44" i="10"/>
  <c r="AB7" i="43"/>
  <c r="AB48" i="43" s="1"/>
  <c r="AB7" i="11"/>
  <c r="AB48" i="11" s="1"/>
  <c r="AB7" i="47"/>
  <c r="AB49" i="47" s="1"/>
  <c r="AB7" i="38"/>
  <c r="AB48" i="38" s="1"/>
  <c r="AB7" i="50"/>
  <c r="AB48" i="50" s="1"/>
  <c r="AB7" i="45"/>
  <c r="AB49" i="45" s="1"/>
  <c r="AB7" i="15"/>
  <c r="AB48" i="15" s="1"/>
  <c r="AB7" i="10"/>
  <c r="AB48" i="10" s="1"/>
  <c r="AB7" i="13"/>
  <c r="AB48" i="13" s="1"/>
  <c r="AB7" i="23"/>
  <c r="AB7" i="12"/>
  <c r="AB49" i="12" s="1"/>
  <c r="M2" i="11"/>
  <c r="M42" i="11" s="1"/>
  <c r="M43" i="11" s="1"/>
  <c r="M2" i="43"/>
  <c r="M42" i="43" s="1"/>
  <c r="M43" i="43" s="1"/>
  <c r="M2" i="38"/>
  <c r="M42" i="38" s="1"/>
  <c r="M43" i="38" s="1"/>
  <c r="M2" i="12"/>
  <c r="M43" i="12" s="1"/>
  <c r="M44" i="12" s="1"/>
  <c r="N2" i="58"/>
  <c r="N43" i="58" s="1"/>
  <c r="N44" i="58" s="1"/>
  <c r="M2" i="47"/>
  <c r="M43" i="47" s="1"/>
  <c r="M44" i="47" s="1"/>
  <c r="M2" i="10"/>
  <c r="M42" i="10" s="1"/>
  <c r="M43" i="10" s="1"/>
  <c r="M2" i="15"/>
  <c r="M42" i="15" s="1"/>
  <c r="M43" i="15" s="1"/>
  <c r="M2" i="50"/>
  <c r="M42" i="50" s="1"/>
  <c r="M43" i="50" s="1"/>
  <c r="M2" i="23"/>
  <c r="M43" i="23" s="1"/>
  <c r="M44" i="23" s="1"/>
  <c r="M2" i="45"/>
  <c r="M43" i="45" s="1"/>
  <c r="M44" i="45" s="1"/>
  <c r="M2" i="13"/>
  <c r="M42" i="13" s="1"/>
  <c r="M43" i="13" s="1"/>
  <c r="AC5" i="50"/>
  <c r="AC46" i="50" s="1"/>
  <c r="AC5" i="47"/>
  <c r="AC47" i="47" s="1"/>
  <c r="AC5" i="43"/>
  <c r="AC46" i="43" s="1"/>
  <c r="AC5" i="45"/>
  <c r="AC47" i="45" s="1"/>
  <c r="AC5" i="38"/>
  <c r="AC46" i="38" s="1"/>
  <c r="AC5" i="15"/>
  <c r="AC46" i="15" s="1"/>
  <c r="AC5" i="23"/>
  <c r="AC5" i="12"/>
  <c r="AC47" i="12" s="1"/>
  <c r="AC5" i="11"/>
  <c r="AC46" i="11" s="1"/>
  <c r="AC5" i="13"/>
  <c r="AC46" i="13" s="1"/>
  <c r="AC5" i="10"/>
  <c r="AC46" i="10" s="1"/>
  <c r="AB6" i="50"/>
  <c r="AB47" i="50" s="1"/>
  <c r="AB6" i="47"/>
  <c r="AB48" i="47" s="1"/>
  <c r="AB6" i="45"/>
  <c r="AB48" i="45" s="1"/>
  <c r="AB6" i="43"/>
  <c r="AB47" i="43" s="1"/>
  <c r="AB6" i="38"/>
  <c r="AB47" i="38" s="1"/>
  <c r="AB6" i="15"/>
  <c r="AB47" i="15" s="1"/>
  <c r="AB6" i="13"/>
  <c r="AB47" i="13" s="1"/>
  <c r="AB6" i="12"/>
  <c r="AB48" i="12" s="1"/>
  <c r="AB6" i="11"/>
  <c r="AB47" i="11" s="1"/>
  <c r="AB6" i="10"/>
  <c r="AB47" i="10" s="1"/>
  <c r="AB6" i="23"/>
  <c r="AB12" i="50"/>
  <c r="AB56" i="50" s="1"/>
  <c r="AB12" i="47"/>
  <c r="AB57" i="47" s="1"/>
  <c r="AB12" i="43"/>
  <c r="AB56" i="43" s="1"/>
  <c r="AB12" i="45"/>
  <c r="AB57" i="45" s="1"/>
  <c r="AB12" i="38"/>
  <c r="AB56" i="38" s="1"/>
  <c r="AB12" i="15"/>
  <c r="AB56" i="15" s="1"/>
  <c r="AB12" i="13"/>
  <c r="AB56" i="13" s="1"/>
  <c r="AB12" i="23"/>
  <c r="AB12" i="12"/>
  <c r="AB57" i="12" s="1"/>
  <c r="AB12" i="11"/>
  <c r="AB56" i="11" s="1"/>
  <c r="AB12" i="10"/>
  <c r="AB56" i="10" s="1"/>
  <c r="R8" i="50"/>
  <c r="R52" i="50" s="1"/>
  <c r="R8" i="47"/>
  <c r="R53" i="47" s="1"/>
  <c r="R8" i="45"/>
  <c r="R53" i="45" s="1"/>
  <c r="R8" i="38"/>
  <c r="R52" i="38" s="1"/>
  <c r="R8" i="43"/>
  <c r="R52" i="43" s="1"/>
  <c r="R8" i="23"/>
  <c r="R53" i="23" s="1"/>
  <c r="R8" i="13"/>
  <c r="R52" i="13" s="1"/>
  <c r="R8" i="15"/>
  <c r="R52" i="15" s="1"/>
  <c r="R8" i="12"/>
  <c r="R53" i="12" s="1"/>
  <c r="R8" i="11"/>
  <c r="R52" i="11" s="1"/>
  <c r="R8" i="10"/>
  <c r="S3" i="50"/>
  <c r="S44" i="50" s="1"/>
  <c r="S3" i="47"/>
  <c r="S45" i="47" s="1"/>
  <c r="S3" i="43"/>
  <c r="S44" i="43" s="1"/>
  <c r="S3" i="45"/>
  <c r="S3" i="38"/>
  <c r="S44" i="38" s="1"/>
  <c r="S3" i="23"/>
  <c r="S3" i="15"/>
  <c r="S44" i="15" s="1"/>
  <c r="S3" i="13"/>
  <c r="S44" i="13" s="1"/>
  <c r="S3" i="12"/>
  <c r="S45" i="12" s="1"/>
  <c r="S3" i="11"/>
  <c r="S44" i="11" s="1"/>
  <c r="S3" i="10"/>
  <c r="AC10" i="50"/>
  <c r="AC54" i="50" s="1"/>
  <c r="AC10" i="47"/>
  <c r="AC55" i="47" s="1"/>
  <c r="AC10" i="45"/>
  <c r="AC55" i="45" s="1"/>
  <c r="AC10" i="43"/>
  <c r="AC54" i="43" s="1"/>
  <c r="AC10" i="38"/>
  <c r="AC54" i="38" s="1"/>
  <c r="AC10" i="23"/>
  <c r="AC55" i="23" s="1"/>
  <c r="AC10" i="13"/>
  <c r="AC54" i="13" s="1"/>
  <c r="AC10" i="15"/>
  <c r="AC54" i="15" s="1"/>
  <c r="AC10" i="12"/>
  <c r="AC55" i="12" s="1"/>
  <c r="AC10" i="11"/>
  <c r="AC54" i="11" s="1"/>
  <c r="AC10" i="10"/>
  <c r="AC54" i="10" s="1"/>
  <c r="R4" i="50"/>
  <c r="R45" i="50" s="1"/>
  <c r="R4" i="47"/>
  <c r="R46" i="47" s="1"/>
  <c r="R4" i="45"/>
  <c r="R4" i="43"/>
  <c r="R45" i="43" s="1"/>
  <c r="R4" i="38"/>
  <c r="R45" i="38" s="1"/>
  <c r="R4" i="15"/>
  <c r="R45" i="15" s="1"/>
  <c r="R4" i="23"/>
  <c r="R4" i="13"/>
  <c r="R45" i="13" s="1"/>
  <c r="R4" i="12"/>
  <c r="R46" i="12" s="1"/>
  <c r="R4" i="11"/>
  <c r="R45" i="11" s="1"/>
  <c r="R4" i="10"/>
  <c r="R45" i="10" s="1"/>
  <c r="AB9" i="50"/>
  <c r="AB53" i="50" s="1"/>
  <c r="AB9" i="47"/>
  <c r="AB54" i="47" s="1"/>
  <c r="AB9" i="45"/>
  <c r="AB54" i="45" s="1"/>
  <c r="AB9" i="43"/>
  <c r="AB53" i="43" s="1"/>
  <c r="AB9" i="38"/>
  <c r="AB53" i="38" s="1"/>
  <c r="AB9" i="23"/>
  <c r="AB54" i="23" s="1"/>
  <c r="AB9" i="15"/>
  <c r="AB53" i="15" s="1"/>
  <c r="AB9" i="13"/>
  <c r="AB53" i="13" s="1"/>
  <c r="AB9" i="10"/>
  <c r="AB53" i="10" s="1"/>
  <c r="AB9" i="12"/>
  <c r="AB54" i="12" s="1"/>
  <c r="AB9" i="11"/>
  <c r="AB53" i="11" s="1"/>
  <c r="AB8" i="47"/>
  <c r="AB53" i="47" s="1"/>
  <c r="AB8" i="50"/>
  <c r="AB52" i="50" s="1"/>
  <c r="AB8" i="45"/>
  <c r="AB53" i="45" s="1"/>
  <c r="AB8" i="43"/>
  <c r="AB52" i="43" s="1"/>
  <c r="AB8" i="38"/>
  <c r="AB52" i="38" s="1"/>
  <c r="AB8" i="23"/>
  <c r="AB53" i="23" s="1"/>
  <c r="AB8" i="13"/>
  <c r="AB52" i="13" s="1"/>
  <c r="AB8" i="15"/>
  <c r="AB52" i="15" s="1"/>
  <c r="AB8" i="12"/>
  <c r="AB53" i="12" s="1"/>
  <c r="AB8" i="11"/>
  <c r="AB52" i="11" s="1"/>
  <c r="AB8" i="10"/>
  <c r="S11" i="50"/>
  <c r="S55" i="50" s="1"/>
  <c r="S11" i="47"/>
  <c r="S56" i="47" s="1"/>
  <c r="S11" i="45"/>
  <c r="S56" i="45" s="1"/>
  <c r="S11" i="43"/>
  <c r="S55" i="43" s="1"/>
  <c r="S11" i="38"/>
  <c r="S55" i="38" s="1"/>
  <c r="S11" i="23"/>
  <c r="S56" i="23" s="1"/>
  <c r="S11" i="13"/>
  <c r="S55" i="13" s="1"/>
  <c r="S11" i="15"/>
  <c r="S55" i="15" s="1"/>
  <c r="S11" i="12"/>
  <c r="S56" i="12" s="1"/>
  <c r="S11" i="11"/>
  <c r="S55" i="11" s="1"/>
  <c r="S11" i="10"/>
  <c r="S55" i="10" s="1"/>
  <c r="AB3" i="50"/>
  <c r="AB44" i="50" s="1"/>
  <c r="AB3" i="47"/>
  <c r="AB45" i="47" s="1"/>
  <c r="AB3" i="45"/>
  <c r="AB45" i="45" s="1"/>
  <c r="AB3" i="43"/>
  <c r="AB44" i="43" s="1"/>
  <c r="AB3" i="38"/>
  <c r="AB44" i="38" s="1"/>
  <c r="AB3" i="23"/>
  <c r="AB3" i="15"/>
  <c r="AB44" i="15" s="1"/>
  <c r="AB3" i="13"/>
  <c r="AB44" i="13" s="1"/>
  <c r="AB3" i="10"/>
  <c r="AB3" i="11"/>
  <c r="AB44" i="11" s="1"/>
  <c r="AB3" i="12"/>
  <c r="AB45" i="12" s="1"/>
  <c r="S5" i="50"/>
  <c r="S46" i="50" s="1"/>
  <c r="S5" i="45"/>
  <c r="S5" i="47"/>
  <c r="S47" i="47" s="1"/>
  <c r="S5" i="43"/>
  <c r="S46" i="43" s="1"/>
  <c r="S5" i="38"/>
  <c r="S46" i="38" s="1"/>
  <c r="S5" i="23"/>
  <c r="S5" i="15"/>
  <c r="S46" i="15" s="1"/>
  <c r="S5" i="12"/>
  <c r="S47" i="12" s="1"/>
  <c r="S5" i="11"/>
  <c r="S46" i="11" s="1"/>
  <c r="S5" i="13"/>
  <c r="S46" i="13" s="1"/>
  <c r="S5" i="10"/>
  <c r="S46" i="10" s="1"/>
  <c r="AB4" i="50"/>
  <c r="AB45" i="50" s="1"/>
  <c r="AB4" i="47"/>
  <c r="AB46" i="47" s="1"/>
  <c r="AB4" i="45"/>
  <c r="AB46" i="45" s="1"/>
  <c r="AB4" i="38"/>
  <c r="AB45" i="38" s="1"/>
  <c r="AB4" i="43"/>
  <c r="AB45" i="43" s="1"/>
  <c r="AB4" i="23"/>
  <c r="AB4" i="15"/>
  <c r="AB45" i="15" s="1"/>
  <c r="AB4" i="12"/>
  <c r="AB46" i="12" s="1"/>
  <c r="AB4" i="11"/>
  <c r="AB45" i="11" s="1"/>
  <c r="AB4" i="13"/>
  <c r="AB45" i="13" s="1"/>
  <c r="AB4" i="10"/>
  <c r="AB45" i="10" s="1"/>
  <c r="T6" i="50"/>
  <c r="T47" i="50" s="1"/>
  <c r="T6" i="47"/>
  <c r="T48" i="47" s="1"/>
  <c r="T6" i="45"/>
  <c r="T6" i="43"/>
  <c r="T47" i="43" s="1"/>
  <c r="T6" i="38"/>
  <c r="T47" i="38" s="1"/>
  <c r="T6" i="15"/>
  <c r="T47" i="15" s="1"/>
  <c r="T6" i="13"/>
  <c r="T47" i="13" s="1"/>
  <c r="T6" i="23"/>
  <c r="T6" i="12"/>
  <c r="T48" i="12" s="1"/>
  <c r="T6" i="11"/>
  <c r="T47" i="11" s="1"/>
  <c r="T6" i="10"/>
  <c r="T47" i="10" s="1"/>
  <c r="R7" i="50"/>
  <c r="R48" i="50" s="1"/>
  <c r="R7" i="47"/>
  <c r="R49" i="47" s="1"/>
  <c r="R7" i="45"/>
  <c r="R7" i="43"/>
  <c r="R48" i="43" s="1"/>
  <c r="R7" i="38"/>
  <c r="R48" i="38" s="1"/>
  <c r="R7" i="23"/>
  <c r="R7" i="15"/>
  <c r="R48" i="15" s="1"/>
  <c r="R7" i="13"/>
  <c r="R48" i="13" s="1"/>
  <c r="R7" i="12"/>
  <c r="R49" i="12" s="1"/>
  <c r="R7" i="11"/>
  <c r="R48" i="11" s="1"/>
  <c r="R7" i="10"/>
  <c r="R48" i="10" s="1"/>
  <c r="AB11" i="50"/>
  <c r="AB55" i="50" s="1"/>
  <c r="AB11" i="45"/>
  <c r="AB56" i="45" s="1"/>
  <c r="AB11" i="47"/>
  <c r="AB56" i="47" s="1"/>
  <c r="AB11" i="43"/>
  <c r="AB55" i="43" s="1"/>
  <c r="AB11" i="38"/>
  <c r="AB55" i="38" s="1"/>
  <c r="AB11" i="23"/>
  <c r="AB56" i="23" s="1"/>
  <c r="AB11" i="15"/>
  <c r="AB55" i="15" s="1"/>
  <c r="AB11" i="13"/>
  <c r="AB55" i="13" s="1"/>
  <c r="AB11" i="10"/>
  <c r="AB55" i="10" s="1"/>
  <c r="AB11" i="11"/>
  <c r="AB55" i="11" s="1"/>
  <c r="AB11" i="12"/>
  <c r="AB56" i="12" s="1"/>
  <c r="S10" i="50"/>
  <c r="S54" i="50" s="1"/>
  <c r="S10" i="47"/>
  <c r="S55" i="47" s="1"/>
  <c r="S10" i="43"/>
  <c r="S54" i="43" s="1"/>
  <c r="S10" i="45"/>
  <c r="S55" i="45" s="1"/>
  <c r="S10" i="38"/>
  <c r="S54" i="38" s="1"/>
  <c r="S10" i="23"/>
  <c r="S55" i="23" s="1"/>
  <c r="S10" i="13"/>
  <c r="S54" i="13" s="1"/>
  <c r="S10" i="15"/>
  <c r="S54" i="15" s="1"/>
  <c r="S10" i="12"/>
  <c r="S55" i="12" s="1"/>
  <c r="S10" i="11"/>
  <c r="S54" i="11" s="1"/>
  <c r="S10" i="10"/>
  <c r="S54" i="10" s="1"/>
  <c r="R12" i="50"/>
  <c r="R56" i="50" s="1"/>
  <c r="R12" i="47"/>
  <c r="R57" i="47" s="1"/>
  <c r="R12" i="43"/>
  <c r="R56" i="43" s="1"/>
  <c r="R12" i="45"/>
  <c r="R57" i="45" s="1"/>
  <c r="R12" i="38"/>
  <c r="R56" i="38" s="1"/>
  <c r="R12" i="15"/>
  <c r="R56" i="15" s="1"/>
  <c r="R12" i="13"/>
  <c r="R56" i="13" s="1"/>
  <c r="R12" i="12"/>
  <c r="R57" i="12" s="1"/>
  <c r="R12" i="11"/>
  <c r="R56" i="11" s="1"/>
  <c r="R12" i="23"/>
  <c r="R57" i="23" s="1"/>
  <c r="R12" i="10"/>
  <c r="R56" i="10" s="1"/>
  <c r="S9" i="50"/>
  <c r="S53" i="50" s="1"/>
  <c r="S9" i="47"/>
  <c r="S54" i="47" s="1"/>
  <c r="S9" i="43"/>
  <c r="S53" i="43" s="1"/>
  <c r="S9" i="45"/>
  <c r="S54" i="45" s="1"/>
  <c r="S9" i="38"/>
  <c r="S53" i="38" s="1"/>
  <c r="S9" i="15"/>
  <c r="S53" i="15" s="1"/>
  <c r="S9" i="23"/>
  <c r="S54" i="23" s="1"/>
  <c r="S9" i="13"/>
  <c r="S53" i="13" s="1"/>
  <c r="S9" i="12"/>
  <c r="S54" i="12" s="1"/>
  <c r="S9" i="11"/>
  <c r="S53" i="11" s="1"/>
  <c r="S9" i="10"/>
  <c r="S53" i="10" s="1"/>
  <c r="K79" i="13" l="1"/>
  <c r="H85" i="47"/>
  <c r="I84" i="23"/>
  <c r="I85" i="23" s="1"/>
  <c r="I83" i="15"/>
  <c r="I83" i="43"/>
  <c r="H84" i="50"/>
  <c r="K80" i="45"/>
  <c r="J84" i="23"/>
  <c r="J85" i="23" s="1"/>
  <c r="J84" i="45"/>
  <c r="J85" i="45" s="1"/>
  <c r="J83" i="38"/>
  <c r="J84" i="38" s="1"/>
  <c r="J83" i="15"/>
  <c r="J84" i="15" s="1"/>
  <c r="J84" i="47"/>
  <c r="J85" i="47" s="1"/>
  <c r="J83" i="50"/>
  <c r="J84" i="50" s="1"/>
  <c r="K80" i="23"/>
  <c r="K79" i="15"/>
  <c r="K79" i="50"/>
  <c r="L84" i="58"/>
  <c r="L85" i="58" s="1"/>
  <c r="K79" i="10"/>
  <c r="K80" i="47"/>
  <c r="K79" i="11"/>
  <c r="K76" i="58"/>
  <c r="K80" i="58"/>
  <c r="M79" i="58"/>
  <c r="M80" i="58" s="1"/>
  <c r="M75" i="58"/>
  <c r="M76" i="58" s="1"/>
  <c r="J83" i="10"/>
  <c r="J84" i="10" s="1"/>
  <c r="M64" i="58"/>
  <c r="L62" i="58"/>
  <c r="K71" i="11"/>
  <c r="K71" i="10"/>
  <c r="K75" i="10"/>
  <c r="L74" i="10"/>
  <c r="L73" i="10"/>
  <c r="L74" i="43"/>
  <c r="L74" i="38"/>
  <c r="L75" i="47"/>
  <c r="L61" i="10"/>
  <c r="L77" i="10" s="1"/>
  <c r="L79" i="10" s="1"/>
  <c r="L61" i="11"/>
  <c r="L77" i="11" s="1"/>
  <c r="L79" i="11" s="1"/>
  <c r="L61" i="50"/>
  <c r="L77" i="50" s="1"/>
  <c r="L79" i="50" s="1"/>
  <c r="L62" i="47"/>
  <c r="L78" i="47" s="1"/>
  <c r="L80" i="47" s="1"/>
  <c r="L61" i="38"/>
  <c r="L77" i="38" s="1"/>
  <c r="L79" i="38" s="1"/>
  <c r="L61" i="43"/>
  <c r="L77" i="43" s="1"/>
  <c r="L79" i="43" s="1"/>
  <c r="L61" i="13"/>
  <c r="L77" i="13" s="1"/>
  <c r="L79" i="13" s="1"/>
  <c r="L62" i="23"/>
  <c r="L78" i="23" s="1"/>
  <c r="L80" i="23" s="1"/>
  <c r="L62" i="12"/>
  <c r="L62" i="45"/>
  <c r="L78" i="45" s="1"/>
  <c r="L80" i="45" s="1"/>
  <c r="L61" i="15"/>
  <c r="L77" i="15" s="1"/>
  <c r="L79" i="15" s="1"/>
  <c r="L75" i="23"/>
  <c r="M63" i="10"/>
  <c r="M78" i="10" s="1"/>
  <c r="M63" i="11"/>
  <c r="M78" i="11" s="1"/>
  <c r="M64" i="45"/>
  <c r="M79" i="45" s="1"/>
  <c r="M63" i="50"/>
  <c r="M78" i="50" s="1"/>
  <c r="M63" i="38"/>
  <c r="M78" i="38" s="1"/>
  <c r="M63" i="43"/>
  <c r="M78" i="43" s="1"/>
  <c r="M64" i="47"/>
  <c r="M79" i="47" s="1"/>
  <c r="M64" i="23"/>
  <c r="M79" i="23" s="1"/>
  <c r="M64" i="12"/>
  <c r="M63" i="15"/>
  <c r="M78" i="15" s="1"/>
  <c r="M63" i="13"/>
  <c r="M78" i="13" s="1"/>
  <c r="L75" i="12"/>
  <c r="L74" i="50"/>
  <c r="AQ83" i="18"/>
  <c r="L74" i="15"/>
  <c r="L75" i="45"/>
  <c r="M62" i="11"/>
  <c r="M62" i="50"/>
  <c r="M63" i="47"/>
  <c r="M62" i="38"/>
  <c r="M63" i="45"/>
  <c r="M62" i="13"/>
  <c r="M62" i="43"/>
  <c r="M63" i="12"/>
  <c r="M79" i="12" s="1"/>
  <c r="M63" i="23"/>
  <c r="M62" i="15"/>
  <c r="AQ75" i="18"/>
  <c r="L74" i="11"/>
  <c r="L74" i="13"/>
  <c r="K73" i="15"/>
  <c r="K75" i="15" s="1"/>
  <c r="K74" i="45"/>
  <c r="K76" i="45" s="1"/>
  <c r="K84" i="45" s="1"/>
  <c r="K85" i="45" s="1"/>
  <c r="J75" i="11"/>
  <c r="J75" i="43"/>
  <c r="J83" i="43" s="1"/>
  <c r="J84" i="43" s="1"/>
  <c r="J75" i="13"/>
  <c r="J83" i="13" s="1"/>
  <c r="J84" i="13" s="1"/>
  <c r="L60" i="11"/>
  <c r="L60" i="43"/>
  <c r="L61" i="45"/>
  <c r="L60" i="50"/>
  <c r="L60" i="38"/>
  <c r="L60" i="13"/>
  <c r="L61" i="47"/>
  <c r="L61" i="12"/>
  <c r="L78" i="12" s="1"/>
  <c r="L80" i="12" s="1"/>
  <c r="L61" i="23"/>
  <c r="L60" i="15"/>
  <c r="J68" i="12"/>
  <c r="K74" i="23"/>
  <c r="K76" i="23" s="1"/>
  <c r="K74" i="47"/>
  <c r="K76" i="47" s="1"/>
  <c r="M61" i="45"/>
  <c r="K67" i="10"/>
  <c r="K74" i="12"/>
  <c r="K76" i="12" s="1"/>
  <c r="K68" i="12"/>
  <c r="K73" i="50"/>
  <c r="K75" i="50" s="1"/>
  <c r="K73" i="43"/>
  <c r="K75" i="43" s="1"/>
  <c r="K83" i="43" s="1"/>
  <c r="K84" i="43" s="1"/>
  <c r="K73" i="11"/>
  <c r="K75" i="11" s="1"/>
  <c r="K67" i="11"/>
  <c r="J76" i="12"/>
  <c r="K73" i="13"/>
  <c r="K75" i="13" s="1"/>
  <c r="K73" i="38"/>
  <c r="J67" i="11"/>
  <c r="AB52" i="10"/>
  <c r="AB44" i="10"/>
  <c r="M62" i="10"/>
  <c r="N63" i="58"/>
  <c r="S44" i="10"/>
  <c r="R52" i="10"/>
  <c r="N2" i="43"/>
  <c r="N42" i="43" s="1"/>
  <c r="N43" i="43" s="1"/>
  <c r="N2" i="13"/>
  <c r="N42" i="13" s="1"/>
  <c r="N43" i="13" s="1"/>
  <c r="N2" i="45"/>
  <c r="N43" i="45" s="1"/>
  <c r="N44" i="45" s="1"/>
  <c r="N2" i="47"/>
  <c r="N43" i="47" s="1"/>
  <c r="N44" i="47" s="1"/>
  <c r="N2" i="12"/>
  <c r="N43" i="12" s="1"/>
  <c r="N44" i="12" s="1"/>
  <c r="N2" i="10"/>
  <c r="N42" i="10" s="1"/>
  <c r="N43" i="10" s="1"/>
  <c r="N2" i="11"/>
  <c r="N42" i="11" s="1"/>
  <c r="N43" i="11" s="1"/>
  <c r="O2" i="58"/>
  <c r="O43" i="58" s="1"/>
  <c r="O44" i="58" s="1"/>
  <c r="N2" i="15"/>
  <c r="N42" i="15" s="1"/>
  <c r="N43" i="15" s="1"/>
  <c r="N2" i="38"/>
  <c r="N42" i="38" s="1"/>
  <c r="N43" i="38" s="1"/>
  <c r="N2" i="23"/>
  <c r="N43" i="23" s="1"/>
  <c r="N44" i="23" s="1"/>
  <c r="N2" i="50"/>
  <c r="N42" i="50" s="1"/>
  <c r="N43" i="50" s="1"/>
  <c r="AC7" i="38"/>
  <c r="AC48" i="38" s="1"/>
  <c r="AC7" i="11"/>
  <c r="AC48" i="11" s="1"/>
  <c r="AC7" i="10"/>
  <c r="AC48" i="10" s="1"/>
  <c r="AC7" i="50"/>
  <c r="AC48" i="50" s="1"/>
  <c r="AC7" i="45"/>
  <c r="AC49" i="45" s="1"/>
  <c r="AC7" i="23"/>
  <c r="AC7" i="13"/>
  <c r="AC48" i="13" s="1"/>
  <c r="AC7" i="47"/>
  <c r="AC49" i="47" s="1"/>
  <c r="AC7" i="15"/>
  <c r="AC48" i="15" s="1"/>
  <c r="AC7" i="43"/>
  <c r="AC48" i="43" s="1"/>
  <c r="AC7" i="12"/>
  <c r="AC49" i="12" s="1"/>
  <c r="T11" i="50"/>
  <c r="T55" i="50" s="1"/>
  <c r="T11" i="47"/>
  <c r="T56" i="47" s="1"/>
  <c r="T11" i="45"/>
  <c r="T56" i="45" s="1"/>
  <c r="T11" i="43"/>
  <c r="T55" i="43" s="1"/>
  <c r="T11" i="38"/>
  <c r="T55" i="38" s="1"/>
  <c r="T11" i="23"/>
  <c r="T56" i="23" s="1"/>
  <c r="T11" i="15"/>
  <c r="T55" i="15" s="1"/>
  <c r="T11" i="13"/>
  <c r="T55" i="13" s="1"/>
  <c r="T11" i="12"/>
  <c r="T56" i="12" s="1"/>
  <c r="T11" i="11"/>
  <c r="T55" i="11" s="1"/>
  <c r="T11" i="10"/>
  <c r="T55" i="10" s="1"/>
  <c r="AC12" i="50"/>
  <c r="AC56" i="50" s="1"/>
  <c r="AC12" i="47"/>
  <c r="AC57" i="47" s="1"/>
  <c r="AC12" i="45"/>
  <c r="AC57" i="45" s="1"/>
  <c r="AC12" i="43"/>
  <c r="AC56" i="43" s="1"/>
  <c r="AC12" i="38"/>
  <c r="AC56" i="38" s="1"/>
  <c r="AC12" i="23"/>
  <c r="AC12" i="13"/>
  <c r="AC56" i="13" s="1"/>
  <c r="AC12" i="15"/>
  <c r="AC56" i="15" s="1"/>
  <c r="AC12" i="12"/>
  <c r="AC57" i="12" s="1"/>
  <c r="AC12" i="11"/>
  <c r="AC56" i="11" s="1"/>
  <c r="AC12" i="10"/>
  <c r="AC56" i="10" s="1"/>
  <c r="AC8" i="50"/>
  <c r="AC52" i="50" s="1"/>
  <c r="AC8" i="47"/>
  <c r="AC53" i="47" s="1"/>
  <c r="AC8" i="45"/>
  <c r="AC53" i="45" s="1"/>
  <c r="AC8" i="43"/>
  <c r="AC52" i="43" s="1"/>
  <c r="AC8" i="38"/>
  <c r="AC52" i="38" s="1"/>
  <c r="AC8" i="23"/>
  <c r="AC53" i="23" s="1"/>
  <c r="AC8" i="15"/>
  <c r="AC52" i="15" s="1"/>
  <c r="AC8" i="13"/>
  <c r="AC52" i="13" s="1"/>
  <c r="AC8" i="10"/>
  <c r="AC8" i="12"/>
  <c r="AC53" i="12" s="1"/>
  <c r="AC8" i="11"/>
  <c r="AC52" i="11" s="1"/>
  <c r="AB46" i="23"/>
  <c r="AB45" i="23"/>
  <c r="AB48" i="23"/>
  <c r="S8" i="47"/>
  <c r="S53" i="47" s="1"/>
  <c r="S8" i="50"/>
  <c r="S52" i="50" s="1"/>
  <c r="S8" i="45"/>
  <c r="S53" i="45" s="1"/>
  <c r="S8" i="43"/>
  <c r="S52" i="43" s="1"/>
  <c r="S8" i="38"/>
  <c r="S52" i="38" s="1"/>
  <c r="S8" i="23"/>
  <c r="S53" i="23" s="1"/>
  <c r="S8" i="13"/>
  <c r="S52" i="13" s="1"/>
  <c r="S8" i="15"/>
  <c r="S52" i="15" s="1"/>
  <c r="S8" i="12"/>
  <c r="S53" i="12" s="1"/>
  <c r="S8" i="11"/>
  <c r="S52" i="11" s="1"/>
  <c r="S8" i="10"/>
  <c r="AC11" i="50"/>
  <c r="AC55" i="50" s="1"/>
  <c r="AC11" i="47"/>
  <c r="AC56" i="47" s="1"/>
  <c r="AC11" i="43"/>
  <c r="AC55" i="43" s="1"/>
  <c r="AC11" i="45"/>
  <c r="AC56" i="45" s="1"/>
  <c r="AC11" i="38"/>
  <c r="AC55" i="38" s="1"/>
  <c r="AC11" i="23"/>
  <c r="AC56" i="23" s="1"/>
  <c r="AC11" i="15"/>
  <c r="AC55" i="15" s="1"/>
  <c r="AC11" i="13"/>
  <c r="AC55" i="13" s="1"/>
  <c r="AC11" i="12"/>
  <c r="AC56" i="12" s="1"/>
  <c r="AC11" i="11"/>
  <c r="AC55" i="11" s="1"/>
  <c r="AC11" i="10"/>
  <c r="AC55" i="10" s="1"/>
  <c r="AD5" i="50"/>
  <c r="AD46" i="50" s="1"/>
  <c r="AD5" i="47"/>
  <c r="AD47" i="47" s="1"/>
  <c r="AD5" i="45"/>
  <c r="AD47" i="45" s="1"/>
  <c r="AD5" i="43"/>
  <c r="AD46" i="43" s="1"/>
  <c r="AD5" i="38"/>
  <c r="AD46" i="38" s="1"/>
  <c r="AD5" i="15"/>
  <c r="AD46" i="15" s="1"/>
  <c r="AD5" i="23"/>
  <c r="AD5" i="13"/>
  <c r="AD46" i="13" s="1"/>
  <c r="AD5" i="10"/>
  <c r="AD46" i="10" s="1"/>
  <c r="AD5" i="11"/>
  <c r="AD46" i="11" s="1"/>
  <c r="AD5" i="12"/>
  <c r="AD47" i="12" s="1"/>
  <c r="T9" i="50"/>
  <c r="T53" i="50" s="1"/>
  <c r="T9" i="45"/>
  <c r="T54" i="45" s="1"/>
  <c r="T9" i="47"/>
  <c r="T54" i="47" s="1"/>
  <c r="T9" i="43"/>
  <c r="T53" i="43" s="1"/>
  <c r="T9" i="38"/>
  <c r="T53" i="38" s="1"/>
  <c r="T9" i="15"/>
  <c r="T53" i="15" s="1"/>
  <c r="T9" i="13"/>
  <c r="T53" i="13" s="1"/>
  <c r="T9" i="12"/>
  <c r="T54" i="12" s="1"/>
  <c r="T9" i="10"/>
  <c r="T53" i="10" s="1"/>
  <c r="T9" i="11"/>
  <c r="T53" i="11" s="1"/>
  <c r="T9" i="23"/>
  <c r="T54" i="23" s="1"/>
  <c r="T10" i="50"/>
  <c r="T54" i="50" s="1"/>
  <c r="T10" i="47"/>
  <c r="T55" i="47" s="1"/>
  <c r="T10" i="45"/>
  <c r="T55" i="45" s="1"/>
  <c r="T10" i="43"/>
  <c r="T54" i="43" s="1"/>
  <c r="T10" i="38"/>
  <c r="T54" i="38" s="1"/>
  <c r="T10" i="23"/>
  <c r="T55" i="23" s="1"/>
  <c r="T10" i="13"/>
  <c r="T54" i="13" s="1"/>
  <c r="T10" i="15"/>
  <c r="T54" i="15" s="1"/>
  <c r="T10" i="12"/>
  <c r="T55" i="12" s="1"/>
  <c r="T10" i="11"/>
  <c r="T54" i="11" s="1"/>
  <c r="T10" i="10"/>
  <c r="T54" i="10" s="1"/>
  <c r="AC4" i="50"/>
  <c r="AC45" i="50" s="1"/>
  <c r="AC4" i="47"/>
  <c r="AC46" i="47" s="1"/>
  <c r="AC4" i="45"/>
  <c r="AC46" i="45" s="1"/>
  <c r="AC4" i="43"/>
  <c r="AC45" i="43" s="1"/>
  <c r="AC4" i="38"/>
  <c r="AC45" i="38" s="1"/>
  <c r="AC4" i="23"/>
  <c r="AC4" i="11"/>
  <c r="AC45" i="11" s="1"/>
  <c r="AC4" i="15"/>
  <c r="AC45" i="15" s="1"/>
  <c r="AC4" i="13"/>
  <c r="AC45" i="13" s="1"/>
  <c r="AC4" i="10"/>
  <c r="AC45" i="10" s="1"/>
  <c r="AC4" i="12"/>
  <c r="AC46" i="12" s="1"/>
  <c r="S7" i="50"/>
  <c r="S48" i="50" s="1"/>
  <c r="S7" i="45"/>
  <c r="S7" i="47"/>
  <c r="S49" i="47" s="1"/>
  <c r="S7" i="43"/>
  <c r="S48" i="43" s="1"/>
  <c r="S7" i="38"/>
  <c r="S48" i="38" s="1"/>
  <c r="S7" i="23"/>
  <c r="S7" i="15"/>
  <c r="S48" i="15" s="1"/>
  <c r="S7" i="12"/>
  <c r="S49" i="12" s="1"/>
  <c r="S7" i="11"/>
  <c r="S48" i="11" s="1"/>
  <c r="S7" i="13"/>
  <c r="S48" i="13" s="1"/>
  <c r="S7" i="10"/>
  <c r="S48" i="10" s="1"/>
  <c r="AC3" i="50"/>
  <c r="AC44" i="50" s="1"/>
  <c r="AC3" i="47"/>
  <c r="AC45" i="47" s="1"/>
  <c r="AC3" i="45"/>
  <c r="AC45" i="45" s="1"/>
  <c r="AC3" i="43"/>
  <c r="AC44" i="43" s="1"/>
  <c r="AC3" i="38"/>
  <c r="AC44" i="38" s="1"/>
  <c r="AC3" i="23"/>
  <c r="AC3" i="15"/>
  <c r="AC44" i="15" s="1"/>
  <c r="AC3" i="13"/>
  <c r="AC44" i="13" s="1"/>
  <c r="AC3" i="12"/>
  <c r="AC45" i="12" s="1"/>
  <c r="AC3" i="11"/>
  <c r="AC44" i="11" s="1"/>
  <c r="AC3" i="10"/>
  <c r="AQ73" i="18"/>
  <c r="T5" i="50"/>
  <c r="T46" i="50" s="1"/>
  <c r="T5" i="45"/>
  <c r="T5" i="47"/>
  <c r="T47" i="47" s="1"/>
  <c r="T5" i="43"/>
  <c r="T46" i="43" s="1"/>
  <c r="T5" i="38"/>
  <c r="T46" i="38" s="1"/>
  <c r="T5" i="23"/>
  <c r="T5" i="15"/>
  <c r="T46" i="15" s="1"/>
  <c r="T5" i="12"/>
  <c r="T47" i="12" s="1"/>
  <c r="T5" i="10"/>
  <c r="T46" i="10" s="1"/>
  <c r="T5" i="13"/>
  <c r="T46" i="13" s="1"/>
  <c r="T5" i="11"/>
  <c r="T46" i="11" s="1"/>
  <c r="S4" i="50"/>
  <c r="S45" i="50" s="1"/>
  <c r="S4" i="47"/>
  <c r="S46" i="47" s="1"/>
  <c r="S4" i="45"/>
  <c r="S4" i="43"/>
  <c r="S45" i="43" s="1"/>
  <c r="S4" i="38"/>
  <c r="S45" i="38" s="1"/>
  <c r="S4" i="23"/>
  <c r="S4" i="15"/>
  <c r="S45" i="15" s="1"/>
  <c r="S4" i="13"/>
  <c r="S45" i="13" s="1"/>
  <c r="S4" i="12"/>
  <c r="S46" i="12" s="1"/>
  <c r="S4" i="11"/>
  <c r="S45" i="11" s="1"/>
  <c r="S4" i="10"/>
  <c r="S45" i="10" s="1"/>
  <c r="T3" i="50"/>
  <c r="T44" i="50" s="1"/>
  <c r="T3" i="47"/>
  <c r="T45" i="47" s="1"/>
  <c r="T3" i="45"/>
  <c r="T3" i="43"/>
  <c r="T44" i="43" s="1"/>
  <c r="T3" i="38"/>
  <c r="T44" i="38" s="1"/>
  <c r="T3" i="15"/>
  <c r="T44" i="15" s="1"/>
  <c r="T3" i="13"/>
  <c r="T44" i="13" s="1"/>
  <c r="T3" i="23"/>
  <c r="T3" i="11"/>
  <c r="T44" i="11" s="1"/>
  <c r="T3" i="10"/>
  <c r="T3" i="12"/>
  <c r="T45" i="12" s="1"/>
  <c r="S12" i="50"/>
  <c r="S56" i="50" s="1"/>
  <c r="S12" i="47"/>
  <c r="S57" i="47" s="1"/>
  <c r="S12" i="45"/>
  <c r="S57" i="45" s="1"/>
  <c r="S12" i="43"/>
  <c r="S56" i="43" s="1"/>
  <c r="S12" i="38"/>
  <c r="S56" i="38" s="1"/>
  <c r="S12" i="15"/>
  <c r="S56" i="15" s="1"/>
  <c r="S12" i="23"/>
  <c r="S57" i="23" s="1"/>
  <c r="S12" i="13"/>
  <c r="S56" i="13" s="1"/>
  <c r="S12" i="10"/>
  <c r="S56" i="10" s="1"/>
  <c r="S12" i="11"/>
  <c r="S56" i="11" s="1"/>
  <c r="S12" i="12"/>
  <c r="S57" i="12" s="1"/>
  <c r="AC9" i="50"/>
  <c r="AC53" i="50" s="1"/>
  <c r="AC9" i="47"/>
  <c r="AC54" i="47" s="1"/>
  <c r="AC9" i="45"/>
  <c r="AC54" i="45" s="1"/>
  <c r="AC9" i="43"/>
  <c r="AC53" i="43" s="1"/>
  <c r="AC9" i="38"/>
  <c r="AC53" i="38" s="1"/>
  <c r="AC9" i="15"/>
  <c r="AC53" i="15" s="1"/>
  <c r="AC9" i="13"/>
  <c r="AC53" i="13" s="1"/>
  <c r="AC9" i="23"/>
  <c r="AC54" i="23" s="1"/>
  <c r="AC9" i="12"/>
  <c r="AC54" i="12" s="1"/>
  <c r="AC9" i="11"/>
  <c r="AC53" i="11" s="1"/>
  <c r="AC9" i="10"/>
  <c r="AC53" i="10" s="1"/>
  <c r="AQ82" i="18"/>
  <c r="AD10" i="47"/>
  <c r="AD55" i="47" s="1"/>
  <c r="B55" i="47" s="1"/>
  <c r="AD10" i="50"/>
  <c r="AD54" i="50" s="1"/>
  <c r="AD10" i="45"/>
  <c r="AD55" i="45" s="1"/>
  <c r="AD10" i="43"/>
  <c r="AD54" i="43" s="1"/>
  <c r="B54" i="43" s="1"/>
  <c r="AD10" i="38"/>
  <c r="AD54" i="38" s="1"/>
  <c r="B54" i="38" s="1"/>
  <c r="AD10" i="23"/>
  <c r="AD55" i="23" s="1"/>
  <c r="AD10" i="13"/>
  <c r="AD54" i="13" s="1"/>
  <c r="B54" i="13" s="1"/>
  <c r="AD10" i="15"/>
  <c r="AD54" i="15" s="1"/>
  <c r="B54" i="15" s="1"/>
  <c r="AD10" i="12"/>
  <c r="AD55" i="12" s="1"/>
  <c r="B55" i="12" s="1"/>
  <c r="AD10" i="11"/>
  <c r="AD54" i="11" s="1"/>
  <c r="B54" i="11" s="1"/>
  <c r="AD10" i="10"/>
  <c r="AD54" i="10" s="1"/>
  <c r="B54" i="10" s="1"/>
  <c r="AC6" i="50"/>
  <c r="AC47" i="50" s="1"/>
  <c r="AC6" i="47"/>
  <c r="AC48" i="47" s="1"/>
  <c r="AC6" i="45"/>
  <c r="AC48" i="45" s="1"/>
  <c r="AC6" i="43"/>
  <c r="AC47" i="43" s="1"/>
  <c r="AC6" i="38"/>
  <c r="AC47" i="38" s="1"/>
  <c r="AC6" i="23"/>
  <c r="AC6" i="15"/>
  <c r="AC47" i="15" s="1"/>
  <c r="AC6" i="13"/>
  <c r="AC47" i="13" s="1"/>
  <c r="AC6" i="10"/>
  <c r="AC47" i="10" s="1"/>
  <c r="AC6" i="11"/>
  <c r="AC47" i="11" s="1"/>
  <c r="AC6" i="12"/>
  <c r="AC48" i="12" s="1"/>
  <c r="AQ76" i="18"/>
  <c r="K83" i="13" l="1"/>
  <c r="K84" i="13" s="1"/>
  <c r="K83" i="50"/>
  <c r="K84" i="50" s="1"/>
  <c r="B47" i="12"/>
  <c r="E8" i="60" s="1"/>
  <c r="B46" i="11"/>
  <c r="B46" i="13"/>
  <c r="F8" i="60" s="1"/>
  <c r="B46" i="43"/>
  <c r="B47" i="47"/>
  <c r="B54" i="50"/>
  <c r="N16" i="60" s="1"/>
  <c r="B46" i="10"/>
  <c r="C8" i="60" s="1"/>
  <c r="I84" i="43"/>
  <c r="B55" i="23"/>
  <c r="H16" i="60" s="1"/>
  <c r="B46" i="50"/>
  <c r="I84" i="15"/>
  <c r="B46" i="15"/>
  <c r="G8" i="60" s="1"/>
  <c r="B46" i="38"/>
  <c r="I8" i="60" s="1"/>
  <c r="B55" i="45"/>
  <c r="L16" i="60" s="1"/>
  <c r="K84" i="23"/>
  <c r="K85" i="23" s="1"/>
  <c r="K84" i="47"/>
  <c r="K85" i="47" s="1"/>
  <c r="K83" i="15"/>
  <c r="K84" i="15" s="1"/>
  <c r="C57" i="18"/>
  <c r="C76" i="18"/>
  <c r="C50" i="18"/>
  <c r="C69" i="18"/>
  <c r="C51" i="18"/>
  <c r="C70" i="18"/>
  <c r="C58" i="18"/>
  <c r="C77" i="18"/>
  <c r="C48" i="18"/>
  <c r="C67" i="18"/>
  <c r="F16" i="60"/>
  <c r="K16" i="60"/>
  <c r="D16" i="60"/>
  <c r="C16" i="60"/>
  <c r="I16" i="60"/>
  <c r="K84" i="12"/>
  <c r="K85" i="12" s="1"/>
  <c r="M84" i="58"/>
  <c r="M85" i="58" s="1"/>
  <c r="J84" i="12"/>
  <c r="N79" i="58"/>
  <c r="N80" i="58" s="1"/>
  <c r="N75" i="58"/>
  <c r="N76" i="58" s="1"/>
  <c r="K83" i="11"/>
  <c r="K84" i="11" s="1"/>
  <c r="K84" i="58"/>
  <c r="J83" i="11"/>
  <c r="K83" i="10"/>
  <c r="K84" i="10" s="1"/>
  <c r="N64" i="58"/>
  <c r="M62" i="58"/>
  <c r="L71" i="11"/>
  <c r="L71" i="10"/>
  <c r="M60" i="43"/>
  <c r="M60" i="13"/>
  <c r="M61" i="12"/>
  <c r="M78" i="12" s="1"/>
  <c r="M80" i="12" s="1"/>
  <c r="M60" i="38"/>
  <c r="M60" i="11"/>
  <c r="M61" i="47"/>
  <c r="M60" i="15"/>
  <c r="M60" i="50"/>
  <c r="M60" i="10"/>
  <c r="M73" i="10" s="1"/>
  <c r="M61" i="23"/>
  <c r="M74" i="10"/>
  <c r="M74" i="13"/>
  <c r="AQ85" i="18"/>
  <c r="M61" i="10"/>
  <c r="M77" i="10" s="1"/>
  <c r="M79" i="10" s="1"/>
  <c r="M61" i="11"/>
  <c r="M77" i="11" s="1"/>
  <c r="M79" i="11" s="1"/>
  <c r="M61" i="50"/>
  <c r="M77" i="50" s="1"/>
  <c r="M79" i="50" s="1"/>
  <c r="M62" i="47"/>
  <c r="M78" i="47" s="1"/>
  <c r="M80" i="47" s="1"/>
  <c r="M61" i="38"/>
  <c r="M77" i="38" s="1"/>
  <c r="M79" i="38" s="1"/>
  <c r="M61" i="43"/>
  <c r="M77" i="43" s="1"/>
  <c r="M79" i="43" s="1"/>
  <c r="M62" i="45"/>
  <c r="M78" i="45" s="1"/>
  <c r="M80" i="45" s="1"/>
  <c r="M61" i="13"/>
  <c r="M77" i="13" s="1"/>
  <c r="M79" i="13" s="1"/>
  <c r="M62" i="23"/>
  <c r="M78" i="23" s="1"/>
  <c r="M80" i="23" s="1"/>
  <c r="M61" i="15"/>
  <c r="M77" i="15" s="1"/>
  <c r="M79" i="15" s="1"/>
  <c r="M62" i="12"/>
  <c r="M74" i="15"/>
  <c r="M75" i="45"/>
  <c r="N63" i="10"/>
  <c r="N78" i="10" s="1"/>
  <c r="N63" i="11"/>
  <c r="N78" i="11" s="1"/>
  <c r="N63" i="50"/>
  <c r="N78" i="50" s="1"/>
  <c r="N64" i="47"/>
  <c r="N79" i="47" s="1"/>
  <c r="N63" i="43"/>
  <c r="N78" i="43" s="1"/>
  <c r="N64" i="45"/>
  <c r="N79" i="45" s="1"/>
  <c r="N63" i="38"/>
  <c r="N78" i="38" s="1"/>
  <c r="N64" i="23"/>
  <c r="N79" i="23" s="1"/>
  <c r="N64" i="12"/>
  <c r="N63" i="13"/>
  <c r="N78" i="13" s="1"/>
  <c r="N63" i="15"/>
  <c r="N78" i="15" s="1"/>
  <c r="AQ74" i="18"/>
  <c r="L67" i="10"/>
  <c r="M75" i="23"/>
  <c r="M74" i="38"/>
  <c r="AQ81" i="18"/>
  <c r="M75" i="12"/>
  <c r="M75" i="47"/>
  <c r="C52" i="18"/>
  <c r="N62" i="11"/>
  <c r="N62" i="50"/>
  <c r="N63" i="47"/>
  <c r="N62" i="38"/>
  <c r="N62" i="43"/>
  <c r="N62" i="13"/>
  <c r="N63" i="45"/>
  <c r="N63" i="12"/>
  <c r="N79" i="12" s="1"/>
  <c r="N63" i="23"/>
  <c r="N62" i="15"/>
  <c r="M74" i="50"/>
  <c r="AQ84" i="18"/>
  <c r="M74" i="43"/>
  <c r="M74" i="11"/>
  <c r="L74" i="47"/>
  <c r="L76" i="47" s="1"/>
  <c r="L84" i="47" s="1"/>
  <c r="L85" i="47" s="1"/>
  <c r="L74" i="12"/>
  <c r="L76" i="12" s="1"/>
  <c r="L68" i="12"/>
  <c r="L73" i="50"/>
  <c r="L75" i="50" s="1"/>
  <c r="L83" i="50" s="1"/>
  <c r="L84" i="50" s="1"/>
  <c r="L73" i="43"/>
  <c r="L75" i="43" s="1"/>
  <c r="L83" i="43" s="1"/>
  <c r="L84" i="43" s="1"/>
  <c r="L73" i="11"/>
  <c r="L75" i="11" s="1"/>
  <c r="N60" i="11"/>
  <c r="N60" i="43"/>
  <c r="N61" i="23"/>
  <c r="M74" i="45"/>
  <c r="L73" i="15"/>
  <c r="L75" i="15" s="1"/>
  <c r="L83" i="15" s="1"/>
  <c r="L84" i="15" s="1"/>
  <c r="L73" i="13"/>
  <c r="L75" i="13" s="1"/>
  <c r="L83" i="13" s="1"/>
  <c r="L84" i="13" s="1"/>
  <c r="L74" i="45"/>
  <c r="L76" i="45" s="1"/>
  <c r="L84" i="45" s="1"/>
  <c r="L85" i="45" s="1"/>
  <c r="K75" i="38"/>
  <c r="K83" i="38" s="1"/>
  <c r="K84" i="38" s="1"/>
  <c r="L74" i="23"/>
  <c r="L76" i="23" s="1"/>
  <c r="L73" i="38"/>
  <c r="L75" i="38" s="1"/>
  <c r="L83" i="38" s="1"/>
  <c r="L84" i="38" s="1"/>
  <c r="L75" i="10"/>
  <c r="E16" i="60"/>
  <c r="G16" i="60"/>
  <c r="T44" i="10"/>
  <c r="AC52" i="10"/>
  <c r="N60" i="10"/>
  <c r="N62" i="10"/>
  <c r="O63" i="58"/>
  <c r="S52" i="10"/>
  <c r="AC44" i="10"/>
  <c r="O2" i="12"/>
  <c r="O43" i="12" s="1"/>
  <c r="O44" i="12" s="1"/>
  <c r="O2" i="38"/>
  <c r="O42" i="38" s="1"/>
  <c r="O43" i="38" s="1"/>
  <c r="P2" i="58"/>
  <c r="P43" i="58" s="1"/>
  <c r="P44" i="58" s="1"/>
  <c r="O2" i="23"/>
  <c r="O43" i="23" s="1"/>
  <c r="O44" i="23" s="1"/>
  <c r="O2" i="50"/>
  <c r="O42" i="50" s="1"/>
  <c r="O43" i="50" s="1"/>
  <c r="O2" i="15"/>
  <c r="O42" i="15" s="1"/>
  <c r="O43" i="15" s="1"/>
  <c r="O2" i="47"/>
  <c r="O43" i="47" s="1"/>
  <c r="O44" i="47" s="1"/>
  <c r="O2" i="45"/>
  <c r="O43" i="45" s="1"/>
  <c r="O44" i="45" s="1"/>
  <c r="O2" i="13"/>
  <c r="O42" i="13" s="1"/>
  <c r="O43" i="13" s="1"/>
  <c r="O2" i="43"/>
  <c r="O42" i="43" s="1"/>
  <c r="O43" i="43" s="1"/>
  <c r="O2" i="10"/>
  <c r="O42" i="10" s="1"/>
  <c r="O43" i="10" s="1"/>
  <c r="O2" i="11"/>
  <c r="O42" i="11" s="1"/>
  <c r="O43" i="11" s="1"/>
  <c r="AD7" i="38"/>
  <c r="AD48" i="38" s="1"/>
  <c r="AD7" i="50"/>
  <c r="AD48" i="50" s="1"/>
  <c r="AD7" i="45"/>
  <c r="AD49" i="45" s="1"/>
  <c r="AD7" i="15"/>
  <c r="AD48" i="15" s="1"/>
  <c r="AD7" i="47"/>
  <c r="AD49" i="47" s="1"/>
  <c r="AD7" i="13"/>
  <c r="AD48" i="13" s="1"/>
  <c r="AD7" i="43"/>
  <c r="AD48" i="43" s="1"/>
  <c r="AD7" i="10"/>
  <c r="AD48" i="10" s="1"/>
  <c r="AD7" i="12"/>
  <c r="AD49" i="12" s="1"/>
  <c r="AD7" i="11"/>
  <c r="AD48" i="11" s="1"/>
  <c r="AD7" i="23"/>
  <c r="M16" i="60"/>
  <c r="AB49" i="23"/>
  <c r="AD8" i="50"/>
  <c r="AD52" i="50" s="1"/>
  <c r="AD8" i="47"/>
  <c r="AD53" i="47" s="1"/>
  <c r="AD8" i="43"/>
  <c r="AD52" i="43" s="1"/>
  <c r="AD8" i="45"/>
  <c r="AD53" i="45" s="1"/>
  <c r="AD8" i="38"/>
  <c r="AD52" i="38" s="1"/>
  <c r="AD8" i="23"/>
  <c r="AD53" i="23" s="1"/>
  <c r="AD8" i="15"/>
  <c r="AD52" i="15" s="1"/>
  <c r="AD8" i="13"/>
  <c r="AD52" i="13" s="1"/>
  <c r="AD8" i="12"/>
  <c r="AD53" i="12" s="1"/>
  <c r="AD8" i="11"/>
  <c r="AD52" i="11" s="1"/>
  <c r="AD8" i="10"/>
  <c r="AD12" i="50"/>
  <c r="AD56" i="50" s="1"/>
  <c r="AD12" i="47"/>
  <c r="AD57" i="47" s="1"/>
  <c r="AD12" i="45"/>
  <c r="AD57" i="45" s="1"/>
  <c r="AD12" i="43"/>
  <c r="AD56" i="43" s="1"/>
  <c r="AD12" i="38"/>
  <c r="AD56" i="38" s="1"/>
  <c r="AD12" i="13"/>
  <c r="AD56" i="13" s="1"/>
  <c r="AD12" i="23"/>
  <c r="AD12" i="15"/>
  <c r="AD56" i="15" s="1"/>
  <c r="AD12" i="12"/>
  <c r="AD57" i="12" s="1"/>
  <c r="AD12" i="11"/>
  <c r="AD56" i="11" s="1"/>
  <c r="AD12" i="10"/>
  <c r="AD56" i="10" s="1"/>
  <c r="T12" i="47"/>
  <c r="T57" i="47" s="1"/>
  <c r="T12" i="50"/>
  <c r="T56" i="50" s="1"/>
  <c r="T12" i="45"/>
  <c r="T57" i="45" s="1"/>
  <c r="T12" i="43"/>
  <c r="T56" i="43" s="1"/>
  <c r="T12" i="38"/>
  <c r="T56" i="38" s="1"/>
  <c r="T12" i="15"/>
  <c r="T56" i="15" s="1"/>
  <c r="T12" i="13"/>
  <c r="T56" i="13" s="1"/>
  <c r="T12" i="23"/>
  <c r="T57" i="23" s="1"/>
  <c r="T12" i="12"/>
  <c r="T57" i="12" s="1"/>
  <c r="T12" i="11"/>
  <c r="T56" i="11" s="1"/>
  <c r="T12" i="10"/>
  <c r="T56" i="10" s="1"/>
  <c r="AD4" i="50"/>
  <c r="AD45" i="50" s="1"/>
  <c r="AD4" i="45"/>
  <c r="AD46" i="45" s="1"/>
  <c r="AD4" i="47"/>
  <c r="AD46" i="47" s="1"/>
  <c r="AD4" i="43"/>
  <c r="AD45" i="43" s="1"/>
  <c r="AD4" i="38"/>
  <c r="AD45" i="38" s="1"/>
  <c r="AD4" i="23"/>
  <c r="AD4" i="15"/>
  <c r="AD45" i="15" s="1"/>
  <c r="AD4" i="12"/>
  <c r="AD46" i="12" s="1"/>
  <c r="AD4" i="11"/>
  <c r="AD45" i="11" s="1"/>
  <c r="AD4" i="13"/>
  <c r="AD45" i="13" s="1"/>
  <c r="AD4" i="10"/>
  <c r="AD45" i="10" s="1"/>
  <c r="D8" i="60"/>
  <c r="AD3" i="50"/>
  <c r="AD44" i="50" s="1"/>
  <c r="B44" i="50" s="1"/>
  <c r="AD3" i="47"/>
  <c r="AD45" i="47" s="1"/>
  <c r="B45" i="47" s="1"/>
  <c r="AD3" i="45"/>
  <c r="AD45" i="45" s="1"/>
  <c r="AD3" i="43"/>
  <c r="AD44" i="43" s="1"/>
  <c r="B44" i="43" s="1"/>
  <c r="AD3" i="38"/>
  <c r="AD44" i="38" s="1"/>
  <c r="B44" i="38" s="1"/>
  <c r="AD3" i="23"/>
  <c r="AD3" i="15"/>
  <c r="AD44" i="15" s="1"/>
  <c r="B44" i="15" s="1"/>
  <c r="AD3" i="11"/>
  <c r="AD44" i="11" s="1"/>
  <c r="B44" i="11" s="1"/>
  <c r="AD3" i="13"/>
  <c r="AD44" i="13" s="1"/>
  <c r="B44" i="13" s="1"/>
  <c r="AD3" i="12"/>
  <c r="AD45" i="12" s="1"/>
  <c r="B45" i="12" s="1"/>
  <c r="AD3" i="10"/>
  <c r="K8" i="60"/>
  <c r="AB47" i="23"/>
  <c r="T4" i="50"/>
  <c r="T45" i="50" s="1"/>
  <c r="T4" i="45"/>
  <c r="T4" i="47"/>
  <c r="T46" i="47" s="1"/>
  <c r="T4" i="43"/>
  <c r="T45" i="43" s="1"/>
  <c r="T4" i="38"/>
  <c r="T45" i="38" s="1"/>
  <c r="T4" i="23"/>
  <c r="T4" i="15"/>
  <c r="T45" i="15" s="1"/>
  <c r="T4" i="12"/>
  <c r="T46" i="12" s="1"/>
  <c r="T4" i="11"/>
  <c r="T45" i="11" s="1"/>
  <c r="T4" i="13"/>
  <c r="T45" i="13" s="1"/>
  <c r="T4" i="10"/>
  <c r="T45" i="10" s="1"/>
  <c r="T7" i="50"/>
  <c r="T48" i="50" s="1"/>
  <c r="T7" i="47"/>
  <c r="T49" i="47" s="1"/>
  <c r="T7" i="45"/>
  <c r="T7" i="43"/>
  <c r="T48" i="43" s="1"/>
  <c r="T7" i="38"/>
  <c r="T48" i="38" s="1"/>
  <c r="T7" i="23"/>
  <c r="T7" i="15"/>
  <c r="T48" i="15" s="1"/>
  <c r="T7" i="13"/>
  <c r="T48" i="13" s="1"/>
  <c r="T7" i="12"/>
  <c r="T49" i="12" s="1"/>
  <c r="T7" i="11"/>
  <c r="T48" i="11" s="1"/>
  <c r="T7" i="10"/>
  <c r="T48" i="10" s="1"/>
  <c r="M8" i="60"/>
  <c r="AD9" i="50"/>
  <c r="AD53" i="50" s="1"/>
  <c r="AD9" i="47"/>
  <c r="AD54" i="47" s="1"/>
  <c r="AD9" i="45"/>
  <c r="AD54" i="45" s="1"/>
  <c r="AD9" i="43"/>
  <c r="AD53" i="43" s="1"/>
  <c r="B53" i="43" s="1"/>
  <c r="AD9" i="38"/>
  <c r="AD53" i="38" s="1"/>
  <c r="B53" i="38" s="1"/>
  <c r="AD9" i="23"/>
  <c r="AD54" i="23" s="1"/>
  <c r="B54" i="23" s="1"/>
  <c r="AD9" i="13"/>
  <c r="AD53" i="13" s="1"/>
  <c r="B53" i="13" s="1"/>
  <c r="AD9" i="15"/>
  <c r="AD53" i="15" s="1"/>
  <c r="B53" i="15" s="1"/>
  <c r="AD9" i="12"/>
  <c r="AD54" i="12" s="1"/>
  <c r="B54" i="12" s="1"/>
  <c r="AD9" i="10"/>
  <c r="AD53" i="10" s="1"/>
  <c r="B53" i="10" s="1"/>
  <c r="AD9" i="11"/>
  <c r="AD53" i="11" s="1"/>
  <c r="B53" i="11" s="1"/>
  <c r="AD6" i="50"/>
  <c r="AD47" i="50" s="1"/>
  <c r="AD6" i="45"/>
  <c r="AD48" i="45" s="1"/>
  <c r="AD6" i="47"/>
  <c r="AD48" i="47" s="1"/>
  <c r="AD6" i="43"/>
  <c r="AD47" i="43" s="1"/>
  <c r="B47" i="43" s="1"/>
  <c r="AD6" i="38"/>
  <c r="AD47" i="38" s="1"/>
  <c r="AD6" i="23"/>
  <c r="AD6" i="15"/>
  <c r="AD47" i="15" s="1"/>
  <c r="B47" i="15" s="1"/>
  <c r="AD6" i="13"/>
  <c r="AD47" i="13" s="1"/>
  <c r="B47" i="13" s="1"/>
  <c r="AD6" i="12"/>
  <c r="AD48" i="12" s="1"/>
  <c r="B48" i="12" s="1"/>
  <c r="AD6" i="11"/>
  <c r="AD47" i="11" s="1"/>
  <c r="B47" i="11" s="1"/>
  <c r="AD6" i="10"/>
  <c r="AD47" i="10" s="1"/>
  <c r="B47" i="10" s="1"/>
  <c r="N8" i="60"/>
  <c r="AD11" i="50"/>
  <c r="AD55" i="50" s="1"/>
  <c r="AD11" i="45"/>
  <c r="AD56" i="45" s="1"/>
  <c r="AD11" i="47"/>
  <c r="AD56" i="47" s="1"/>
  <c r="AD11" i="43"/>
  <c r="AD55" i="43" s="1"/>
  <c r="B55" i="43" s="1"/>
  <c r="AD11" i="38"/>
  <c r="AD55" i="38" s="1"/>
  <c r="B55" i="38" s="1"/>
  <c r="AD11" i="23"/>
  <c r="AD56" i="23" s="1"/>
  <c r="B56" i="23" s="1"/>
  <c r="AD11" i="15"/>
  <c r="AD55" i="15" s="1"/>
  <c r="B55" i="15" s="1"/>
  <c r="AD11" i="13"/>
  <c r="AD55" i="13" s="1"/>
  <c r="B55" i="13" s="1"/>
  <c r="AD11" i="10"/>
  <c r="AD55" i="10" s="1"/>
  <c r="B55" i="10" s="1"/>
  <c r="AD11" i="11"/>
  <c r="AD55" i="11" s="1"/>
  <c r="B55" i="11" s="1"/>
  <c r="AD11" i="12"/>
  <c r="AD56" i="12" s="1"/>
  <c r="B56" i="12" s="1"/>
  <c r="T8" i="50"/>
  <c r="T52" i="50" s="1"/>
  <c r="T8" i="47"/>
  <c r="T53" i="47" s="1"/>
  <c r="T8" i="45"/>
  <c r="T53" i="45" s="1"/>
  <c r="T8" i="43"/>
  <c r="T52" i="43" s="1"/>
  <c r="T8" i="38"/>
  <c r="T52" i="38" s="1"/>
  <c r="T8" i="23"/>
  <c r="T53" i="23" s="1"/>
  <c r="T8" i="13"/>
  <c r="T52" i="13" s="1"/>
  <c r="T8" i="15"/>
  <c r="T52" i="15" s="1"/>
  <c r="T8" i="12"/>
  <c r="T53" i="12" s="1"/>
  <c r="T8" i="11"/>
  <c r="T52" i="11" s="1"/>
  <c r="T8" i="10"/>
  <c r="B45" i="11" l="1"/>
  <c r="B45" i="15"/>
  <c r="B46" i="47"/>
  <c r="B45" i="50"/>
  <c r="N7" i="60" s="1"/>
  <c r="B56" i="11"/>
  <c r="B57" i="12"/>
  <c r="B56" i="15"/>
  <c r="G18" i="60" s="1"/>
  <c r="B56" i="13"/>
  <c r="F18" i="60" s="1"/>
  <c r="B56" i="43"/>
  <c r="B57" i="47"/>
  <c r="B56" i="50"/>
  <c r="N18" i="60" s="1"/>
  <c r="B53" i="23"/>
  <c r="H14" i="60" s="1"/>
  <c r="B52" i="50"/>
  <c r="B49" i="47"/>
  <c r="B48" i="15"/>
  <c r="B45" i="38"/>
  <c r="I7" i="60" s="1"/>
  <c r="B48" i="10"/>
  <c r="B48" i="38"/>
  <c r="B47" i="38"/>
  <c r="I9" i="60" s="1"/>
  <c r="B54" i="47"/>
  <c r="M15" i="60" s="1"/>
  <c r="B53" i="12"/>
  <c r="B52" i="43"/>
  <c r="B48" i="43"/>
  <c r="K10" i="60" s="1"/>
  <c r="J84" i="11"/>
  <c r="B48" i="47"/>
  <c r="M9" i="60" s="1"/>
  <c r="B55" i="50"/>
  <c r="N17" i="60" s="1"/>
  <c r="L84" i="23"/>
  <c r="L85" i="23" s="1"/>
  <c r="B56" i="47"/>
  <c r="M17" i="60" s="1"/>
  <c r="B53" i="50"/>
  <c r="N15" i="60" s="1"/>
  <c r="B45" i="10"/>
  <c r="B56" i="10"/>
  <c r="C18" i="60" s="1"/>
  <c r="B52" i="13"/>
  <c r="F14" i="60" s="1"/>
  <c r="B53" i="47"/>
  <c r="B48" i="13"/>
  <c r="F10" i="60" s="1"/>
  <c r="K85" i="58"/>
  <c r="B45" i="13"/>
  <c r="F7" i="60" s="1"/>
  <c r="B45" i="43"/>
  <c r="K7" i="60" s="1"/>
  <c r="B52" i="15"/>
  <c r="G14" i="60" s="1"/>
  <c r="B47" i="50"/>
  <c r="N9" i="60" s="1"/>
  <c r="B46" i="12"/>
  <c r="E7" i="60" s="1"/>
  <c r="B48" i="11"/>
  <c r="D10" i="60" s="1"/>
  <c r="J85" i="12"/>
  <c r="B52" i="38"/>
  <c r="B49" i="12"/>
  <c r="E10" i="60" s="1"/>
  <c r="B48" i="50"/>
  <c r="B56" i="38"/>
  <c r="I18" i="60" s="1"/>
  <c r="B54" i="45"/>
  <c r="L15" i="60" s="1"/>
  <c r="B53" i="45"/>
  <c r="L14" i="60" s="1"/>
  <c r="B56" i="45"/>
  <c r="L17" i="60" s="1"/>
  <c r="B57" i="45"/>
  <c r="L18" i="60" s="1"/>
  <c r="K14" i="60"/>
  <c r="D18" i="60"/>
  <c r="C59" i="18"/>
  <c r="C78" i="18"/>
  <c r="C60" i="18"/>
  <c r="C79" i="18"/>
  <c r="C56" i="18"/>
  <c r="C75" i="18"/>
  <c r="C49" i="18"/>
  <c r="C68" i="18"/>
  <c r="N10" i="60"/>
  <c r="K18" i="60"/>
  <c r="K17" i="60"/>
  <c r="K15" i="60"/>
  <c r="K9" i="60"/>
  <c r="H15" i="60"/>
  <c r="H17" i="60"/>
  <c r="G15" i="60"/>
  <c r="G9" i="60"/>
  <c r="G17" i="60"/>
  <c r="G10" i="60"/>
  <c r="F9" i="60"/>
  <c r="F17" i="60"/>
  <c r="F32" i="18"/>
  <c r="AP56" i="18" s="1"/>
  <c r="E14" i="60"/>
  <c r="E17" i="60"/>
  <c r="E15" i="60"/>
  <c r="E18" i="60"/>
  <c r="E9" i="60"/>
  <c r="D15" i="60"/>
  <c r="D26" i="18"/>
  <c r="AP21" i="18" s="1"/>
  <c r="D17" i="60"/>
  <c r="D7" i="60"/>
  <c r="C10" i="60"/>
  <c r="C17" i="60"/>
  <c r="C9" i="60"/>
  <c r="C15" i="60"/>
  <c r="I15" i="60"/>
  <c r="I17" i="60"/>
  <c r="I10" i="60"/>
  <c r="O79" i="58"/>
  <c r="O80" i="58" s="1"/>
  <c r="O75" i="58"/>
  <c r="O76" i="58" s="1"/>
  <c r="R16" i="60"/>
  <c r="Q16" i="60"/>
  <c r="P16" i="60"/>
  <c r="L84" i="12"/>
  <c r="L85" i="12" s="1"/>
  <c r="N84" i="58"/>
  <c r="N85" i="58" s="1"/>
  <c r="L83" i="10"/>
  <c r="L84" i="10" s="1"/>
  <c r="N34" i="18"/>
  <c r="AP175" i="18" s="1"/>
  <c r="N33" i="18"/>
  <c r="AP174" i="18" s="1"/>
  <c r="N25" i="18"/>
  <c r="AP166" i="18" s="1"/>
  <c r="N32" i="18"/>
  <c r="AP173" i="18" s="1"/>
  <c r="M33" i="18"/>
  <c r="AP161" i="18" s="1"/>
  <c r="M25" i="18"/>
  <c r="AP153" i="18" s="1"/>
  <c r="M26" i="18"/>
  <c r="AP154" i="18" s="1"/>
  <c r="L34" i="18"/>
  <c r="AP149" i="18" s="1"/>
  <c r="L33" i="18"/>
  <c r="AP148" i="18" s="1"/>
  <c r="K25" i="18"/>
  <c r="AP127" i="18" s="1"/>
  <c r="K33" i="18"/>
  <c r="AP135" i="18" s="1"/>
  <c r="AP121" i="18"/>
  <c r="AP122" i="18"/>
  <c r="AP123" i="18"/>
  <c r="AP114" i="18"/>
  <c r="I25" i="18"/>
  <c r="AP101" i="18" s="1"/>
  <c r="I33" i="18"/>
  <c r="AP109" i="18" s="1"/>
  <c r="H33" i="18"/>
  <c r="AP96" i="18" s="1"/>
  <c r="G33" i="18"/>
  <c r="AP70" i="18" s="1"/>
  <c r="G25" i="18"/>
  <c r="AP62" i="18" s="1"/>
  <c r="F33" i="18"/>
  <c r="AP57" i="18" s="1"/>
  <c r="F25" i="18"/>
  <c r="AP49" i="18" s="1"/>
  <c r="E25" i="18"/>
  <c r="AP33" i="18" s="1"/>
  <c r="E33" i="18"/>
  <c r="AP44" i="18" s="1"/>
  <c r="D33" i="18"/>
  <c r="AP28" i="18" s="1"/>
  <c r="D25" i="18"/>
  <c r="AP20" i="18" s="1"/>
  <c r="D34" i="18"/>
  <c r="AP29" i="18" s="1"/>
  <c r="C25" i="18"/>
  <c r="AP7" i="18" s="1"/>
  <c r="C33" i="18"/>
  <c r="AP15" i="18" s="1"/>
  <c r="O64" i="58"/>
  <c r="N62" i="58"/>
  <c r="M71" i="10"/>
  <c r="M74" i="47"/>
  <c r="M76" i="47" s="1"/>
  <c r="M84" i="47" s="1"/>
  <c r="M85" i="47" s="1"/>
  <c r="M71" i="11"/>
  <c r="M73" i="13"/>
  <c r="M75" i="13" s="1"/>
  <c r="M83" i="13" s="1"/>
  <c r="M84" i="13" s="1"/>
  <c r="M73" i="43"/>
  <c r="M75" i="43" s="1"/>
  <c r="M83" i="43" s="1"/>
  <c r="M84" i="43" s="1"/>
  <c r="N60" i="13"/>
  <c r="N73" i="13" s="1"/>
  <c r="N60" i="38"/>
  <c r="N61" i="47"/>
  <c r="N61" i="12"/>
  <c r="N78" i="12" s="1"/>
  <c r="N80" i="12" s="1"/>
  <c r="N60" i="50"/>
  <c r="N73" i="50" s="1"/>
  <c r="N60" i="15"/>
  <c r="N61" i="45"/>
  <c r="M74" i="12"/>
  <c r="M76" i="12" s="1"/>
  <c r="M73" i="38"/>
  <c r="M75" i="38" s="1"/>
  <c r="M83" i="38" s="1"/>
  <c r="M84" i="38" s="1"/>
  <c r="M73" i="50"/>
  <c r="M75" i="50" s="1"/>
  <c r="M83" i="50" s="1"/>
  <c r="M84" i="50" s="1"/>
  <c r="M74" i="23"/>
  <c r="M76" i="23" s="1"/>
  <c r="M84" i="23" s="1"/>
  <c r="M85" i="23" s="1"/>
  <c r="M73" i="15"/>
  <c r="M75" i="15" s="1"/>
  <c r="M83" i="15" s="1"/>
  <c r="M84" i="15" s="1"/>
  <c r="M67" i="11"/>
  <c r="M73" i="11"/>
  <c r="M75" i="11" s="1"/>
  <c r="M76" i="45"/>
  <c r="M84" i="45" s="1"/>
  <c r="M85" i="45" s="1"/>
  <c r="N12" i="60"/>
  <c r="I12" i="60"/>
  <c r="N75" i="23"/>
  <c r="G12" i="60"/>
  <c r="M68" i="12"/>
  <c r="D12" i="60"/>
  <c r="N74" i="10"/>
  <c r="C12" i="60"/>
  <c r="N73" i="10"/>
  <c r="G6" i="60"/>
  <c r="M6" i="60"/>
  <c r="N74" i="11"/>
  <c r="N6" i="60"/>
  <c r="M11" i="60"/>
  <c r="N61" i="10"/>
  <c r="N77" i="10" s="1"/>
  <c r="N79" i="10" s="1"/>
  <c r="N61" i="11"/>
  <c r="N77" i="11" s="1"/>
  <c r="N79" i="11" s="1"/>
  <c r="N62" i="47"/>
  <c r="N78" i="47" s="1"/>
  <c r="N80" i="47" s="1"/>
  <c r="N61" i="38"/>
  <c r="N77" i="38" s="1"/>
  <c r="N79" i="38" s="1"/>
  <c r="N61" i="43"/>
  <c r="N77" i="43" s="1"/>
  <c r="N79" i="43" s="1"/>
  <c r="N62" i="45"/>
  <c r="N78" i="45" s="1"/>
  <c r="N80" i="45" s="1"/>
  <c r="N61" i="50"/>
  <c r="N77" i="50" s="1"/>
  <c r="N79" i="50" s="1"/>
  <c r="N61" i="13"/>
  <c r="N77" i="13" s="1"/>
  <c r="N79" i="13" s="1"/>
  <c r="N62" i="23"/>
  <c r="N78" i="23" s="1"/>
  <c r="N80" i="23" s="1"/>
  <c r="N61" i="15"/>
  <c r="N77" i="15" s="1"/>
  <c r="N79" i="15" s="1"/>
  <c r="N62" i="12"/>
  <c r="N74" i="15"/>
  <c r="N74" i="43"/>
  <c r="I6" i="60"/>
  <c r="N74" i="38"/>
  <c r="E6" i="60"/>
  <c r="AP112" i="18"/>
  <c r="N75" i="12"/>
  <c r="N75" i="47"/>
  <c r="F6" i="60"/>
  <c r="K6" i="60"/>
  <c r="O62" i="11"/>
  <c r="O62" i="50"/>
  <c r="O63" i="47"/>
  <c r="O62" i="38"/>
  <c r="O62" i="43"/>
  <c r="O63" i="45"/>
  <c r="O62" i="13"/>
  <c r="O63" i="23"/>
  <c r="O62" i="15"/>
  <c r="O63" i="12"/>
  <c r="O79" i="12" s="1"/>
  <c r="N75" i="45"/>
  <c r="N74" i="50"/>
  <c r="H11" i="60"/>
  <c r="O63" i="10"/>
  <c r="O78" i="10" s="1"/>
  <c r="O63" i="11"/>
  <c r="O78" i="11" s="1"/>
  <c r="O63" i="50"/>
  <c r="O78" i="50" s="1"/>
  <c r="O64" i="47"/>
  <c r="O79" i="47" s="1"/>
  <c r="O63" i="38"/>
  <c r="O78" i="38" s="1"/>
  <c r="O64" i="45"/>
  <c r="O79" i="45" s="1"/>
  <c r="O63" i="43"/>
  <c r="O78" i="43" s="1"/>
  <c r="O63" i="13"/>
  <c r="O78" i="13" s="1"/>
  <c r="O64" i="23"/>
  <c r="O79" i="23" s="1"/>
  <c r="O63" i="15"/>
  <c r="O78" i="15" s="1"/>
  <c r="O64" i="12"/>
  <c r="D6" i="60"/>
  <c r="N74" i="13"/>
  <c r="N74" i="23"/>
  <c r="L67" i="11"/>
  <c r="L83" i="11" s="1"/>
  <c r="L84" i="11" s="1"/>
  <c r="N73" i="43"/>
  <c r="O60" i="11"/>
  <c r="O61" i="47"/>
  <c r="O60" i="38"/>
  <c r="O60" i="43"/>
  <c r="O61" i="45"/>
  <c r="O61" i="23"/>
  <c r="O60" i="15"/>
  <c r="O60" i="13"/>
  <c r="O61" i="12"/>
  <c r="O78" i="12" s="1"/>
  <c r="O60" i="50"/>
  <c r="N73" i="11"/>
  <c r="M75" i="10"/>
  <c r="M67" i="10"/>
  <c r="AD52" i="10"/>
  <c r="O60" i="10"/>
  <c r="T52" i="10"/>
  <c r="AD44" i="10"/>
  <c r="O62" i="10"/>
  <c r="P63" i="58"/>
  <c r="M10" i="60"/>
  <c r="AC48" i="23"/>
  <c r="AD48" i="23"/>
  <c r="P2" i="47"/>
  <c r="P43" i="47" s="1"/>
  <c r="P44" i="47" s="1"/>
  <c r="P2" i="15"/>
  <c r="P42" i="15" s="1"/>
  <c r="P43" i="15" s="1"/>
  <c r="P2" i="43"/>
  <c r="P42" i="43" s="1"/>
  <c r="P43" i="43" s="1"/>
  <c r="P2" i="12"/>
  <c r="P43" i="12" s="1"/>
  <c r="P44" i="12" s="1"/>
  <c r="Q2" i="58"/>
  <c r="Q43" i="58" s="1"/>
  <c r="Q44" i="58" s="1"/>
  <c r="P2" i="50"/>
  <c r="P42" i="50" s="1"/>
  <c r="P2" i="23"/>
  <c r="P43" i="23" s="1"/>
  <c r="P44" i="23" s="1"/>
  <c r="P2" i="45"/>
  <c r="P43" i="45" s="1"/>
  <c r="P44" i="45" s="1"/>
  <c r="P2" i="13"/>
  <c r="P42" i="13" s="1"/>
  <c r="P43" i="13" s="1"/>
  <c r="P2" i="11"/>
  <c r="P42" i="11" s="1"/>
  <c r="P43" i="11" s="1"/>
  <c r="P2" i="38"/>
  <c r="P42" i="38" s="1"/>
  <c r="P43" i="38" s="1"/>
  <c r="P2" i="10"/>
  <c r="P42" i="10" s="1"/>
  <c r="P43" i="10" s="1"/>
  <c r="AD45" i="23"/>
  <c r="M14" i="60"/>
  <c r="X46" i="23"/>
  <c r="X45" i="23"/>
  <c r="M7" i="60"/>
  <c r="N14" i="60"/>
  <c r="G7" i="60"/>
  <c r="V49" i="23"/>
  <c r="U49" i="23"/>
  <c r="AC45" i="23"/>
  <c r="AD46" i="23"/>
  <c r="X49" i="23"/>
  <c r="I14" i="60"/>
  <c r="AD49" i="23"/>
  <c r="AC49" i="23"/>
  <c r="X47" i="23"/>
  <c r="V46" i="23"/>
  <c r="U46" i="23"/>
  <c r="AC46" i="23"/>
  <c r="AD47" i="23"/>
  <c r="AC47" i="23"/>
  <c r="C7" i="60"/>
  <c r="X48" i="23"/>
  <c r="M18" i="60"/>
  <c r="M32" i="18" l="1"/>
  <c r="AP160" i="18" s="1"/>
  <c r="M34" i="18"/>
  <c r="AP162" i="18" s="1"/>
  <c r="I26" i="18"/>
  <c r="AP102" i="18" s="1"/>
  <c r="L32" i="18"/>
  <c r="AP147" i="18" s="1"/>
  <c r="N26" i="18"/>
  <c r="AP167" i="18" s="1"/>
  <c r="B44" i="10"/>
  <c r="C6" i="60" s="1"/>
  <c r="P43" i="50"/>
  <c r="B52" i="10"/>
  <c r="C14" i="60" s="1"/>
  <c r="I32" i="18"/>
  <c r="AP108" i="18" s="1"/>
  <c r="F26" i="18"/>
  <c r="AP50" i="18" s="1"/>
  <c r="H32" i="18"/>
  <c r="AP95" i="18" s="1"/>
  <c r="D32" i="18"/>
  <c r="AP27" i="18" s="1"/>
  <c r="P12" i="60"/>
  <c r="Q12" i="60"/>
  <c r="R12" i="60"/>
  <c r="K26" i="18"/>
  <c r="AP128" i="18" s="1"/>
  <c r="K34" i="18"/>
  <c r="AP136" i="18" s="1"/>
  <c r="K32" i="18"/>
  <c r="AP134" i="18" s="1"/>
  <c r="G32" i="18"/>
  <c r="AP69" i="18" s="1"/>
  <c r="F34" i="18"/>
  <c r="AP58" i="18" s="1"/>
  <c r="E32" i="18"/>
  <c r="AP43" i="18" s="1"/>
  <c r="G26" i="18"/>
  <c r="AP63" i="18" s="1"/>
  <c r="E34" i="18"/>
  <c r="AP45" i="18" s="1"/>
  <c r="C32" i="18"/>
  <c r="AP14" i="18" s="1"/>
  <c r="C34" i="18"/>
  <c r="AP16" i="18" s="1"/>
  <c r="I34" i="18"/>
  <c r="AP110" i="18" s="1"/>
  <c r="H34" i="18"/>
  <c r="AP97" i="18" s="1"/>
  <c r="G34" i="18"/>
  <c r="AP71" i="18" s="1"/>
  <c r="F15" i="60"/>
  <c r="Q15" i="60" s="1"/>
  <c r="E26" i="18"/>
  <c r="AP34" i="18" s="1"/>
  <c r="D9" i="60"/>
  <c r="C26" i="18"/>
  <c r="AP8" i="18" s="1"/>
  <c r="P17" i="60"/>
  <c r="Q17" i="60"/>
  <c r="R17" i="60"/>
  <c r="N74" i="12"/>
  <c r="N76" i="12" s="1"/>
  <c r="M83" i="10"/>
  <c r="M84" i="10" s="1"/>
  <c r="O84" i="58"/>
  <c r="O85" i="58" s="1"/>
  <c r="P79" i="58"/>
  <c r="P80" i="58" s="1"/>
  <c r="P75" i="58"/>
  <c r="P76" i="58" s="1"/>
  <c r="O80" i="12"/>
  <c r="M84" i="12"/>
  <c r="M85" i="12" s="1"/>
  <c r="M83" i="11"/>
  <c r="M84" i="11" s="1"/>
  <c r="N23" i="18"/>
  <c r="AP164" i="18" s="1"/>
  <c r="N35" i="18"/>
  <c r="AP176" i="18" s="1"/>
  <c r="N31" i="18"/>
  <c r="AP172" i="18" s="1"/>
  <c r="N29" i="18"/>
  <c r="AP170" i="18" s="1"/>
  <c r="N24" i="18"/>
  <c r="AP165" i="18" s="1"/>
  <c r="N27" i="18"/>
  <c r="AP168" i="18" s="1"/>
  <c r="M23" i="18"/>
  <c r="AP151" i="18" s="1"/>
  <c r="M28" i="18"/>
  <c r="AP156" i="18" s="1"/>
  <c r="M27" i="18"/>
  <c r="AP155" i="18" s="1"/>
  <c r="M29" i="18"/>
  <c r="AP157" i="18" s="1"/>
  <c r="M24" i="18"/>
  <c r="AP152" i="18" s="1"/>
  <c r="M35" i="18"/>
  <c r="AP163" i="18" s="1"/>
  <c r="M31" i="18"/>
  <c r="AP159" i="18" s="1"/>
  <c r="L35" i="18"/>
  <c r="AP150" i="18" s="1"/>
  <c r="L29" i="18"/>
  <c r="AP144" i="18" s="1"/>
  <c r="L31" i="18"/>
  <c r="AP146" i="18" s="1"/>
  <c r="K29" i="18"/>
  <c r="AP131" i="18" s="1"/>
  <c r="K23" i="18"/>
  <c r="AP125" i="18" s="1"/>
  <c r="K31" i="18"/>
  <c r="AP133" i="18" s="1"/>
  <c r="K24" i="18"/>
  <c r="AP126" i="18" s="1"/>
  <c r="K35" i="18"/>
  <c r="AP137" i="18" s="1"/>
  <c r="K27" i="18"/>
  <c r="AP129" i="18" s="1"/>
  <c r="AP115" i="18"/>
  <c r="AP124" i="18"/>
  <c r="AP117" i="18"/>
  <c r="AP118" i="18"/>
  <c r="AP116" i="18"/>
  <c r="AP113" i="18"/>
  <c r="AP120" i="18"/>
  <c r="I24" i="18"/>
  <c r="AP100" i="18" s="1"/>
  <c r="I27" i="18"/>
  <c r="AP103" i="18" s="1"/>
  <c r="I31" i="18"/>
  <c r="AP107" i="18" s="1"/>
  <c r="I29" i="18"/>
  <c r="AP105" i="18" s="1"/>
  <c r="I35" i="18"/>
  <c r="AP111" i="18" s="1"/>
  <c r="I23" i="18"/>
  <c r="AP99" i="18" s="1"/>
  <c r="H29" i="18"/>
  <c r="AP92" i="18" s="1"/>
  <c r="H28" i="18"/>
  <c r="AP91" i="18" s="1"/>
  <c r="H31" i="18"/>
  <c r="AP94" i="18" s="1"/>
  <c r="G24" i="18"/>
  <c r="AP61" i="18" s="1"/>
  <c r="G23" i="18"/>
  <c r="AP60" i="18" s="1"/>
  <c r="G31" i="18"/>
  <c r="AP68" i="18" s="1"/>
  <c r="G29" i="18"/>
  <c r="AP66" i="18" s="1"/>
  <c r="G35" i="18"/>
  <c r="AP72" i="18" s="1"/>
  <c r="G27" i="18"/>
  <c r="AP64" i="18" s="1"/>
  <c r="F23" i="18"/>
  <c r="AP47" i="18" s="1"/>
  <c r="F31" i="18"/>
  <c r="AP55" i="18" s="1"/>
  <c r="F35" i="18"/>
  <c r="AP59" i="18" s="1"/>
  <c r="F29" i="18"/>
  <c r="AP53" i="18" s="1"/>
  <c r="F24" i="18"/>
  <c r="AP48" i="18" s="1"/>
  <c r="F27" i="18"/>
  <c r="AP51" i="18" s="1"/>
  <c r="E27" i="18"/>
  <c r="AP35" i="18" s="1"/>
  <c r="E35" i="18"/>
  <c r="AP46" i="18" s="1"/>
  <c r="E31" i="18"/>
  <c r="AP42" i="18" s="1"/>
  <c r="E29" i="18"/>
  <c r="AP40" i="18" s="1"/>
  <c r="E24" i="18"/>
  <c r="AP32" i="18" s="1"/>
  <c r="E23" i="18"/>
  <c r="AP31" i="18" s="1"/>
  <c r="D27" i="18"/>
  <c r="AP22" i="18" s="1"/>
  <c r="D23" i="18"/>
  <c r="AP18" i="18" s="1"/>
  <c r="D29" i="18"/>
  <c r="AP24" i="18" s="1"/>
  <c r="D35" i="18"/>
  <c r="AP30" i="18" s="1"/>
  <c r="D24" i="18"/>
  <c r="AP19" i="18" s="1"/>
  <c r="C27" i="18"/>
  <c r="AP9" i="18" s="1"/>
  <c r="C24" i="18"/>
  <c r="AP6" i="18" s="1"/>
  <c r="C35" i="18"/>
  <c r="AP17" i="18" s="1"/>
  <c r="C29" i="18"/>
  <c r="AP11" i="18" s="1"/>
  <c r="P64" i="58"/>
  <c r="O62" i="58"/>
  <c r="N71" i="10"/>
  <c r="N71" i="11"/>
  <c r="N73" i="38"/>
  <c r="N75" i="38" s="1"/>
  <c r="N83" i="38" s="1"/>
  <c r="N84" i="38" s="1"/>
  <c r="N74" i="47"/>
  <c r="N76" i="47" s="1"/>
  <c r="N84" i="47" s="1"/>
  <c r="N85" i="47" s="1"/>
  <c r="N73" i="15"/>
  <c r="N75" i="15" s="1"/>
  <c r="N83" i="15" s="1"/>
  <c r="N84" i="15" s="1"/>
  <c r="N74" i="45"/>
  <c r="N76" i="45" s="1"/>
  <c r="N84" i="45" s="1"/>
  <c r="N85" i="45" s="1"/>
  <c r="N76" i="23"/>
  <c r="N84" i="23" s="1"/>
  <c r="N85" i="23" s="1"/>
  <c r="N75" i="11"/>
  <c r="N75" i="43"/>
  <c r="N83" i="43" s="1"/>
  <c r="N84" i="43" s="1"/>
  <c r="O75" i="23"/>
  <c r="N67" i="11"/>
  <c r="O74" i="10"/>
  <c r="O73" i="10"/>
  <c r="N75" i="50"/>
  <c r="N83" i="50" s="1"/>
  <c r="N84" i="50" s="1"/>
  <c r="O74" i="43"/>
  <c r="P63" i="10"/>
  <c r="P78" i="10" s="1"/>
  <c r="P63" i="11"/>
  <c r="P78" i="11" s="1"/>
  <c r="P63" i="50"/>
  <c r="P78" i="50" s="1"/>
  <c r="P64" i="47"/>
  <c r="P79" i="47" s="1"/>
  <c r="P63" i="38"/>
  <c r="P78" i="38" s="1"/>
  <c r="P63" i="43"/>
  <c r="P78" i="43" s="1"/>
  <c r="P64" i="45"/>
  <c r="P79" i="45" s="1"/>
  <c r="P63" i="13"/>
  <c r="P78" i="13" s="1"/>
  <c r="P64" i="23"/>
  <c r="P79" i="23" s="1"/>
  <c r="P64" i="12"/>
  <c r="P63" i="15"/>
  <c r="P78" i="15" s="1"/>
  <c r="O75" i="12"/>
  <c r="O74" i="38"/>
  <c r="O74" i="15"/>
  <c r="O75" i="47"/>
  <c r="N75" i="13"/>
  <c r="N83" i="13" s="1"/>
  <c r="N84" i="13" s="1"/>
  <c r="O74" i="50"/>
  <c r="P62" i="11"/>
  <c r="P63" i="47"/>
  <c r="P62" i="38"/>
  <c r="P62" i="43"/>
  <c r="P63" i="45"/>
  <c r="P62" i="13"/>
  <c r="P63" i="23"/>
  <c r="P62" i="15"/>
  <c r="P62" i="50"/>
  <c r="P63" i="12"/>
  <c r="P79" i="12" s="1"/>
  <c r="O74" i="13"/>
  <c r="O61" i="10"/>
  <c r="O77" i="10" s="1"/>
  <c r="O79" i="10" s="1"/>
  <c r="O61" i="11"/>
  <c r="O77" i="11" s="1"/>
  <c r="O79" i="11" s="1"/>
  <c r="O61" i="38"/>
  <c r="O61" i="43"/>
  <c r="O77" i="43" s="1"/>
  <c r="O79" i="43" s="1"/>
  <c r="O62" i="45"/>
  <c r="O78" i="45" s="1"/>
  <c r="O80" i="45" s="1"/>
  <c r="O61" i="50"/>
  <c r="O62" i="23"/>
  <c r="O78" i="23" s="1"/>
  <c r="O80" i="23" s="1"/>
  <c r="O61" i="15"/>
  <c r="O61" i="13"/>
  <c r="O77" i="13" s="1"/>
  <c r="O79" i="13" s="1"/>
  <c r="O62" i="12"/>
  <c r="O62" i="47"/>
  <c r="O78" i="47" s="1"/>
  <c r="O80" i="47" s="1"/>
  <c r="O75" i="45"/>
  <c r="O74" i="11"/>
  <c r="O74" i="47"/>
  <c r="O74" i="12"/>
  <c r="O73" i="38"/>
  <c r="N68" i="12"/>
  <c r="O73" i="15"/>
  <c r="P60" i="11"/>
  <c r="P60" i="43"/>
  <c r="P61" i="45"/>
  <c r="P60" i="50"/>
  <c r="P61" i="47"/>
  <c r="P60" i="13"/>
  <c r="P60" i="15"/>
  <c r="P61" i="12"/>
  <c r="P78" i="12" s="1"/>
  <c r="P60" i="38"/>
  <c r="P61" i="23"/>
  <c r="O73" i="13"/>
  <c r="O74" i="45"/>
  <c r="O73" i="50"/>
  <c r="O74" i="23"/>
  <c r="O73" i="43"/>
  <c r="O73" i="11"/>
  <c r="N67" i="10"/>
  <c r="N75" i="10"/>
  <c r="P62" i="10"/>
  <c r="Q63" i="58"/>
  <c r="P60" i="10"/>
  <c r="Q2" i="38"/>
  <c r="Q42" i="38" s="1"/>
  <c r="Q43" i="38" s="1"/>
  <c r="Q2" i="10"/>
  <c r="Q42" i="10" s="1"/>
  <c r="Q43" i="10" s="1"/>
  <c r="R2" i="58"/>
  <c r="R43" i="58" s="1"/>
  <c r="R44" i="58" s="1"/>
  <c r="Q2" i="12"/>
  <c r="Q43" i="12" s="1"/>
  <c r="Q44" i="12" s="1"/>
  <c r="Q2" i="47"/>
  <c r="Q43" i="47" s="1"/>
  <c r="Q44" i="47" s="1"/>
  <c r="Q2" i="13"/>
  <c r="Q42" i="13" s="1"/>
  <c r="Q43" i="13" s="1"/>
  <c r="Q2" i="50"/>
  <c r="Q42" i="50" s="1"/>
  <c r="Q43" i="50" s="1"/>
  <c r="Q2" i="23"/>
  <c r="Q43" i="23" s="1"/>
  <c r="Q44" i="23" s="1"/>
  <c r="Q2" i="15"/>
  <c r="Q42" i="15" s="1"/>
  <c r="Q43" i="15" s="1"/>
  <c r="Q2" i="45"/>
  <c r="Q43" i="45" s="1"/>
  <c r="Q44" i="45" s="1"/>
  <c r="Q2" i="11"/>
  <c r="Q42" i="11" s="1"/>
  <c r="Q43" i="11" s="1"/>
  <c r="Q2" i="43"/>
  <c r="Q42" i="43" s="1"/>
  <c r="Q43" i="43" s="1"/>
  <c r="AQ169" i="18"/>
  <c r="Y45" i="23"/>
  <c r="Y47" i="23"/>
  <c r="Y49" i="23"/>
  <c r="Y48" i="23"/>
  <c r="AQ143" i="18"/>
  <c r="Y46" i="23"/>
  <c r="C23" i="18" l="1"/>
  <c r="AP5" i="18" s="1"/>
  <c r="P15" i="60"/>
  <c r="R15" i="60"/>
  <c r="P84" i="58"/>
  <c r="P85" i="58" s="1"/>
  <c r="N84" i="12"/>
  <c r="N85" i="12" s="1"/>
  <c r="N83" i="11"/>
  <c r="N84" i="11" s="1"/>
  <c r="Q79" i="58"/>
  <c r="Q80" i="58" s="1"/>
  <c r="Q75" i="58"/>
  <c r="Q76" i="58" s="1"/>
  <c r="P80" i="12"/>
  <c r="N83" i="10"/>
  <c r="N84" i="10" s="1"/>
  <c r="O77" i="50"/>
  <c r="O79" i="50" s="1"/>
  <c r="AQ104" i="18"/>
  <c r="O77" i="38"/>
  <c r="O79" i="38" s="1"/>
  <c r="O77" i="15"/>
  <c r="O79" i="15" s="1"/>
  <c r="C31" i="18"/>
  <c r="AP13" i="18" s="1"/>
  <c r="Q64" i="58"/>
  <c r="P62" i="58"/>
  <c r="O71" i="11"/>
  <c r="O71" i="10"/>
  <c r="O76" i="23"/>
  <c r="O84" i="23" s="1"/>
  <c r="O85" i="23" s="1"/>
  <c r="O76" i="12"/>
  <c r="O68" i="12"/>
  <c r="O76" i="45"/>
  <c r="O84" i="45" s="1"/>
  <c r="O85" i="45" s="1"/>
  <c r="O67" i="11"/>
  <c r="O75" i="13"/>
  <c r="O83" i="13" s="1"/>
  <c r="O84" i="13" s="1"/>
  <c r="O75" i="50"/>
  <c r="O75" i="11"/>
  <c r="P75" i="23"/>
  <c r="P74" i="10"/>
  <c r="O75" i="15"/>
  <c r="P73" i="10"/>
  <c r="O75" i="38"/>
  <c r="P75" i="45"/>
  <c r="P74" i="11"/>
  <c r="P74" i="13"/>
  <c r="Q63" i="10"/>
  <c r="Q78" i="10" s="1"/>
  <c r="Q63" i="11"/>
  <c r="Q78" i="11" s="1"/>
  <c r="Q63" i="50"/>
  <c r="Q78" i="50" s="1"/>
  <c r="Q64" i="47"/>
  <c r="Q79" i="47" s="1"/>
  <c r="Q63" i="38"/>
  <c r="Q78" i="38" s="1"/>
  <c r="Q63" i="43"/>
  <c r="Q78" i="43" s="1"/>
  <c r="Q64" i="45"/>
  <c r="Q79" i="45" s="1"/>
  <c r="Q63" i="13"/>
  <c r="Q78" i="13" s="1"/>
  <c r="Q64" i="23"/>
  <c r="Q79" i="23" s="1"/>
  <c r="Q63" i="15"/>
  <c r="Q78" i="15" s="1"/>
  <c r="Q64" i="12"/>
  <c r="P75" i="12"/>
  <c r="O75" i="43"/>
  <c r="O83" i="43" s="1"/>
  <c r="O84" i="43" s="1"/>
  <c r="P74" i="50"/>
  <c r="P74" i="43"/>
  <c r="O76" i="47"/>
  <c r="O84" i="47" s="1"/>
  <c r="O85" i="47" s="1"/>
  <c r="P74" i="38"/>
  <c r="P75" i="47"/>
  <c r="P61" i="10"/>
  <c r="P77" i="10" s="1"/>
  <c r="P79" i="10" s="1"/>
  <c r="P61" i="11"/>
  <c r="P77" i="11" s="1"/>
  <c r="P79" i="11" s="1"/>
  <c r="P61" i="43"/>
  <c r="P77" i="43" s="1"/>
  <c r="P79" i="43" s="1"/>
  <c r="P62" i="45"/>
  <c r="P78" i="45" s="1"/>
  <c r="P80" i="45" s="1"/>
  <c r="P62" i="47"/>
  <c r="P78" i="47" s="1"/>
  <c r="P80" i="47" s="1"/>
  <c r="P62" i="23"/>
  <c r="P78" i="23" s="1"/>
  <c r="P80" i="23" s="1"/>
  <c r="P61" i="15"/>
  <c r="P61" i="50"/>
  <c r="P61" i="38"/>
  <c r="P61" i="13"/>
  <c r="P77" i="13" s="1"/>
  <c r="P79" i="13" s="1"/>
  <c r="P62" i="12"/>
  <c r="Q62" i="11"/>
  <c r="Q62" i="38"/>
  <c r="Q62" i="43"/>
  <c r="Q63" i="45"/>
  <c r="Q62" i="50"/>
  <c r="Q63" i="23"/>
  <c r="Q62" i="15"/>
  <c r="Q63" i="47"/>
  <c r="Q62" i="13"/>
  <c r="Q63" i="12"/>
  <c r="Q79" i="12" s="1"/>
  <c r="P74" i="15"/>
  <c r="P73" i="13"/>
  <c r="P73" i="50"/>
  <c r="P73" i="43"/>
  <c r="P74" i="23"/>
  <c r="P73" i="15"/>
  <c r="P73" i="38"/>
  <c r="P74" i="45"/>
  <c r="Q60" i="11"/>
  <c r="Q61" i="45"/>
  <c r="Q60" i="50"/>
  <c r="Q61" i="47"/>
  <c r="Q60" i="38"/>
  <c r="Q60" i="43"/>
  <c r="Q61" i="12"/>
  <c r="Q78" i="12" s="1"/>
  <c r="Q60" i="13"/>
  <c r="Q61" i="23"/>
  <c r="Q60" i="15"/>
  <c r="P74" i="12"/>
  <c r="P74" i="47"/>
  <c r="P73" i="11"/>
  <c r="O67" i="10"/>
  <c r="O75" i="10"/>
  <c r="Q60" i="10"/>
  <c r="Q62" i="10"/>
  <c r="R63" i="58"/>
  <c r="R2" i="47"/>
  <c r="R43" i="47" s="1"/>
  <c r="R44" i="47" s="1"/>
  <c r="R2" i="15"/>
  <c r="R42" i="15" s="1"/>
  <c r="R43" i="15" s="1"/>
  <c r="R2" i="43"/>
  <c r="R42" i="43" s="1"/>
  <c r="R43" i="43" s="1"/>
  <c r="R2" i="13"/>
  <c r="R42" i="13" s="1"/>
  <c r="R43" i="13" s="1"/>
  <c r="R2" i="12"/>
  <c r="R43" i="12" s="1"/>
  <c r="R44" i="12" s="1"/>
  <c r="R2" i="38"/>
  <c r="R42" i="38" s="1"/>
  <c r="R43" i="38" s="1"/>
  <c r="R2" i="11"/>
  <c r="R42" i="11" s="1"/>
  <c r="R43" i="11" s="1"/>
  <c r="R2" i="10"/>
  <c r="R42" i="10" s="1"/>
  <c r="R43" i="10" s="1"/>
  <c r="R2" i="50"/>
  <c r="R42" i="50" s="1"/>
  <c r="R43" i="50" s="1"/>
  <c r="R2" i="23"/>
  <c r="R43" i="23" s="1"/>
  <c r="R44" i="23" s="1"/>
  <c r="S2" i="58"/>
  <c r="S43" i="58" s="1"/>
  <c r="S44" i="58" s="1"/>
  <c r="R2" i="45"/>
  <c r="R43" i="45" s="1"/>
  <c r="R44" i="45" s="1"/>
  <c r="P47" i="23"/>
  <c r="P46" i="23"/>
  <c r="AA49" i="23"/>
  <c r="Z49" i="23"/>
  <c r="V47" i="23"/>
  <c r="U47" i="23"/>
  <c r="V48" i="23"/>
  <c r="U48" i="23"/>
  <c r="Z45" i="23"/>
  <c r="P49" i="23"/>
  <c r="Z46" i="23"/>
  <c r="I11" i="60"/>
  <c r="P48" i="23"/>
  <c r="Z48" i="23"/>
  <c r="Z47" i="23"/>
  <c r="V45" i="23"/>
  <c r="U45" i="23"/>
  <c r="M53" i="18" l="1"/>
  <c r="K53" i="18"/>
  <c r="O84" i="12"/>
  <c r="O85" i="12" s="1"/>
  <c r="O83" i="50"/>
  <c r="O84" i="50" s="1"/>
  <c r="Q80" i="12"/>
  <c r="R79" i="58"/>
  <c r="R80" i="58" s="1"/>
  <c r="R75" i="58"/>
  <c r="R76" i="58" s="1"/>
  <c r="O83" i="38"/>
  <c r="O84" i="38" s="1"/>
  <c r="Q84" i="58"/>
  <c r="Q85" i="58" s="1"/>
  <c r="O83" i="15"/>
  <c r="O84" i="15" s="1"/>
  <c r="O83" i="11"/>
  <c r="O84" i="11" s="1"/>
  <c r="O83" i="10"/>
  <c r="O84" i="10" s="1"/>
  <c r="P77" i="50"/>
  <c r="P79" i="50" s="1"/>
  <c r="P77" i="38"/>
  <c r="P79" i="38" s="1"/>
  <c r="P77" i="15"/>
  <c r="P79" i="15" s="1"/>
  <c r="R64" i="58"/>
  <c r="Q62" i="58"/>
  <c r="P71" i="10"/>
  <c r="P71" i="11"/>
  <c r="P75" i="50"/>
  <c r="P76" i="45"/>
  <c r="P84" i="45" s="1"/>
  <c r="P85" i="45" s="1"/>
  <c r="P76" i="23"/>
  <c r="P84" i="23" s="1"/>
  <c r="P85" i="23" s="1"/>
  <c r="P76" i="12"/>
  <c r="P75" i="11"/>
  <c r="P67" i="11"/>
  <c r="P76" i="47"/>
  <c r="P84" i="47" s="1"/>
  <c r="P85" i="47" s="1"/>
  <c r="P75" i="43"/>
  <c r="P83" i="43" s="1"/>
  <c r="P84" i="43" s="1"/>
  <c r="P75" i="38"/>
  <c r="P75" i="10"/>
  <c r="Q75" i="23"/>
  <c r="P75" i="15"/>
  <c r="P68" i="12"/>
  <c r="Q74" i="10"/>
  <c r="Q73" i="10"/>
  <c r="Q75" i="47"/>
  <c r="Q74" i="15"/>
  <c r="AA45" i="23"/>
  <c r="Q74" i="50"/>
  <c r="Q74" i="11"/>
  <c r="P75" i="13"/>
  <c r="P83" i="13" s="1"/>
  <c r="P84" i="13" s="1"/>
  <c r="Q75" i="12"/>
  <c r="N11" i="60"/>
  <c r="Q61" i="10"/>
  <c r="Q77" i="10" s="1"/>
  <c r="Q79" i="10" s="1"/>
  <c r="Q61" i="11"/>
  <c r="Q77" i="11" s="1"/>
  <c r="Q79" i="11" s="1"/>
  <c r="Q62" i="45"/>
  <c r="Q78" i="45" s="1"/>
  <c r="Q80" i="45" s="1"/>
  <c r="Q61" i="50"/>
  <c r="Q61" i="38"/>
  <c r="Q61" i="43"/>
  <c r="Q77" i="43" s="1"/>
  <c r="Q79" i="43" s="1"/>
  <c r="Q61" i="13"/>
  <c r="Q77" i="13" s="1"/>
  <c r="Q79" i="13" s="1"/>
  <c r="Q62" i="23"/>
  <c r="Q78" i="23" s="1"/>
  <c r="Q80" i="23" s="1"/>
  <c r="Q62" i="12"/>
  <c r="Q62" i="47"/>
  <c r="Q78" i="47" s="1"/>
  <c r="Q80" i="47" s="1"/>
  <c r="Q61" i="15"/>
  <c r="I28" i="18"/>
  <c r="AP104" i="18" s="1"/>
  <c r="R62" i="11"/>
  <c r="R62" i="43"/>
  <c r="R63" i="45"/>
  <c r="R63" i="47"/>
  <c r="R63" i="23"/>
  <c r="R62" i="15"/>
  <c r="R62" i="38"/>
  <c r="R62" i="50"/>
  <c r="R63" i="12"/>
  <c r="R79" i="12" s="1"/>
  <c r="R62" i="13"/>
  <c r="AA47" i="23"/>
  <c r="Q75" i="45"/>
  <c r="L11" i="60"/>
  <c r="AA48" i="23"/>
  <c r="AA46" i="23"/>
  <c r="Q74" i="13"/>
  <c r="Q74" i="43"/>
  <c r="Q74" i="38"/>
  <c r="R63" i="10"/>
  <c r="R78" i="10" s="1"/>
  <c r="R63" i="11"/>
  <c r="R78" i="11" s="1"/>
  <c r="R64" i="47"/>
  <c r="R79" i="47" s="1"/>
  <c r="R63" i="38"/>
  <c r="R78" i="38" s="1"/>
  <c r="R63" i="43"/>
  <c r="R78" i="43" s="1"/>
  <c r="R64" i="45"/>
  <c r="R79" i="45" s="1"/>
  <c r="R63" i="13"/>
  <c r="R78" i="13" s="1"/>
  <c r="R64" i="23"/>
  <c r="R79" i="23" s="1"/>
  <c r="R63" i="15"/>
  <c r="R78" i="15" s="1"/>
  <c r="R64" i="12"/>
  <c r="R63" i="50"/>
  <c r="R78" i="50" s="1"/>
  <c r="Q73" i="13"/>
  <c r="Q73" i="38"/>
  <c r="Q74" i="45"/>
  <c r="Q73" i="15"/>
  <c r="Q74" i="12"/>
  <c r="Q74" i="47"/>
  <c r="Q73" i="11"/>
  <c r="R60" i="11"/>
  <c r="R60" i="50"/>
  <c r="R61" i="47"/>
  <c r="R60" i="38"/>
  <c r="R60" i="43"/>
  <c r="R61" i="45"/>
  <c r="R61" i="12"/>
  <c r="R78" i="12" s="1"/>
  <c r="R61" i="23"/>
  <c r="R60" i="15"/>
  <c r="R60" i="13"/>
  <c r="Q74" i="23"/>
  <c r="Q73" i="43"/>
  <c r="Q73" i="50"/>
  <c r="P67" i="10"/>
  <c r="R60" i="10"/>
  <c r="R62" i="10"/>
  <c r="S63" i="58"/>
  <c r="S2" i="38"/>
  <c r="S42" i="38" s="1"/>
  <c r="S43" i="38" s="1"/>
  <c r="S2" i="50"/>
  <c r="S42" i="50" s="1"/>
  <c r="S43" i="50" s="1"/>
  <c r="S2" i="23"/>
  <c r="S43" i="23" s="1"/>
  <c r="S44" i="23" s="1"/>
  <c r="S2" i="47"/>
  <c r="S43" i="47" s="1"/>
  <c r="S44" i="47" s="1"/>
  <c r="S2" i="13"/>
  <c r="S42" i="13" s="1"/>
  <c r="S43" i="13" s="1"/>
  <c r="S2" i="43"/>
  <c r="S42" i="43" s="1"/>
  <c r="S43" i="43" s="1"/>
  <c r="S2" i="15"/>
  <c r="S42" i="15" s="1"/>
  <c r="S43" i="15" s="1"/>
  <c r="T2" i="58"/>
  <c r="T43" i="58" s="1"/>
  <c r="T44" i="58" s="1"/>
  <c r="S2" i="45"/>
  <c r="S43" i="45" s="1"/>
  <c r="S44" i="45" s="1"/>
  <c r="S2" i="12"/>
  <c r="S43" i="12" s="1"/>
  <c r="S44" i="12" s="1"/>
  <c r="S2" i="11"/>
  <c r="S42" i="11" s="1"/>
  <c r="S43" i="11" s="1"/>
  <c r="S2" i="10"/>
  <c r="S42" i="10" s="1"/>
  <c r="S43" i="10" s="1"/>
  <c r="R84" i="58" l="1"/>
  <c r="R85" i="58" s="1"/>
  <c r="P83" i="38"/>
  <c r="P84" i="38" s="1"/>
  <c r="S79" i="58"/>
  <c r="S80" i="58" s="1"/>
  <c r="S75" i="58"/>
  <c r="S76" i="58" s="1"/>
  <c r="P83" i="10"/>
  <c r="P84" i="10" s="1"/>
  <c r="R80" i="12"/>
  <c r="P83" i="50"/>
  <c r="P84" i="50" s="1"/>
  <c r="P83" i="15"/>
  <c r="P84" i="15" s="1"/>
  <c r="P84" i="12"/>
  <c r="P85" i="12" s="1"/>
  <c r="P83" i="11"/>
  <c r="P84" i="11" s="1"/>
  <c r="Q77" i="50"/>
  <c r="Q79" i="50" s="1"/>
  <c r="N28" i="18"/>
  <c r="AP169" i="18" s="1"/>
  <c r="L28" i="18"/>
  <c r="AP143" i="18" s="1"/>
  <c r="Q77" i="38"/>
  <c r="Q79" i="38" s="1"/>
  <c r="Q77" i="15"/>
  <c r="Q79" i="15" s="1"/>
  <c r="S64" i="58"/>
  <c r="R62" i="58"/>
  <c r="Q71" i="11"/>
  <c r="Q71" i="10"/>
  <c r="C87" i="12"/>
  <c r="Q76" i="23"/>
  <c r="Q84" i="23" s="1"/>
  <c r="Q85" i="23" s="1"/>
  <c r="Q75" i="15"/>
  <c r="Q75" i="43"/>
  <c r="Q83" i="43" s="1"/>
  <c r="Q84" i="43" s="1"/>
  <c r="Q67" i="11"/>
  <c r="Q67" i="10"/>
  <c r="Q76" i="45"/>
  <c r="Q84" i="45" s="1"/>
  <c r="Q85" i="45" s="1"/>
  <c r="Q76" i="12"/>
  <c r="R74" i="10"/>
  <c r="Q76" i="47"/>
  <c r="Q84" i="47" s="1"/>
  <c r="Q85" i="47" s="1"/>
  <c r="R73" i="10"/>
  <c r="Q75" i="38"/>
  <c r="Q75" i="13"/>
  <c r="Q83" i="13" s="1"/>
  <c r="Q84" i="13" s="1"/>
  <c r="Q75" i="50"/>
  <c r="Q68" i="12"/>
  <c r="R74" i="43"/>
  <c r="S62" i="11"/>
  <c r="S63" i="45"/>
  <c r="S62" i="50"/>
  <c r="S62" i="38"/>
  <c r="S63" i="47"/>
  <c r="S62" i="43"/>
  <c r="S63" i="23"/>
  <c r="S62" i="13"/>
  <c r="S63" i="12"/>
  <c r="S79" i="12" s="1"/>
  <c r="S62" i="15"/>
  <c r="R74" i="50"/>
  <c r="S63" i="10"/>
  <c r="S78" i="10" s="1"/>
  <c r="S63" i="11"/>
  <c r="S78" i="11" s="1"/>
  <c r="S63" i="38"/>
  <c r="S78" i="38" s="1"/>
  <c r="S63" i="43"/>
  <c r="S78" i="43" s="1"/>
  <c r="S64" i="45"/>
  <c r="S79" i="45" s="1"/>
  <c r="S63" i="50"/>
  <c r="S78" i="50" s="1"/>
  <c r="S64" i="23"/>
  <c r="S79" i="23" s="1"/>
  <c r="S63" i="15"/>
  <c r="S78" i="15" s="1"/>
  <c r="S64" i="47"/>
  <c r="S79" i="47" s="1"/>
  <c r="S64" i="12"/>
  <c r="S63" i="13"/>
  <c r="S78" i="13" s="1"/>
  <c r="R74" i="38"/>
  <c r="Q75" i="11"/>
  <c r="R74" i="15"/>
  <c r="R75" i="23"/>
  <c r="R74" i="11"/>
  <c r="R74" i="13"/>
  <c r="R75" i="47"/>
  <c r="R61" i="10"/>
  <c r="R61" i="11"/>
  <c r="R77" i="11" s="1"/>
  <c r="R79" i="11" s="1"/>
  <c r="R61" i="50"/>
  <c r="R62" i="47"/>
  <c r="R78" i="47" s="1"/>
  <c r="R80" i="47" s="1"/>
  <c r="R61" i="43"/>
  <c r="R77" i="43" s="1"/>
  <c r="R79" i="43" s="1"/>
  <c r="R62" i="45"/>
  <c r="R78" i="45" s="1"/>
  <c r="R80" i="45" s="1"/>
  <c r="R61" i="38"/>
  <c r="R62" i="23"/>
  <c r="R78" i="23" s="1"/>
  <c r="R80" i="23" s="1"/>
  <c r="R61" i="13"/>
  <c r="R77" i="13" s="1"/>
  <c r="R79" i="13" s="1"/>
  <c r="R62" i="12"/>
  <c r="R61" i="15"/>
  <c r="R75" i="12"/>
  <c r="R75" i="45"/>
  <c r="S60" i="11"/>
  <c r="S61" i="47"/>
  <c r="S60" i="38"/>
  <c r="S60" i="43"/>
  <c r="S61" i="45"/>
  <c r="S61" i="23"/>
  <c r="S60" i="15"/>
  <c r="S60" i="13"/>
  <c r="S60" i="50"/>
  <c r="S61" i="12"/>
  <c r="S78" i="12" s="1"/>
  <c r="R74" i="23"/>
  <c r="R74" i="45"/>
  <c r="R74" i="47"/>
  <c r="R73" i="43"/>
  <c r="R73" i="50"/>
  <c r="R73" i="15"/>
  <c r="R73" i="13"/>
  <c r="R74" i="12"/>
  <c r="R73" i="38"/>
  <c r="R73" i="11"/>
  <c r="Q75" i="10"/>
  <c r="R71" i="10"/>
  <c r="S60" i="10"/>
  <c r="S62" i="10"/>
  <c r="T63" i="58"/>
  <c r="T2" i="43"/>
  <c r="T42" i="43" s="1"/>
  <c r="T43" i="43" s="1"/>
  <c r="T2" i="11"/>
  <c r="T42" i="11" s="1"/>
  <c r="T43" i="11" s="1"/>
  <c r="T2" i="13"/>
  <c r="T42" i="13" s="1"/>
  <c r="T43" i="13" s="1"/>
  <c r="T2" i="38"/>
  <c r="T42" i="38" s="1"/>
  <c r="T43" i="38" s="1"/>
  <c r="T2" i="10"/>
  <c r="T42" i="10" s="1"/>
  <c r="T43" i="10" s="1"/>
  <c r="T2" i="23"/>
  <c r="T43" i="23" s="1"/>
  <c r="T44" i="23" s="1"/>
  <c r="T2" i="45"/>
  <c r="T43" i="45" s="1"/>
  <c r="T44" i="45" s="1"/>
  <c r="T2" i="15"/>
  <c r="T42" i="15" s="1"/>
  <c r="T43" i="15" s="1"/>
  <c r="T2" i="50"/>
  <c r="T42" i="50" s="1"/>
  <c r="T43" i="50" s="1"/>
  <c r="T2" i="47"/>
  <c r="T43" i="47" s="1"/>
  <c r="T44" i="47" s="1"/>
  <c r="T2" i="12"/>
  <c r="T43" i="12" s="1"/>
  <c r="T44" i="12" s="1"/>
  <c r="S80" i="12" l="1"/>
  <c r="S84" i="58"/>
  <c r="S85" i="58" s="1"/>
  <c r="Q83" i="15"/>
  <c r="Q84" i="15" s="1"/>
  <c r="Q83" i="50"/>
  <c r="Q84" i="50" s="1"/>
  <c r="Q83" i="11"/>
  <c r="Q84" i="11" s="1"/>
  <c r="T79" i="58"/>
  <c r="T80" i="58" s="1"/>
  <c r="T75" i="58"/>
  <c r="T76" i="58" s="1"/>
  <c r="Q83" i="38"/>
  <c r="Q84" i="38" s="1"/>
  <c r="Q84" i="12"/>
  <c r="Q85" i="12" s="1"/>
  <c r="Q83" i="10"/>
  <c r="Q84" i="10" s="1"/>
  <c r="R77" i="50"/>
  <c r="R79" i="50" s="1"/>
  <c r="R77" i="38"/>
  <c r="R79" i="38" s="1"/>
  <c r="R77" i="15"/>
  <c r="R79" i="15" s="1"/>
  <c r="R77" i="10"/>
  <c r="R79" i="10" s="1"/>
  <c r="V2" i="58"/>
  <c r="V43" i="58" s="1"/>
  <c r="V44" i="58" s="1"/>
  <c r="U2" i="58"/>
  <c r="U43" i="58" s="1"/>
  <c r="U44" i="58" s="1"/>
  <c r="T64" i="58"/>
  <c r="S62" i="58"/>
  <c r="R71" i="11"/>
  <c r="R75" i="50"/>
  <c r="R75" i="43"/>
  <c r="R83" i="43" s="1"/>
  <c r="R84" i="43" s="1"/>
  <c r="R75" i="38"/>
  <c r="R76" i="12"/>
  <c r="R76" i="23"/>
  <c r="R84" i="23" s="1"/>
  <c r="R85" i="23" s="1"/>
  <c r="R76" i="45"/>
  <c r="R84" i="45" s="1"/>
  <c r="R85" i="45" s="1"/>
  <c r="R75" i="15"/>
  <c r="R75" i="13"/>
  <c r="R83" i="13" s="1"/>
  <c r="R84" i="13" s="1"/>
  <c r="R75" i="11"/>
  <c r="R75" i="10"/>
  <c r="R67" i="11"/>
  <c r="R76" i="47"/>
  <c r="R84" i="47" s="1"/>
  <c r="R85" i="47" s="1"/>
  <c r="S74" i="10"/>
  <c r="S73" i="10"/>
  <c r="T62" i="11"/>
  <c r="T62" i="50"/>
  <c r="T63" i="47"/>
  <c r="T62" i="43"/>
  <c r="T63" i="45"/>
  <c r="T62" i="38"/>
  <c r="T63" i="23"/>
  <c r="T62" i="15"/>
  <c r="T62" i="13"/>
  <c r="T63" i="12"/>
  <c r="T79" i="12" s="1"/>
  <c r="T63" i="10"/>
  <c r="T78" i="10" s="1"/>
  <c r="T63" i="11"/>
  <c r="T78" i="11" s="1"/>
  <c r="T63" i="43"/>
  <c r="T78" i="43" s="1"/>
  <c r="T64" i="45"/>
  <c r="T79" i="45" s="1"/>
  <c r="T64" i="47"/>
  <c r="T79" i="47" s="1"/>
  <c r="T64" i="23"/>
  <c r="T79" i="23" s="1"/>
  <c r="T63" i="15"/>
  <c r="T78" i="15" s="1"/>
  <c r="T63" i="38"/>
  <c r="T78" i="38" s="1"/>
  <c r="T63" i="50"/>
  <c r="T78" i="50" s="1"/>
  <c r="T63" i="13"/>
  <c r="T78" i="13" s="1"/>
  <c r="T64" i="12"/>
  <c r="R68" i="12"/>
  <c r="S74" i="43"/>
  <c r="S74" i="11"/>
  <c r="S74" i="15"/>
  <c r="S75" i="47"/>
  <c r="S61" i="10"/>
  <c r="S77" i="10" s="1"/>
  <c r="S79" i="10" s="1"/>
  <c r="S61" i="11"/>
  <c r="S77" i="11" s="1"/>
  <c r="S79" i="11" s="1"/>
  <c r="S61" i="50"/>
  <c r="S62" i="47"/>
  <c r="S78" i="47" s="1"/>
  <c r="S80" i="47" s="1"/>
  <c r="S61" i="38"/>
  <c r="S62" i="45"/>
  <c r="S78" i="45" s="1"/>
  <c r="S80" i="45" s="1"/>
  <c r="S61" i="13"/>
  <c r="S77" i="13" s="1"/>
  <c r="S79" i="13" s="1"/>
  <c r="S61" i="43"/>
  <c r="S77" i="43" s="1"/>
  <c r="S79" i="43" s="1"/>
  <c r="S62" i="23"/>
  <c r="S78" i="23" s="1"/>
  <c r="S80" i="23" s="1"/>
  <c r="S61" i="15"/>
  <c r="S62" i="12"/>
  <c r="S75" i="12"/>
  <c r="S74" i="38"/>
  <c r="S74" i="13"/>
  <c r="S74" i="50"/>
  <c r="S75" i="23"/>
  <c r="S75" i="45"/>
  <c r="S73" i="50"/>
  <c r="S73" i="38"/>
  <c r="S73" i="13"/>
  <c r="S74" i="45"/>
  <c r="S73" i="15"/>
  <c r="S74" i="47"/>
  <c r="S73" i="11"/>
  <c r="T60" i="11"/>
  <c r="T60" i="43"/>
  <c r="T61" i="45"/>
  <c r="T60" i="50"/>
  <c r="T60" i="13"/>
  <c r="T61" i="23"/>
  <c r="T60" i="15"/>
  <c r="T61" i="12"/>
  <c r="T78" i="12" s="1"/>
  <c r="T60" i="38"/>
  <c r="T61" i="47"/>
  <c r="S74" i="12"/>
  <c r="S74" i="23"/>
  <c r="S73" i="43"/>
  <c r="R67" i="10"/>
  <c r="T60" i="10"/>
  <c r="T62" i="10"/>
  <c r="U63" i="58"/>
  <c r="U2" i="43"/>
  <c r="U42" i="43" s="1"/>
  <c r="U43" i="43" s="1"/>
  <c r="U2" i="10"/>
  <c r="U42" i="10" s="1"/>
  <c r="U43" i="10" s="1"/>
  <c r="U2" i="50"/>
  <c r="U42" i="50" s="1"/>
  <c r="U43" i="50" s="1"/>
  <c r="U2" i="12"/>
  <c r="U43" i="12" s="1"/>
  <c r="U44" i="12" s="1"/>
  <c r="U2" i="38"/>
  <c r="U42" i="38" s="1"/>
  <c r="U43" i="38" s="1"/>
  <c r="U2" i="11"/>
  <c r="U42" i="11" s="1"/>
  <c r="U43" i="11" s="1"/>
  <c r="U2" i="23"/>
  <c r="U43" i="23" s="1"/>
  <c r="U44" i="23" s="1"/>
  <c r="U2" i="47"/>
  <c r="U43" i="47" s="1"/>
  <c r="U44" i="47" s="1"/>
  <c r="U2" i="13"/>
  <c r="U42" i="13" s="1"/>
  <c r="U43" i="13" s="1"/>
  <c r="U2" i="45"/>
  <c r="U43" i="45" s="1"/>
  <c r="U44" i="45" s="1"/>
  <c r="U2" i="15"/>
  <c r="U42" i="15" s="1"/>
  <c r="U43" i="15" s="1"/>
  <c r="R84" i="12" l="1"/>
  <c r="R85" i="12" s="1"/>
  <c r="T80" i="12"/>
  <c r="R83" i="38"/>
  <c r="R84" i="38" s="1"/>
  <c r="T84" i="58"/>
  <c r="T85" i="58" s="1"/>
  <c r="U79" i="58"/>
  <c r="U80" i="58" s="1"/>
  <c r="U75" i="58"/>
  <c r="U76" i="58" s="1"/>
  <c r="R83" i="50"/>
  <c r="R84" i="50" s="1"/>
  <c r="R83" i="15"/>
  <c r="R84" i="15" s="1"/>
  <c r="R83" i="11"/>
  <c r="R84" i="11" s="1"/>
  <c r="R83" i="10"/>
  <c r="R84" i="10" s="1"/>
  <c r="S77" i="50"/>
  <c r="S79" i="50" s="1"/>
  <c r="S77" i="38"/>
  <c r="S79" i="38" s="1"/>
  <c r="S77" i="15"/>
  <c r="S79" i="15" s="1"/>
  <c r="U64" i="58"/>
  <c r="T62" i="58"/>
  <c r="S71" i="10"/>
  <c r="S71" i="11"/>
  <c r="S76" i="47"/>
  <c r="S84" i="47" s="1"/>
  <c r="S85" i="47" s="1"/>
  <c r="S75" i="11"/>
  <c r="S76" i="23"/>
  <c r="S84" i="23" s="1"/>
  <c r="S85" i="23" s="1"/>
  <c r="S68" i="12"/>
  <c r="S76" i="45"/>
  <c r="S84" i="45" s="1"/>
  <c r="S85" i="45" s="1"/>
  <c r="S75" i="15"/>
  <c r="T74" i="10"/>
  <c r="S75" i="13"/>
  <c r="S83" i="13" s="1"/>
  <c r="S84" i="13" s="1"/>
  <c r="T73" i="10"/>
  <c r="S67" i="10"/>
  <c r="S67" i="11"/>
  <c r="T74" i="15"/>
  <c r="S75" i="38"/>
  <c r="T75" i="12"/>
  <c r="T75" i="47"/>
  <c r="T74" i="13"/>
  <c r="T74" i="43"/>
  <c r="T75" i="23"/>
  <c r="T74" i="50"/>
  <c r="U62" i="11"/>
  <c r="U62" i="50"/>
  <c r="U63" i="47"/>
  <c r="U62" i="38"/>
  <c r="U63" i="45"/>
  <c r="U62" i="43"/>
  <c r="U62" i="13"/>
  <c r="U63" i="23"/>
  <c r="U63" i="12"/>
  <c r="U79" i="12" s="1"/>
  <c r="U62" i="15"/>
  <c r="S76" i="12"/>
  <c r="S75" i="50"/>
  <c r="T74" i="38"/>
  <c r="T61" i="10"/>
  <c r="T77" i="10" s="1"/>
  <c r="T79" i="10" s="1"/>
  <c r="T61" i="11"/>
  <c r="T77" i="11" s="1"/>
  <c r="T79" i="11" s="1"/>
  <c r="T61" i="50"/>
  <c r="T62" i="47"/>
  <c r="T78" i="47" s="1"/>
  <c r="T80" i="47" s="1"/>
  <c r="T61" i="38"/>
  <c r="T61" i="43"/>
  <c r="T77" i="43" s="1"/>
  <c r="T79" i="43" s="1"/>
  <c r="T61" i="13"/>
  <c r="T77" i="13" s="1"/>
  <c r="T79" i="13" s="1"/>
  <c r="T62" i="45"/>
  <c r="T78" i="45" s="1"/>
  <c r="T80" i="45" s="1"/>
  <c r="T62" i="23"/>
  <c r="T78" i="23" s="1"/>
  <c r="T80" i="23" s="1"/>
  <c r="T62" i="12"/>
  <c r="T61" i="15"/>
  <c r="U63" i="10"/>
  <c r="U78" i="10" s="1"/>
  <c r="U63" i="11"/>
  <c r="U78" i="11" s="1"/>
  <c r="U64" i="45"/>
  <c r="U79" i="45" s="1"/>
  <c r="U63" i="50"/>
  <c r="U78" i="50" s="1"/>
  <c r="U63" i="38"/>
  <c r="U78" i="38" s="1"/>
  <c r="U63" i="43"/>
  <c r="U78" i="43" s="1"/>
  <c r="U64" i="47"/>
  <c r="U79" i="47" s="1"/>
  <c r="U63" i="15"/>
  <c r="U78" i="15" s="1"/>
  <c r="U64" i="12"/>
  <c r="U63" i="13"/>
  <c r="U78" i="13" s="1"/>
  <c r="U64" i="23"/>
  <c r="U79" i="23" s="1"/>
  <c r="S75" i="43"/>
  <c r="S83" i="43" s="1"/>
  <c r="S84" i="43" s="1"/>
  <c r="T75" i="45"/>
  <c r="T74" i="11"/>
  <c r="T73" i="15"/>
  <c r="T73" i="50"/>
  <c r="T73" i="43"/>
  <c r="T74" i="47"/>
  <c r="T74" i="23"/>
  <c r="T73" i="11"/>
  <c r="T73" i="38"/>
  <c r="T73" i="13"/>
  <c r="T74" i="45"/>
  <c r="U60" i="11"/>
  <c r="U61" i="45"/>
  <c r="U60" i="50"/>
  <c r="U61" i="47"/>
  <c r="U60" i="38"/>
  <c r="U61" i="12"/>
  <c r="U78" i="12" s="1"/>
  <c r="U60" i="13"/>
  <c r="U61" i="23"/>
  <c r="U60" i="15"/>
  <c r="U60" i="43"/>
  <c r="T74" i="12"/>
  <c r="S75" i="10"/>
  <c r="U62" i="10"/>
  <c r="V63" i="58"/>
  <c r="U60" i="10"/>
  <c r="U84" i="58" l="1"/>
  <c r="U85" i="58" s="1"/>
  <c r="S83" i="15"/>
  <c r="S84" i="15" s="1"/>
  <c r="S83" i="11"/>
  <c r="S84" i="11" s="1"/>
  <c r="V79" i="58"/>
  <c r="V80" i="58" s="1"/>
  <c r="V75" i="58"/>
  <c r="V76" i="58" s="1"/>
  <c r="S83" i="50"/>
  <c r="S84" i="50" s="1"/>
  <c r="S83" i="38"/>
  <c r="S84" i="38" s="1"/>
  <c r="S84" i="12"/>
  <c r="S85" i="12" s="1"/>
  <c r="U80" i="12"/>
  <c r="S83" i="10"/>
  <c r="S84" i="10" s="1"/>
  <c r="T77" i="50"/>
  <c r="T79" i="50" s="1"/>
  <c r="T77" i="38"/>
  <c r="T79" i="38" s="1"/>
  <c r="T77" i="15"/>
  <c r="T79" i="15" s="1"/>
  <c r="V64" i="58"/>
  <c r="U62" i="58"/>
  <c r="T71" i="11"/>
  <c r="T71" i="10"/>
  <c r="T75" i="50"/>
  <c r="T75" i="15"/>
  <c r="T75" i="43"/>
  <c r="T83" i="43" s="1"/>
  <c r="T84" i="43" s="1"/>
  <c r="T75" i="38"/>
  <c r="T76" i="23"/>
  <c r="T84" i="23" s="1"/>
  <c r="T85" i="23" s="1"/>
  <c r="T76" i="47"/>
  <c r="T84" i="47" s="1"/>
  <c r="T85" i="47" s="1"/>
  <c r="T75" i="11"/>
  <c r="T75" i="10"/>
  <c r="T76" i="45"/>
  <c r="T84" i="45" s="1"/>
  <c r="T85" i="45" s="1"/>
  <c r="T67" i="10"/>
  <c r="U74" i="10"/>
  <c r="U73" i="10"/>
  <c r="V62" i="11"/>
  <c r="V62" i="50"/>
  <c r="V63" i="47"/>
  <c r="V62" i="38"/>
  <c r="V62" i="43"/>
  <c r="V63" i="45"/>
  <c r="V62" i="13"/>
  <c r="V63" i="12"/>
  <c r="V79" i="12" s="1"/>
  <c r="V62" i="15"/>
  <c r="V63" i="23"/>
  <c r="T75" i="13"/>
  <c r="T83" i="13" s="1"/>
  <c r="T84" i="13" s="1"/>
  <c r="U74" i="11"/>
  <c r="U61" i="10"/>
  <c r="U77" i="10" s="1"/>
  <c r="U79" i="10" s="1"/>
  <c r="U61" i="11"/>
  <c r="U77" i="11" s="1"/>
  <c r="U79" i="11" s="1"/>
  <c r="U61" i="50"/>
  <c r="U62" i="47"/>
  <c r="U78" i="47" s="1"/>
  <c r="U80" i="47" s="1"/>
  <c r="U61" i="38"/>
  <c r="U61" i="43"/>
  <c r="U77" i="43" s="1"/>
  <c r="U79" i="43" s="1"/>
  <c r="U62" i="45"/>
  <c r="U78" i="45" s="1"/>
  <c r="U80" i="45" s="1"/>
  <c r="U61" i="13"/>
  <c r="U77" i="13" s="1"/>
  <c r="U79" i="13" s="1"/>
  <c r="U62" i="23"/>
  <c r="U78" i="23" s="1"/>
  <c r="U80" i="23" s="1"/>
  <c r="U61" i="15"/>
  <c r="U62" i="12"/>
  <c r="T68" i="12"/>
  <c r="U74" i="15"/>
  <c r="U75" i="45"/>
  <c r="T76" i="12"/>
  <c r="U75" i="12"/>
  <c r="U74" i="38"/>
  <c r="U75" i="23"/>
  <c r="U75" i="47"/>
  <c r="U74" i="43"/>
  <c r="V63" i="10"/>
  <c r="V78" i="10" s="1"/>
  <c r="V63" i="11"/>
  <c r="V78" i="11" s="1"/>
  <c r="V63" i="50"/>
  <c r="V78" i="50" s="1"/>
  <c r="V64" i="47"/>
  <c r="V79" i="47" s="1"/>
  <c r="V63" i="43"/>
  <c r="V78" i="43" s="1"/>
  <c r="V63" i="38"/>
  <c r="V78" i="38" s="1"/>
  <c r="V64" i="45"/>
  <c r="V79" i="45" s="1"/>
  <c r="V63" i="15"/>
  <c r="V78" i="15" s="1"/>
  <c r="V63" i="13"/>
  <c r="V78" i="13" s="1"/>
  <c r="V64" i="12"/>
  <c r="V64" i="23"/>
  <c r="V79" i="23" s="1"/>
  <c r="T67" i="11"/>
  <c r="U74" i="13"/>
  <c r="U74" i="50"/>
  <c r="U73" i="13"/>
  <c r="U74" i="47"/>
  <c r="U73" i="11"/>
  <c r="V60" i="11"/>
  <c r="V60" i="50"/>
  <c r="V61" i="47"/>
  <c r="V60" i="38"/>
  <c r="V60" i="43"/>
  <c r="V61" i="23"/>
  <c r="V60" i="15"/>
  <c r="V60" i="13"/>
  <c r="V61" i="45"/>
  <c r="V61" i="12"/>
  <c r="V78" i="12" s="1"/>
  <c r="U73" i="43"/>
  <c r="U74" i="12"/>
  <c r="U73" i="50"/>
  <c r="U74" i="23"/>
  <c r="U74" i="45"/>
  <c r="U73" i="15"/>
  <c r="U73" i="38"/>
  <c r="V60" i="10"/>
  <c r="V62" i="10"/>
  <c r="W63" i="58"/>
  <c r="V80" i="12" l="1"/>
  <c r="V84" i="58"/>
  <c r="V85" i="58" s="1"/>
  <c r="W79" i="58"/>
  <c r="W80" i="58" s="1"/>
  <c r="W75" i="58"/>
  <c r="W76" i="58" s="1"/>
  <c r="T83" i="38"/>
  <c r="T84" i="38" s="1"/>
  <c r="T83" i="50"/>
  <c r="T84" i="50" s="1"/>
  <c r="T83" i="15"/>
  <c r="T84" i="15" s="1"/>
  <c r="T84" i="12"/>
  <c r="T85" i="12" s="1"/>
  <c r="T83" i="11"/>
  <c r="T84" i="11" s="1"/>
  <c r="T83" i="10"/>
  <c r="T84" i="10" s="1"/>
  <c r="U77" i="50"/>
  <c r="U79" i="50" s="1"/>
  <c r="U77" i="38"/>
  <c r="U79" i="38" s="1"/>
  <c r="U77" i="15"/>
  <c r="U79" i="15" s="1"/>
  <c r="W64" i="58"/>
  <c r="V62" i="58"/>
  <c r="U71" i="11"/>
  <c r="U71" i="10"/>
  <c r="U76" i="23"/>
  <c r="U84" i="23" s="1"/>
  <c r="U85" i="23" s="1"/>
  <c r="U76" i="45"/>
  <c r="U84" i="45" s="1"/>
  <c r="U85" i="45" s="1"/>
  <c r="U75" i="43"/>
  <c r="U83" i="43" s="1"/>
  <c r="U84" i="43" s="1"/>
  <c r="U76" i="12"/>
  <c r="U75" i="10"/>
  <c r="U75" i="38"/>
  <c r="U75" i="13"/>
  <c r="U83" i="13" s="1"/>
  <c r="U84" i="13" s="1"/>
  <c r="U68" i="12"/>
  <c r="U75" i="11"/>
  <c r="V74" i="10"/>
  <c r="V73" i="10"/>
  <c r="U75" i="50"/>
  <c r="V75" i="23"/>
  <c r="V74" i="43"/>
  <c r="U67" i="11"/>
  <c r="V74" i="15"/>
  <c r="V74" i="38"/>
  <c r="W63" i="10"/>
  <c r="W78" i="10" s="1"/>
  <c r="W63" i="11"/>
  <c r="W78" i="11" s="1"/>
  <c r="W63" i="50"/>
  <c r="W78" i="50" s="1"/>
  <c r="W64" i="47"/>
  <c r="W79" i="47" s="1"/>
  <c r="W63" i="38"/>
  <c r="W78" i="38" s="1"/>
  <c r="W64" i="45"/>
  <c r="W79" i="45" s="1"/>
  <c r="W63" i="13"/>
  <c r="W78" i="13" s="1"/>
  <c r="W63" i="15"/>
  <c r="W78" i="15" s="1"/>
  <c r="W64" i="12"/>
  <c r="W63" i="43"/>
  <c r="W78" i="43" s="1"/>
  <c r="W64" i="23"/>
  <c r="W79" i="23" s="1"/>
  <c r="V61" i="10"/>
  <c r="V77" i="10" s="1"/>
  <c r="V79" i="10" s="1"/>
  <c r="V61" i="11"/>
  <c r="V77" i="11" s="1"/>
  <c r="V79" i="11" s="1"/>
  <c r="V62" i="47"/>
  <c r="V78" i="47" s="1"/>
  <c r="V80" i="47" s="1"/>
  <c r="V61" i="38"/>
  <c r="V61" i="43"/>
  <c r="V77" i="43" s="1"/>
  <c r="V79" i="43" s="1"/>
  <c r="V62" i="45"/>
  <c r="V78" i="45" s="1"/>
  <c r="V80" i="45" s="1"/>
  <c r="V61" i="13"/>
  <c r="V77" i="13" s="1"/>
  <c r="V79" i="13" s="1"/>
  <c r="V62" i="23"/>
  <c r="V78" i="23" s="1"/>
  <c r="V80" i="23" s="1"/>
  <c r="V61" i="15"/>
  <c r="V61" i="50"/>
  <c r="V62" i="12"/>
  <c r="V75" i="12"/>
  <c r="V74" i="13"/>
  <c r="V74" i="50"/>
  <c r="W62" i="11"/>
  <c r="W62" i="50"/>
  <c r="W63" i="47"/>
  <c r="W62" i="38"/>
  <c r="W62" i="43"/>
  <c r="W63" i="45"/>
  <c r="W62" i="13"/>
  <c r="W63" i="23"/>
  <c r="W62" i="15"/>
  <c r="W63" i="12"/>
  <c r="W79" i="12" s="1"/>
  <c r="V75" i="47"/>
  <c r="V75" i="45"/>
  <c r="U76" i="47"/>
  <c r="U84" i="47" s="1"/>
  <c r="U85" i="47" s="1"/>
  <c r="U75" i="15"/>
  <c r="V74" i="11"/>
  <c r="V74" i="23"/>
  <c r="W60" i="11"/>
  <c r="W61" i="47"/>
  <c r="W60" i="38"/>
  <c r="W60" i="43"/>
  <c r="W61" i="45"/>
  <c r="W61" i="23"/>
  <c r="W60" i="15"/>
  <c r="W60" i="50"/>
  <c r="W60" i="13"/>
  <c r="W61" i="12"/>
  <c r="W78" i="12" s="1"/>
  <c r="W80" i="12" s="1"/>
  <c r="V74" i="12"/>
  <c r="V73" i="15"/>
  <c r="V73" i="38"/>
  <c r="V73" i="11"/>
  <c r="V74" i="45"/>
  <c r="V73" i="13"/>
  <c r="V74" i="47"/>
  <c r="V73" i="43"/>
  <c r="V73" i="50"/>
  <c r="U67" i="10"/>
  <c r="W62" i="10"/>
  <c r="X63" i="58"/>
  <c r="W60" i="10"/>
  <c r="W84" i="58" l="1"/>
  <c r="U83" i="10"/>
  <c r="U84" i="10" s="1"/>
  <c r="X79" i="58"/>
  <c r="X80" i="58" s="1"/>
  <c r="X75" i="58"/>
  <c r="X76" i="58" s="1"/>
  <c r="U83" i="38"/>
  <c r="U84" i="38" s="1"/>
  <c r="U83" i="50"/>
  <c r="U84" i="50" s="1"/>
  <c r="U83" i="15"/>
  <c r="U84" i="15" s="1"/>
  <c r="U84" i="12"/>
  <c r="U85" i="12" s="1"/>
  <c r="U83" i="11"/>
  <c r="U84" i="11" s="1"/>
  <c r="V77" i="50"/>
  <c r="V79" i="50" s="1"/>
  <c r="V77" i="38"/>
  <c r="V79" i="38" s="1"/>
  <c r="V77" i="15"/>
  <c r="V79" i="15" s="1"/>
  <c r="X64" i="58"/>
  <c r="W62" i="58"/>
  <c r="V71" i="11"/>
  <c r="V71" i="10"/>
  <c r="V75" i="38"/>
  <c r="V76" i="23"/>
  <c r="V84" i="23" s="1"/>
  <c r="V75" i="13"/>
  <c r="V83" i="13" s="1"/>
  <c r="V67" i="11"/>
  <c r="V76" i="47"/>
  <c r="V84" i="47" s="1"/>
  <c r="V75" i="43"/>
  <c r="V83" i="43" s="1"/>
  <c r="V75" i="15"/>
  <c r="W74" i="10"/>
  <c r="V76" i="12"/>
  <c r="W73" i="10"/>
  <c r="W74" i="43"/>
  <c r="V75" i="50"/>
  <c r="V68" i="12"/>
  <c r="V75" i="11"/>
  <c r="W61" i="10"/>
  <c r="W77" i="10" s="1"/>
  <c r="W79" i="10" s="1"/>
  <c r="W61" i="11"/>
  <c r="W61" i="38"/>
  <c r="W61" i="43"/>
  <c r="W77" i="43" s="1"/>
  <c r="W79" i="43" s="1"/>
  <c r="W62" i="45"/>
  <c r="W78" i="45" s="1"/>
  <c r="W80" i="45" s="1"/>
  <c r="W61" i="50"/>
  <c r="W62" i="23"/>
  <c r="W78" i="23" s="1"/>
  <c r="W80" i="23" s="1"/>
  <c r="W61" i="15"/>
  <c r="W62" i="47"/>
  <c r="W78" i="47" s="1"/>
  <c r="W80" i="47" s="1"/>
  <c r="W61" i="13"/>
  <c r="W77" i="13" s="1"/>
  <c r="W79" i="13" s="1"/>
  <c r="W62" i="12"/>
  <c r="W74" i="13"/>
  <c r="W75" i="45"/>
  <c r="V76" i="45"/>
  <c r="V84" i="45" s="1"/>
  <c r="W75" i="12"/>
  <c r="W74" i="38"/>
  <c r="W74" i="15"/>
  <c r="W75" i="47"/>
  <c r="W74" i="11"/>
  <c r="X63" i="10"/>
  <c r="X78" i="10" s="1"/>
  <c r="X63" i="11"/>
  <c r="X78" i="11" s="1"/>
  <c r="X63" i="50"/>
  <c r="X78" i="50" s="1"/>
  <c r="X64" i="47"/>
  <c r="X79" i="47" s="1"/>
  <c r="X63" i="38"/>
  <c r="X78" i="38" s="1"/>
  <c r="X63" i="43"/>
  <c r="X78" i="43" s="1"/>
  <c r="X63" i="13"/>
  <c r="X78" i="13" s="1"/>
  <c r="X64" i="45"/>
  <c r="X79" i="45" s="1"/>
  <c r="X64" i="12"/>
  <c r="X64" i="23"/>
  <c r="X79" i="23" s="1"/>
  <c r="X63" i="15"/>
  <c r="X78" i="15" s="1"/>
  <c r="X62" i="11"/>
  <c r="X63" i="47"/>
  <c r="X62" i="38"/>
  <c r="X62" i="43"/>
  <c r="X63" i="45"/>
  <c r="X62" i="13"/>
  <c r="X63" i="23"/>
  <c r="X62" i="15"/>
  <c r="X62" i="50"/>
  <c r="X63" i="12"/>
  <c r="X79" i="12" s="1"/>
  <c r="W75" i="23"/>
  <c r="W74" i="50"/>
  <c r="W74" i="12"/>
  <c r="W74" i="23"/>
  <c r="W73" i="43"/>
  <c r="W73" i="13"/>
  <c r="W73" i="38"/>
  <c r="W73" i="50"/>
  <c r="W74" i="45"/>
  <c r="X60" i="11"/>
  <c r="X60" i="43"/>
  <c r="X61" i="45"/>
  <c r="X60" i="50"/>
  <c r="X60" i="13"/>
  <c r="X60" i="38"/>
  <c r="X61" i="12"/>
  <c r="X78" i="12" s="1"/>
  <c r="X61" i="23"/>
  <c r="X60" i="15"/>
  <c r="X61" i="47"/>
  <c r="W73" i="15"/>
  <c r="W74" i="47"/>
  <c r="W73" i="11"/>
  <c r="V67" i="10"/>
  <c r="V75" i="10"/>
  <c r="X62" i="10"/>
  <c r="Y63" i="58"/>
  <c r="X60" i="10"/>
  <c r="X80" i="12" l="1"/>
  <c r="AQ65" i="18"/>
  <c r="X84" i="58"/>
  <c r="V83" i="15"/>
  <c r="V83" i="38"/>
  <c r="Y79" i="58"/>
  <c r="Y80" i="58" s="1"/>
  <c r="Y75" i="58"/>
  <c r="Y76" i="58" s="1"/>
  <c r="V83" i="50"/>
  <c r="V84" i="12"/>
  <c r="V83" i="11"/>
  <c r="V83" i="10"/>
  <c r="W77" i="50"/>
  <c r="W79" i="50" s="1"/>
  <c r="W77" i="38"/>
  <c r="W79" i="38" s="1"/>
  <c r="W77" i="15"/>
  <c r="W79" i="15" s="1"/>
  <c r="W77" i="11"/>
  <c r="W79" i="11" s="1"/>
  <c r="Y64" i="58"/>
  <c r="X62" i="58"/>
  <c r="W71" i="10"/>
  <c r="W76" i="45"/>
  <c r="W84" i="45" s="1"/>
  <c r="W76" i="23"/>
  <c r="W84" i="23" s="1"/>
  <c r="W75" i="10"/>
  <c r="W67" i="10"/>
  <c r="W75" i="11"/>
  <c r="W67" i="11"/>
  <c r="W76" i="47"/>
  <c r="W84" i="47" s="1"/>
  <c r="W75" i="43"/>
  <c r="W83" i="43" s="1"/>
  <c r="W75" i="13"/>
  <c r="W83" i="13" s="1"/>
  <c r="W75" i="50"/>
  <c r="W75" i="15"/>
  <c r="W68" i="12"/>
  <c r="X74" i="10"/>
  <c r="X73" i="10"/>
  <c r="W76" i="12"/>
  <c r="X75" i="12"/>
  <c r="X74" i="43"/>
  <c r="Y63" i="10"/>
  <c r="Y78" i="10" s="1"/>
  <c r="Y63" i="11"/>
  <c r="Y78" i="11" s="1"/>
  <c r="Y63" i="50"/>
  <c r="Y78" i="50" s="1"/>
  <c r="Y64" i="47"/>
  <c r="Y79" i="47" s="1"/>
  <c r="Y63" i="38"/>
  <c r="Y78" i="38" s="1"/>
  <c r="Y63" i="43"/>
  <c r="Y78" i="43" s="1"/>
  <c r="Y64" i="45"/>
  <c r="Y79" i="45" s="1"/>
  <c r="Y63" i="13"/>
  <c r="Y78" i="13" s="1"/>
  <c r="Y64" i="23"/>
  <c r="Y79" i="23" s="1"/>
  <c r="Y63" i="15"/>
  <c r="Y78" i="15" s="1"/>
  <c r="Y64" i="12"/>
  <c r="X74" i="38"/>
  <c r="X74" i="50"/>
  <c r="W75" i="38"/>
  <c r="X74" i="15"/>
  <c r="X75" i="47"/>
  <c r="X61" i="10"/>
  <c r="X77" i="10" s="1"/>
  <c r="X79" i="10" s="1"/>
  <c r="X61" i="11"/>
  <c r="X61" i="43"/>
  <c r="X77" i="43" s="1"/>
  <c r="X79" i="43" s="1"/>
  <c r="X62" i="45"/>
  <c r="X78" i="45" s="1"/>
  <c r="X80" i="45" s="1"/>
  <c r="X62" i="47"/>
  <c r="X78" i="47" s="1"/>
  <c r="X80" i="47" s="1"/>
  <c r="X62" i="23"/>
  <c r="X78" i="23" s="1"/>
  <c r="X80" i="23" s="1"/>
  <c r="X61" i="15"/>
  <c r="X61" i="38"/>
  <c r="X61" i="50"/>
  <c r="X61" i="13"/>
  <c r="X77" i="13" s="1"/>
  <c r="X79" i="13" s="1"/>
  <c r="X62" i="12"/>
  <c r="X75" i="23"/>
  <c r="Y62" i="11"/>
  <c r="Y62" i="38"/>
  <c r="Y62" i="43"/>
  <c r="Y63" i="45"/>
  <c r="Y62" i="50"/>
  <c r="Y63" i="23"/>
  <c r="Y62" i="15"/>
  <c r="Y63" i="47"/>
  <c r="Y62" i="13"/>
  <c r="Y63" i="12"/>
  <c r="Y79" i="12" s="1"/>
  <c r="X74" i="13"/>
  <c r="X75" i="45"/>
  <c r="X74" i="11"/>
  <c r="X74" i="23"/>
  <c r="X73" i="50"/>
  <c r="X73" i="43"/>
  <c r="X73" i="15"/>
  <c r="X73" i="13"/>
  <c r="Y60" i="11"/>
  <c r="Y61" i="45"/>
  <c r="Y60" i="50"/>
  <c r="Y61" i="47"/>
  <c r="Y60" i="38"/>
  <c r="Y61" i="12"/>
  <c r="Y78" i="12" s="1"/>
  <c r="Y60" i="13"/>
  <c r="Y60" i="43"/>
  <c r="Y61" i="23"/>
  <c r="Y60" i="15"/>
  <c r="X74" i="12"/>
  <c r="X73" i="11"/>
  <c r="X74" i="47"/>
  <c r="X73" i="38"/>
  <c r="X74" i="45"/>
  <c r="Y62" i="10"/>
  <c r="Z63" i="58"/>
  <c r="Y60" i="10"/>
  <c r="G11" i="60" l="1"/>
  <c r="G28" i="18"/>
  <c r="AP65" i="18" s="1"/>
  <c r="Y84" i="58"/>
  <c r="W84" i="12"/>
  <c r="Y80" i="12"/>
  <c r="W83" i="38"/>
  <c r="Z79" i="58"/>
  <c r="Z80" i="58" s="1"/>
  <c r="Z75" i="58"/>
  <c r="Z76" i="58" s="1"/>
  <c r="W83" i="50"/>
  <c r="W83" i="15"/>
  <c r="W83" i="10"/>
  <c r="X77" i="50"/>
  <c r="X79" i="50" s="1"/>
  <c r="X77" i="38"/>
  <c r="X79" i="38" s="1"/>
  <c r="X77" i="15"/>
  <c r="X79" i="15" s="1"/>
  <c r="X77" i="11"/>
  <c r="X79" i="11" s="1"/>
  <c r="Z64" i="58"/>
  <c r="Y62" i="58"/>
  <c r="X71" i="10"/>
  <c r="X75" i="50"/>
  <c r="X75" i="15"/>
  <c r="X76" i="45"/>
  <c r="X84" i="45" s="1"/>
  <c r="X75" i="43"/>
  <c r="X83" i="43" s="1"/>
  <c r="X75" i="38"/>
  <c r="X75" i="11"/>
  <c r="X75" i="13"/>
  <c r="X83" i="13" s="1"/>
  <c r="X76" i="12"/>
  <c r="Y74" i="10"/>
  <c r="X76" i="23"/>
  <c r="X84" i="23" s="1"/>
  <c r="Y73" i="10"/>
  <c r="X68" i="12"/>
  <c r="X67" i="11"/>
  <c r="Y74" i="11"/>
  <c r="Y75" i="12"/>
  <c r="Y75" i="45"/>
  <c r="Y74" i="13"/>
  <c r="Y74" i="43"/>
  <c r="Y61" i="10"/>
  <c r="Y77" i="10" s="1"/>
  <c r="Y79" i="10" s="1"/>
  <c r="Y61" i="11"/>
  <c r="Y62" i="45"/>
  <c r="Y78" i="45" s="1"/>
  <c r="Y80" i="45" s="1"/>
  <c r="Y61" i="50"/>
  <c r="Y61" i="38"/>
  <c r="Y62" i="47"/>
  <c r="Y78" i="47" s="1"/>
  <c r="Y80" i="47" s="1"/>
  <c r="Y61" i="43"/>
  <c r="Y77" i="43" s="1"/>
  <c r="Y79" i="43" s="1"/>
  <c r="Y61" i="13"/>
  <c r="Y77" i="13" s="1"/>
  <c r="Y79" i="13" s="1"/>
  <c r="Y62" i="12"/>
  <c r="Y61" i="15"/>
  <c r="Y62" i="23"/>
  <c r="Y78" i="23" s="1"/>
  <c r="Y80" i="23" s="1"/>
  <c r="Z63" i="10"/>
  <c r="Z78" i="10" s="1"/>
  <c r="Z63" i="11"/>
  <c r="Z78" i="11" s="1"/>
  <c r="Z64" i="47"/>
  <c r="Z79" i="47" s="1"/>
  <c r="Z63" i="38"/>
  <c r="Z78" i="38" s="1"/>
  <c r="Z63" i="43"/>
  <c r="Z78" i="43" s="1"/>
  <c r="Z64" i="45"/>
  <c r="Z79" i="45" s="1"/>
  <c r="Z63" i="13"/>
  <c r="Z78" i="13" s="1"/>
  <c r="Z64" i="23"/>
  <c r="Z79" i="23" s="1"/>
  <c r="Z63" i="15"/>
  <c r="Z78" i="15" s="1"/>
  <c r="Z63" i="50"/>
  <c r="Z78" i="50" s="1"/>
  <c r="Z64" i="12"/>
  <c r="X76" i="47"/>
  <c r="X84" i="47" s="1"/>
  <c r="Y74" i="38"/>
  <c r="Y74" i="50"/>
  <c r="Z62" i="11"/>
  <c r="Z62" i="43"/>
  <c r="Z63" i="45"/>
  <c r="Z63" i="47"/>
  <c r="Z63" i="23"/>
  <c r="Z62" i="15"/>
  <c r="Z62" i="38"/>
  <c r="Z62" i="50"/>
  <c r="Z62" i="13"/>
  <c r="Z63" i="12"/>
  <c r="Z79" i="12" s="1"/>
  <c r="Y75" i="47"/>
  <c r="Y74" i="15"/>
  <c r="X67" i="10"/>
  <c r="Y75" i="23"/>
  <c r="Y74" i="23"/>
  <c r="Y73" i="50"/>
  <c r="Z60" i="11"/>
  <c r="Z60" i="50"/>
  <c r="Z61" i="47"/>
  <c r="Z60" i="38"/>
  <c r="Z60" i="43"/>
  <c r="Z61" i="12"/>
  <c r="Z78" i="12" s="1"/>
  <c r="Z61" i="23"/>
  <c r="Z60" i="15"/>
  <c r="Z61" i="45"/>
  <c r="Z60" i="13"/>
  <c r="Y73" i="43"/>
  <c r="Y73" i="38"/>
  <c r="Y73" i="13"/>
  <c r="Y74" i="45"/>
  <c r="Y74" i="12"/>
  <c r="Y73" i="15"/>
  <c r="Y74" i="47"/>
  <c r="Y73" i="11"/>
  <c r="X75" i="10"/>
  <c r="Z60" i="10"/>
  <c r="Z62" i="10"/>
  <c r="AA63" i="58"/>
  <c r="Z84" i="58" l="1"/>
  <c r="AA79" i="58"/>
  <c r="AA80" i="58" s="1"/>
  <c r="AA75" i="58"/>
  <c r="AA76" i="58" s="1"/>
  <c r="X83" i="50"/>
  <c r="X83" i="38"/>
  <c r="X83" i="15"/>
  <c r="Z80" i="12"/>
  <c r="X84" i="12"/>
  <c r="X83" i="10"/>
  <c r="Y77" i="50"/>
  <c r="Y79" i="50" s="1"/>
  <c r="Y77" i="38"/>
  <c r="Y79" i="38" s="1"/>
  <c r="Y77" i="15"/>
  <c r="Y79" i="15" s="1"/>
  <c r="Y77" i="11"/>
  <c r="Y79" i="11" s="1"/>
  <c r="AA64" i="58"/>
  <c r="Z62" i="58"/>
  <c r="Y71" i="10"/>
  <c r="Y75" i="15"/>
  <c r="Y68" i="12"/>
  <c r="Y76" i="12"/>
  <c r="Y76" i="45"/>
  <c r="Y84" i="45" s="1"/>
  <c r="Y75" i="50"/>
  <c r="Y76" i="23"/>
  <c r="Y84" i="23" s="1"/>
  <c r="Y67" i="11"/>
  <c r="Y75" i="11"/>
  <c r="Y75" i="38"/>
  <c r="Y67" i="10"/>
  <c r="Z74" i="10"/>
  <c r="Z73" i="10"/>
  <c r="Y76" i="47"/>
  <c r="Y84" i="47" s="1"/>
  <c r="Z74" i="38"/>
  <c r="Y75" i="43"/>
  <c r="Y83" i="43" s="1"/>
  <c r="Z74" i="15"/>
  <c r="AA63" i="10"/>
  <c r="AA78" i="10" s="1"/>
  <c r="AA63" i="11"/>
  <c r="AA78" i="11" s="1"/>
  <c r="AA63" i="38"/>
  <c r="AA78" i="38" s="1"/>
  <c r="AA63" i="43"/>
  <c r="AA78" i="43" s="1"/>
  <c r="AA64" i="45"/>
  <c r="AA79" i="45" s="1"/>
  <c r="AA63" i="50"/>
  <c r="AA78" i="50" s="1"/>
  <c r="AA64" i="47"/>
  <c r="AA79" i="47" s="1"/>
  <c r="AA64" i="23"/>
  <c r="AA79" i="23" s="1"/>
  <c r="AA63" i="15"/>
  <c r="AA78" i="15" s="1"/>
  <c r="AA63" i="13"/>
  <c r="AA78" i="13" s="1"/>
  <c r="AA64" i="12"/>
  <c r="AA62" i="11"/>
  <c r="AA63" i="45"/>
  <c r="AA62" i="50"/>
  <c r="AA62" i="38"/>
  <c r="AA63" i="47"/>
  <c r="AA62" i="43"/>
  <c r="AA62" i="13"/>
  <c r="AA62" i="15"/>
  <c r="AA63" i="12"/>
  <c r="AA79" i="12" s="1"/>
  <c r="AA63" i="23"/>
  <c r="Z75" i="23"/>
  <c r="Z75" i="12"/>
  <c r="Z75" i="47"/>
  <c r="Z75" i="45"/>
  <c r="Z74" i="11"/>
  <c r="Z61" i="10"/>
  <c r="Z77" i="10" s="1"/>
  <c r="Z79" i="10" s="1"/>
  <c r="Z61" i="11"/>
  <c r="Z77" i="11" s="1"/>
  <c r="Z79" i="11" s="1"/>
  <c r="Z61" i="50"/>
  <c r="Z62" i="47"/>
  <c r="Z78" i="47" s="1"/>
  <c r="Z80" i="47" s="1"/>
  <c r="Z61" i="43"/>
  <c r="Z77" i="43" s="1"/>
  <c r="Z79" i="43" s="1"/>
  <c r="Z62" i="45"/>
  <c r="Z78" i="45" s="1"/>
  <c r="Z80" i="45" s="1"/>
  <c r="Z61" i="38"/>
  <c r="Z61" i="15"/>
  <c r="Z62" i="12"/>
  <c r="Z62" i="23"/>
  <c r="Z78" i="23" s="1"/>
  <c r="Z80" i="23" s="1"/>
  <c r="Z61" i="13"/>
  <c r="Z77" i="13" s="1"/>
  <c r="Z79" i="13" s="1"/>
  <c r="Y75" i="13"/>
  <c r="Y83" i="13" s="1"/>
  <c r="Z74" i="13"/>
  <c r="Z74" i="43"/>
  <c r="Z74" i="50"/>
  <c r="Z74" i="23"/>
  <c r="Z73" i="38"/>
  <c r="Z73" i="11"/>
  <c r="Z73" i="13"/>
  <c r="Z74" i="12"/>
  <c r="AA60" i="11"/>
  <c r="AA61" i="47"/>
  <c r="AA60" i="38"/>
  <c r="AA60" i="43"/>
  <c r="AA61" i="45"/>
  <c r="AA60" i="50"/>
  <c r="AA61" i="23"/>
  <c r="AA60" i="15"/>
  <c r="AA60" i="13"/>
  <c r="AA61" i="12"/>
  <c r="AA78" i="12" s="1"/>
  <c r="Z74" i="45"/>
  <c r="Z74" i="47"/>
  <c r="Z73" i="15"/>
  <c r="Z73" i="43"/>
  <c r="Z73" i="50"/>
  <c r="Y75" i="10"/>
  <c r="AA60" i="10"/>
  <c r="AA62" i="10"/>
  <c r="AB63" i="58"/>
  <c r="Y83" i="15" l="1"/>
  <c r="AA84" i="58"/>
  <c r="Y83" i="38"/>
  <c r="Y83" i="50"/>
  <c r="AB79" i="58"/>
  <c r="AB80" i="58" s="1"/>
  <c r="AB75" i="58"/>
  <c r="AB76" i="58" s="1"/>
  <c r="AA80" i="12"/>
  <c r="Y84" i="12"/>
  <c r="Y83" i="10"/>
  <c r="Z77" i="50"/>
  <c r="Z79" i="50" s="1"/>
  <c r="Z77" i="38"/>
  <c r="Z79" i="38" s="1"/>
  <c r="Z77" i="15"/>
  <c r="Z79" i="15" s="1"/>
  <c r="AB64" i="58"/>
  <c r="AA62" i="58"/>
  <c r="Z71" i="11"/>
  <c r="Z71" i="10"/>
  <c r="Z75" i="11"/>
  <c r="Z75" i="38"/>
  <c r="Z76" i="45"/>
  <c r="Z84" i="45" s="1"/>
  <c r="Z75" i="50"/>
  <c r="Z76" i="47"/>
  <c r="Z84" i="47" s="1"/>
  <c r="Z75" i="13"/>
  <c r="Z83" i="13" s="1"/>
  <c r="Z75" i="10"/>
  <c r="Z76" i="23"/>
  <c r="Z84" i="23" s="1"/>
  <c r="Z68" i="12"/>
  <c r="Z76" i="12"/>
  <c r="Z67" i="11"/>
  <c r="AA74" i="10"/>
  <c r="Z75" i="15"/>
  <c r="AA73" i="10"/>
  <c r="Z75" i="43"/>
  <c r="Z83" i="43" s="1"/>
  <c r="AA74" i="13"/>
  <c r="AB62" i="11"/>
  <c r="AB62" i="50"/>
  <c r="AB63" i="47"/>
  <c r="AB62" i="43"/>
  <c r="AB63" i="45"/>
  <c r="AB62" i="38"/>
  <c r="AB62" i="15"/>
  <c r="AB63" i="12"/>
  <c r="AB79" i="12" s="1"/>
  <c r="AB62" i="13"/>
  <c r="AB63" i="23"/>
  <c r="AA74" i="43"/>
  <c r="AA74" i="11"/>
  <c r="AA75" i="23"/>
  <c r="AA75" i="47"/>
  <c r="AA61" i="10"/>
  <c r="AA77" i="10" s="1"/>
  <c r="AA79" i="10" s="1"/>
  <c r="AA61" i="11"/>
  <c r="AA77" i="11" s="1"/>
  <c r="AA79" i="11" s="1"/>
  <c r="AA61" i="50"/>
  <c r="AA62" i="47"/>
  <c r="AA78" i="47" s="1"/>
  <c r="AA80" i="47" s="1"/>
  <c r="AA61" i="38"/>
  <c r="AA62" i="45"/>
  <c r="AA78" i="45" s="1"/>
  <c r="AA80" i="45" s="1"/>
  <c r="AA61" i="43"/>
  <c r="AA77" i="43" s="1"/>
  <c r="AA79" i="43" s="1"/>
  <c r="AA61" i="13"/>
  <c r="AA77" i="13" s="1"/>
  <c r="AA79" i="13" s="1"/>
  <c r="AA61" i="15"/>
  <c r="AA62" i="12"/>
  <c r="AA62" i="23"/>
  <c r="AA78" i="23" s="1"/>
  <c r="AA80" i="23" s="1"/>
  <c r="AA75" i="12"/>
  <c r="AA74" i="38"/>
  <c r="AA75" i="45"/>
  <c r="AB63" i="10"/>
  <c r="AB78" i="10" s="1"/>
  <c r="AB63" i="11"/>
  <c r="AB78" i="11" s="1"/>
  <c r="AB63" i="43"/>
  <c r="AB78" i="43" s="1"/>
  <c r="AB64" i="45"/>
  <c r="AB79" i="45" s="1"/>
  <c r="AB64" i="47"/>
  <c r="AB79" i="47" s="1"/>
  <c r="AB63" i="38"/>
  <c r="AB78" i="38" s="1"/>
  <c r="AB64" i="23"/>
  <c r="AB79" i="23" s="1"/>
  <c r="AB63" i="15"/>
  <c r="AB78" i="15" s="1"/>
  <c r="AB63" i="50"/>
  <c r="AB78" i="50" s="1"/>
  <c r="AB63" i="13"/>
  <c r="AB78" i="13" s="1"/>
  <c r="AB64" i="12"/>
  <c r="AA74" i="15"/>
  <c r="AA74" i="50"/>
  <c r="AA73" i="15"/>
  <c r="AA74" i="45"/>
  <c r="AA74" i="23"/>
  <c r="AA74" i="47"/>
  <c r="AA73" i="11"/>
  <c r="AA73" i="13"/>
  <c r="AA73" i="38"/>
  <c r="AB60" i="11"/>
  <c r="AB60" i="43"/>
  <c r="AB61" i="45"/>
  <c r="AB60" i="50"/>
  <c r="AB60" i="38"/>
  <c r="AB60" i="13"/>
  <c r="AB61" i="47"/>
  <c r="AB61" i="12"/>
  <c r="AB78" i="12" s="1"/>
  <c r="AB61" i="23"/>
  <c r="AB60" i="15"/>
  <c r="AA74" i="12"/>
  <c r="AA73" i="50"/>
  <c r="AA73" i="43"/>
  <c r="Z67" i="10"/>
  <c r="AB60" i="10"/>
  <c r="AB62" i="10"/>
  <c r="AC63" i="58"/>
  <c r="F11" i="60" l="1"/>
  <c r="AQ52" i="18"/>
  <c r="Z83" i="15"/>
  <c r="AB84" i="58"/>
  <c r="Z83" i="38"/>
  <c r="Z83" i="10"/>
  <c r="Z84" i="12"/>
  <c r="AC79" i="58"/>
  <c r="AC80" i="58" s="1"/>
  <c r="AC75" i="58"/>
  <c r="AC76" i="58" s="1"/>
  <c r="Z83" i="11"/>
  <c r="Z83" i="50"/>
  <c r="AB80" i="12"/>
  <c r="AA77" i="50"/>
  <c r="AA79" i="50" s="1"/>
  <c r="AA77" i="38"/>
  <c r="AA79" i="38" s="1"/>
  <c r="AA77" i="15"/>
  <c r="AA79" i="15" s="1"/>
  <c r="AC64" i="58"/>
  <c r="AB62" i="58"/>
  <c r="AA71" i="11"/>
  <c r="AA71" i="10"/>
  <c r="AA75" i="38"/>
  <c r="AA76" i="47"/>
  <c r="AA84" i="47" s="1"/>
  <c r="AA75" i="50"/>
  <c r="AA76" i="45"/>
  <c r="AA84" i="45" s="1"/>
  <c r="AA75" i="43"/>
  <c r="AA83" i="43" s="1"/>
  <c r="AA75" i="13"/>
  <c r="AA83" i="13" s="1"/>
  <c r="AA67" i="11"/>
  <c r="AA75" i="15"/>
  <c r="AA68" i="12"/>
  <c r="AA76" i="12"/>
  <c r="AB74" i="10"/>
  <c r="AB73" i="10"/>
  <c r="AA76" i="23"/>
  <c r="AA84" i="23" s="1"/>
  <c r="AC63" i="10"/>
  <c r="AC78" i="10" s="1"/>
  <c r="AC63" i="11"/>
  <c r="AC78" i="11" s="1"/>
  <c r="AC64" i="45"/>
  <c r="AC79" i="45" s="1"/>
  <c r="AC63" i="50"/>
  <c r="AC78" i="50" s="1"/>
  <c r="AC63" i="38"/>
  <c r="AC78" i="38" s="1"/>
  <c r="AC64" i="47"/>
  <c r="AC79" i="47" s="1"/>
  <c r="AC64" i="12"/>
  <c r="AC64" i="23"/>
  <c r="AC79" i="23" s="1"/>
  <c r="AC63" i="43"/>
  <c r="AC78" i="43" s="1"/>
  <c r="AC63" i="15"/>
  <c r="AC78" i="15" s="1"/>
  <c r="AC63" i="13"/>
  <c r="AC78" i="13" s="1"/>
  <c r="AB75" i="12"/>
  <c r="AB74" i="50"/>
  <c r="AB74" i="15"/>
  <c r="AC62" i="11"/>
  <c r="AC62" i="50"/>
  <c r="AC63" i="47"/>
  <c r="AC62" i="38"/>
  <c r="AC63" i="45"/>
  <c r="AC62" i="43"/>
  <c r="AC62" i="13"/>
  <c r="AC63" i="12"/>
  <c r="AC79" i="12" s="1"/>
  <c r="AC63" i="23"/>
  <c r="AC62" i="15"/>
  <c r="AA67" i="10"/>
  <c r="AB74" i="38"/>
  <c r="AA75" i="11"/>
  <c r="AB75" i="45"/>
  <c r="AB74" i="11"/>
  <c r="AB75" i="47"/>
  <c r="AB75" i="23"/>
  <c r="AB61" i="10"/>
  <c r="AB77" i="10" s="1"/>
  <c r="AB79" i="10" s="1"/>
  <c r="AB61" i="11"/>
  <c r="AB77" i="11" s="1"/>
  <c r="AB79" i="11" s="1"/>
  <c r="AB61" i="50"/>
  <c r="AB62" i="47"/>
  <c r="AB78" i="47" s="1"/>
  <c r="AB80" i="47" s="1"/>
  <c r="AB61" i="38"/>
  <c r="AB61" i="43"/>
  <c r="AB77" i="43" s="1"/>
  <c r="AB79" i="43" s="1"/>
  <c r="AB62" i="45"/>
  <c r="AB78" i="45" s="1"/>
  <c r="AB80" i="45" s="1"/>
  <c r="AB61" i="13"/>
  <c r="AB77" i="13" s="1"/>
  <c r="AB79" i="13" s="1"/>
  <c r="AB62" i="12"/>
  <c r="AB62" i="23"/>
  <c r="AB78" i="23" s="1"/>
  <c r="AB80" i="23" s="1"/>
  <c r="AB61" i="15"/>
  <c r="AB74" i="13"/>
  <c r="AB74" i="43"/>
  <c r="AC60" i="11"/>
  <c r="AC61" i="45"/>
  <c r="AC60" i="50"/>
  <c r="AC61" i="47"/>
  <c r="AC60" i="38"/>
  <c r="AC61" i="12"/>
  <c r="AC78" i="12" s="1"/>
  <c r="AC60" i="43"/>
  <c r="AC61" i="23"/>
  <c r="AC60" i="15"/>
  <c r="AC60" i="13"/>
  <c r="AB73" i="38"/>
  <c r="AB74" i="12"/>
  <c r="AB73" i="50"/>
  <c r="AB73" i="43"/>
  <c r="AB73" i="15"/>
  <c r="AB74" i="47"/>
  <c r="AB73" i="11"/>
  <c r="AB74" i="23"/>
  <c r="AB73" i="13"/>
  <c r="AB74" i="45"/>
  <c r="AA75" i="10"/>
  <c r="AC60" i="10"/>
  <c r="AC62" i="10"/>
  <c r="AD63" i="58"/>
  <c r="F28" i="18" l="1"/>
  <c r="AP52" i="18" s="1"/>
  <c r="AQ39" i="18"/>
  <c r="AQ23" i="18"/>
  <c r="AQ10" i="18"/>
  <c r="AA53" i="18" s="1"/>
  <c r="AQ130" i="18"/>
  <c r="W53" i="18" s="1"/>
  <c r="AA83" i="10"/>
  <c r="AA83" i="50"/>
  <c r="AA83" i="11"/>
  <c r="AC80" i="12"/>
  <c r="AC62" i="58"/>
  <c r="AD79" i="58"/>
  <c r="AD80" i="58" s="1"/>
  <c r="AD75" i="58"/>
  <c r="AD76" i="58" s="1"/>
  <c r="AC84" i="58"/>
  <c r="AA83" i="38"/>
  <c r="AA83" i="15"/>
  <c r="AA84" i="12"/>
  <c r="AB77" i="50"/>
  <c r="AB79" i="50" s="1"/>
  <c r="AB77" i="38"/>
  <c r="AB79" i="38" s="1"/>
  <c r="AB77" i="15"/>
  <c r="AB79" i="15" s="1"/>
  <c r="AD64" i="58"/>
  <c r="AB71" i="11"/>
  <c r="AB71" i="10"/>
  <c r="AB76" i="45"/>
  <c r="AB84" i="45" s="1"/>
  <c r="AB76" i="47"/>
  <c r="AB84" i="47" s="1"/>
  <c r="AB75" i="38"/>
  <c r="AB75" i="11"/>
  <c r="AB75" i="10"/>
  <c r="AB75" i="50"/>
  <c r="AB76" i="23"/>
  <c r="AB84" i="23" s="1"/>
  <c r="AB75" i="43"/>
  <c r="AB83" i="43" s="1"/>
  <c r="AB68" i="12"/>
  <c r="AB76" i="12"/>
  <c r="AB67" i="11"/>
  <c r="AC74" i="10"/>
  <c r="AC73" i="10"/>
  <c r="AC74" i="15"/>
  <c r="AC75" i="45"/>
  <c r="AC75" i="23"/>
  <c r="AC74" i="38"/>
  <c r="AD63" i="10"/>
  <c r="AD78" i="10" s="1"/>
  <c r="AD63" i="11"/>
  <c r="AD78" i="11" s="1"/>
  <c r="AD63" i="50"/>
  <c r="AD78" i="50" s="1"/>
  <c r="AD64" i="47"/>
  <c r="AD79" i="47" s="1"/>
  <c r="AD63" i="43"/>
  <c r="AD78" i="43" s="1"/>
  <c r="AD63" i="38"/>
  <c r="AD78" i="38" s="1"/>
  <c r="AD64" i="23"/>
  <c r="AD79" i="23" s="1"/>
  <c r="AD64" i="12"/>
  <c r="AD63" i="13"/>
  <c r="AD78" i="13" s="1"/>
  <c r="AD64" i="45"/>
  <c r="AD79" i="45" s="1"/>
  <c r="AD63" i="15"/>
  <c r="AD78" i="15" s="1"/>
  <c r="AB75" i="15"/>
  <c r="AC75" i="12"/>
  <c r="AC75" i="47"/>
  <c r="AC74" i="13"/>
  <c r="AC74" i="50"/>
  <c r="AB75" i="13"/>
  <c r="AB83" i="13" s="1"/>
  <c r="AC74" i="11"/>
  <c r="AC61" i="10"/>
  <c r="AC77" i="10" s="1"/>
  <c r="AC79" i="10" s="1"/>
  <c r="AC61" i="11"/>
  <c r="AC77" i="11" s="1"/>
  <c r="AC79" i="11" s="1"/>
  <c r="AC61" i="50"/>
  <c r="AC62" i="47"/>
  <c r="AC78" i="47" s="1"/>
  <c r="AC80" i="47" s="1"/>
  <c r="AC61" i="38"/>
  <c r="AC61" i="43"/>
  <c r="AC77" i="43" s="1"/>
  <c r="AC79" i="43" s="1"/>
  <c r="AC62" i="45"/>
  <c r="AC78" i="45" s="1"/>
  <c r="AC80" i="45" s="1"/>
  <c r="AC61" i="13"/>
  <c r="AC77" i="13" s="1"/>
  <c r="AC79" i="13" s="1"/>
  <c r="AC62" i="23"/>
  <c r="AC78" i="23" s="1"/>
  <c r="AC80" i="23" s="1"/>
  <c r="AC61" i="15"/>
  <c r="AC62" i="12"/>
  <c r="AD62" i="11"/>
  <c r="AD62" i="50"/>
  <c r="AD63" i="47"/>
  <c r="AD62" i="38"/>
  <c r="AD62" i="43"/>
  <c r="AD62" i="13"/>
  <c r="AD63" i="12"/>
  <c r="AD79" i="12" s="1"/>
  <c r="AD63" i="23"/>
  <c r="AD62" i="15"/>
  <c r="AD63" i="45"/>
  <c r="AC74" i="43"/>
  <c r="AC74" i="23"/>
  <c r="AC73" i="38"/>
  <c r="AD60" i="11"/>
  <c r="AD60" i="50"/>
  <c r="AD61" i="47"/>
  <c r="AD60" i="38"/>
  <c r="AD60" i="43"/>
  <c r="AD61" i="45"/>
  <c r="AD61" i="23"/>
  <c r="AD60" i="15"/>
  <c r="AD61" i="12"/>
  <c r="AD78" i="12" s="1"/>
  <c r="AD60" i="13"/>
  <c r="AC73" i="43"/>
  <c r="AC74" i="45"/>
  <c r="AC73" i="13"/>
  <c r="AC74" i="12"/>
  <c r="AC74" i="47"/>
  <c r="AC73" i="11"/>
  <c r="AC73" i="15"/>
  <c r="AC73" i="50"/>
  <c r="AB67" i="10"/>
  <c r="AD60" i="10"/>
  <c r="AD62" i="10"/>
  <c r="U53" i="18" l="1"/>
  <c r="Y53" i="18"/>
  <c r="Q53" i="18"/>
  <c r="O53" i="18"/>
  <c r="S53" i="18"/>
  <c r="C72" i="18"/>
  <c r="K11" i="60"/>
  <c r="K28" i="18"/>
  <c r="AP130" i="18" s="1"/>
  <c r="G53" i="18"/>
  <c r="I53" i="18"/>
  <c r="E11" i="60"/>
  <c r="E28" i="18"/>
  <c r="AP39" i="18" s="1"/>
  <c r="D11" i="60"/>
  <c r="D28" i="18"/>
  <c r="AP23" i="18" s="1"/>
  <c r="C11" i="60"/>
  <c r="C28" i="18"/>
  <c r="AP10" i="18" s="1"/>
  <c r="AB83" i="15"/>
  <c r="AB83" i="38"/>
  <c r="AB83" i="11"/>
  <c r="AB83" i="50"/>
  <c r="AE63" i="58"/>
  <c r="AB84" i="12"/>
  <c r="AB83" i="10"/>
  <c r="AD84" i="58"/>
  <c r="AD80" i="12"/>
  <c r="AC77" i="50"/>
  <c r="AC79" i="50" s="1"/>
  <c r="AC77" i="38"/>
  <c r="AC79" i="38" s="1"/>
  <c r="AC77" i="15"/>
  <c r="AC79" i="15" s="1"/>
  <c r="AE64" i="58"/>
  <c r="AD62" i="58"/>
  <c r="AC71" i="11"/>
  <c r="AC71" i="10"/>
  <c r="AC76" i="45"/>
  <c r="AC84" i="45" s="1"/>
  <c r="AC75" i="10"/>
  <c r="AC75" i="50"/>
  <c r="AC75" i="11"/>
  <c r="AC76" i="23"/>
  <c r="AC84" i="23" s="1"/>
  <c r="AC76" i="47"/>
  <c r="AC84" i="47" s="1"/>
  <c r="AC67" i="11"/>
  <c r="AC75" i="43"/>
  <c r="AC83" i="43" s="1"/>
  <c r="AC75" i="13"/>
  <c r="AC83" i="13" s="1"/>
  <c r="AC75" i="15"/>
  <c r="AC76" i="12"/>
  <c r="AD74" i="10"/>
  <c r="AD73" i="10"/>
  <c r="AE62" i="11"/>
  <c r="AE62" i="50"/>
  <c r="AE63" i="47"/>
  <c r="AE62" i="38"/>
  <c r="AE62" i="43"/>
  <c r="AE63" i="45"/>
  <c r="AE62" i="13"/>
  <c r="AE63" i="23"/>
  <c r="AE62" i="15"/>
  <c r="AE63" i="12"/>
  <c r="AE79" i="12" s="1"/>
  <c r="C79" i="12" s="1"/>
  <c r="AC68" i="12"/>
  <c r="AD74" i="11"/>
  <c r="AC75" i="38"/>
  <c r="AD75" i="45"/>
  <c r="AD74" i="43"/>
  <c r="AD74" i="15"/>
  <c r="AD74" i="38"/>
  <c r="AD61" i="10"/>
  <c r="AD77" i="10" s="1"/>
  <c r="AD79" i="10" s="1"/>
  <c r="AD61" i="11"/>
  <c r="AD77" i="11" s="1"/>
  <c r="AD79" i="11" s="1"/>
  <c r="AD62" i="47"/>
  <c r="AD78" i="47" s="1"/>
  <c r="AD80" i="47" s="1"/>
  <c r="AD61" i="38"/>
  <c r="AD61" i="43"/>
  <c r="AD77" i="43" s="1"/>
  <c r="AD79" i="43" s="1"/>
  <c r="AD62" i="45"/>
  <c r="AD78" i="45" s="1"/>
  <c r="AD80" i="45" s="1"/>
  <c r="AD61" i="13"/>
  <c r="AD77" i="13" s="1"/>
  <c r="AD79" i="13" s="1"/>
  <c r="AD62" i="23"/>
  <c r="AD78" i="23" s="1"/>
  <c r="AD80" i="23" s="1"/>
  <c r="AD61" i="15"/>
  <c r="AD61" i="50"/>
  <c r="AD62" i="12"/>
  <c r="AD75" i="23"/>
  <c r="AD75" i="47"/>
  <c r="AD75" i="12"/>
  <c r="AD74" i="50"/>
  <c r="AE63" i="10"/>
  <c r="AE78" i="10" s="1"/>
  <c r="C78" i="10" s="1"/>
  <c r="AE63" i="11"/>
  <c r="AE78" i="11" s="1"/>
  <c r="C78" i="11" s="1"/>
  <c r="AE63" i="50"/>
  <c r="AE78" i="50" s="1"/>
  <c r="C78" i="50" s="1"/>
  <c r="AE64" i="47"/>
  <c r="AE63" i="38"/>
  <c r="AE78" i="38" s="1"/>
  <c r="C78" i="38" s="1"/>
  <c r="AE64" i="45"/>
  <c r="AE63" i="13"/>
  <c r="AE64" i="23"/>
  <c r="AE64" i="12"/>
  <c r="AE63" i="15"/>
  <c r="AE78" i="15" s="1"/>
  <c r="C78" i="15" s="1"/>
  <c r="AE63" i="43"/>
  <c r="AE78" i="43" s="1"/>
  <c r="C78" i="43" s="1"/>
  <c r="AD74" i="13"/>
  <c r="AD73" i="15"/>
  <c r="AD73" i="50"/>
  <c r="AD73" i="13"/>
  <c r="AD74" i="23"/>
  <c r="AD73" i="38"/>
  <c r="AD73" i="11"/>
  <c r="AD74" i="45"/>
  <c r="AD73" i="43"/>
  <c r="AE60" i="11"/>
  <c r="AE61" i="47"/>
  <c r="AE60" i="38"/>
  <c r="AE60" i="43"/>
  <c r="AE61" i="45"/>
  <c r="AE61" i="23"/>
  <c r="AE60" i="15"/>
  <c r="AE60" i="13"/>
  <c r="AE61" i="12"/>
  <c r="AE78" i="12" s="1"/>
  <c r="C78" i="12" s="1"/>
  <c r="AE60" i="50"/>
  <c r="AD74" i="12"/>
  <c r="AD74" i="47"/>
  <c r="AC67" i="10"/>
  <c r="AE60" i="10"/>
  <c r="AE62" i="10"/>
  <c r="AN20" i="59" l="1"/>
  <c r="P11" i="60"/>
  <c r="Q11" i="60"/>
  <c r="R11" i="60"/>
  <c r="AE80" i="12"/>
  <c r="C80" i="12" s="1"/>
  <c r="AC83" i="15"/>
  <c r="AC84" i="12"/>
  <c r="AC83" i="38"/>
  <c r="AE79" i="58"/>
  <c r="C79" i="58" s="1"/>
  <c r="AE75" i="58"/>
  <c r="C75" i="58" s="1"/>
  <c r="AC83" i="50"/>
  <c r="AC83" i="11"/>
  <c r="AC83" i="10"/>
  <c r="AD77" i="50"/>
  <c r="AD79" i="50" s="1"/>
  <c r="AD77" i="38"/>
  <c r="AD79" i="38" s="1"/>
  <c r="AD77" i="15"/>
  <c r="AD79" i="15" s="1"/>
  <c r="AE62" i="58"/>
  <c r="AN62" i="59"/>
  <c r="AN48" i="59"/>
  <c r="C41" i="59" s="1"/>
  <c r="AE79" i="23"/>
  <c r="C79" i="23" s="1"/>
  <c r="AD71" i="10"/>
  <c r="AE78" i="13"/>
  <c r="C78" i="13" s="1"/>
  <c r="AN69" i="59"/>
  <c r="AN76" i="59"/>
  <c r="AE79" i="45"/>
  <c r="C79" i="45" s="1"/>
  <c r="AN90" i="59"/>
  <c r="AN55" i="59"/>
  <c r="AN83" i="59"/>
  <c r="AE79" i="47"/>
  <c r="C79" i="47" s="1"/>
  <c r="AD71" i="11"/>
  <c r="AD75" i="43"/>
  <c r="AD83" i="43" s="1"/>
  <c r="AD76" i="12"/>
  <c r="C63" i="17"/>
  <c r="AD76" i="47"/>
  <c r="AD84" i="47" s="1"/>
  <c r="AD75" i="11"/>
  <c r="AD75" i="10"/>
  <c r="AD75" i="50"/>
  <c r="AD76" i="45"/>
  <c r="AD84" i="45" s="1"/>
  <c r="AD75" i="15"/>
  <c r="AD75" i="13"/>
  <c r="AD83" i="13" s="1"/>
  <c r="AD67" i="11"/>
  <c r="AD68" i="12"/>
  <c r="AE74" i="10"/>
  <c r="C74" i="10" s="1"/>
  <c r="AE73" i="10"/>
  <c r="C73" i="10" s="1"/>
  <c r="AE61" i="10"/>
  <c r="AE61" i="11"/>
  <c r="AE77" i="11" s="1"/>
  <c r="AE61" i="38"/>
  <c r="AE61" i="43"/>
  <c r="AE77" i="43" s="1"/>
  <c r="C77" i="43" s="1"/>
  <c r="AE62" i="45"/>
  <c r="AE78" i="45" s="1"/>
  <c r="C78" i="45" s="1"/>
  <c r="AE61" i="50"/>
  <c r="AE62" i="23"/>
  <c r="AE78" i="23" s="1"/>
  <c r="C78" i="23" s="1"/>
  <c r="AE61" i="15"/>
  <c r="AE77" i="15" s="1"/>
  <c r="AE62" i="47"/>
  <c r="AE78" i="47" s="1"/>
  <c r="C78" i="47" s="1"/>
  <c r="AE61" i="13"/>
  <c r="AE77" i="13" s="1"/>
  <c r="C77" i="13" s="1"/>
  <c r="AE62" i="12"/>
  <c r="AD75" i="38"/>
  <c r="AE74" i="15"/>
  <c r="C74" i="15" s="1"/>
  <c r="AE75" i="47"/>
  <c r="C75" i="47" s="1"/>
  <c r="AE75" i="23"/>
  <c r="C75" i="23" s="1"/>
  <c r="AE74" i="50"/>
  <c r="C74" i="50" s="1"/>
  <c r="AE75" i="12"/>
  <c r="C75" i="12" s="1"/>
  <c r="AD67" i="10"/>
  <c r="AD76" i="23"/>
  <c r="AD84" i="23" s="1"/>
  <c r="AE74" i="13"/>
  <c r="C74" i="13" s="1"/>
  <c r="AE74" i="38"/>
  <c r="C74" i="38" s="1"/>
  <c r="AE75" i="45"/>
  <c r="C75" i="45" s="1"/>
  <c r="AE74" i="43"/>
  <c r="C74" i="43" s="1"/>
  <c r="AE74" i="11"/>
  <c r="C74" i="11" s="1"/>
  <c r="AE74" i="45"/>
  <c r="C74" i="45" s="1"/>
  <c r="AE73" i="15"/>
  <c r="C73" i="15" s="1"/>
  <c r="AE73" i="50"/>
  <c r="C73" i="50" s="1"/>
  <c r="AE74" i="23"/>
  <c r="C74" i="23" s="1"/>
  <c r="AE73" i="43"/>
  <c r="C73" i="43" s="1"/>
  <c r="AE73" i="11"/>
  <c r="C73" i="11" s="1"/>
  <c r="AE73" i="13"/>
  <c r="C73" i="13" s="1"/>
  <c r="AE74" i="47"/>
  <c r="C74" i="47" s="1"/>
  <c r="AE74" i="12"/>
  <c r="C74" i="12" s="1"/>
  <c r="AE73" i="38"/>
  <c r="C73" i="38" s="1"/>
  <c r="AE79" i="15" l="1"/>
  <c r="C79" i="15" s="1"/>
  <c r="C77" i="15"/>
  <c r="AE79" i="11"/>
  <c r="C79" i="11" s="1"/>
  <c r="C77" i="11"/>
  <c r="G28" i="59"/>
  <c r="AN38" i="59" s="1"/>
  <c r="G41" i="59"/>
  <c r="E28" i="59"/>
  <c r="AN24" i="59" s="1"/>
  <c r="AN27" i="59"/>
  <c r="AN34" i="59"/>
  <c r="AD83" i="15"/>
  <c r="AD83" i="11"/>
  <c r="AE80" i="45"/>
  <c r="I41" i="59"/>
  <c r="AE76" i="58"/>
  <c r="C76" i="58" s="1"/>
  <c r="AD83" i="10"/>
  <c r="AE80" i="58"/>
  <c r="AD83" i="38"/>
  <c r="AD84" i="12"/>
  <c r="E41" i="59"/>
  <c r="AD83" i="50"/>
  <c r="AE80" i="47"/>
  <c r="C80" i="47" s="1"/>
  <c r="AE79" i="43"/>
  <c r="C79" i="43" s="1"/>
  <c r="K41" i="59"/>
  <c r="AE80" i="23"/>
  <c r="AE79" i="13"/>
  <c r="C79" i="13" s="1"/>
  <c r="AE77" i="50"/>
  <c r="C77" i="50" s="1"/>
  <c r="AE77" i="38"/>
  <c r="C77" i="38" s="1"/>
  <c r="AE77" i="10"/>
  <c r="C77" i="10" s="1"/>
  <c r="C64" i="17"/>
  <c r="C62" i="17"/>
  <c r="AE71" i="10"/>
  <c r="C71" i="10" s="1"/>
  <c r="AE75" i="10"/>
  <c r="AE76" i="12"/>
  <c r="C76" i="12" s="1"/>
  <c r="AE76" i="45"/>
  <c r="AE76" i="47"/>
  <c r="AE71" i="11"/>
  <c r="AE67" i="10"/>
  <c r="C67" i="10" s="1"/>
  <c r="AE75" i="43"/>
  <c r="AE75" i="13"/>
  <c r="C75" i="13" s="1"/>
  <c r="AE75" i="50"/>
  <c r="AE75" i="15"/>
  <c r="C75" i="15" s="1"/>
  <c r="AE75" i="38"/>
  <c r="AE68" i="12"/>
  <c r="C68" i="12" s="1"/>
  <c r="AE67" i="11"/>
  <c r="C67" i="11" s="1"/>
  <c r="AE76" i="23"/>
  <c r="C76" i="23" s="1"/>
  <c r="AE75" i="11"/>
  <c r="C75" i="11" s="1"/>
  <c r="C75" i="38" l="1"/>
  <c r="I27" i="59" s="1"/>
  <c r="AN58" i="59" s="1"/>
  <c r="C75" i="10"/>
  <c r="C27" i="59" s="1"/>
  <c r="AN9" i="59" s="1"/>
  <c r="C80" i="45"/>
  <c r="L28" i="59" s="1"/>
  <c r="AN80" i="59" s="1"/>
  <c r="C75" i="50"/>
  <c r="N27" i="59" s="1"/>
  <c r="AN93" i="59" s="1"/>
  <c r="C76" i="45"/>
  <c r="L27" i="59" s="1"/>
  <c r="AN79" i="59" s="1"/>
  <c r="U44" i="59" s="1"/>
  <c r="C80" i="58"/>
  <c r="O28" i="59" s="1"/>
  <c r="AN101" i="59" s="1"/>
  <c r="C75" i="43"/>
  <c r="K27" i="59" s="1"/>
  <c r="AN72" i="59" s="1"/>
  <c r="W44" i="59" s="1"/>
  <c r="C76" i="47"/>
  <c r="M27" i="59" s="1"/>
  <c r="AN86" i="59" s="1"/>
  <c r="C80" i="23"/>
  <c r="H28" i="59" s="1"/>
  <c r="AN52" i="59" s="1"/>
  <c r="F28" i="59"/>
  <c r="AN31" i="59" s="1"/>
  <c r="D28" i="59"/>
  <c r="AN17" i="59" s="1"/>
  <c r="C24" i="59"/>
  <c r="AN6" i="59" s="1"/>
  <c r="Y41" i="59" s="1"/>
  <c r="D27" i="59"/>
  <c r="AN16" i="59" s="1"/>
  <c r="E27" i="59"/>
  <c r="AN23" i="59" s="1"/>
  <c r="AE84" i="58"/>
  <c r="O27" i="59"/>
  <c r="AN100" i="59" s="1"/>
  <c r="AE79" i="50"/>
  <c r="C79" i="50" s="1"/>
  <c r="AE84" i="47"/>
  <c r="M28" i="59"/>
  <c r="AN87" i="59" s="1"/>
  <c r="G45" i="59" s="1"/>
  <c r="AE84" i="45"/>
  <c r="AE83" i="43"/>
  <c r="K28" i="59"/>
  <c r="AN73" i="59" s="1"/>
  <c r="AN66" i="59"/>
  <c r="AE79" i="38"/>
  <c r="C79" i="38" s="1"/>
  <c r="H27" i="59"/>
  <c r="AN51" i="59" s="1"/>
  <c r="C44" i="59" s="1"/>
  <c r="AE84" i="23"/>
  <c r="G27" i="59"/>
  <c r="AN37" i="59" s="1"/>
  <c r="Y44" i="59" s="1"/>
  <c r="AE83" i="15"/>
  <c r="AE83" i="13"/>
  <c r="AE84" i="13" s="1"/>
  <c r="AE84" i="12"/>
  <c r="AE83" i="11"/>
  <c r="AE79" i="10"/>
  <c r="C86" i="11"/>
  <c r="AN65" i="59"/>
  <c r="I44" i="59" s="1"/>
  <c r="N26" i="59"/>
  <c r="AN92" i="59" s="1"/>
  <c r="I26" i="59"/>
  <c r="AN57" i="59" s="1"/>
  <c r="G26" i="59"/>
  <c r="AN36" i="59" s="1"/>
  <c r="K26" i="59"/>
  <c r="AN71" i="59" s="1"/>
  <c r="M26" i="59"/>
  <c r="AN85" i="59" s="1"/>
  <c r="H26" i="59"/>
  <c r="AN50" i="59" s="1"/>
  <c r="C43" i="59" s="1"/>
  <c r="AN64" i="59"/>
  <c r="C26" i="59"/>
  <c r="C86" i="10"/>
  <c r="G44" i="59" l="1"/>
  <c r="S41" i="59"/>
  <c r="U41" i="59"/>
  <c r="C79" i="10"/>
  <c r="C28" i="59" s="1"/>
  <c r="AN10" i="59" s="1"/>
  <c r="AE84" i="11"/>
  <c r="AE85" i="58"/>
  <c r="C84" i="58"/>
  <c r="AE85" i="45"/>
  <c r="C84" i="45"/>
  <c r="AE84" i="15"/>
  <c r="C83" i="15"/>
  <c r="AE85" i="12"/>
  <c r="C84" i="12"/>
  <c r="AE84" i="43"/>
  <c r="C83" i="43"/>
  <c r="C84" i="23"/>
  <c r="H30" i="59" s="1"/>
  <c r="AN54" i="59" s="1"/>
  <c r="AE85" i="23"/>
  <c r="AE85" i="47"/>
  <c r="C84" i="47"/>
  <c r="E45" i="59"/>
  <c r="C45" i="59"/>
  <c r="C83" i="13"/>
  <c r="F30" i="59" s="1"/>
  <c r="AN33" i="59" s="1"/>
  <c r="D26" i="59"/>
  <c r="AN15" i="59" s="1"/>
  <c r="E26" i="59"/>
  <c r="AN22" i="59" s="1"/>
  <c r="F26" i="59"/>
  <c r="AN29" i="59" s="1"/>
  <c r="F27" i="59"/>
  <c r="AN30" i="59" s="1"/>
  <c r="AA44" i="59" s="1"/>
  <c r="O44" i="59"/>
  <c r="Q44" i="59"/>
  <c r="I43" i="59"/>
  <c r="S44" i="59"/>
  <c r="AE83" i="10"/>
  <c r="O30" i="59"/>
  <c r="AN103" i="59" s="1"/>
  <c r="M44" i="59"/>
  <c r="AE83" i="50"/>
  <c r="N28" i="59"/>
  <c r="AN94" i="59" s="1"/>
  <c r="M30" i="59"/>
  <c r="AN89" i="59" s="1"/>
  <c r="L30" i="59"/>
  <c r="AN82" i="59" s="1"/>
  <c r="E44" i="59"/>
  <c r="K30" i="59"/>
  <c r="AN75" i="59" s="1"/>
  <c r="K44" i="59"/>
  <c r="AN68" i="59"/>
  <c r="K43" i="59"/>
  <c r="AE83" i="38"/>
  <c r="I28" i="59"/>
  <c r="AN59" i="59" s="1"/>
  <c r="I45" i="59" s="1"/>
  <c r="G30" i="59"/>
  <c r="AN40" i="59" s="1"/>
  <c r="AN8" i="59"/>
  <c r="Q43" i="59" s="1"/>
  <c r="C86" i="15"/>
  <c r="C87" i="47"/>
  <c r="U45" i="59" l="1"/>
  <c r="W45" i="59"/>
  <c r="Q45" i="59"/>
  <c r="Y45" i="59"/>
  <c r="W41" i="59"/>
  <c r="AA41" i="59"/>
  <c r="AA43" i="59"/>
  <c r="Y43" i="59"/>
  <c r="W43" i="59"/>
  <c r="AA45" i="59"/>
  <c r="C83" i="38"/>
  <c r="AE84" i="38"/>
  <c r="AE84" i="50"/>
  <c r="C83" i="50"/>
  <c r="N30" i="59" s="1"/>
  <c r="AN96" i="59" s="1"/>
  <c r="C83" i="10"/>
  <c r="C30" i="59" s="1"/>
  <c r="AN12" i="59" s="1"/>
  <c r="AA47" i="59" s="1"/>
  <c r="AE84" i="10"/>
  <c r="O45" i="59"/>
  <c r="G43" i="59"/>
  <c r="E43" i="59"/>
  <c r="E30" i="59"/>
  <c r="AN26" i="59" s="1"/>
  <c r="C47" i="59"/>
  <c r="S45" i="59"/>
  <c r="K45" i="59"/>
  <c r="M45" i="59"/>
  <c r="I30" i="59"/>
  <c r="AN61" i="59" s="1"/>
  <c r="I47" i="59" s="1"/>
  <c r="C86" i="43"/>
  <c r="E14" i="7"/>
  <c r="C87" i="45"/>
  <c r="W47" i="59" l="1"/>
  <c r="Y47" i="59"/>
  <c r="S47" i="59"/>
  <c r="E47" i="59"/>
  <c r="G47" i="59"/>
  <c r="K47" i="59"/>
  <c r="C86" i="50" l="1"/>
  <c r="C86" i="13" l="1"/>
  <c r="V2" i="10" l="1"/>
  <c r="V42" i="10" s="1"/>
  <c r="V43" i="10" s="1"/>
  <c r="V84" i="10" s="1"/>
  <c r="V2" i="43"/>
  <c r="V42" i="43" s="1"/>
  <c r="V43" i="43" s="1"/>
  <c r="V84" i="43" s="1"/>
  <c r="V2" i="45"/>
  <c r="V43" i="45" s="1"/>
  <c r="V44" i="45" s="1"/>
  <c r="V85" i="45" s="1"/>
  <c r="V2" i="47"/>
  <c r="V43" i="47" s="1"/>
  <c r="V44" i="47" s="1"/>
  <c r="V85" i="47" s="1"/>
  <c r="V2" i="50"/>
  <c r="V42" i="50" s="1"/>
  <c r="V2" i="11"/>
  <c r="V42" i="11" s="1"/>
  <c r="V43" i="11" s="1"/>
  <c r="V84" i="11" s="1"/>
  <c r="V2" i="12"/>
  <c r="V43" i="12" s="1"/>
  <c r="V44" i="12" s="1"/>
  <c r="V85" i="12" s="1"/>
  <c r="V2" i="13"/>
  <c r="V42" i="13" s="1"/>
  <c r="V43" i="13" s="1"/>
  <c r="V84" i="13" s="1"/>
  <c r="V2" i="15"/>
  <c r="V42" i="15" s="1"/>
  <c r="V43" i="15" s="1"/>
  <c r="V84" i="15" s="1"/>
  <c r="V2" i="23"/>
  <c r="V43" i="23" s="1"/>
  <c r="V44" i="23" s="1"/>
  <c r="V85" i="23" s="1"/>
  <c r="V2" i="38"/>
  <c r="V42" i="38" s="1"/>
  <c r="V43" i="38" s="1"/>
  <c r="V84" i="38" s="1"/>
  <c r="W2" i="50" l="1"/>
  <c r="W42" i="50" s="1"/>
  <c r="W43" i="50" s="1"/>
  <c r="W84" i="50" s="1"/>
  <c r="W2" i="58"/>
  <c r="W43" i="58" s="1"/>
  <c r="W44" i="58" s="1"/>
  <c r="W85" i="58" s="1"/>
  <c r="W2" i="38"/>
  <c r="W42" i="38" s="1"/>
  <c r="W2" i="10"/>
  <c r="W42" i="10" s="1"/>
  <c r="W43" i="10" s="1"/>
  <c r="W84" i="10" s="1"/>
  <c r="W2" i="13"/>
  <c r="W42" i="13" s="1"/>
  <c r="W2" i="45"/>
  <c r="W43" i="45" s="1"/>
  <c r="W44" i="45" s="1"/>
  <c r="W85" i="45" s="1"/>
  <c r="X2" i="58"/>
  <c r="X43" i="58" s="1"/>
  <c r="X44" i="58" s="1"/>
  <c r="X85" i="58" s="1"/>
  <c r="W2" i="11"/>
  <c r="W42" i="11" s="1"/>
  <c r="W2" i="15"/>
  <c r="W42" i="15" s="1"/>
  <c r="V43" i="50"/>
  <c r="V84" i="50" s="1"/>
  <c r="W2" i="47"/>
  <c r="W43" i="47" s="1"/>
  <c r="W44" i="47" s="1"/>
  <c r="W85" i="47" s="1"/>
  <c r="W2" i="12"/>
  <c r="W43" i="12" s="1"/>
  <c r="W2" i="43"/>
  <c r="W42" i="43" s="1"/>
  <c r="W2" i="23"/>
  <c r="W43" i="23" s="1"/>
  <c r="W44" i="23" l="1"/>
  <c r="W85" i="23" s="1"/>
  <c r="W44" i="12"/>
  <c r="W85" i="12" s="1"/>
  <c r="W43" i="13"/>
  <c r="W84" i="13" s="1"/>
  <c r="W43" i="43"/>
  <c r="W84" i="43" s="1"/>
  <c r="W43" i="38"/>
  <c r="W84" i="38" s="1"/>
  <c r="W43" i="11"/>
  <c r="W43" i="15"/>
  <c r="W84" i="15" s="1"/>
  <c r="X2" i="10"/>
  <c r="X42" i="10" s="1"/>
  <c r="X43" i="10" s="1"/>
  <c r="X84" i="10" s="1"/>
  <c r="X2" i="38"/>
  <c r="X42" i="38" s="1"/>
  <c r="X43" i="38" s="1"/>
  <c r="X84" i="38" s="1"/>
  <c r="X2" i="50"/>
  <c r="X42" i="50" s="1"/>
  <c r="X2" i="23"/>
  <c r="X43" i="23" s="1"/>
  <c r="X44" i="23" s="1"/>
  <c r="X85" i="23" s="1"/>
  <c r="X2" i="43"/>
  <c r="X42" i="43" s="1"/>
  <c r="X43" i="43" s="1"/>
  <c r="X84" i="43" s="1"/>
  <c r="X2" i="12"/>
  <c r="X43" i="12" s="1"/>
  <c r="X44" i="12" s="1"/>
  <c r="X85" i="12" s="1"/>
  <c r="X2" i="47"/>
  <c r="X43" i="47" s="1"/>
  <c r="X44" i="47" s="1"/>
  <c r="X85" i="47" s="1"/>
  <c r="X2" i="15"/>
  <c r="X42" i="15" s="1"/>
  <c r="X43" i="15" s="1"/>
  <c r="X84" i="15" s="1"/>
  <c r="X2" i="11"/>
  <c r="X42" i="11" s="1"/>
  <c r="X43" i="11" s="1"/>
  <c r="Y2" i="58"/>
  <c r="Y43" i="58" s="1"/>
  <c r="Y44" i="58" s="1"/>
  <c r="Y85" i="58" s="1"/>
  <c r="X2" i="45"/>
  <c r="X43" i="45" s="1"/>
  <c r="X44" i="45" s="1"/>
  <c r="X85" i="45" s="1"/>
  <c r="X2" i="13"/>
  <c r="X42" i="13" s="1"/>
  <c r="X43" i="13" s="1"/>
  <c r="X84" i="13" s="1"/>
  <c r="Y2" i="45" l="1"/>
  <c r="Y43" i="45" s="1"/>
  <c r="Y2" i="13"/>
  <c r="Y42" i="13" s="1"/>
  <c r="Y43" i="13" s="1"/>
  <c r="Y84" i="13" s="1"/>
  <c r="Y2" i="10"/>
  <c r="Y42" i="10" s="1"/>
  <c r="Y43" i="10" s="1"/>
  <c r="Y84" i="10" s="1"/>
  <c r="Y2" i="38"/>
  <c r="Y42" i="38" s="1"/>
  <c r="Y43" i="38" s="1"/>
  <c r="Y84" i="38" s="1"/>
  <c r="Y2" i="50"/>
  <c r="Y42" i="50" s="1"/>
  <c r="Y43" i="50" s="1"/>
  <c r="Y84" i="50" s="1"/>
  <c r="Y2" i="23"/>
  <c r="Y43" i="23" s="1"/>
  <c r="Y44" i="23" s="1"/>
  <c r="Y85" i="23" s="1"/>
  <c r="Y2" i="43"/>
  <c r="Y42" i="43" s="1"/>
  <c r="Y43" i="43" s="1"/>
  <c r="Y84" i="43" s="1"/>
  <c r="Y2" i="12"/>
  <c r="Y43" i="12" s="1"/>
  <c r="Y44" i="12" s="1"/>
  <c r="Y85" i="12" s="1"/>
  <c r="Y2" i="47"/>
  <c r="Y43" i="47" s="1"/>
  <c r="Y2" i="15"/>
  <c r="Y42" i="15" s="1"/>
  <c r="Y2" i="11"/>
  <c r="Y42" i="11" s="1"/>
  <c r="Z2" i="58"/>
  <c r="Z43" i="58" s="1"/>
  <c r="Z44" i="58" s="1"/>
  <c r="Z85" i="58" s="1"/>
  <c r="X43" i="50"/>
  <c r="X84" i="50" s="1"/>
  <c r="Y44" i="45" l="1"/>
  <c r="Y85" i="45" s="1"/>
  <c r="Z2" i="45"/>
  <c r="Z43" i="45" s="1"/>
  <c r="Z44" i="45" s="1"/>
  <c r="Z85" i="45" s="1"/>
  <c r="Z2" i="13"/>
  <c r="Z42" i="13" s="1"/>
  <c r="Z2" i="10"/>
  <c r="Z42" i="10" s="1"/>
  <c r="Z43" i="10" s="1"/>
  <c r="Z84" i="10" s="1"/>
  <c r="Z2" i="38"/>
  <c r="Z42" i="38" s="1"/>
  <c r="Z2" i="50"/>
  <c r="Z42" i="50" s="1"/>
  <c r="Z2" i="23"/>
  <c r="Z43" i="23" s="1"/>
  <c r="Z44" i="23" s="1"/>
  <c r="Z85" i="23" s="1"/>
  <c r="Z2" i="43"/>
  <c r="Z42" i="43" s="1"/>
  <c r="Z43" i="43" s="1"/>
  <c r="Z84" i="43" s="1"/>
  <c r="Z2" i="12"/>
  <c r="Z43" i="12" s="1"/>
  <c r="Z2" i="47"/>
  <c r="Z43" i="47" s="1"/>
  <c r="Z44" i="47" s="1"/>
  <c r="Z85" i="47" s="1"/>
  <c r="Z2" i="15"/>
  <c r="Z42" i="15" s="1"/>
  <c r="Z43" i="15" s="1"/>
  <c r="Z84" i="15" s="1"/>
  <c r="Z2" i="11"/>
  <c r="Z42" i="11" s="1"/>
  <c r="Z43" i="11" s="1"/>
  <c r="Z84" i="11" s="1"/>
  <c r="AA2" i="58"/>
  <c r="AA43" i="58" s="1"/>
  <c r="AA44" i="58" s="1"/>
  <c r="AA85" i="58" s="1"/>
  <c r="Y43" i="11"/>
  <c r="Y43" i="15"/>
  <c r="Y84" i="15" s="1"/>
  <c r="Y44" i="47"/>
  <c r="Y85" i="47" s="1"/>
  <c r="Z43" i="50" l="1"/>
  <c r="Z84" i="50" s="1"/>
  <c r="Z43" i="38"/>
  <c r="Z84" i="38" s="1"/>
  <c r="Z43" i="13"/>
  <c r="Z84" i="13" s="1"/>
  <c r="Z44" i="12"/>
  <c r="Z85" i="12" s="1"/>
  <c r="AA2" i="11"/>
  <c r="AA42" i="11" s="1"/>
  <c r="AA43" i="11" s="1"/>
  <c r="AA84" i="11" s="1"/>
  <c r="AB2" i="58"/>
  <c r="AB43" i="58" s="1"/>
  <c r="AB44" i="58" s="1"/>
  <c r="AB85" i="58" s="1"/>
  <c r="AA2" i="45"/>
  <c r="AA43" i="45" s="1"/>
  <c r="AA2" i="13"/>
  <c r="AA42" i="13" s="1"/>
  <c r="AA43" i="13" s="1"/>
  <c r="AA84" i="13" s="1"/>
  <c r="AA2" i="10"/>
  <c r="AA42" i="10" s="1"/>
  <c r="AA43" i="10" s="1"/>
  <c r="AA84" i="10" s="1"/>
  <c r="AA2" i="38"/>
  <c r="AA42" i="38" s="1"/>
  <c r="AA43" i="38" s="1"/>
  <c r="AA84" i="38" s="1"/>
  <c r="AA2" i="50"/>
  <c r="AA42" i="50" s="1"/>
  <c r="AA43" i="50" s="1"/>
  <c r="AA84" i="50" s="1"/>
  <c r="AA2" i="23"/>
  <c r="AA43" i="23" s="1"/>
  <c r="AA44" i="23" s="1"/>
  <c r="AA85" i="23" s="1"/>
  <c r="AA2" i="43"/>
  <c r="AA42" i="43" s="1"/>
  <c r="AA2" i="12"/>
  <c r="AA43" i="12" s="1"/>
  <c r="AA44" i="12" s="1"/>
  <c r="AA85" i="12" s="1"/>
  <c r="AA2" i="47"/>
  <c r="AA43" i="47" s="1"/>
  <c r="AA2" i="15"/>
  <c r="AA42" i="15" s="1"/>
  <c r="AB2" i="47" l="1"/>
  <c r="AB43" i="47" s="1"/>
  <c r="AB44" i="47" s="1"/>
  <c r="AB85" i="47" s="1"/>
  <c r="AB2" i="15"/>
  <c r="AB42" i="15" s="1"/>
  <c r="AB43" i="15" s="1"/>
  <c r="AB84" i="15" s="1"/>
  <c r="AB2" i="11"/>
  <c r="AB42" i="11" s="1"/>
  <c r="AB43" i="11" s="1"/>
  <c r="AB84" i="11" s="1"/>
  <c r="AC2" i="58"/>
  <c r="AC43" i="58" s="1"/>
  <c r="AC44" i="58" s="1"/>
  <c r="AC85" i="58" s="1"/>
  <c r="AB2" i="45"/>
  <c r="AB43" i="45" s="1"/>
  <c r="AB44" i="45" s="1"/>
  <c r="AB85" i="45" s="1"/>
  <c r="AB2" i="13"/>
  <c r="AB42" i="13" s="1"/>
  <c r="AB2" i="10"/>
  <c r="AB42" i="10" s="1"/>
  <c r="AB43" i="10" s="1"/>
  <c r="AB84" i="10" s="1"/>
  <c r="AB2" i="38"/>
  <c r="AB42" i="38" s="1"/>
  <c r="AB43" i="38" s="1"/>
  <c r="AB84" i="38" s="1"/>
  <c r="AB2" i="50"/>
  <c r="AB42" i="50" s="1"/>
  <c r="AB43" i="50" s="1"/>
  <c r="AB84" i="50" s="1"/>
  <c r="AB2" i="23"/>
  <c r="AB43" i="23" s="1"/>
  <c r="AB2" i="43"/>
  <c r="AB42" i="43" s="1"/>
  <c r="AB43" i="43" s="1"/>
  <c r="AB84" i="43" s="1"/>
  <c r="AB2" i="12"/>
  <c r="AB43" i="12" s="1"/>
  <c r="AA44" i="47"/>
  <c r="AA85" i="47" s="1"/>
  <c r="AA44" i="45"/>
  <c r="AA85" i="45" s="1"/>
  <c r="AA43" i="15"/>
  <c r="AA84" i="15" s="1"/>
  <c r="AA43" i="43"/>
  <c r="AA84" i="43" s="1"/>
  <c r="AB43" i="13" l="1"/>
  <c r="AB84" i="13" s="1"/>
  <c r="AB44" i="12"/>
  <c r="AB85" i="12" s="1"/>
  <c r="AB44" i="23"/>
  <c r="AB85" i="23" s="1"/>
  <c r="AC2" i="47"/>
  <c r="AC43" i="47" s="1"/>
  <c r="AC44" i="47" s="1"/>
  <c r="AC85" i="47" s="1"/>
  <c r="AC2" i="15"/>
  <c r="AC42" i="15" s="1"/>
  <c r="AC2" i="11"/>
  <c r="AC42" i="11" s="1"/>
  <c r="AD2" i="58"/>
  <c r="AD43" i="58" s="1"/>
  <c r="B43" i="58" s="1"/>
  <c r="AC2" i="45"/>
  <c r="AC43" i="45" s="1"/>
  <c r="AC44" i="45" s="1"/>
  <c r="AC85" i="45" s="1"/>
  <c r="AC2" i="13"/>
  <c r="AC42" i="13" s="1"/>
  <c r="AC43" i="13" s="1"/>
  <c r="AC84" i="13" s="1"/>
  <c r="AC2" i="10"/>
  <c r="AC42" i="10" s="1"/>
  <c r="AC43" i="10" s="1"/>
  <c r="AC84" i="10" s="1"/>
  <c r="AC2" i="38"/>
  <c r="AC42" i="38" s="1"/>
  <c r="AC2" i="50"/>
  <c r="AC42" i="50" s="1"/>
  <c r="AC43" i="50" s="1"/>
  <c r="AC84" i="50" s="1"/>
  <c r="AC2" i="23"/>
  <c r="AC43" i="23" s="1"/>
  <c r="AC44" i="23" s="1"/>
  <c r="AC85" i="23" s="1"/>
  <c r="AC2" i="43"/>
  <c r="AC42" i="43" s="1"/>
  <c r="AC2" i="12"/>
  <c r="AC43" i="12" s="1"/>
  <c r="AC44" i="12" s="1"/>
  <c r="AC85" i="12" s="1"/>
  <c r="AD44" i="58" l="1"/>
  <c r="AC43" i="38"/>
  <c r="AC84" i="38" s="1"/>
  <c r="AC43" i="11"/>
  <c r="AC84" i="11" s="1"/>
  <c r="AC43" i="15"/>
  <c r="AC84" i="15" s="1"/>
  <c r="AC43" i="43"/>
  <c r="AC84" i="43" s="1"/>
  <c r="AD2" i="43"/>
  <c r="AD42" i="43" s="1"/>
  <c r="AD2" i="12"/>
  <c r="AD43" i="12" s="1"/>
  <c r="AD2" i="47"/>
  <c r="AD43" i="47" s="1"/>
  <c r="B43" i="47" s="1"/>
  <c r="AD2" i="15"/>
  <c r="AD42" i="15" s="1"/>
  <c r="AD2" i="11"/>
  <c r="AD42" i="11" s="1"/>
  <c r="AD2" i="45"/>
  <c r="AD43" i="45" s="1"/>
  <c r="B43" i="45" s="1"/>
  <c r="AD2" i="13"/>
  <c r="AD42" i="13" s="1"/>
  <c r="AD2" i="10"/>
  <c r="AD42" i="10" s="1"/>
  <c r="B42" i="10" s="1"/>
  <c r="AD2" i="38"/>
  <c r="AD42" i="38" s="1"/>
  <c r="AD2" i="50"/>
  <c r="AD42" i="50" s="1"/>
  <c r="B42" i="50" s="1"/>
  <c r="AD2" i="23"/>
  <c r="AD43" i="23" s="1"/>
  <c r="B43" i="23" s="1"/>
  <c r="AD43" i="13" l="1"/>
  <c r="B42" i="13"/>
  <c r="AD44" i="12"/>
  <c r="B43" i="12"/>
  <c r="AD43" i="38"/>
  <c r="B42" i="38"/>
  <c r="B44" i="58"/>
  <c r="O25" i="59" s="1"/>
  <c r="AN98" i="59" s="1"/>
  <c r="U47" i="59" s="1"/>
  <c r="AD85" i="58"/>
  <c r="C85" i="58" s="1"/>
  <c r="AD43" i="11"/>
  <c r="B42" i="11"/>
  <c r="AD43" i="15"/>
  <c r="B42" i="15"/>
  <c r="AD43" i="43"/>
  <c r="B42" i="43"/>
  <c r="AD43" i="10"/>
  <c r="AD44" i="47"/>
  <c r="AD44" i="23"/>
  <c r="AD43" i="50"/>
  <c r="AD44" i="45"/>
  <c r="B44" i="45" l="1"/>
  <c r="L25" i="59" s="1"/>
  <c r="AN77" i="59" s="1"/>
  <c r="AD85" i="45"/>
  <c r="B43" i="10"/>
  <c r="C25" i="59" s="1"/>
  <c r="AD84" i="10"/>
  <c r="B43" i="38"/>
  <c r="I25" i="59" s="1"/>
  <c r="AN56" i="59" s="1"/>
  <c r="AD84" i="38"/>
  <c r="C84" i="38" s="1"/>
  <c r="C88" i="38" s="1"/>
  <c r="F13" i="7" s="1"/>
  <c r="E13" i="7" s="1"/>
  <c r="B43" i="50"/>
  <c r="N25" i="59" s="1"/>
  <c r="AN91" i="59" s="1"/>
  <c r="AD84" i="50"/>
  <c r="B43" i="43"/>
  <c r="K25" i="59" s="1"/>
  <c r="AN70" i="59" s="1"/>
  <c r="AD84" i="43"/>
  <c r="B44" i="23"/>
  <c r="AD85" i="23"/>
  <c r="B44" i="47"/>
  <c r="M25" i="59" s="1"/>
  <c r="AN84" i="59" s="1"/>
  <c r="AD85" i="47"/>
  <c r="C85" i="47" s="1"/>
  <c r="C89" i="47" s="1"/>
  <c r="B43" i="15"/>
  <c r="G25" i="59" s="1"/>
  <c r="AN35" i="59" s="1"/>
  <c r="AD84" i="15"/>
  <c r="B44" i="12"/>
  <c r="E25" i="59" s="1"/>
  <c r="AN21" i="59" s="1"/>
  <c r="AD85" i="12"/>
  <c r="C85" i="12" s="1"/>
  <c r="C89" i="12" s="1"/>
  <c r="J11" i="7" s="1"/>
  <c r="B43" i="11"/>
  <c r="D25" i="59" s="1"/>
  <c r="AN14" i="59" s="1"/>
  <c r="AD84" i="11"/>
  <c r="B43" i="13"/>
  <c r="F25" i="59" s="1"/>
  <c r="AN28" i="59" s="1"/>
  <c r="AD84" i="13"/>
  <c r="C84" i="13" s="1"/>
  <c r="C88" i="13" s="1"/>
  <c r="C84" i="15"/>
  <c r="C88" i="15" s="1"/>
  <c r="C84" i="43"/>
  <c r="C88" i="43" s="1"/>
  <c r="F15" i="7" s="1"/>
  <c r="E15" i="7" s="1"/>
  <c r="H25" i="59"/>
  <c r="AN49" i="59" s="1"/>
  <c r="C42" i="59" s="1"/>
  <c r="C89" i="58"/>
  <c r="J12" i="7"/>
  <c r="F9" i="7"/>
  <c r="E9" i="7" s="1"/>
  <c r="AN63" i="59"/>
  <c r="I42" i="59" s="1"/>
  <c r="G42" i="59" l="1"/>
  <c r="C84" i="50"/>
  <c r="C88" i="50" s="1"/>
  <c r="J16" i="7"/>
  <c r="F11" i="7"/>
  <c r="E11" i="7" s="1"/>
  <c r="J13" i="7"/>
  <c r="C84" i="10"/>
  <c r="C88" i="10" s="1"/>
  <c r="C85" i="45"/>
  <c r="C89" i="45" s="1"/>
  <c r="C85" i="23"/>
  <c r="C89" i="23" s="1"/>
  <c r="F12" i="7" s="1"/>
  <c r="E12" i="7" s="1"/>
  <c r="J19" i="7"/>
  <c r="F10" i="7"/>
  <c r="E10" i="7" s="1"/>
  <c r="AN7" i="59"/>
  <c r="M42" i="59"/>
  <c r="K42" i="59"/>
  <c r="O42" i="59"/>
  <c r="F19" i="7"/>
  <c r="E19" i="7" s="1"/>
  <c r="J8" i="7"/>
  <c r="J15" i="7"/>
  <c r="F17" i="7"/>
  <c r="E17" i="7" s="1"/>
  <c r="E42" i="59"/>
  <c r="Y42" i="59" l="1"/>
  <c r="W42" i="59"/>
  <c r="U42" i="59"/>
  <c r="AA42" i="59"/>
  <c r="F18" i="7"/>
  <c r="E18" i="7" s="1"/>
  <c r="J17" i="7"/>
  <c r="F7" i="7"/>
  <c r="E7" i="7" s="1"/>
  <c r="J7" i="7"/>
  <c r="J9" i="7"/>
  <c r="S42" i="59"/>
  <c r="Q42" i="59"/>
  <c r="C66" i="17" l="1"/>
  <c r="X57" i="23"/>
  <c r="Z57" i="23"/>
  <c r="AA57" i="23" l="1"/>
  <c r="AB57" i="23" l="1"/>
  <c r="AD57" i="23" l="1"/>
  <c r="AC57" i="23"/>
  <c r="AQ98" i="18"/>
  <c r="I60" i="18" s="1"/>
  <c r="B57" i="23" l="1"/>
  <c r="H18" i="60" s="1"/>
  <c r="E60" i="18"/>
  <c r="G60" i="18"/>
  <c r="P18" i="60" l="1"/>
  <c r="Q18" i="60"/>
  <c r="R18" i="60"/>
  <c r="H35" i="18"/>
  <c r="AP98" i="18" s="1"/>
  <c r="W52" i="11" l="1"/>
  <c r="X52" i="11"/>
  <c r="AQ26" i="18" l="1"/>
  <c r="Y52" i="11"/>
  <c r="B52" i="11" s="1"/>
  <c r="X71" i="11"/>
  <c r="X83" i="11" s="1"/>
  <c r="X84" i="11" s="1"/>
  <c r="D14" i="60" l="1"/>
  <c r="Q14" i="60" s="1"/>
  <c r="Q56" i="18"/>
  <c r="O56" i="18"/>
  <c r="D31" i="18"/>
  <c r="AP26" i="18" s="1"/>
  <c r="W71" i="11"/>
  <c r="R14" i="60" l="1"/>
  <c r="P14" i="60"/>
  <c r="W83" i="11"/>
  <c r="Q41" i="59"/>
  <c r="Y71" i="11"/>
  <c r="Y83" i="11" s="1"/>
  <c r="Y84" i="11" s="1"/>
  <c r="W84" i="11" l="1"/>
  <c r="C83" i="11"/>
  <c r="C71" i="11"/>
  <c r="D24" i="59" s="1"/>
  <c r="AN13" i="59" s="1"/>
  <c r="C84" i="11"/>
  <c r="C88" i="11" s="1"/>
  <c r="O41" i="59"/>
  <c r="M41" i="59"/>
  <c r="D30" i="59" l="1"/>
  <c r="AN19" i="59" s="1"/>
  <c r="M47" i="59" s="1"/>
  <c r="J14" i="7"/>
  <c r="F8" i="7"/>
  <c r="E8" i="7" s="1"/>
  <c r="O47" i="59" l="1"/>
  <c r="Q47" i="59"/>
  <c r="P49" i="45"/>
  <c r="P46" i="45"/>
  <c r="V46" i="45"/>
  <c r="T49" i="45"/>
  <c r="S46" i="45"/>
  <c r="S48" i="45"/>
  <c r="T48" i="45"/>
  <c r="T47" i="45"/>
  <c r="Q48" i="45"/>
  <c r="Q46" i="45"/>
  <c r="R46" i="45"/>
  <c r="T46" i="45"/>
  <c r="R48" i="45"/>
  <c r="S49" i="45"/>
  <c r="S47" i="45"/>
  <c r="R49" i="45"/>
  <c r="Q49" i="45"/>
  <c r="R47" i="45"/>
  <c r="Q47" i="45"/>
  <c r="W46" i="45" l="1"/>
  <c r="V47" i="45"/>
  <c r="V48" i="45"/>
  <c r="W47" i="45"/>
  <c r="W49" i="45"/>
  <c r="X46" i="45"/>
  <c r="Y46" i="45"/>
  <c r="W48" i="45"/>
  <c r="P47" i="45"/>
  <c r="P48" i="45"/>
  <c r="AQ139" i="18"/>
  <c r="V49" i="45"/>
  <c r="O49" i="18" l="1"/>
  <c r="U49" i="18"/>
  <c r="B46" i="45"/>
  <c r="L7" i="60" s="1"/>
  <c r="X49" i="45"/>
  <c r="X48" i="45"/>
  <c r="X47" i="45"/>
  <c r="Y47" i="45"/>
  <c r="B47" i="45" l="1"/>
  <c r="L8" i="60" s="1"/>
  <c r="L24" i="18"/>
  <c r="AP139" i="18" s="1"/>
  <c r="AQ140" i="18"/>
  <c r="Y48" i="45"/>
  <c r="AQ141" i="18"/>
  <c r="Y49" i="45"/>
  <c r="AQ142" i="18"/>
  <c r="L25" i="18" l="1"/>
  <c r="AP140" i="18" s="1"/>
  <c r="O51" i="18"/>
  <c r="U51" i="18"/>
  <c r="O52" i="18"/>
  <c r="U52" i="18"/>
  <c r="O50" i="18"/>
  <c r="U50" i="18"/>
  <c r="B49" i="45"/>
  <c r="L10" i="60" s="1"/>
  <c r="B48" i="45"/>
  <c r="L9" i="60" s="1"/>
  <c r="L27" i="18" l="1"/>
  <c r="AP142" i="18" s="1"/>
  <c r="L26" i="18"/>
  <c r="AP141" i="18" s="1"/>
  <c r="S45" i="45"/>
  <c r="V45" i="45"/>
  <c r="T45" i="45"/>
  <c r="Q45" i="45"/>
  <c r="R45" i="45"/>
  <c r="Y45" i="45" l="1"/>
  <c r="X45" i="45"/>
  <c r="AQ138" i="18"/>
  <c r="W45" i="45"/>
  <c r="P45" i="45"/>
  <c r="B45" i="45" s="1"/>
  <c r="O48" i="18" l="1"/>
  <c r="U48" i="18"/>
  <c r="L6" i="60"/>
  <c r="L23" i="18" l="1"/>
  <c r="AP138" i="18" s="1"/>
  <c r="L26" i="59" l="1"/>
  <c r="AN78" i="59" s="1"/>
  <c r="S43" i="59" l="1"/>
  <c r="U43" i="59"/>
  <c r="O43" i="59"/>
  <c r="M43" i="59"/>
  <c r="F16" i="7" l="1"/>
  <c r="E16" i="7" s="1"/>
  <c r="J18" i="7"/>
  <c r="P45" i="23" l="1"/>
  <c r="O45" i="23"/>
  <c r="L45" i="23" l="1"/>
  <c r="Q45" i="23"/>
  <c r="R45" i="23" l="1"/>
  <c r="M45" i="23"/>
  <c r="N45" i="23" l="1"/>
  <c r="S45" i="23"/>
  <c r="T45" i="23"/>
  <c r="B45" i="23" l="1"/>
  <c r="H6" i="60" s="1"/>
  <c r="AQ86" i="18"/>
  <c r="I48" i="18" s="1"/>
  <c r="R6" i="60" l="1"/>
  <c r="P6" i="60"/>
  <c r="Q6" i="60"/>
  <c r="E48" i="18"/>
  <c r="G48" i="18"/>
  <c r="H23" i="18"/>
  <c r="AP86" i="18" s="1"/>
  <c r="L48" i="23" l="1"/>
  <c r="L47" i="23"/>
  <c r="L49" i="23"/>
  <c r="L46" i="23"/>
  <c r="O49" i="23"/>
  <c r="O48" i="23"/>
  <c r="O47" i="23"/>
  <c r="M49" i="23"/>
  <c r="N49" i="23"/>
  <c r="N47" i="23"/>
  <c r="N48" i="23"/>
  <c r="M47" i="23"/>
  <c r="Q48" i="23"/>
  <c r="M48" i="23"/>
  <c r="Q49" i="23" l="1"/>
  <c r="S48" i="23"/>
  <c r="T48" i="23"/>
  <c r="R49" i="23"/>
  <c r="Q47" i="23"/>
  <c r="R48" i="23"/>
  <c r="B48" i="23" s="1"/>
  <c r="H9" i="60" l="1"/>
  <c r="P9" i="60" s="1"/>
  <c r="H26" i="18"/>
  <c r="AP89" i="18" s="1"/>
  <c r="S49" i="23"/>
  <c r="AQ89" i="18"/>
  <c r="I51" i="18" s="1"/>
  <c r="R47" i="23"/>
  <c r="R9" i="60" l="1"/>
  <c r="Q9" i="60"/>
  <c r="E51" i="18"/>
  <c r="G51" i="18"/>
  <c r="T49" i="23"/>
  <c r="B49" i="23" s="1"/>
  <c r="AQ90" i="18"/>
  <c r="I52" i="18" s="1"/>
  <c r="S47" i="23"/>
  <c r="T47" i="23"/>
  <c r="B47" i="23" s="1"/>
  <c r="AQ88" i="18"/>
  <c r="I50" i="18" s="1"/>
  <c r="H10" i="60" l="1"/>
  <c r="P10" i="60" s="1"/>
  <c r="H8" i="60"/>
  <c r="R8" i="60" s="1"/>
  <c r="E50" i="18"/>
  <c r="G50" i="18"/>
  <c r="E52" i="18"/>
  <c r="G52" i="18"/>
  <c r="H25" i="18"/>
  <c r="AP88" i="18" s="1"/>
  <c r="H27" i="18" l="1"/>
  <c r="AP90" i="18" s="1"/>
  <c r="R10" i="60"/>
  <c r="Q10" i="60"/>
  <c r="Q8" i="60"/>
  <c r="P8" i="60"/>
  <c r="O46" i="23"/>
  <c r="M46" i="23"/>
  <c r="R46" i="23" l="1"/>
  <c r="N46" i="23"/>
  <c r="Q46" i="23"/>
  <c r="S46" i="23" l="1"/>
  <c r="T46" i="23" l="1"/>
  <c r="AQ87" i="18"/>
  <c r="I49" i="18" s="1"/>
  <c r="B46" i="23" l="1"/>
  <c r="H7" i="60" s="1"/>
  <c r="E49" i="18"/>
  <c r="G49" i="18"/>
  <c r="H24" i="18" l="1"/>
  <c r="AP87" i="18" s="1"/>
  <c r="P7" i="60"/>
  <c r="O19" i="60" s="1"/>
  <c r="Q7" i="60"/>
  <c r="R7" i="60"/>
  <c r="C19" i="60"/>
  <c r="N19" i="60"/>
  <c r="F19" i="60"/>
  <c r="J19" i="60"/>
  <c r="M19" i="60" l="1"/>
  <c r="D19" i="60"/>
  <c r="E19" i="60"/>
  <c r="I19" i="60"/>
  <c r="K19" i="60"/>
  <c r="H19" i="60"/>
  <c r="L19" i="60"/>
  <c r="G19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 this spreadsheet all relevant benefits associated with project savings have been monetized and alternatives are ranked using their Cost-to-Benefit ratio performance.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6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Criteria is positive in less than 4 categories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Criteria is negative value in less than 2 categories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Sum of the EENS accumulated under N-1 condition, considering all outages in the system</t>
        </r>
      </text>
    </comment>
    <comment ref="C4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Representative of the peak MW load drop required while considering all outages</t>
        </r>
      </text>
    </comment>
    <comment ref="C5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Sum of total customers interrupted for all outages x number of outage hours/ total number of customers served.</t>
        </r>
      </text>
    </comment>
    <comment ref="C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Sum of total hours customers were without power due to all outages/ total number of customers served.</t>
        </r>
      </text>
    </comment>
    <comment ref="C7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
Periods with flexibility shortages in the system</t>
        </r>
      </text>
    </comment>
    <comment ref="C8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
Sum of EENS accumulated due to N-0 overloads in the system (transformer and lines)</t>
        </r>
      </text>
    </comment>
    <comment ref="C13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
Sum of EENS accumulated under N-2 events in the systems (emergency, planned or unplanned maintainence events)</t>
        </r>
      </text>
    </comment>
    <comment ref="C14" authorId="0" shapeId="0" xr:uid="{00000000-0006-0000-0500-000008000000}">
      <text>
        <r>
          <rPr>
            <sz val="9"/>
            <color indexed="81"/>
            <rFont val="Tahoma"/>
            <family val="2"/>
          </rPr>
          <t xml:space="preserve">
Sum of EENS accumulated under entire Valley substation outage (considered over 2 week period)
</t>
        </r>
      </text>
    </comment>
    <comment ref="C15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
Sum of EENS accumulated considering N-2 transformer outage event at Valley South (Loss of Valley Transformer and unavailable spare)
</t>
        </r>
      </text>
    </comment>
  </commentList>
</comments>
</file>

<file path=xl/sharedStrings.xml><?xml version="1.0" encoding="utf-8"?>
<sst xmlns="http://schemas.openxmlformats.org/spreadsheetml/2006/main" count="2777" uniqueCount="160">
  <si>
    <t xml:space="preserve">Summary of Cost-Benefit analysis </t>
  </si>
  <si>
    <t>($ millions)</t>
  </si>
  <si>
    <t>#</t>
  </si>
  <si>
    <t>Project</t>
  </si>
  <si>
    <t xml:space="preserve">Total Nominal Capital Cost </t>
  </si>
  <si>
    <t>Present Value of Revenue Requirement</t>
  </si>
  <si>
    <t>Benefit($M)</t>
  </si>
  <si>
    <t>Benefit-Cost Ratio</t>
  </si>
  <si>
    <t>Cost-Benefit Ratio</t>
  </si>
  <si>
    <t>Alberhill System Project</t>
  </si>
  <si>
    <t>SDG&amp;E</t>
  </si>
  <si>
    <t>Valley South to Valley North</t>
  </si>
  <si>
    <t>Valley South to Valley North to Vista</t>
  </si>
  <si>
    <t>Valley South to Valley North and Distributed BESS in Valley South</t>
  </si>
  <si>
    <t>Centralized BESS in Valley South</t>
  </si>
  <si>
    <t>Mira Loma</t>
  </si>
  <si>
    <t>Mira Loma and Centralized BESS in Valley South</t>
  </si>
  <si>
    <t>Menifee</t>
  </si>
  <si>
    <t>SCE Orange County</t>
  </si>
  <si>
    <t>Valley South to Valley North to Vista and Centralized BESS in Valley South</t>
  </si>
  <si>
    <t>Valley South to Valley North and Centralized BESS in Valley South and Valley North</t>
  </si>
  <si>
    <t>SDG&amp;E and Centralized BESS in Valley South</t>
  </si>
  <si>
    <t xml:space="preserve">Incremental Cost-Benefit analysis taking into consideration Non-Monetized Benefits of reliability indices. </t>
  </si>
  <si>
    <t>Present Value</t>
  </si>
  <si>
    <t>Aggregate</t>
  </si>
  <si>
    <t>For Calculations only</t>
  </si>
  <si>
    <t>Baseline</t>
  </si>
  <si>
    <t>Category</t>
  </si>
  <si>
    <t>NPV of benefits between Project and Baseline</t>
  </si>
  <si>
    <t>NPV of Project Performance</t>
  </si>
  <si>
    <t>N-1</t>
  </si>
  <si>
    <t>EENS</t>
  </si>
  <si>
    <t>IP</t>
  </si>
  <si>
    <t>SAIDI</t>
  </si>
  <si>
    <t>SAIFI</t>
  </si>
  <si>
    <t>PFD</t>
  </si>
  <si>
    <t>Available Flex-1</t>
  </si>
  <si>
    <t>Available Flex-2-1</t>
  </si>
  <si>
    <t>Available Flex-2-2</t>
  </si>
  <si>
    <t>N-0</t>
  </si>
  <si>
    <t>Present Value of Benefits by Project</t>
  </si>
  <si>
    <t>Ranking of Projects by Cost</t>
  </si>
  <si>
    <t>Alternative selection</t>
  </si>
  <si>
    <t>Preferred Trend</t>
  </si>
  <si>
    <t>↓</t>
  </si>
  <si>
    <t>Decision to move forward (Y/N)</t>
  </si>
  <si>
    <t>Y</t>
  </si>
  <si>
    <t>N</t>
  </si>
  <si>
    <t>Baseline - Alberhill</t>
  </si>
  <si>
    <t>Incremental Cost-Benefit analysis taking into consideration applicable Monetized Benefits</t>
  </si>
  <si>
    <t>Losses</t>
  </si>
  <si>
    <t>Flexibility-1</t>
  </si>
  <si>
    <t>Flexibility-2-1</t>
  </si>
  <si>
    <t>Flexibility-2-2</t>
  </si>
  <si>
    <t>Total</t>
  </si>
  <si>
    <t>Present Value of Monetized Benefits($)</t>
  </si>
  <si>
    <t>EENS ($M)</t>
  </si>
  <si>
    <t>Losses ($M)</t>
  </si>
  <si>
    <t>Flexibility-1 ($M)</t>
  </si>
  <si>
    <t>Flexibility-2-1 ($M)</t>
  </si>
  <si>
    <t>Flexibility-2-2 ($M)</t>
  </si>
  <si>
    <t>Aggregate ($M)</t>
  </si>
  <si>
    <t>↑</t>
  </si>
  <si>
    <t>Evaluation of Present Value of Cost $/ Present Value of Benefit</t>
  </si>
  <si>
    <t>Levelized cost analysis ( Present Value of Cost $/Present Value of Benefit) for each Alternative</t>
  </si>
  <si>
    <t>Alternative Ranking</t>
  </si>
  <si>
    <t>Reliability Metrics</t>
  </si>
  <si>
    <t>Rank #1</t>
  </si>
  <si>
    <t>Rank #2</t>
  </si>
  <si>
    <t>Rank #3</t>
  </si>
  <si>
    <t>EENS ↓</t>
  </si>
  <si>
    <t>IP ↓</t>
  </si>
  <si>
    <t>SAIDI ↓</t>
  </si>
  <si>
    <t>SAIFI ↓</t>
  </si>
  <si>
    <t>PFD ↓</t>
  </si>
  <si>
    <r>
      <t>Flex-1</t>
    </r>
    <r>
      <rPr>
        <b/>
        <sz val="11"/>
        <color theme="1"/>
        <rFont val="Calibri"/>
        <family val="2"/>
      </rPr>
      <t>↓</t>
    </r>
  </si>
  <si>
    <t xml:space="preserve"> Flex-2-1↓</t>
  </si>
  <si>
    <t xml:space="preserve"> Flex-2-2↓</t>
  </si>
  <si>
    <t>Count of Rank #1</t>
  </si>
  <si>
    <t>Financial and Study Parameters</t>
  </si>
  <si>
    <t>Value</t>
  </si>
  <si>
    <t>Unit</t>
  </si>
  <si>
    <t>Source</t>
  </si>
  <si>
    <t>Discount Rate (Weighted Aggregate Cost of Capital)</t>
  </si>
  <si>
    <t>CPUC</t>
  </si>
  <si>
    <t>Customer price (Average Locational Marginal Price in Valley South - 2022)</t>
  </si>
  <si>
    <t>$/MWh</t>
  </si>
  <si>
    <t>CAISO</t>
  </si>
  <si>
    <t>Inflation Rate</t>
  </si>
  <si>
    <t>Quanta</t>
  </si>
  <si>
    <t>Load distribution : Residential</t>
  </si>
  <si>
    <t>SCE</t>
  </si>
  <si>
    <t>Load distribution : Commercial</t>
  </si>
  <si>
    <t>Customer Interruption cost for Flex-1 events (6hours) : N-1 : Residential</t>
  </si>
  <si>
    <t>$/kWh</t>
  </si>
  <si>
    <t>LBNL</t>
  </si>
  <si>
    <t>Customer Interruption cost (Average cost over 24 hr duration) : N-0 : Residential (Flex-2 Component 1)</t>
  </si>
  <si>
    <t>Customer Interruption cost for Flex-1 events (6hours) : N-1 : Commercial</t>
  </si>
  <si>
    <t>Customer Interruption cost (Average cost over 24 hr duration)  : N-0 : Residential (Flex-2 Component 1)</t>
  </si>
  <si>
    <t>Annual Outage rate for Transformer N-2 Outage events</t>
  </si>
  <si>
    <t>NERC</t>
  </si>
  <si>
    <t>Annual Outage rate for High Impact Low Probability(HILP) Events</t>
  </si>
  <si>
    <t>Flex-1 Duration of evaluation</t>
  </si>
  <si>
    <t>hour</t>
  </si>
  <si>
    <t>Normalization Factor for Cost Benefit</t>
  </si>
  <si>
    <t>Component</t>
  </si>
  <si>
    <t>Valley South (alone)</t>
  </si>
  <si>
    <t>Losses (MWh)</t>
  </si>
  <si>
    <t>Deficit Flex-1</t>
  </si>
  <si>
    <t>Deficit Flex-2-1</t>
  </si>
  <si>
    <t>Deficit Flex-2-2</t>
  </si>
  <si>
    <t>Residential</t>
  </si>
  <si>
    <t>Cost of Reliability (N-1)</t>
  </si>
  <si>
    <t>Cost of Reliability (N-0)</t>
  </si>
  <si>
    <t>Commerical</t>
  </si>
  <si>
    <t>Cost of Reliability (N-2)</t>
  </si>
  <si>
    <t>$/kwh</t>
  </si>
  <si>
    <t>Residential (N-1)</t>
  </si>
  <si>
    <t>Monetized EENS</t>
  </si>
  <si>
    <t>Commerical(N-1)</t>
  </si>
  <si>
    <t>Residential (N-0)</t>
  </si>
  <si>
    <t>Commerical(N-0)</t>
  </si>
  <si>
    <t>Monetized Value for Flex-1</t>
  </si>
  <si>
    <t xml:space="preserve">Residential </t>
  </si>
  <si>
    <t>Monetized Value for Flex-2_1</t>
  </si>
  <si>
    <t>Monetized Value for Flex-2_2</t>
  </si>
  <si>
    <t>Aggregate Monetized Costs ($)</t>
  </si>
  <si>
    <t>Monetized Value for Flex-2</t>
  </si>
  <si>
    <t>Monetized Value for Flex-3</t>
  </si>
  <si>
    <t>Monetized Value for Flex-4</t>
  </si>
  <si>
    <t xml:space="preserve">N-0 Monetized </t>
  </si>
  <si>
    <t>$</t>
  </si>
  <si>
    <t>Commercial</t>
  </si>
  <si>
    <t>N-1 Monetized</t>
  </si>
  <si>
    <t>Flex-2-2 Monetized</t>
  </si>
  <si>
    <t>Aggregate of Customer and Residential</t>
  </si>
  <si>
    <t>LMP</t>
  </si>
  <si>
    <t>Comparison to Baseline</t>
  </si>
  <si>
    <t>NPV of benefit</t>
  </si>
  <si>
    <t>Losses ($)</t>
  </si>
  <si>
    <t>Flex-1</t>
  </si>
  <si>
    <t>Flex-2-1</t>
  </si>
  <si>
    <t>Flex-2-2</t>
  </si>
  <si>
    <t>Monetized Benefits for Alternative</t>
  </si>
  <si>
    <t>Value for Flex-1</t>
  </si>
  <si>
    <t>Value for Flex-2-1</t>
  </si>
  <si>
    <t>Aggregate of Flex-2 (Component 1)</t>
  </si>
  <si>
    <t>Aggregate of Flex-2 (Component 2)</t>
  </si>
  <si>
    <t>Value for Flex-2-2</t>
  </si>
  <si>
    <t xml:space="preserve">Aggregate ($M)+ Monetized Losses </t>
  </si>
  <si>
    <t>Project Cost</t>
  </si>
  <si>
    <t>N-2</t>
  </si>
  <si>
    <t>Value for Flex-2</t>
  </si>
  <si>
    <t>EENS(Valley South)</t>
  </si>
  <si>
    <t>EENS(Valley North)</t>
  </si>
  <si>
    <t>Aggregate of Flex-2 (Component 1 and 2)</t>
  </si>
  <si>
    <t>Market Participation Revenue (All costs are $x1,000)</t>
  </si>
  <si>
    <t>Energy Storage at Pechanga and Allesando + Ties between VN+VS</t>
  </si>
  <si>
    <t>EENS (Valley South)</t>
  </si>
  <si>
    <t>EENS (Valley 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</si>
</sst>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0.0000"/>
    <numFmt numFmtId="165" formatCode="_(* #,##0.000_);_(* \(#,##0.000\);_(* &quot;-&quot;???_);_(@_)"/>
    <numFmt numFmtId="166" formatCode="_(* #,##0.0_);_(* \(#,##0.0\);_(* &quot;-&quot;??_);_(@_)"/>
    <numFmt numFmtId="167" formatCode="_(* #,##0.000_);_(* \(#,##0.000\);_(* &quot;-&quot;??_);_(@_)"/>
    <numFmt numFmtId="168" formatCode="#,##0.000"/>
    <numFmt numFmtId="169" formatCode="&quot;$&quot;#,##0"/>
    <numFmt numFmtId="170" formatCode="0.000000000000000"/>
    <numFmt numFmtId="171" formatCode="#.00,,"/>
    <numFmt numFmtId="172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theme="1"/>
      </patternFill>
    </fill>
    <fill>
      <patternFill patternType="solid">
        <fgColor rgb="FFFFC7CE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/>
      <diagonal/>
    </border>
    <border>
      <left/>
      <right style="thin">
        <color rgb="FF7F7F7F"/>
      </right>
      <top/>
      <bottom style="thick">
        <color theme="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3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4" fillId="0" borderId="16" applyNumberFormat="0" applyFill="0" applyAlignment="0" applyProtection="0"/>
    <xf numFmtId="0" fontId="18" fillId="5" borderId="0" applyNumberFormat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9" fontId="0" fillId="0" borderId="0" xfId="0" applyNumberFormat="1"/>
    <xf numFmtId="43" fontId="0" fillId="0" borderId="0" xfId="0" applyNumberFormat="1"/>
    <xf numFmtId="0" fontId="0" fillId="0" borderId="6" xfId="0" applyBorder="1"/>
    <xf numFmtId="0" fontId="9" fillId="0" borderId="0" xfId="0" applyFon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/>
    </xf>
    <xf numFmtId="3" fontId="8" fillId="3" borderId="1" xfId="6" applyNumberForma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wrapText="1"/>
    </xf>
    <xf numFmtId="43" fontId="0" fillId="0" borderId="0" xfId="0" applyNumberFormat="1" applyAlignment="1">
      <alignment horizontal="right"/>
    </xf>
    <xf numFmtId="0" fontId="0" fillId="0" borderId="6" xfId="0" applyBorder="1" applyAlignment="1">
      <alignment horizontal="center" vertical="center"/>
    </xf>
    <xf numFmtId="3" fontId="2" fillId="2" borderId="6" xfId="3" applyNumberFormat="1" applyBorder="1" applyAlignment="1">
      <alignment horizontal="center" vertical="center"/>
    </xf>
    <xf numFmtId="10" fontId="2" fillId="2" borderId="6" xfId="3" applyNumberFormat="1" applyBorder="1" applyAlignment="1">
      <alignment horizontal="center" vertical="center"/>
    </xf>
    <xf numFmtId="0" fontId="2" fillId="2" borderId="6" xfId="3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2" fontId="0" fillId="0" borderId="6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0" xfId="0" applyBorder="1"/>
    <xf numFmtId="4" fontId="0" fillId="0" borderId="10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2" xfId="0" applyBorder="1"/>
    <xf numFmtId="167" fontId="0" fillId="0" borderId="0" xfId="1" applyNumberFormat="1" applyFont="1"/>
    <xf numFmtId="2" fontId="8" fillId="3" borderId="1" xfId="1" applyNumberFormat="1" applyFont="1" applyFill="1" applyBorder="1" applyAlignment="1">
      <alignment horizontal="center" vertical="center"/>
    </xf>
    <xf numFmtId="0" fontId="8" fillId="3" borderId="1" xfId="6" applyAlignment="1">
      <alignment horizontal="center"/>
    </xf>
    <xf numFmtId="43" fontId="0" fillId="0" borderId="0" xfId="1" applyFont="1" applyAlignment="1">
      <alignment horizontal="center"/>
    </xf>
    <xf numFmtId="0" fontId="11" fillId="0" borderId="0" xfId="8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0" fillId="0" borderId="6" xfId="0" applyFill="1" applyBorder="1"/>
    <xf numFmtId="0" fontId="0" fillId="0" borderId="5" xfId="0" applyFill="1" applyBorder="1"/>
    <xf numFmtId="0" fontId="9" fillId="0" borderId="0" xfId="0" applyFont="1" applyBorder="1" applyAlignment="1">
      <alignment wrapText="1"/>
    </xf>
    <xf numFmtId="2" fontId="0" fillId="0" borderId="0" xfId="0" applyNumberForma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3" fontId="0" fillId="0" borderId="0" xfId="0" applyNumberFormat="1"/>
    <xf numFmtId="168" fontId="8" fillId="3" borderId="1" xfId="6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43" fontId="12" fillId="0" borderId="13" xfId="9" applyNumberFormat="1" applyAlignment="1"/>
    <xf numFmtId="0" fontId="9" fillId="0" borderId="0" xfId="0" applyFont="1" applyBorder="1"/>
    <xf numFmtId="0" fontId="9" fillId="0" borderId="10" xfId="0" applyFont="1" applyBorder="1"/>
    <xf numFmtId="0" fontId="11" fillId="0" borderId="0" xfId="8" applyBorder="1" applyAlignment="1">
      <alignment horizontal="center"/>
    </xf>
    <xf numFmtId="43" fontId="0" fillId="0" borderId="0" xfId="0" quotePrefix="1" applyNumberFormat="1"/>
    <xf numFmtId="0" fontId="11" fillId="0" borderId="0" xfId="8" applyFill="1" applyBorder="1" applyAlignment="1">
      <alignment horizontal="center" wrapText="1"/>
    </xf>
    <xf numFmtId="43" fontId="0" fillId="0" borderId="0" xfId="1" applyNumberFormat="1" applyFont="1"/>
    <xf numFmtId="0" fontId="0" fillId="0" borderId="0" xfId="0"/>
    <xf numFmtId="43" fontId="0" fillId="0" borderId="0" xfId="1" applyFont="1"/>
    <xf numFmtId="43" fontId="0" fillId="0" borderId="0" xfId="1" applyFont="1" applyFill="1"/>
    <xf numFmtId="43" fontId="12" fillId="0" borderId="0" xfId="9" applyNumberFormat="1" applyBorder="1" applyAlignment="1">
      <alignment vertical="center"/>
    </xf>
    <xf numFmtId="43" fontId="12" fillId="0" borderId="10" xfId="9" applyNumberFormat="1" applyBorder="1" applyAlignment="1">
      <alignment vertical="center"/>
    </xf>
    <xf numFmtId="0" fontId="0" fillId="0" borderId="0" xfId="0" applyAlignment="1"/>
    <xf numFmtId="43" fontId="12" fillId="0" borderId="10" xfId="9" applyNumberFormat="1" applyBorder="1" applyAlignment="1">
      <alignment vertical="center" wrapText="1"/>
    </xf>
    <xf numFmtId="169" fontId="8" fillId="3" borderId="1" xfId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0" fillId="0" borderId="18" xfId="0" applyFill="1" applyBorder="1"/>
    <xf numFmtId="170" fontId="0" fillId="0" borderId="0" xfId="0" applyNumberFormat="1"/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left" vertical="center" wrapText="1"/>
    </xf>
    <xf numFmtId="43" fontId="12" fillId="0" borderId="13" xfId="9" applyNumberFormat="1"/>
    <xf numFmtId="0" fontId="12" fillId="0" borderId="13" xfId="9"/>
    <xf numFmtId="10" fontId="12" fillId="0" borderId="13" xfId="9" applyNumberFormat="1"/>
    <xf numFmtId="8" fontId="12" fillId="0" borderId="13" xfId="9" applyNumberFormat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/>
    <xf numFmtId="0" fontId="0" fillId="0" borderId="10" xfId="0" applyBorder="1" applyAlignment="1">
      <alignment horizontal="center" wrapText="1"/>
    </xf>
    <xf numFmtId="2" fontId="0" fillId="0" borderId="10" xfId="1" applyNumberFormat="1" applyFont="1" applyBorder="1" applyAlignment="1">
      <alignment horizontal="center" vertical="center"/>
    </xf>
    <xf numFmtId="43" fontId="5" fillId="0" borderId="0" xfId="1" applyFont="1"/>
    <xf numFmtId="164" fontId="18" fillId="6" borderId="6" xfId="11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0" fillId="0" borderId="0" xfId="0"/>
    <xf numFmtId="0" fontId="19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7" borderId="6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/>
    <xf numFmtId="0" fontId="4" fillId="0" borderId="0" xfId="0" applyFont="1" applyAlignment="1"/>
    <xf numFmtId="171" fontId="0" fillId="0" borderId="6" xfId="0" applyNumberFormat="1" applyBorder="1" applyAlignment="1">
      <alignment horizontal="center"/>
    </xf>
    <xf numFmtId="172" fontId="0" fillId="0" borderId="6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8" fillId="3" borderId="23" xfId="6" applyNumberFormat="1" applyBorder="1" applyAlignment="1">
      <alignment horizontal="center"/>
    </xf>
    <xf numFmtId="168" fontId="8" fillId="3" borderId="23" xfId="6" applyNumberFormat="1" applyBorder="1" applyAlignment="1">
      <alignment horizontal="center"/>
    </xf>
    <xf numFmtId="3" fontId="8" fillId="0" borderId="0" xfId="6" applyNumberFormat="1" applyFill="1" applyBorder="1" applyAlignment="1">
      <alignment horizontal="center"/>
    </xf>
    <xf numFmtId="0" fontId="0" fillId="0" borderId="0" xfId="0" applyFill="1" applyBorder="1"/>
    <xf numFmtId="168" fontId="8" fillId="0" borderId="0" xfId="6" applyNumberFormat="1" applyFill="1" applyBorder="1" applyAlignment="1">
      <alignment horizontal="center"/>
    </xf>
    <xf numFmtId="0" fontId="11" fillId="0" borderId="12" xfId="8" applyAlignment="1">
      <alignment wrapText="1"/>
    </xf>
    <xf numFmtId="0" fontId="11" fillId="0" borderId="12" xfId="8" applyAlignment="1">
      <alignment horizontal="left"/>
    </xf>
    <xf numFmtId="0" fontId="14" fillId="0" borderId="12" xfId="8" applyFont="1" applyAlignment="1">
      <alignment horizontal="center"/>
    </xf>
    <xf numFmtId="0" fontId="14" fillId="0" borderId="12" xfId="8" applyFont="1" applyAlignment="1">
      <alignment horizontal="center" wrapText="1"/>
    </xf>
    <xf numFmtId="5" fontId="2" fillId="2" borderId="1" xfId="3" applyNumberFormat="1" applyAlignment="1">
      <alignment horizontal="center" vertical="center"/>
    </xf>
    <xf numFmtId="5" fontId="0" fillId="0" borderId="6" xfId="1" applyNumberFormat="1" applyFont="1" applyBorder="1" applyAlignment="1">
      <alignment horizontal="center" vertical="center"/>
    </xf>
    <xf numFmtId="0" fontId="11" fillId="0" borderId="8" xfId="8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8" fillId="3" borderId="6" xfId="6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2" xfId="8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1" xfId="8" applyBorder="1" applyAlignment="1">
      <alignment horizontal="center"/>
    </xf>
    <xf numFmtId="43" fontId="12" fillId="0" borderId="0" xfId="9" applyNumberFormat="1" applyBorder="1" applyAlignment="1">
      <alignment horizontal="center" vertical="center"/>
    </xf>
    <xf numFmtId="0" fontId="11" fillId="0" borderId="12" xfId="8" applyAlignment="1">
      <alignment horizontal="center" wrapText="1"/>
    </xf>
    <xf numFmtId="0" fontId="5" fillId="0" borderId="0" xfId="0" applyFont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1" fillId="0" borderId="10" xfId="8" applyBorder="1" applyAlignment="1">
      <alignment horizontal="left"/>
    </xf>
    <xf numFmtId="0" fontId="0" fillId="0" borderId="6" xfId="0" applyBorder="1" applyAlignment="1">
      <alignment horizontal="center"/>
    </xf>
    <xf numFmtId="0" fontId="12" fillId="0" borderId="6" xfId="9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5" xfId="8" applyBorder="1" applyAlignment="1">
      <alignment horizontal="center"/>
    </xf>
    <xf numFmtId="0" fontId="11" fillId="0" borderId="2" xfId="8" applyBorder="1" applyAlignment="1">
      <alignment horizontal="center"/>
    </xf>
    <xf numFmtId="0" fontId="11" fillId="0" borderId="3" xfId="8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6" xfId="8" applyBorder="1" applyAlignment="1">
      <alignment horizontal="center"/>
    </xf>
    <xf numFmtId="0" fontId="8" fillId="3" borderId="6" xfId="6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2" xfId="8" applyAlignment="1">
      <alignment horizontal="center"/>
    </xf>
    <xf numFmtId="0" fontId="12" fillId="7" borderId="6" xfId="9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21" xfId="9" applyBorder="1" applyAlignment="1">
      <alignment horizontal="center"/>
    </xf>
    <xf numFmtId="0" fontId="12" fillId="0" borderId="17" xfId="9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0" xfId="8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9" xfId="8" applyBorder="1" applyAlignment="1">
      <alignment horizontal="center"/>
    </xf>
    <xf numFmtId="0" fontId="11" fillId="0" borderId="11" xfId="8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12" fillId="0" borderId="10" xfId="9" applyNumberFormat="1" applyBorder="1" applyAlignment="1">
      <alignment horizontal="center" vertical="center"/>
    </xf>
    <xf numFmtId="43" fontId="12" fillId="0" borderId="0" xfId="9" applyNumberFormat="1" applyBorder="1" applyAlignment="1">
      <alignment horizontal="center" vertical="center"/>
    </xf>
    <xf numFmtId="0" fontId="15" fillId="7" borderId="6" xfId="1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2" xfId="8" applyAlignment="1">
      <alignment horizontal="center" vertical="center"/>
    </xf>
    <xf numFmtId="0" fontId="10" fillId="0" borderId="0" xfId="7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2" xfId="8" applyAlignment="1">
      <alignment horizontal="center" wrapText="1"/>
    </xf>
    <xf numFmtId="0" fontId="11" fillId="0" borderId="20" xfId="8" applyBorder="1" applyAlignment="1">
      <alignment horizontal="center"/>
    </xf>
  </cellXfs>
  <cellStyles count="12">
    <cellStyle name="Bad" xfId="11" builtinId="27"/>
    <cellStyle name="Calculation" xfId="6" builtinId="22"/>
    <cellStyle name="Comma" xfId="1" builtinId="3"/>
    <cellStyle name="Comma 2" xfId="4" xr:uid="{00000000-0005-0000-0000-000003000000}"/>
    <cellStyle name="Heading 1" xfId="8" builtinId="16"/>
    <cellStyle name="Heading 2" xfId="9" builtinId="17"/>
    <cellStyle name="Heading 3" xfId="10" builtinId="18"/>
    <cellStyle name="Input" xfId="3" builtinId="20"/>
    <cellStyle name="Normal" xfId="0" builtinId="0"/>
    <cellStyle name="Normal 2" xfId="5" xr:uid="{00000000-0005-0000-0000-000009000000}"/>
    <cellStyle name="Percent" xfId="2" builtinId="5"/>
    <cellStyle name="Title" xfId="7" builtinId="15"/>
  </cellStyles>
  <dxfs count="0"/>
  <tableStyles count="0" defaultTableStyle="TableStyleMedium2" defaultPivotStyle="PivotStyleLight16"/>
  <colors>
    <mruColors>
      <color rgb="FFCC3300"/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 System : Monetized Benefits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'Baseline System Analysis'!$A$24:$B$38</c15:sqref>
                  </c15:fullRef>
                  <c15:levelRef>
                    <c15:sqref>'Baseline System Analysis'!$A$24:$A$38</c15:sqref>
                  </c15:levelRef>
                </c:ext>
              </c:extLst>
              <c:f>'Baseline System Analysis'!$A$24:$A$38</c:f>
              <c:strCache>
                <c:ptCount val="15"/>
                <c:pt idx="0">
                  <c:v>Residential (N-1)</c:v>
                </c:pt>
                <c:pt idx="1">
                  <c:v>Commerical(N-1)</c:v>
                </c:pt>
                <c:pt idx="2">
                  <c:v>Aggregate</c:v>
                </c:pt>
                <c:pt idx="4">
                  <c:v>Residential (N-0)</c:v>
                </c:pt>
                <c:pt idx="5">
                  <c:v>Commerical(N-0)</c:v>
                </c:pt>
                <c:pt idx="6">
                  <c:v>Aggregate</c:v>
                </c:pt>
                <c:pt idx="8">
                  <c:v>Residential (N-1)</c:v>
                </c:pt>
                <c:pt idx="9">
                  <c:v>Commerical(N-1)</c:v>
                </c:pt>
                <c:pt idx="10">
                  <c:v>Aggregate</c:v>
                </c:pt>
                <c:pt idx="12">
                  <c:v>Residential </c:v>
                </c:pt>
                <c:pt idx="13">
                  <c:v>Commerical</c:v>
                </c:pt>
                <c:pt idx="14">
                  <c:v>Aggregate</c:v>
                </c:pt>
              </c:strCache>
            </c:strRef>
          </c:cat>
          <c:val>
            <c:numRef>
              <c:f>'Baseline System Analysis'!$C$24:$C$38</c:f>
              <c:numCache>
                <c:formatCode>#,##0</c:formatCode>
                <c:ptCount val="15"/>
                <c:pt idx="0">
                  <c:v>4652002.7758050347</c:v>
                </c:pt>
                <c:pt idx="1">
                  <c:v>19303419.594411455</c:v>
                </c:pt>
                <c:pt idx="2">
                  <c:v>23955422.370216489</c:v>
                </c:pt>
                <c:pt idx="4">
                  <c:v>122402385.45052689</c:v>
                </c:pt>
                <c:pt idx="5">
                  <c:v>524690134.18495488</c:v>
                </c:pt>
                <c:pt idx="6">
                  <c:v>647092519.63548172</c:v>
                </c:pt>
                <c:pt idx="8">
                  <c:v>1642693710.165427</c:v>
                </c:pt>
                <c:pt idx="9">
                  <c:v>6767294419.7288284</c:v>
                </c:pt>
                <c:pt idx="10">
                  <c:v>8409988129.8942556</c:v>
                </c:pt>
                <c:pt idx="12">
                  <c:v>82608829.808218628</c:v>
                </c:pt>
                <c:pt idx="13">
                  <c:v>372371853.13602918</c:v>
                </c:pt>
                <c:pt idx="14">
                  <c:v>454980682.94424784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3-4167-B7EE-7966F671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9564632"/>
        <c:axId val="569557968"/>
      </c:barChart>
      <c:catAx>
        <c:axId val="569564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57968"/>
        <c:crosses val="autoZero"/>
        <c:auto val="1"/>
        <c:lblAlgn val="ctr"/>
        <c:lblOffset val="100"/>
        <c:noMultiLvlLbl val="0"/>
      </c:catAx>
      <c:valAx>
        <c:axId val="56955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6463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8581</xdr:colOff>
      <xdr:row>46</xdr:row>
      <xdr:rowOff>31485</xdr:rowOff>
    </xdr:from>
    <xdr:to>
      <xdr:col>11</xdr:col>
      <xdr:colOff>48063</xdr:colOff>
      <xdr:row>70</xdr:row>
      <xdr:rowOff>69084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26F52A-DC11-4453-BFC3-35315D49A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="85" zoomScaleNormal="85" workbookViewId="0">
      <selection activeCell="C1" sqref="C1:I1"/>
    </sheetView>
  </sheetViews>
  <sheetFormatPr defaultRowHeight="14.5" x14ac:dyDescent="0.35"/>
  <cols>
    <col min="1" max="1" width="12.26953125" customWidth="1"/>
    <col min="2" max="2" width="65" bestFit="1" customWidth="1"/>
    <col min="3" max="3" width="19.26953125" bestFit="1" customWidth="1"/>
    <col min="4" max="4" width="19.81640625" bestFit="1" customWidth="1"/>
    <col min="5" max="5" width="11.1796875" bestFit="1" customWidth="1"/>
    <col min="6" max="6" width="16.26953125" bestFit="1" customWidth="1"/>
    <col min="7" max="7" width="17.26953125" customWidth="1"/>
    <col min="8" max="8" width="7.26953125" bestFit="1" customWidth="1"/>
    <col min="9" max="9" width="76.81640625" bestFit="1" customWidth="1"/>
    <col min="10" max="10" width="21.26953125" bestFit="1" customWidth="1"/>
    <col min="11" max="12" width="14.54296875" customWidth="1"/>
    <col min="13" max="13" width="9.81640625" customWidth="1"/>
    <col min="14" max="14" width="12.54296875" customWidth="1"/>
    <col min="15" max="18" width="9.81640625" customWidth="1"/>
    <col min="19" max="19" width="10.1796875" bestFit="1" customWidth="1"/>
    <col min="20" max="23" width="9.81640625" customWidth="1"/>
    <col min="24" max="25" width="11.26953125" bestFit="1" customWidth="1"/>
  </cols>
  <sheetData>
    <row r="1" spans="1:22" s="87" customFormat="1" ht="18.5" x14ac:dyDescent="0.45">
      <c r="C1" s="126"/>
      <c r="D1" s="126"/>
      <c r="E1" s="126"/>
      <c r="F1" s="126"/>
      <c r="G1" s="126"/>
      <c r="H1" s="126"/>
      <c r="I1" s="126"/>
    </row>
    <row r="2" spans="1:22" s="87" customFormat="1" ht="15.5" x14ac:dyDescent="0.35">
      <c r="C2" s="99"/>
      <c r="D2" s="99"/>
      <c r="E2" s="99"/>
      <c r="F2" s="99"/>
      <c r="G2" s="99"/>
      <c r="H2" s="99"/>
      <c r="I2" s="99"/>
    </row>
    <row r="3" spans="1:22" ht="20" thickBot="1" x14ac:dyDescent="0.5">
      <c r="A3" s="109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ht="20.5" thickTop="1" thickBot="1" x14ac:dyDescent="0.5">
      <c r="A4" s="109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8" thickTop="1" thickBot="1" x14ac:dyDescent="0.45">
      <c r="A5" s="75"/>
      <c r="B5" s="75"/>
      <c r="C5" s="76"/>
      <c r="D5" s="74"/>
      <c r="E5" s="53"/>
      <c r="F5" s="53"/>
      <c r="G5" s="20"/>
      <c r="H5" s="77"/>
      <c r="I5" s="74"/>
      <c r="J5" s="74"/>
      <c r="K5" s="5"/>
      <c r="L5" s="5"/>
      <c r="M5" s="5"/>
      <c r="N5" s="5"/>
      <c r="O5" s="4"/>
      <c r="P5" s="5"/>
      <c r="Q5" s="5"/>
      <c r="R5" s="5"/>
      <c r="S5" s="5"/>
      <c r="T5" s="5"/>
      <c r="U5" s="5"/>
      <c r="V5" s="5"/>
    </row>
    <row r="6" spans="1:22" ht="31" thickTop="1" thickBot="1" x14ac:dyDescent="0.5">
      <c r="A6" s="110" t="s">
        <v>2</v>
      </c>
      <c r="B6" s="111" t="s">
        <v>3</v>
      </c>
      <c r="C6" s="111" t="s">
        <v>4</v>
      </c>
      <c r="D6" s="111" t="s">
        <v>5</v>
      </c>
      <c r="E6" s="111" t="s">
        <v>6</v>
      </c>
      <c r="F6" s="110" t="s">
        <v>7</v>
      </c>
      <c r="G6" s="111"/>
      <c r="H6" s="111" t="s">
        <v>2</v>
      </c>
      <c r="I6" s="111" t="s">
        <v>3</v>
      </c>
      <c r="J6" s="111" t="s">
        <v>8</v>
      </c>
      <c r="K6" s="87"/>
      <c r="L6" s="56"/>
      <c r="M6" s="41"/>
      <c r="N6" s="58"/>
      <c r="O6" s="87"/>
      <c r="P6" s="87"/>
      <c r="Q6" s="87"/>
      <c r="R6" s="87"/>
      <c r="S6" s="87"/>
      <c r="T6" s="87"/>
      <c r="U6" s="87"/>
      <c r="V6" s="87"/>
    </row>
    <row r="7" spans="1:22" ht="15" thickTop="1" x14ac:dyDescent="0.35">
      <c r="A7" s="21">
        <v>1</v>
      </c>
      <c r="B7" s="73" t="s">
        <v>9</v>
      </c>
      <c r="C7" s="112">
        <v>545</v>
      </c>
      <c r="D7" s="112">
        <v>545</v>
      </c>
      <c r="E7" s="113">
        <f t="shared" ref="E7:E19" si="0">F7*D7</f>
        <v>9838.7312014112103</v>
      </c>
      <c r="F7" s="115">
        <f>'Alberhill System Project'!C88/'Cost Assumptions'!$B$15</f>
        <v>18.052717800754515</v>
      </c>
      <c r="G7" s="87"/>
      <c r="H7" s="21">
        <v>1</v>
      </c>
      <c r="I7" s="73" t="s">
        <v>9</v>
      </c>
      <c r="J7" s="101">
        <f>1/'Alberhill System Project'!C88/'Cost Assumptions'!$B$15</f>
        <v>5.5393321439844635E-2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</row>
    <row r="8" spans="1:22" x14ac:dyDescent="0.35">
      <c r="A8" s="21">
        <v>2</v>
      </c>
      <c r="B8" s="73" t="s">
        <v>10</v>
      </c>
      <c r="C8" s="112">
        <v>540</v>
      </c>
      <c r="D8" s="112">
        <v>469</v>
      </c>
      <c r="E8" s="113">
        <f t="shared" si="0"/>
        <v>4596.865815020401</v>
      </c>
      <c r="F8" s="115">
        <f>'SDG&amp;E'!C88/'Cost Assumptions'!$B$15</f>
        <v>9.801419648231132</v>
      </c>
      <c r="G8" s="70"/>
      <c r="H8" s="21">
        <v>13</v>
      </c>
      <c r="I8" s="73" t="s">
        <v>11</v>
      </c>
      <c r="J8" s="101">
        <f>1/'Valley South to Valley North'!C89/'Cost Assumptions'!$B$15</f>
        <v>5.656732840086464E-2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</row>
    <row r="9" spans="1:22" x14ac:dyDescent="0.35">
      <c r="A9" s="21">
        <v>3</v>
      </c>
      <c r="B9" s="73" t="s">
        <v>12</v>
      </c>
      <c r="C9" s="112">
        <v>285</v>
      </c>
      <c r="D9" s="112">
        <v>270</v>
      </c>
      <c r="E9" s="113">
        <f t="shared" si="0"/>
        <v>3465.6255630607602</v>
      </c>
      <c r="F9" s="115">
        <f>'Valley S to Valley N to Vista'!C89/'Cost Assumptions'!$B$15</f>
        <v>12.835650233558372</v>
      </c>
      <c r="G9" s="87"/>
      <c r="H9" s="21">
        <v>6</v>
      </c>
      <c r="I9" s="73" t="s">
        <v>13</v>
      </c>
      <c r="J9" s="101">
        <f>1/'VS to VN &amp; Distributed BESS VS'!C89/'Cost Assumptions'!$B$15</f>
        <v>5.8706158134773943E-2</v>
      </c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</row>
    <row r="10" spans="1:22" x14ac:dyDescent="0.35">
      <c r="A10" s="21">
        <v>4</v>
      </c>
      <c r="B10" s="73" t="s">
        <v>14</v>
      </c>
      <c r="C10" s="112">
        <v>2363</v>
      </c>
      <c r="D10" s="112">
        <v>923</v>
      </c>
      <c r="E10" s="113">
        <f t="shared" si="0"/>
        <v>3422.0829051388182</v>
      </c>
      <c r="F10" s="115">
        <f>'Centralized BESS in Valley S'!C88/'Cost Assumptions'!$B$15</f>
        <v>3.7075654443540826</v>
      </c>
      <c r="G10" s="87"/>
      <c r="H10" s="21">
        <v>8</v>
      </c>
      <c r="I10" s="73" t="s">
        <v>15</v>
      </c>
      <c r="J10" s="101">
        <f>1/'Mira Loma'!C88/'Cost Assumptions'!$B$15</f>
        <v>6.0749988303329207E-2</v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spans="1:22" x14ac:dyDescent="0.35">
      <c r="A11" s="21">
        <v>5</v>
      </c>
      <c r="B11" s="73" t="s">
        <v>16</v>
      </c>
      <c r="C11" s="112">
        <v>2156</v>
      </c>
      <c r="D11" s="112">
        <v>829</v>
      </c>
      <c r="E11" s="113">
        <f t="shared" si="0"/>
        <v>6931.7816660868702</v>
      </c>
      <c r="F11" s="115">
        <f>'MiraLoma &amp; Centralized BESS VS'!C88/'Cost Assumptions'!$B$15</f>
        <v>8.3616184150625692</v>
      </c>
      <c r="G11" s="87"/>
      <c r="H11" s="21">
        <v>3</v>
      </c>
      <c r="I11" s="73" t="s">
        <v>12</v>
      </c>
      <c r="J11" s="101">
        <f>1/'Valley S to Valley N to Vista'!C89/'Cost Assumptions'!$B$15</f>
        <v>7.7908012590241355E-2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</row>
    <row r="12" spans="1:22" x14ac:dyDescent="0.35">
      <c r="A12" s="21">
        <v>6</v>
      </c>
      <c r="B12" s="73" t="s">
        <v>13</v>
      </c>
      <c r="C12" s="112">
        <v>324</v>
      </c>
      <c r="D12" s="112">
        <v>213</v>
      </c>
      <c r="E12" s="113">
        <f t="shared" si="0"/>
        <v>3628.2394686943721</v>
      </c>
      <c r="F12" s="115">
        <f>'VS to VN &amp; Distributed BESS VS'!C89/'Cost Assumptions'!$B$15</f>
        <v>17.033988115936019</v>
      </c>
      <c r="G12" s="87"/>
      <c r="H12" s="21">
        <v>7</v>
      </c>
      <c r="I12" s="73" t="s">
        <v>17</v>
      </c>
      <c r="J12" s="101">
        <f>1/Menifee!C88/'Cost Assumptions'!$B$15</f>
        <v>8.1945220679265879E-2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1:22" x14ac:dyDescent="0.35">
      <c r="A13" s="21">
        <v>7</v>
      </c>
      <c r="B13" s="73" t="s">
        <v>17</v>
      </c>
      <c r="C13" s="112">
        <v>358</v>
      </c>
      <c r="D13" s="112">
        <v>315</v>
      </c>
      <c r="E13" s="113">
        <f t="shared" si="0"/>
        <v>3844.0313832689772</v>
      </c>
      <c r="F13" s="115">
        <f>Menifee!C88/'Cost Assumptions'!$B$15</f>
        <v>12.203274232599927</v>
      </c>
      <c r="G13" s="87"/>
      <c r="H13" s="21">
        <v>9</v>
      </c>
      <c r="I13" s="73" t="s">
        <v>18</v>
      </c>
      <c r="J13" s="101">
        <f>1/'SCE Orange County'!C88/'Cost Assumptions'!$B$15</f>
        <v>9.7516914995474963E-2</v>
      </c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spans="1:22" x14ac:dyDescent="0.35">
      <c r="A14" s="21">
        <v>8</v>
      </c>
      <c r="B14" s="73" t="s">
        <v>15</v>
      </c>
      <c r="C14" s="112">
        <v>328</v>
      </c>
      <c r="D14" s="112">
        <v>290</v>
      </c>
      <c r="E14" s="113">
        <f t="shared" si="0"/>
        <v>4773.6634705509477</v>
      </c>
      <c r="F14" s="115">
        <f>'Mira Loma'!C88/'Cost Assumptions'!$B$15</f>
        <v>16.460908519141199</v>
      </c>
      <c r="G14" s="87"/>
      <c r="H14" s="21">
        <v>2</v>
      </c>
      <c r="I14" s="73" t="s">
        <v>10</v>
      </c>
      <c r="J14" s="101">
        <f>1/'SDG&amp;E'!C88/'Cost Assumptions'!$B$15</f>
        <v>0.10202603662424255</v>
      </c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2" x14ac:dyDescent="0.35">
      <c r="A15" s="21">
        <v>9</v>
      </c>
      <c r="B15" s="73" t="s">
        <v>18</v>
      </c>
      <c r="C15" s="112">
        <v>951</v>
      </c>
      <c r="D15" s="112">
        <v>806</v>
      </c>
      <c r="E15" s="113">
        <f t="shared" si="0"/>
        <v>8265.2327551317685</v>
      </c>
      <c r="F15" s="115">
        <f>'SCE Orange County'!C88/'Cost Assumptions'!$B$15</f>
        <v>10.254631209840904</v>
      </c>
      <c r="G15" s="87"/>
      <c r="H15" s="21">
        <v>11</v>
      </c>
      <c r="I15" s="73" t="s">
        <v>19</v>
      </c>
      <c r="J15" s="101">
        <f>1/'VS to VN to VST &amp; Cen BESS VS'!C89/'Cost Assumptions'!$B$15</f>
        <v>0.10061895075086469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1:22" ht="29" x14ac:dyDescent="0.35">
      <c r="A16" s="21">
        <v>10</v>
      </c>
      <c r="B16" s="73" t="s">
        <v>20</v>
      </c>
      <c r="C16" s="112">
        <v>2582</v>
      </c>
      <c r="D16" s="112">
        <v>726</v>
      </c>
      <c r="E16" s="113">
        <f t="shared" si="0"/>
        <v>4113.5638900197373</v>
      </c>
      <c r="F16" s="115">
        <f>'VS to VN &amp; Central BESS VS VN '!C89/'Cost Assumptions'!$B$15</f>
        <v>5.6660659642145141</v>
      </c>
      <c r="G16" s="87"/>
      <c r="H16" s="21">
        <v>5</v>
      </c>
      <c r="I16" s="73" t="s">
        <v>16</v>
      </c>
      <c r="J16" s="101">
        <f>1/'MiraLoma &amp; Centralized BESS VS'!C88/'Cost Assumptions'!$B$15</f>
        <v>0.11959407262577373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spans="1:20" x14ac:dyDescent="0.35">
      <c r="A17" s="21">
        <v>11</v>
      </c>
      <c r="B17" s="73" t="s">
        <v>19</v>
      </c>
      <c r="C17" s="112">
        <v>951</v>
      </c>
      <c r="D17" s="112">
        <v>400</v>
      </c>
      <c r="E17" s="113">
        <f t="shared" si="0"/>
        <v>3975.3942673325137</v>
      </c>
      <c r="F17" s="115">
        <f>'VS to VN to VST &amp; Cen BESS VS'!C89/'Cost Assumptions'!$B$15</f>
        <v>9.9384856683312837</v>
      </c>
      <c r="G17" s="87"/>
      <c r="H17" s="21">
        <v>12</v>
      </c>
      <c r="I17" s="73" t="s">
        <v>21</v>
      </c>
      <c r="J17" s="101">
        <f>1/'SDG&amp;E and Central BESS in VS'!C88/'Cost Assumptions'!$B$15</f>
        <v>0.1404365008753804</v>
      </c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spans="1:20" x14ac:dyDescent="0.35">
      <c r="A18" s="21">
        <v>12</v>
      </c>
      <c r="B18" s="73" t="s">
        <v>21</v>
      </c>
      <c r="C18" s="112">
        <v>1473</v>
      </c>
      <c r="D18" s="112">
        <v>701</v>
      </c>
      <c r="E18" s="113">
        <f t="shared" si="0"/>
        <v>4991.5797932194901</v>
      </c>
      <c r="F18" s="115">
        <f>'SDG&amp;E and Central BESS in VS'!C88/'Cost Assumptions'!$B$15</f>
        <v>7.1206559104414984</v>
      </c>
      <c r="G18" s="87"/>
      <c r="H18" s="21">
        <v>10</v>
      </c>
      <c r="I18" s="73" t="s">
        <v>20</v>
      </c>
      <c r="J18" s="101">
        <f>1/'VS to VN &amp; Central BESS VS VN '!C89/'Cost Assumptions'!$B$15</f>
        <v>0.17648929721534398</v>
      </c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spans="1:20" s="60" customFormat="1" x14ac:dyDescent="0.35">
      <c r="A19" s="97">
        <v>13</v>
      </c>
      <c r="B19" s="73" t="s">
        <v>11</v>
      </c>
      <c r="C19" s="112">
        <v>190</v>
      </c>
      <c r="D19" s="112">
        <v>185</v>
      </c>
      <c r="E19" s="113">
        <f t="shared" si="0"/>
        <v>3270.4390543070485</v>
      </c>
      <c r="F19" s="115">
        <f>'Valley South to Valley North'!C89/'Cost Assumptions'!$B$15</f>
        <v>17.678048942200263</v>
      </c>
      <c r="G19" s="87"/>
      <c r="H19" s="21">
        <v>4</v>
      </c>
      <c r="I19" s="73" t="s">
        <v>14</v>
      </c>
      <c r="J19" s="101">
        <f>1/'Centralized BESS in Valley S'!C88/'Cost Assumptions'!$B$15</f>
        <v>0.26971877233423081</v>
      </c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spans="1:20" ht="15.5" x14ac:dyDescent="0.35">
      <c r="A20" s="51"/>
      <c r="B20" s="45"/>
      <c r="C20" s="46"/>
      <c r="D20" s="4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  <row r="21" spans="1:20" ht="15.5" x14ac:dyDescent="0.35">
      <c r="A21" s="51"/>
      <c r="B21" s="45"/>
      <c r="C21" s="46"/>
      <c r="D21" s="4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3" spans="1:20" ht="17" x14ac:dyDescent="0.3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63"/>
      <c r="Q23" s="63"/>
      <c r="R23" s="87"/>
      <c r="S23" s="87"/>
      <c r="T23" s="63"/>
    </row>
    <row r="24" spans="1:20" ht="17" x14ac:dyDescent="0.3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64"/>
      <c r="Q24" s="64"/>
      <c r="R24" s="64"/>
      <c r="S24" s="64"/>
      <c r="T24" s="64"/>
    </row>
  </sheetData>
  <autoFilter ref="H6:J18" xr:uid="{00000000-0009-0000-0000-000000000000}">
    <sortState xmlns:xlrd2="http://schemas.microsoft.com/office/spreadsheetml/2017/richdata2" ref="H7:J19">
      <sortCondition ref="J6:J18"/>
    </sortState>
  </autoFilter>
  <mergeCells count="1">
    <mergeCell ref="C1:I1"/>
  </mergeCells>
  <conditionalFormatting sqref="F7:F19">
    <cfRule type="colorScale" priority="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J19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1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91"/>
  <sheetViews>
    <sheetView zoomScale="89" zoomScaleNormal="89" workbookViewId="0"/>
  </sheetViews>
  <sheetFormatPr defaultRowHeight="14.5" x14ac:dyDescent="0.35"/>
  <cols>
    <col min="1" max="1" width="15.7265625" bestFit="1" customWidth="1"/>
    <col min="2" max="2" width="29.453125" customWidth="1"/>
    <col min="3" max="3" width="26.81640625" bestFit="1" customWidth="1"/>
    <col min="4" max="4" width="17.26953125" style="87" customWidth="1"/>
    <col min="5" max="5" width="14.81640625" customWidth="1"/>
    <col min="6" max="7" width="18.1796875" bestFit="1" customWidth="1"/>
    <col min="8" max="30" width="14.81640625" bestFit="1" customWidth="1"/>
    <col min="31" max="31" width="17.5429687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6" spans="1:31" s="60" customFormat="1" x14ac:dyDescent="0.35">
      <c r="A16" s="87"/>
      <c r="B16" s="87"/>
      <c r="C16" s="87"/>
      <c r="D16" s="87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14</v>
      </c>
      <c r="C18" s="87" t="s">
        <v>107</v>
      </c>
      <c r="D18" s="87">
        <v>48907.949999999291</v>
      </c>
      <c r="E18" s="61">
        <v>49635.899999999594</v>
      </c>
      <c r="F18" s="61">
        <v>50140.598076922688</v>
      </c>
      <c r="G18" s="61">
        <v>50645.296153845782</v>
      </c>
      <c r="H18" s="61">
        <v>51149.994230768876</v>
      </c>
      <c r="I18" s="61">
        <v>51654.69230769197</v>
      </c>
      <c r="J18" s="61">
        <v>52159.390384615064</v>
      </c>
      <c r="K18" s="61">
        <v>52664.088461538158</v>
      </c>
      <c r="L18" s="61">
        <v>53168.786538461252</v>
      </c>
      <c r="M18" s="61">
        <v>53673.484615384346</v>
      </c>
      <c r="N18" s="61">
        <v>54178.18269230744</v>
      </c>
      <c r="O18" s="61">
        <v>54682.880769230534</v>
      </c>
      <c r="P18" s="61">
        <v>55187.578846153629</v>
      </c>
      <c r="Q18" s="61">
        <v>55692.276923076723</v>
      </c>
      <c r="R18" s="61">
        <v>56196.974999999817</v>
      </c>
      <c r="S18" s="61">
        <v>56701.673076922911</v>
      </c>
      <c r="T18" s="61">
        <v>57206.371153846005</v>
      </c>
      <c r="U18" s="61">
        <v>57711.069230769099</v>
      </c>
      <c r="V18" s="61">
        <v>58215.767307692193</v>
      </c>
      <c r="W18" s="61">
        <v>58720.465384615287</v>
      </c>
      <c r="X18" s="61">
        <v>59225.163461538381</v>
      </c>
      <c r="Y18" s="61">
        <v>59729.861538461475</v>
      </c>
      <c r="Z18" s="61">
        <v>60234.559615384569</v>
      </c>
      <c r="AA18" s="61">
        <v>60739.257692307663</v>
      </c>
      <c r="AB18" s="61">
        <v>61243.955769230757</v>
      </c>
      <c r="AC18" s="61">
        <v>61748.653846153851</v>
      </c>
      <c r="AD18" s="61">
        <v>62253.351923076945</v>
      </c>
      <c r="AE18" s="61">
        <v>62758.050000000039</v>
      </c>
    </row>
    <row r="19" spans="1:31" x14ac:dyDescent="0.35">
      <c r="A19" s="87" t="s">
        <v>30</v>
      </c>
      <c r="B19" s="167"/>
      <c r="C19" s="87" t="s">
        <v>31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6.1599999999999966</v>
      </c>
      <c r="AB19" s="61">
        <v>12.319999999999993</v>
      </c>
      <c r="AC19" s="61">
        <v>18.47999999999999</v>
      </c>
      <c r="AD19" s="61">
        <v>24.639999999999986</v>
      </c>
      <c r="AE19" s="61">
        <v>30.799999999999983</v>
      </c>
    </row>
    <row r="20" spans="1:31" x14ac:dyDescent="0.35">
      <c r="A20" s="87" t="s">
        <v>30</v>
      </c>
      <c r="B20" s="167"/>
      <c r="C20" s="87" t="s">
        <v>32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1.4600000000000022</v>
      </c>
      <c r="AB20" s="61">
        <v>2.9200000000000044</v>
      </c>
      <c r="AC20" s="61">
        <v>4.3800000000000061</v>
      </c>
      <c r="AD20" s="61">
        <v>5.8400000000000087</v>
      </c>
      <c r="AE20" s="61">
        <v>7.3000000000000114</v>
      </c>
    </row>
    <row r="21" spans="1:31" x14ac:dyDescent="0.35">
      <c r="A21" s="87" t="s">
        <v>30</v>
      </c>
      <c r="B21" s="167"/>
      <c r="C21" s="87" t="s">
        <v>33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0.14536790428195892</v>
      </c>
      <c r="AB21" s="61">
        <v>0.29073580856391784</v>
      </c>
      <c r="AC21" s="61">
        <v>0.43610371284587679</v>
      </c>
      <c r="AD21" s="61">
        <v>0.58147161712783568</v>
      </c>
      <c r="AE21" s="61">
        <v>0.72683952140979458</v>
      </c>
    </row>
    <row r="22" spans="1:31" x14ac:dyDescent="0.35">
      <c r="A22" s="87" t="s">
        <v>30</v>
      </c>
      <c r="B22" s="167"/>
      <c r="C22" s="87" t="s">
        <v>34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1.4853644617176229E-2</v>
      </c>
      <c r="AB22" s="61">
        <v>2.9707289234352459E-2</v>
      </c>
      <c r="AC22" s="61">
        <v>4.4560933851528692E-2</v>
      </c>
      <c r="AD22" s="61">
        <v>5.9414578468704918E-2</v>
      </c>
      <c r="AE22" s="61">
        <v>7.4268223085881144E-2</v>
      </c>
    </row>
    <row r="23" spans="1:31" x14ac:dyDescent="0.35">
      <c r="A23" s="87" t="s">
        <v>30</v>
      </c>
      <c r="B23" s="167"/>
      <c r="C23" s="87" t="s">
        <v>35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0.8</v>
      </c>
      <c r="AB23" s="61">
        <v>1.6</v>
      </c>
      <c r="AC23" s="61">
        <v>2.4000000000000004</v>
      </c>
      <c r="AD23" s="61">
        <v>3.2</v>
      </c>
      <c r="AE23" s="61">
        <v>4</v>
      </c>
    </row>
    <row r="24" spans="1:31" x14ac:dyDescent="0.35">
      <c r="A24" s="87" t="s">
        <v>30</v>
      </c>
      <c r="B24" s="167"/>
      <c r="C24" s="87" t="s">
        <v>108</v>
      </c>
      <c r="D24" s="61">
        <v>4263.3320551254055</v>
      </c>
      <c r="E24" s="61">
        <v>6462.3917807187981</v>
      </c>
      <c r="F24" s="61">
        <v>8661.4515063121908</v>
      </c>
      <c r="G24" s="61">
        <v>10860.511231905584</v>
      </c>
      <c r="H24" s="61">
        <v>13059.570957498978</v>
      </c>
      <c r="I24" s="61">
        <v>15258.630683092371</v>
      </c>
      <c r="J24" s="61">
        <v>17457.690408685765</v>
      </c>
      <c r="K24" s="61">
        <v>19656.750134279158</v>
      </c>
      <c r="L24" s="61">
        <v>21855.809859872552</v>
      </c>
      <c r="M24" s="61">
        <v>24054.869585465945</v>
      </c>
      <c r="N24" s="61">
        <v>26253.929311059339</v>
      </c>
      <c r="O24" s="61">
        <v>28452.989036652732</v>
      </c>
      <c r="P24" s="61">
        <v>30652.048762246126</v>
      </c>
      <c r="Q24" s="61">
        <v>32851.10848783952</v>
      </c>
      <c r="R24" s="61">
        <v>35050.168213432909</v>
      </c>
      <c r="S24" s="61">
        <v>37249.227939026299</v>
      </c>
      <c r="T24" s="61">
        <v>39448.287664619689</v>
      </c>
      <c r="U24" s="61">
        <v>41647.347390213079</v>
      </c>
      <c r="V24" s="61">
        <v>43846.407115806469</v>
      </c>
      <c r="W24" s="61">
        <v>46045.466841399859</v>
      </c>
      <c r="X24" s="61">
        <v>48244.526566993249</v>
      </c>
      <c r="Y24" s="61">
        <v>50443.586292586639</v>
      </c>
      <c r="Z24" s="61">
        <v>52642.646018180028</v>
      </c>
      <c r="AA24" s="61">
        <v>54841.705743773418</v>
      </c>
      <c r="AB24" s="61">
        <v>57040.765469366808</v>
      </c>
      <c r="AC24" s="61">
        <v>59239.825194960198</v>
      </c>
      <c r="AD24" s="61">
        <v>61438.884920553588</v>
      </c>
      <c r="AE24" s="61">
        <v>63637.944646147007</v>
      </c>
    </row>
    <row r="25" spans="1:31" x14ac:dyDescent="0.35">
      <c r="A25" s="87" t="s">
        <v>30</v>
      </c>
      <c r="B25" s="16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60963.44883406665</v>
      </c>
      <c r="E26" s="61">
        <v>67379.72385149225</v>
      </c>
      <c r="F26" s="61">
        <v>74131.673234074202</v>
      </c>
      <c r="G26" s="61">
        <v>78284.470822300122</v>
      </c>
      <c r="H26" s="61">
        <v>82555.970261640774</v>
      </c>
      <c r="I26" s="61">
        <v>86840.980545925893</v>
      </c>
      <c r="J26" s="61">
        <v>91614.784703259866</v>
      </c>
      <c r="K26" s="61">
        <v>96459.187348855412</v>
      </c>
      <c r="L26" s="61">
        <v>101387.73789501091</v>
      </c>
      <c r="M26" s="61">
        <v>106407.88712642467</v>
      </c>
      <c r="N26" s="61">
        <v>111665.57007598401</v>
      </c>
      <c r="O26" s="61">
        <v>116974.12711964833</v>
      </c>
      <c r="P26" s="61">
        <v>122422.6394391997</v>
      </c>
      <c r="Q26" s="61">
        <v>127910.5621517336</v>
      </c>
      <c r="R26" s="61">
        <v>133267.89294009664</v>
      </c>
      <c r="S26" s="61">
        <v>138688.42711828652</v>
      </c>
      <c r="T26" s="61">
        <v>144199.27525002044</v>
      </c>
      <c r="U26" s="61">
        <v>149725.2845393015</v>
      </c>
      <c r="V26" s="61">
        <v>154923.98525563584</v>
      </c>
      <c r="W26" s="61">
        <v>160186.90185591957</v>
      </c>
      <c r="X26" s="61">
        <v>165528.56845699259</v>
      </c>
      <c r="Y26" s="61">
        <v>170942.29234179613</v>
      </c>
      <c r="Z26" s="61">
        <v>175812.40520241272</v>
      </c>
      <c r="AA26" s="61">
        <v>180641.23389926855</v>
      </c>
      <c r="AB26" s="61">
        <v>185516.70429923441</v>
      </c>
      <c r="AC26" s="61">
        <v>190462.62279605682</v>
      </c>
      <c r="AD26" s="61">
        <v>194677.70495980306</v>
      </c>
      <c r="AE26" s="61">
        <v>198913.32770919756</v>
      </c>
    </row>
    <row r="27" spans="1:31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</row>
    <row r="28" spans="1:31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</row>
    <row r="29" spans="1:31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</row>
    <row r="30" spans="1:31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</row>
    <row r="31" spans="1:31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f>Z34+(($AE34-$Z34)/(COLUMN($AE34)-COLUMN($Z34)))</f>
        <v>4490.4204771225495</v>
      </c>
      <c r="AB34" s="61">
        <f t="shared" ref="AB34:AD35" si="0">AA34+(($AE34-$Z34)/(COLUMN($AE34)-COLUMN($Z34)))</f>
        <v>8980.8409542450991</v>
      </c>
      <c r="AC34" s="61">
        <f t="shared" si="0"/>
        <v>13471.261431367649</v>
      </c>
      <c r="AD34" s="61">
        <f t="shared" si="0"/>
        <v>17961.681908490198</v>
      </c>
      <c r="AE34" s="61">
        <v>22452.102385612747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f>Z35+(($AE35-$Z35)/(COLUMN($AE35)-COLUMN($Z35)))</f>
        <v>188877.20679139713</v>
      </c>
      <c r="AB35" s="61">
        <f t="shared" si="0"/>
        <v>377754.41358279425</v>
      </c>
      <c r="AC35" s="61">
        <f t="shared" si="0"/>
        <v>566631.62037419132</v>
      </c>
      <c r="AD35" s="61">
        <f t="shared" si="0"/>
        <v>755508.8271655885</v>
      </c>
      <c r="AE35" s="61">
        <v>944386.03395698569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16513545.676214682</v>
      </c>
      <c r="E36" s="61">
        <v>18660036.502420865</v>
      </c>
      <c r="F36" s="61">
        <v>20911156.943173006</v>
      </c>
      <c r="G36" s="61">
        <v>22556980.199967287</v>
      </c>
      <c r="H36" s="61">
        <v>24377241.867081586</v>
      </c>
      <c r="I36" s="61">
        <v>26165895.548160799</v>
      </c>
      <c r="J36" s="61">
        <v>28004195.751666158</v>
      </c>
      <c r="K36" s="61">
        <v>30136343.767848913</v>
      </c>
      <c r="L36" s="61">
        <v>32330543.210416183</v>
      </c>
      <c r="M36" s="61">
        <v>34590850.232290998</v>
      </c>
      <c r="N36" s="61">
        <v>37271320.059783891</v>
      </c>
      <c r="O36" s="61">
        <v>39778867.036331572</v>
      </c>
      <c r="P36" s="61">
        <v>42493884.83023528</v>
      </c>
      <c r="Q36" s="61">
        <v>45386907.690173723</v>
      </c>
      <c r="R36" s="61">
        <v>48245178.528965682</v>
      </c>
      <c r="S36" s="61">
        <v>51407801.069368348</v>
      </c>
      <c r="T36" s="61">
        <v>54631111.158389971</v>
      </c>
      <c r="U36" s="61">
        <v>58004741.327916503</v>
      </c>
      <c r="V36" s="61">
        <v>61334544.196329452</v>
      </c>
      <c r="W36" s="61">
        <v>64867163.423037</v>
      </c>
      <c r="X36" s="61">
        <v>68356574.950977772</v>
      </c>
      <c r="Y36" s="61">
        <v>71956093.335742086</v>
      </c>
      <c r="Z36" s="61">
        <v>75841194.244568691</v>
      </c>
      <c r="AA36" s="61">
        <v>79766256.82802324</v>
      </c>
      <c r="AB36" s="61">
        <v>83688089.161750302</v>
      </c>
      <c r="AC36" s="61">
        <v>87882969.426524729</v>
      </c>
      <c r="AD36" s="61">
        <v>91720086.440066665</v>
      </c>
      <c r="AE36" s="61">
        <v>95968685.867626458</v>
      </c>
    </row>
    <row r="37" spans="1:31" x14ac:dyDescent="0.35">
      <c r="A37" s="87"/>
      <c r="B37" s="87"/>
      <c r="C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61">
        <f>H38*'Cost Assumptions'!$B$5</f>
        <v>45.256328515624986</v>
      </c>
      <c r="J38" s="61">
        <f>I38*'Cost Assumptions'!$B$5</f>
        <v>46.387736728515605</v>
      </c>
      <c r="K38" s="61">
        <f>J38*'Cost Assumptions'!$B$5</f>
        <v>47.547430146728495</v>
      </c>
      <c r="L38" s="61">
        <f>K38*'Cost Assumptions'!$B$5</f>
        <v>48.736115900396705</v>
      </c>
      <c r="M38" s="61">
        <f>L38*'Cost Assumptions'!$B$5</f>
        <v>49.954518797906616</v>
      </c>
      <c r="N38" s="61">
        <f>M38*'Cost Assumptions'!$B$5</f>
        <v>51.203381767854275</v>
      </c>
      <c r="O38" s="61">
        <f>N38*'Cost Assumptions'!$B$5</f>
        <v>52.483466312050624</v>
      </c>
      <c r="P38" s="61">
        <f>O38*'Cost Assumptions'!$B$5</f>
        <v>53.795552969851883</v>
      </c>
      <c r="Q38" s="61">
        <f>P38*'Cost Assumptions'!$B$5</f>
        <v>55.140441794098173</v>
      </c>
      <c r="R38" s="61">
        <f>Q38*'Cost Assumptions'!$B$5</f>
        <v>56.518952838950625</v>
      </c>
      <c r="S38" s="61">
        <f>R38*'Cost Assumptions'!$B$5</f>
        <v>57.931926659924386</v>
      </c>
      <c r="T38" s="61">
        <f>S38*'Cost Assumptions'!$B$5</f>
        <v>59.380224826422491</v>
      </c>
      <c r="U38" s="61">
        <f>T38*'Cost Assumptions'!$B$5</f>
        <v>60.864730447083048</v>
      </c>
      <c r="V38" s="61">
        <f>U38*'Cost Assumptions'!$B$5</f>
        <v>62.386348708260115</v>
      </c>
      <c r="W38" s="61">
        <f>V38*'Cost Assumptions'!$B$5</f>
        <v>63.946007425966613</v>
      </c>
      <c r="X38" s="61">
        <f>W38*'Cost Assumptions'!$B$5</f>
        <v>65.544657611615776</v>
      </c>
      <c r="Y38" s="61">
        <f>X38*'Cost Assumptions'!$B$5</f>
        <v>67.183274051906167</v>
      </c>
      <c r="Z38" s="61">
        <f>Y38*'Cost Assumptions'!$B$5</f>
        <v>68.862855903203823</v>
      </c>
      <c r="AA38" s="61">
        <f>Z38*'Cost Assumptions'!$B$5</f>
        <v>70.584427300783915</v>
      </c>
      <c r="AB38" s="61">
        <f>AA38*'Cost Assumptions'!$B$5</f>
        <v>72.349037983303504</v>
      </c>
      <c r="AC38" s="61">
        <f>AB38*'Cost Assumptions'!$B$5</f>
        <v>74.157763932886084</v>
      </c>
      <c r="AD38" s="61">
        <f>AC38*'Cost Assumptions'!$B$5</f>
        <v>76.011708031208229</v>
      </c>
      <c r="AE38" s="61">
        <f>AD38*'Cost Assumptions'!$B$5</f>
        <v>77.912000731988428</v>
      </c>
    </row>
    <row r="39" spans="1:31" x14ac:dyDescent="0.35">
      <c r="A39" s="87"/>
      <c r="B39" s="8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Assumptions'!$B$3,'Centralized BESS in Valley S'!D42:'Centralized BESS in Valley S'!AE42)</f>
        <v>17572.504767250957</v>
      </c>
      <c r="C42" s="87" t="s">
        <v>107</v>
      </c>
      <c r="D42" s="61">
        <f t="shared" ref="D42" si="1">D2-D18</f>
        <v>1173.8000000001848</v>
      </c>
      <c r="E42" s="61">
        <f t="shared" ref="E42:AE42" si="2">E2-E18</f>
        <v>1252.1500000001979</v>
      </c>
      <c r="F42" s="61">
        <f t="shared" si="2"/>
        <v>1343.9557692309609</v>
      </c>
      <c r="G42" s="61">
        <f t="shared" si="2"/>
        <v>1435.7615384617238</v>
      </c>
      <c r="H42" s="61">
        <f t="shared" si="2"/>
        <v>1527.5673076924868</v>
      </c>
      <c r="I42" s="61">
        <f t="shared" si="2"/>
        <v>1619.3730769232498</v>
      </c>
      <c r="J42" s="61">
        <f t="shared" si="2"/>
        <v>1711.1788461540127</v>
      </c>
      <c r="K42" s="61">
        <f t="shared" si="2"/>
        <v>1802.9846153847757</v>
      </c>
      <c r="L42" s="61">
        <f t="shared" si="2"/>
        <v>1894.7903846155386</v>
      </c>
      <c r="M42" s="61">
        <f t="shared" si="2"/>
        <v>1986.5961538463016</v>
      </c>
      <c r="N42" s="61">
        <f t="shared" si="2"/>
        <v>2078.4019230770646</v>
      </c>
      <c r="O42" s="61">
        <f t="shared" si="2"/>
        <v>2170.2076923078275</v>
      </c>
      <c r="P42" s="61">
        <f t="shared" si="2"/>
        <v>2262.0134615385905</v>
      </c>
      <c r="Q42" s="61">
        <f t="shared" si="2"/>
        <v>2353.8192307693535</v>
      </c>
      <c r="R42" s="61">
        <f t="shared" si="2"/>
        <v>2445.6250000001164</v>
      </c>
      <c r="S42" s="61">
        <f t="shared" si="2"/>
        <v>2537.4307692308794</v>
      </c>
      <c r="T42" s="61">
        <f t="shared" si="2"/>
        <v>2629.2365384616423</v>
      </c>
      <c r="U42" s="61">
        <f t="shared" si="2"/>
        <v>2721.0423076924053</v>
      </c>
      <c r="V42" s="61">
        <f t="shared" si="2"/>
        <v>2812.8480769231683</v>
      </c>
      <c r="W42" s="61">
        <f t="shared" si="2"/>
        <v>2904.6538461539312</v>
      </c>
      <c r="X42" s="61">
        <f t="shared" si="2"/>
        <v>2996.4596153846942</v>
      </c>
      <c r="Y42" s="61">
        <f t="shared" si="2"/>
        <v>3088.2653846154572</v>
      </c>
      <c r="Z42" s="61">
        <f t="shared" si="2"/>
        <v>3180.0711538462201</v>
      </c>
      <c r="AA42" s="61">
        <f t="shared" si="2"/>
        <v>3271.8769230769831</v>
      </c>
      <c r="AB42" s="61">
        <f t="shared" si="2"/>
        <v>3363.682692307746</v>
      </c>
      <c r="AC42" s="61">
        <f t="shared" si="2"/>
        <v>3455.488461538509</v>
      </c>
      <c r="AD42" s="61">
        <f t="shared" si="2"/>
        <v>3547.294230769272</v>
      </c>
      <c r="AE42" s="61">
        <f t="shared" si="2"/>
        <v>3639.0999999999549</v>
      </c>
    </row>
    <row r="43" spans="1:31" x14ac:dyDescent="0.35">
      <c r="A43" s="87"/>
      <c r="B43" s="9">
        <f>NPV('Cost Assumptions'!$B$3,'Centralized BESS in Valley S'!D43:'Centralized BESS in Valley S'!AE43)</f>
        <v>920382.91998702625</v>
      </c>
      <c r="C43" s="87" t="s">
        <v>139</v>
      </c>
      <c r="D43" s="61">
        <f t="shared" ref="D43" si="3">D42*D38</f>
        <v>46952.000000007392</v>
      </c>
      <c r="E43" s="61">
        <f t="shared" ref="E43:AE43" si="4">E42*E38</f>
        <v>51338.150000008114</v>
      </c>
      <c r="F43" s="61">
        <f t="shared" si="4"/>
        <v>56479.74120193113</v>
      </c>
      <c r="G43" s="61">
        <f t="shared" si="4"/>
        <v>61846.325620200289</v>
      </c>
      <c r="H43" s="61">
        <f t="shared" si="4"/>
        <v>67445.939421131698</v>
      </c>
      <c r="I43" s="61">
        <f t="shared" si="4"/>
        <v>73286.879958597041</v>
      </c>
      <c r="J43" s="61">
        <f t="shared" si="4"/>
        <v>79377.713810797446</v>
      </c>
      <c r="K43" s="61">
        <f t="shared" si="4"/>
        <v>85727.285055633765</v>
      </c>
      <c r="L43" s="61">
        <f t="shared" si="4"/>
        <v>92344.723791580138</v>
      </c>
      <c r="M43" s="61">
        <f t="shared" si="4"/>
        <v>99239.454911164052</v>
      </c>
      <c r="N43" s="61">
        <f t="shared" si="4"/>
        <v>106421.20713435744</v>
      </c>
      <c r="O43" s="61">
        <f t="shared" si="4"/>
        <v>113900.02230939099</v>
      </c>
      <c r="P43" s="61">
        <f t="shared" si="4"/>
        <v>121686.26498871726</v>
      </c>
      <c r="Q43" s="61">
        <f t="shared" si="4"/>
        <v>129790.63228806647</v>
      </c>
      <c r="R43" s="61">
        <f t="shared" si="4"/>
        <v>138224.1640367652</v>
      </c>
      <c r="S43" s="61">
        <f t="shared" si="4"/>
        <v>146998.25322771881</v>
      </c>
      <c r="T43" s="61">
        <f t="shared" si="4"/>
        <v>156124.65677569713</v>
      </c>
      <c r="U43" s="61">
        <f t="shared" si="4"/>
        <v>165615.50659280707</v>
      </c>
      <c r="V43" s="61">
        <f t="shared" si="4"/>
        <v>175483.32099028764</v>
      </c>
      <c r="W43" s="61">
        <f t="shared" si="4"/>
        <v>185741.01641602177</v>
      </c>
      <c r="X43" s="61">
        <f t="shared" si="4"/>
        <v>196401.91953742367</v>
      </c>
      <c r="Y43" s="61">
        <f t="shared" si="4"/>
        <v>207479.77967963566</v>
      </c>
      <c r="Z43" s="61">
        <f t="shared" si="4"/>
        <v>218988.78162924736</v>
      </c>
      <c r="AA43" s="61">
        <f t="shared" si="4"/>
        <v>230943.55881403989</v>
      </c>
      <c r="AB43" s="61">
        <f t="shared" si="4"/>
        <v>243359.20686955372</v>
      </c>
      <c r="AC43" s="61">
        <f t="shared" si="4"/>
        <v>256251.29760358448</v>
      </c>
      <c r="AD43" s="61">
        <f t="shared" si="4"/>
        <v>269635.89337002329</v>
      </c>
      <c r="AE43" s="61">
        <f t="shared" si="4"/>
        <v>283529.5618637756</v>
      </c>
    </row>
    <row r="44" spans="1:31" x14ac:dyDescent="0.35">
      <c r="A44" s="87" t="s">
        <v>30</v>
      </c>
      <c r="B44" s="9">
        <f>NPV('Cost Assumptions'!$B$3,'Centralized BESS in Valley S'!D44:'Centralized BESS in Valley S'!AE44)</f>
        <v>9646.2651157043183</v>
      </c>
      <c r="C44" s="87" t="s">
        <v>31</v>
      </c>
      <c r="D44" s="61">
        <f t="shared" ref="D44" si="5">D3-D19</f>
        <v>18</v>
      </c>
      <c r="E44" s="61">
        <f t="shared" ref="E44:AE44" si="6">E3-E19</f>
        <v>40</v>
      </c>
      <c r="F44" s="61">
        <f t="shared" si="6"/>
        <v>71.833333333333343</v>
      </c>
      <c r="G44" s="61">
        <f t="shared" si="6"/>
        <v>103.66666666666669</v>
      </c>
      <c r="H44" s="61">
        <f t="shared" si="6"/>
        <v>135.50000000000003</v>
      </c>
      <c r="I44" s="61">
        <f t="shared" si="6"/>
        <v>167.33333333333337</v>
      </c>
      <c r="J44" s="61">
        <f t="shared" si="6"/>
        <v>199.16666666666671</v>
      </c>
      <c r="K44" s="61">
        <f t="shared" si="6"/>
        <v>231.00000000000003</v>
      </c>
      <c r="L44" s="61">
        <f t="shared" si="6"/>
        <v>348.1</v>
      </c>
      <c r="M44" s="61">
        <f t="shared" si="6"/>
        <v>465.20000000000005</v>
      </c>
      <c r="N44" s="61">
        <f t="shared" si="6"/>
        <v>582.30000000000007</v>
      </c>
      <c r="O44" s="61">
        <f t="shared" si="6"/>
        <v>699.4</v>
      </c>
      <c r="P44" s="61">
        <f t="shared" si="6"/>
        <v>988.65</v>
      </c>
      <c r="Q44" s="61">
        <f t="shared" si="6"/>
        <v>1277.9000000000001</v>
      </c>
      <c r="R44" s="61">
        <f t="shared" si="6"/>
        <v>1567.15</v>
      </c>
      <c r="S44" s="61">
        <f t="shared" si="6"/>
        <v>1856.4</v>
      </c>
      <c r="T44" s="61">
        <f t="shared" si="6"/>
        <v>2145.65</v>
      </c>
      <c r="U44" s="61">
        <f t="shared" si="6"/>
        <v>2434.9</v>
      </c>
      <c r="V44" s="61">
        <f t="shared" si="6"/>
        <v>3114.9700000000003</v>
      </c>
      <c r="W44" s="61">
        <f t="shared" si="6"/>
        <v>3795.04</v>
      </c>
      <c r="X44" s="61">
        <f t="shared" si="6"/>
        <v>4475.1099999999997</v>
      </c>
      <c r="Y44" s="61">
        <f t="shared" si="6"/>
        <v>5155.1799999999994</v>
      </c>
      <c r="Z44" s="61">
        <f t="shared" si="6"/>
        <v>5262.7000000000007</v>
      </c>
      <c r="AA44" s="61">
        <f t="shared" si="6"/>
        <v>6051.1200000000008</v>
      </c>
      <c r="AB44" s="61">
        <f t="shared" si="6"/>
        <v>6839.5400000000009</v>
      </c>
      <c r="AC44" s="61">
        <f t="shared" si="6"/>
        <v>7627.9600000000009</v>
      </c>
      <c r="AD44" s="61">
        <f t="shared" si="6"/>
        <v>8416.380000000001</v>
      </c>
      <c r="AE44" s="61">
        <f t="shared" si="6"/>
        <v>9204.7999999999993</v>
      </c>
    </row>
    <row r="45" spans="1:31" x14ac:dyDescent="0.35">
      <c r="A45" s="87" t="s">
        <v>30</v>
      </c>
      <c r="B45" s="9">
        <f>NPV('Cost Assumptions'!$B$3,'Centralized BESS in Valley S'!D45:'Centralized BESS in Valley S'!AE45)</f>
        <v>264.20332491070894</v>
      </c>
      <c r="C45" s="87" t="s">
        <v>32</v>
      </c>
      <c r="D45" s="61">
        <f t="shared" ref="D45" si="7">D4-D20</f>
        <v>3.5</v>
      </c>
      <c r="E45" s="61">
        <f t="shared" ref="E45:AE45" si="8">E4-E20</f>
        <v>6</v>
      </c>
      <c r="F45" s="61">
        <f t="shared" si="8"/>
        <v>8.8833333333333346</v>
      </c>
      <c r="G45" s="61">
        <f t="shared" si="8"/>
        <v>11.766666666666669</v>
      </c>
      <c r="H45" s="61">
        <f t="shared" si="8"/>
        <v>14.650000000000004</v>
      </c>
      <c r="I45" s="61">
        <f t="shared" si="8"/>
        <v>17.533333333333339</v>
      </c>
      <c r="J45" s="61">
        <f t="shared" si="8"/>
        <v>20.416666666666675</v>
      </c>
      <c r="K45" s="61">
        <f t="shared" si="8"/>
        <v>23.300000000000011</v>
      </c>
      <c r="L45" s="61">
        <f t="shared" si="8"/>
        <v>26.250000000000014</v>
      </c>
      <c r="M45" s="61">
        <f t="shared" si="8"/>
        <v>29.200000000000017</v>
      </c>
      <c r="N45" s="61">
        <f t="shared" si="8"/>
        <v>32.15000000000002</v>
      </c>
      <c r="O45" s="61">
        <f t="shared" si="8"/>
        <v>35.100000000000023</v>
      </c>
      <c r="P45" s="61">
        <f t="shared" si="8"/>
        <v>39.500000000000021</v>
      </c>
      <c r="Q45" s="61">
        <f t="shared" si="8"/>
        <v>43.90000000000002</v>
      </c>
      <c r="R45" s="61">
        <f t="shared" si="8"/>
        <v>48.300000000000018</v>
      </c>
      <c r="S45" s="61">
        <f t="shared" si="8"/>
        <v>52.700000000000017</v>
      </c>
      <c r="T45" s="61">
        <f t="shared" si="8"/>
        <v>57.100000000000016</v>
      </c>
      <c r="U45" s="61">
        <f t="shared" si="8"/>
        <v>61.5</v>
      </c>
      <c r="V45" s="61">
        <f t="shared" si="8"/>
        <v>63.48</v>
      </c>
      <c r="W45" s="61">
        <f t="shared" si="8"/>
        <v>65.459999999999994</v>
      </c>
      <c r="X45" s="61">
        <f t="shared" si="8"/>
        <v>67.439999999999984</v>
      </c>
      <c r="Y45" s="61">
        <f t="shared" si="8"/>
        <v>69.419999999999973</v>
      </c>
      <c r="Z45" s="61">
        <f t="shared" si="8"/>
        <v>71.399999999999977</v>
      </c>
      <c r="AA45" s="61">
        <f t="shared" si="8"/>
        <v>81.339999999999975</v>
      </c>
      <c r="AB45" s="61">
        <f t="shared" si="8"/>
        <v>91.279999999999987</v>
      </c>
      <c r="AC45" s="61">
        <f t="shared" si="8"/>
        <v>101.21999999999998</v>
      </c>
      <c r="AD45" s="61">
        <f t="shared" si="8"/>
        <v>111.16</v>
      </c>
      <c r="AE45" s="61">
        <f t="shared" si="8"/>
        <v>121.10000000000002</v>
      </c>
    </row>
    <row r="46" spans="1:31" x14ac:dyDescent="0.35">
      <c r="A46" s="87" t="s">
        <v>30</v>
      </c>
      <c r="B46" s="9">
        <f>NPV('Cost Assumptions'!$B$3,'Centralized BESS in Valley S'!D46:'Centralized BESS in Valley S'!AE46)</f>
        <v>1137.4733235619183</v>
      </c>
      <c r="C46" s="87" t="s">
        <v>33</v>
      </c>
      <c r="D46" s="61">
        <f t="shared" ref="D46" si="9">D5-D21</f>
        <v>0.20339500662097962</v>
      </c>
      <c r="E46" s="61">
        <f t="shared" ref="E46:AE46" si="10">E5-E21</f>
        <v>0.45604357175421173</v>
      </c>
      <c r="F46" s="61">
        <f t="shared" si="10"/>
        <v>1.1323955044854586</v>
      </c>
      <c r="G46" s="61">
        <f t="shared" si="10"/>
        <v>1.8087474372167054</v>
      </c>
      <c r="H46" s="61">
        <f t="shared" si="10"/>
        <v>2.4850993699479522</v>
      </c>
      <c r="I46" s="61">
        <f t="shared" si="10"/>
        <v>3.161451302679199</v>
      </c>
      <c r="J46" s="61">
        <f t="shared" si="10"/>
        <v>3.8378032354104459</v>
      </c>
      <c r="K46" s="61">
        <f t="shared" si="10"/>
        <v>4.5141551681416932</v>
      </c>
      <c r="L46" s="61">
        <f t="shared" si="10"/>
        <v>9.7534462457669928</v>
      </c>
      <c r="M46" s="61">
        <f t="shared" si="10"/>
        <v>14.992737323392292</v>
      </c>
      <c r="N46" s="61">
        <f t="shared" si="10"/>
        <v>20.232028401017594</v>
      </c>
      <c r="O46" s="61">
        <f t="shared" si="10"/>
        <v>25.47131947864289</v>
      </c>
      <c r="P46" s="61">
        <f t="shared" si="10"/>
        <v>54.136770269638852</v>
      </c>
      <c r="Q46" s="61">
        <f t="shared" si="10"/>
        <v>82.802221060634821</v>
      </c>
      <c r="R46" s="61">
        <f t="shared" si="10"/>
        <v>111.46767185163078</v>
      </c>
      <c r="S46" s="61">
        <f t="shared" si="10"/>
        <v>140.13312264262674</v>
      </c>
      <c r="T46" s="61">
        <f t="shared" si="10"/>
        <v>168.79857343362272</v>
      </c>
      <c r="U46" s="61">
        <f t="shared" si="10"/>
        <v>197.46402422461867</v>
      </c>
      <c r="V46" s="61">
        <f t="shared" si="10"/>
        <v>305.59912830497183</v>
      </c>
      <c r="W46" s="61">
        <f t="shared" si="10"/>
        <v>413.73423238532496</v>
      </c>
      <c r="X46" s="61">
        <f t="shared" si="10"/>
        <v>521.86933646567809</v>
      </c>
      <c r="Y46" s="61">
        <f t="shared" si="10"/>
        <v>630.00444054603122</v>
      </c>
      <c r="Z46" s="61">
        <f t="shared" si="10"/>
        <v>738.13954462638446</v>
      </c>
      <c r="AA46" s="61">
        <f t="shared" si="10"/>
        <v>977.2114858675576</v>
      </c>
      <c r="AB46" s="61">
        <f t="shared" si="10"/>
        <v>1216.2834271087308</v>
      </c>
      <c r="AC46" s="61">
        <f t="shared" si="10"/>
        <v>1455.3553683499042</v>
      </c>
      <c r="AD46" s="61">
        <f t="shared" si="10"/>
        <v>1694.4273095910773</v>
      </c>
      <c r="AE46" s="61">
        <f t="shared" si="10"/>
        <v>1933.4992508322503</v>
      </c>
    </row>
    <row r="47" spans="1:31" x14ac:dyDescent="0.35">
      <c r="A47" s="87" t="s">
        <v>30</v>
      </c>
      <c r="B47" s="9">
        <f>NPV('Cost Assumptions'!$B$3,'Centralized BESS in Valley S'!D47:'Centralized BESS in Valley S'!AE47)</f>
        <v>8.4905491132627517</v>
      </c>
      <c r="C47" s="87" t="s">
        <v>34</v>
      </c>
      <c r="D47" s="61">
        <f t="shared" ref="D47" si="11">D6-D22</f>
        <v>1.4005750795433276E-2</v>
      </c>
      <c r="E47" s="61">
        <f t="shared" ref="E47:AE47" si="12">E6-E22</f>
        <v>3.0923092581675603E-2</v>
      </c>
      <c r="F47" s="61">
        <f t="shared" si="12"/>
        <v>5.759084080794194E-2</v>
      </c>
      <c r="G47" s="61">
        <f t="shared" si="12"/>
        <v>8.425858903420827E-2</v>
      </c>
      <c r="H47" s="61">
        <f t="shared" si="12"/>
        <v>0.1109263372604746</v>
      </c>
      <c r="I47" s="61">
        <f t="shared" si="12"/>
        <v>0.13759408548674093</v>
      </c>
      <c r="J47" s="61">
        <f t="shared" si="12"/>
        <v>0.16426183371300726</v>
      </c>
      <c r="K47" s="61">
        <f t="shared" si="12"/>
        <v>0.19092958193927362</v>
      </c>
      <c r="L47" s="61">
        <f t="shared" si="12"/>
        <v>0.29587438223639861</v>
      </c>
      <c r="M47" s="61">
        <f t="shared" si="12"/>
        <v>0.40081918253352361</v>
      </c>
      <c r="N47" s="61">
        <f t="shared" si="12"/>
        <v>0.50576398283064861</v>
      </c>
      <c r="O47" s="61">
        <f t="shared" si="12"/>
        <v>0.61070878312777355</v>
      </c>
      <c r="P47" s="61">
        <f t="shared" si="12"/>
        <v>0.87239668235874701</v>
      </c>
      <c r="Q47" s="61">
        <f t="shared" si="12"/>
        <v>1.1340845815897205</v>
      </c>
      <c r="R47" s="61">
        <f t="shared" si="12"/>
        <v>1.3957724808206939</v>
      </c>
      <c r="S47" s="61">
        <f t="shared" si="12"/>
        <v>1.6574603800516674</v>
      </c>
      <c r="T47" s="61">
        <f t="shared" si="12"/>
        <v>1.9191482792826409</v>
      </c>
      <c r="U47" s="61">
        <f t="shared" si="12"/>
        <v>2.1808361785136139</v>
      </c>
      <c r="V47" s="61">
        <f t="shared" si="12"/>
        <v>2.7006647240796955</v>
      </c>
      <c r="W47" s="61">
        <f t="shared" si="12"/>
        <v>3.2204932696457771</v>
      </c>
      <c r="X47" s="61">
        <f t="shared" si="12"/>
        <v>3.7403218152118587</v>
      </c>
      <c r="Y47" s="61">
        <f t="shared" si="12"/>
        <v>4.2601503607779403</v>
      </c>
      <c r="Z47" s="61">
        <f t="shared" si="12"/>
        <v>4.779978906344021</v>
      </c>
      <c r="AA47" s="61">
        <f t="shared" si="12"/>
        <v>5.4987238609414089</v>
      </c>
      <c r="AB47" s="61">
        <f t="shared" si="12"/>
        <v>6.2174688155387967</v>
      </c>
      <c r="AC47" s="61">
        <f t="shared" si="12"/>
        <v>6.9362137701361846</v>
      </c>
      <c r="AD47" s="61">
        <f t="shared" si="12"/>
        <v>7.6549587247335715</v>
      </c>
      <c r="AE47" s="61">
        <f t="shared" si="12"/>
        <v>8.373703679330962</v>
      </c>
    </row>
    <row r="48" spans="1:31" x14ac:dyDescent="0.35">
      <c r="A48" s="87" t="s">
        <v>30</v>
      </c>
      <c r="B48" s="9">
        <f>NPV('Cost Assumptions'!$B$3,'Centralized BESS in Valley S'!D48:'Centralized BESS in Valley S'!AE48)</f>
        <v>702.69176684641957</v>
      </c>
      <c r="C48" s="87" t="s">
        <v>35</v>
      </c>
      <c r="D48" s="61">
        <f t="shared" ref="D48" si="13">D7-D23</f>
        <v>18</v>
      </c>
      <c r="E48" s="61">
        <f t="shared" ref="E48:AE48" si="14">E7-E23</f>
        <v>28</v>
      </c>
      <c r="F48" s="61">
        <f t="shared" si="14"/>
        <v>33.333333333333336</v>
      </c>
      <c r="G48" s="61">
        <f t="shared" si="14"/>
        <v>38.666666666666671</v>
      </c>
      <c r="H48" s="61">
        <f t="shared" si="14"/>
        <v>44.000000000000007</v>
      </c>
      <c r="I48" s="61">
        <f t="shared" si="14"/>
        <v>49.333333333333343</v>
      </c>
      <c r="J48" s="61">
        <f t="shared" si="14"/>
        <v>54.666666666666679</v>
      </c>
      <c r="K48" s="61">
        <f t="shared" si="14"/>
        <v>60</v>
      </c>
      <c r="L48" s="61">
        <f t="shared" si="14"/>
        <v>67</v>
      </c>
      <c r="M48" s="61">
        <f t="shared" si="14"/>
        <v>74</v>
      </c>
      <c r="N48" s="61">
        <f t="shared" si="14"/>
        <v>81</v>
      </c>
      <c r="O48" s="61">
        <f t="shared" si="14"/>
        <v>88</v>
      </c>
      <c r="P48" s="61">
        <f t="shared" si="14"/>
        <v>97.833333333333329</v>
      </c>
      <c r="Q48" s="61">
        <f t="shared" si="14"/>
        <v>107.66666666666666</v>
      </c>
      <c r="R48" s="61">
        <f t="shared" si="14"/>
        <v>117.49999999999999</v>
      </c>
      <c r="S48" s="61">
        <f t="shared" si="14"/>
        <v>127.33333333333331</v>
      </c>
      <c r="T48" s="61">
        <f t="shared" si="14"/>
        <v>137.16666666666666</v>
      </c>
      <c r="U48" s="61">
        <f t="shared" si="14"/>
        <v>147</v>
      </c>
      <c r="V48" s="61">
        <f t="shared" si="14"/>
        <v>158.4</v>
      </c>
      <c r="W48" s="61">
        <f t="shared" si="14"/>
        <v>169.8</v>
      </c>
      <c r="X48" s="61">
        <f t="shared" si="14"/>
        <v>181.20000000000002</v>
      </c>
      <c r="Y48" s="61">
        <f t="shared" si="14"/>
        <v>192.60000000000002</v>
      </c>
      <c r="Z48" s="61">
        <f t="shared" si="14"/>
        <v>204</v>
      </c>
      <c r="AA48" s="61">
        <f t="shared" si="14"/>
        <v>214.6</v>
      </c>
      <c r="AB48" s="61">
        <f t="shared" si="14"/>
        <v>225.20000000000002</v>
      </c>
      <c r="AC48" s="61">
        <f t="shared" si="14"/>
        <v>235.8</v>
      </c>
      <c r="AD48" s="61">
        <f t="shared" si="14"/>
        <v>246.40000000000003</v>
      </c>
      <c r="AE48" s="61">
        <f t="shared" si="14"/>
        <v>257</v>
      </c>
    </row>
    <row r="49" spans="1:31" s="80" customFormat="1" x14ac:dyDescent="0.35">
      <c r="A49" s="87" t="s">
        <v>30</v>
      </c>
      <c r="B49" s="9">
        <f>NPV('Cost Assumptions'!$B$3,'Centralized BESS in Valley S'!D49:'Centralized BESS in Valley S'!AE49)</f>
        <v>97603.945131461252</v>
      </c>
      <c r="C49" s="85" t="s">
        <v>140</v>
      </c>
      <c r="D49" s="61">
        <f t="shared" ref="D49:E51" si="15">D13-D24</f>
        <v>2063.7019141334349</v>
      </c>
      <c r="E49" s="61">
        <f t="shared" si="15"/>
        <v>3128.1753603302832</v>
      </c>
      <c r="F49" s="61">
        <f t="shared" ref="F49:AE49" si="16">F13-F24</f>
        <v>4192.6488065271315</v>
      </c>
      <c r="G49" s="61">
        <f t="shared" si="16"/>
        <v>5257.1222527239788</v>
      </c>
      <c r="H49" s="61">
        <f t="shared" si="16"/>
        <v>6321.5956989208244</v>
      </c>
      <c r="I49" s="61">
        <f t="shared" si="16"/>
        <v>7386.0691451176717</v>
      </c>
      <c r="J49" s="61">
        <f t="shared" si="16"/>
        <v>8450.5425913145191</v>
      </c>
      <c r="K49" s="61">
        <f t="shared" si="16"/>
        <v>9515.0160375113664</v>
      </c>
      <c r="L49" s="61">
        <f t="shared" si="16"/>
        <v>10579.489483708214</v>
      </c>
      <c r="M49" s="61">
        <f t="shared" si="16"/>
        <v>11643.962929905058</v>
      </c>
      <c r="N49" s="61">
        <f t="shared" si="16"/>
        <v>12708.436376101901</v>
      </c>
      <c r="O49" s="61">
        <f t="shared" si="16"/>
        <v>13772.909822298745</v>
      </c>
      <c r="P49" s="61">
        <f t="shared" si="16"/>
        <v>14837.383268495589</v>
      </c>
      <c r="Q49" s="61">
        <f t="shared" si="16"/>
        <v>15901.856714692432</v>
      </c>
      <c r="R49" s="61">
        <f t="shared" si="16"/>
        <v>16966.33016088928</v>
      </c>
      <c r="S49" s="61">
        <f t="shared" si="16"/>
        <v>18030.803607086127</v>
      </c>
      <c r="T49" s="61">
        <f t="shared" si="16"/>
        <v>19095.277053282975</v>
      </c>
      <c r="U49" s="61">
        <f t="shared" si="16"/>
        <v>20159.750499479822</v>
      </c>
      <c r="V49" s="61">
        <f t="shared" si="16"/>
        <v>21224.223945676669</v>
      </c>
      <c r="W49" s="61">
        <f t="shared" si="16"/>
        <v>22288.697391873517</v>
      </c>
      <c r="X49" s="61">
        <f t="shared" si="16"/>
        <v>23353.170838070371</v>
      </c>
      <c r="Y49" s="61">
        <f t="shared" si="16"/>
        <v>24417.644284267226</v>
      </c>
      <c r="Z49" s="61">
        <f t="shared" si="16"/>
        <v>25482.117730464081</v>
      </c>
      <c r="AA49" s="61">
        <f t="shared" si="16"/>
        <v>26546.591176660935</v>
      </c>
      <c r="AB49" s="61">
        <f t="shared" si="16"/>
        <v>27611.06462285779</v>
      </c>
      <c r="AC49" s="61">
        <f t="shared" si="16"/>
        <v>28675.538069054644</v>
      </c>
      <c r="AD49" s="61">
        <f t="shared" si="16"/>
        <v>29740.011515251499</v>
      </c>
      <c r="AE49" s="61">
        <f t="shared" si="16"/>
        <v>30804.484961448325</v>
      </c>
    </row>
    <row r="50" spans="1:31" s="80" customFormat="1" x14ac:dyDescent="0.35">
      <c r="A50" s="87" t="s">
        <v>30</v>
      </c>
      <c r="B50" s="9">
        <f>NPV('Cost Assumptions'!$B$3,'Centralized BESS in Valley S'!D50:'Centralized BESS in Valley S'!AE50)</f>
        <v>0</v>
      </c>
      <c r="C50" s="85" t="s">
        <v>141</v>
      </c>
      <c r="D50" s="61">
        <f t="shared" si="15"/>
        <v>0</v>
      </c>
      <c r="E50" s="61">
        <f t="shared" si="15"/>
        <v>0</v>
      </c>
      <c r="F50" s="61">
        <f t="shared" ref="F50:AE50" si="17">F14-F25</f>
        <v>0</v>
      </c>
      <c r="G50" s="61">
        <f t="shared" si="17"/>
        <v>0</v>
      </c>
      <c r="H50" s="61">
        <f t="shared" si="17"/>
        <v>0</v>
      </c>
      <c r="I50" s="61">
        <f t="shared" si="17"/>
        <v>0</v>
      </c>
      <c r="J50" s="61">
        <f t="shared" si="17"/>
        <v>0</v>
      </c>
      <c r="K50" s="61">
        <f t="shared" si="17"/>
        <v>0</v>
      </c>
      <c r="L50" s="61">
        <f t="shared" si="17"/>
        <v>0</v>
      </c>
      <c r="M50" s="61">
        <f t="shared" si="17"/>
        <v>0</v>
      </c>
      <c r="N50" s="61">
        <f t="shared" si="17"/>
        <v>0</v>
      </c>
      <c r="O50" s="61">
        <f t="shared" si="17"/>
        <v>0</v>
      </c>
      <c r="P50" s="61">
        <f t="shared" si="17"/>
        <v>0</v>
      </c>
      <c r="Q50" s="61">
        <f t="shared" si="17"/>
        <v>0</v>
      </c>
      <c r="R50" s="61">
        <f t="shared" si="17"/>
        <v>0</v>
      </c>
      <c r="S50" s="61">
        <f t="shared" si="17"/>
        <v>0</v>
      </c>
      <c r="T50" s="61">
        <f t="shared" si="17"/>
        <v>0</v>
      </c>
      <c r="U50" s="61">
        <f t="shared" si="17"/>
        <v>0</v>
      </c>
      <c r="V50" s="61">
        <f t="shared" si="17"/>
        <v>0</v>
      </c>
      <c r="W50" s="61">
        <f t="shared" si="17"/>
        <v>0</v>
      </c>
      <c r="X50" s="61">
        <f t="shared" si="17"/>
        <v>0</v>
      </c>
      <c r="Y50" s="61">
        <f t="shared" si="17"/>
        <v>0</v>
      </c>
      <c r="Z50" s="61">
        <f t="shared" si="17"/>
        <v>0</v>
      </c>
      <c r="AA50" s="61">
        <f t="shared" si="17"/>
        <v>0</v>
      </c>
      <c r="AB50" s="61">
        <f t="shared" si="17"/>
        <v>0</v>
      </c>
      <c r="AC50" s="61">
        <f t="shared" si="17"/>
        <v>0</v>
      </c>
      <c r="AD50" s="61">
        <f t="shared" si="17"/>
        <v>0</v>
      </c>
      <c r="AE50" s="61">
        <f t="shared" si="17"/>
        <v>0</v>
      </c>
    </row>
    <row r="51" spans="1:31" s="80" customFormat="1" x14ac:dyDescent="0.35">
      <c r="A51" s="87" t="s">
        <v>30</v>
      </c>
      <c r="B51" s="9">
        <f>NPV('Cost Assumptions'!$B$3,'Centralized BESS in Valley S'!D51:'Centralized BESS in Valley S'!AE51)</f>
        <v>20162.120884986078</v>
      </c>
      <c r="C51" s="85" t="s">
        <v>142</v>
      </c>
      <c r="D51" s="61">
        <f t="shared" si="15"/>
        <v>50.516055637825048</v>
      </c>
      <c r="E51" s="61">
        <f t="shared" si="15"/>
        <v>130.55605145543814</v>
      </c>
      <c r="F51" s="61">
        <f>F15-F26</f>
        <v>245.90147584484657</v>
      </c>
      <c r="G51" s="61">
        <f t="shared" ref="G51:AE51" si="18">G15-G26</f>
        <v>333.7552069532685</v>
      </c>
      <c r="H51" s="61">
        <f t="shared" si="18"/>
        <v>433.01125986588886</v>
      </c>
      <c r="I51" s="61">
        <f t="shared" si="18"/>
        <v>548.42273124972417</v>
      </c>
      <c r="J51" s="61">
        <f t="shared" si="18"/>
        <v>706.53093615913531</v>
      </c>
      <c r="K51" s="61">
        <f t="shared" si="18"/>
        <v>901.34086801679223</v>
      </c>
      <c r="L51" s="61">
        <f t="shared" si="18"/>
        <v>1170.6163791579165</v>
      </c>
      <c r="M51" s="61">
        <f t="shared" si="18"/>
        <v>1495.1119854119606</v>
      </c>
      <c r="N51" s="61">
        <f t="shared" si="18"/>
        <v>1844.7122078991961</v>
      </c>
      <c r="O51" s="61">
        <f t="shared" si="18"/>
        <v>2241.4174796539446</v>
      </c>
      <c r="P51" s="61">
        <f t="shared" si="18"/>
        <v>2680.6790964293468</v>
      </c>
      <c r="Q51" s="61">
        <f t="shared" si="18"/>
        <v>3151.0910511783441</v>
      </c>
      <c r="R51" s="61">
        <f t="shared" si="18"/>
        <v>3659.4851904609532</v>
      </c>
      <c r="S51" s="61">
        <f t="shared" si="18"/>
        <v>4240.0420564861852</v>
      </c>
      <c r="T51" s="61">
        <f t="shared" si="18"/>
        <v>4896.9545482554822</v>
      </c>
      <c r="U51" s="61">
        <f t="shared" si="18"/>
        <v>5630.5989043073787</v>
      </c>
      <c r="V51" s="61">
        <f t="shared" si="18"/>
        <v>6363.7354174009233</v>
      </c>
      <c r="W51" s="61">
        <f t="shared" si="18"/>
        <v>7143.6495047173521</v>
      </c>
      <c r="X51" s="61">
        <f t="shared" si="18"/>
        <v>7956.863029825734</v>
      </c>
      <c r="Y51" s="61">
        <f t="shared" si="18"/>
        <v>8795.2731115952192</v>
      </c>
      <c r="Z51" s="61">
        <f t="shared" si="18"/>
        <v>9585.5264430553361</v>
      </c>
      <c r="AA51" s="61">
        <f t="shared" si="18"/>
        <v>10419.655660145741</v>
      </c>
      <c r="AB51" s="61">
        <f t="shared" si="18"/>
        <v>11288.530879230733</v>
      </c>
      <c r="AC51" s="61">
        <f t="shared" si="18"/>
        <v>12224.008095098718</v>
      </c>
      <c r="AD51" s="61">
        <f t="shared" si="18"/>
        <v>13049.134054081544</v>
      </c>
      <c r="AE51" s="61">
        <f t="shared" si="18"/>
        <v>13909.400565932214</v>
      </c>
    </row>
    <row r="52" spans="1:31" x14ac:dyDescent="0.35">
      <c r="A52" s="87" t="s">
        <v>39</v>
      </c>
      <c r="B52" s="9">
        <f>NPV('Cost Assumptions'!$B$3,'Centralized BESS in Valley S'!D52:'Centralized BESS in Valley S'!AE52)</f>
        <v>21183.807598459298</v>
      </c>
      <c r="C52" s="87" t="s">
        <v>31</v>
      </c>
      <c r="D52" s="61">
        <f t="shared" ref="D52" si="19">D8-D27</f>
        <v>49.800000000000182</v>
      </c>
      <c r="E52" s="61">
        <f t="shared" ref="E52:AE52" si="20">E8-E27</f>
        <v>129.00000000000023</v>
      </c>
      <c r="F52" s="61">
        <f t="shared" si="20"/>
        <v>258.75000000000023</v>
      </c>
      <c r="G52" s="61">
        <f t="shared" si="20"/>
        <v>388.50000000000023</v>
      </c>
      <c r="H52" s="61">
        <f t="shared" si="20"/>
        <v>518.25000000000023</v>
      </c>
      <c r="I52" s="61">
        <f t="shared" si="20"/>
        <v>648.00000000000023</v>
      </c>
      <c r="J52" s="61">
        <f t="shared" si="20"/>
        <v>777.75000000000023</v>
      </c>
      <c r="K52" s="61">
        <f t="shared" si="20"/>
        <v>907.5</v>
      </c>
      <c r="L52" s="61">
        <f t="shared" si="20"/>
        <v>1246.7</v>
      </c>
      <c r="M52" s="61">
        <f t="shared" si="20"/>
        <v>1585.9</v>
      </c>
      <c r="N52" s="61">
        <f t="shared" si="20"/>
        <v>1925.1000000000001</v>
      </c>
      <c r="O52" s="61">
        <f t="shared" si="20"/>
        <v>2264.3000000000002</v>
      </c>
      <c r="P52" s="61">
        <f t="shared" si="20"/>
        <v>2843.6833333333334</v>
      </c>
      <c r="Q52" s="61">
        <f t="shared" si="20"/>
        <v>3423.0666666666666</v>
      </c>
      <c r="R52" s="61">
        <f t="shared" si="20"/>
        <v>4002.45</v>
      </c>
      <c r="S52" s="61">
        <f t="shared" si="20"/>
        <v>4581.833333333333</v>
      </c>
      <c r="T52" s="61">
        <f t="shared" si="20"/>
        <v>5161.2166666666662</v>
      </c>
      <c r="U52" s="61">
        <f t="shared" si="20"/>
        <v>5740.5999999999995</v>
      </c>
      <c r="V52" s="61">
        <f t="shared" si="20"/>
        <v>6569.9999999999991</v>
      </c>
      <c r="W52" s="61">
        <f t="shared" si="20"/>
        <v>7399.3999999999987</v>
      </c>
      <c r="X52" s="61">
        <f t="shared" si="20"/>
        <v>8228.7999999999993</v>
      </c>
      <c r="Y52" s="61">
        <f t="shared" si="20"/>
        <v>9058.1999999999989</v>
      </c>
      <c r="Z52" s="61">
        <f t="shared" si="20"/>
        <v>9887.5999999999985</v>
      </c>
      <c r="AA52" s="61">
        <f t="shared" si="20"/>
        <v>10814.56</v>
      </c>
      <c r="AB52" s="61">
        <f t="shared" si="20"/>
        <v>11741.52</v>
      </c>
      <c r="AC52" s="61">
        <f t="shared" si="20"/>
        <v>12668.480000000001</v>
      </c>
      <c r="AD52" s="61">
        <f t="shared" si="20"/>
        <v>13595.440000000002</v>
      </c>
      <c r="AE52" s="61">
        <f t="shared" si="20"/>
        <v>14522.400000000003</v>
      </c>
    </row>
    <row r="53" spans="1:31" x14ac:dyDescent="0.35">
      <c r="A53" s="87" t="s">
        <v>39</v>
      </c>
      <c r="B53" s="9">
        <f>NPV('Cost Assumptions'!$B$3,'Centralized BESS in Valley S'!D53:'Centralized BESS in Valley S'!AE53)</f>
        <v>1335.7023826118307</v>
      </c>
      <c r="C53" s="87" t="s">
        <v>32</v>
      </c>
      <c r="D53" s="61">
        <f t="shared" ref="D53" si="21">D9-D28</f>
        <v>22.400000000000091</v>
      </c>
      <c r="E53" s="61">
        <f t="shared" ref="E53:AE53" si="22">E9-E28</f>
        <v>42.200000000000045</v>
      </c>
      <c r="F53" s="61">
        <f t="shared" si="22"/>
        <v>57.06666666666672</v>
      </c>
      <c r="G53" s="61">
        <f t="shared" si="22"/>
        <v>71.933333333333394</v>
      </c>
      <c r="H53" s="61">
        <f t="shared" si="22"/>
        <v>86.800000000000068</v>
      </c>
      <c r="I53" s="61">
        <f t="shared" si="22"/>
        <v>101.66666666666674</v>
      </c>
      <c r="J53" s="61">
        <f t="shared" si="22"/>
        <v>116.53333333333342</v>
      </c>
      <c r="K53" s="61">
        <f t="shared" si="22"/>
        <v>131.40000000000009</v>
      </c>
      <c r="L53" s="61">
        <f t="shared" si="22"/>
        <v>146.05000000000007</v>
      </c>
      <c r="M53" s="61">
        <f t="shared" si="22"/>
        <v>160.70000000000005</v>
      </c>
      <c r="N53" s="61">
        <f t="shared" si="22"/>
        <v>175.35000000000002</v>
      </c>
      <c r="O53" s="61">
        <f t="shared" si="22"/>
        <v>190</v>
      </c>
      <c r="P53" s="61">
        <f t="shared" si="22"/>
        <v>205</v>
      </c>
      <c r="Q53" s="61">
        <f t="shared" si="22"/>
        <v>220</v>
      </c>
      <c r="R53" s="61">
        <f t="shared" si="22"/>
        <v>235</v>
      </c>
      <c r="S53" s="61">
        <f t="shared" si="22"/>
        <v>250</v>
      </c>
      <c r="T53" s="61">
        <f t="shared" si="22"/>
        <v>265</v>
      </c>
      <c r="U53" s="61">
        <f t="shared" si="22"/>
        <v>280</v>
      </c>
      <c r="V53" s="61">
        <f t="shared" si="22"/>
        <v>293.68</v>
      </c>
      <c r="W53" s="61">
        <f t="shared" si="22"/>
        <v>307.36</v>
      </c>
      <c r="X53" s="61">
        <f t="shared" si="22"/>
        <v>321.04000000000002</v>
      </c>
      <c r="Y53" s="61">
        <f t="shared" si="22"/>
        <v>334.72</v>
      </c>
      <c r="Z53" s="61">
        <f t="shared" si="22"/>
        <v>348.40000000000009</v>
      </c>
      <c r="AA53" s="61">
        <f t="shared" si="22"/>
        <v>360.84000000000003</v>
      </c>
      <c r="AB53" s="61">
        <f t="shared" si="22"/>
        <v>373.28</v>
      </c>
      <c r="AC53" s="61">
        <f t="shared" si="22"/>
        <v>385.71999999999991</v>
      </c>
      <c r="AD53" s="61">
        <f t="shared" si="22"/>
        <v>398.15999999999985</v>
      </c>
      <c r="AE53" s="61">
        <f t="shared" si="22"/>
        <v>410.59999999999991</v>
      </c>
    </row>
    <row r="54" spans="1:31" x14ac:dyDescent="0.35">
      <c r="A54" s="87" t="s">
        <v>39</v>
      </c>
      <c r="B54" s="9">
        <f>NPV('Cost Assumptions'!$B$3,'Centralized BESS in Valley S'!D54:'Centralized BESS in Valley S'!AE54)</f>
        <v>1756.8124401485429</v>
      </c>
      <c r="C54" s="87" t="s">
        <v>33</v>
      </c>
      <c r="D54" s="61">
        <f t="shared" ref="D54" si="23">D10-D29</f>
        <v>0.21200232326290805</v>
      </c>
      <c r="E54" s="61">
        <f t="shared" ref="E54:AE54" si="24">E10-E29</f>
        <v>0.68645330574586072</v>
      </c>
      <c r="F54" s="61">
        <f t="shared" si="24"/>
        <v>3.6304865724427344</v>
      </c>
      <c r="G54" s="61">
        <f t="shared" si="24"/>
        <v>6.574519839139608</v>
      </c>
      <c r="H54" s="61">
        <f t="shared" si="24"/>
        <v>9.5185531058364816</v>
      </c>
      <c r="I54" s="61">
        <f t="shared" si="24"/>
        <v>12.462586372533355</v>
      </c>
      <c r="J54" s="61">
        <f t="shared" si="24"/>
        <v>15.406619639230229</v>
      </c>
      <c r="K54" s="61">
        <f t="shared" si="24"/>
        <v>18.350652905927102</v>
      </c>
      <c r="L54" s="61">
        <f t="shared" si="24"/>
        <v>36.053857953636381</v>
      </c>
      <c r="M54" s="61">
        <f t="shared" si="24"/>
        <v>53.757063001345664</v>
      </c>
      <c r="N54" s="61">
        <f t="shared" si="24"/>
        <v>71.460268049054946</v>
      </c>
      <c r="O54" s="61">
        <f t="shared" si="24"/>
        <v>89.163473096764235</v>
      </c>
      <c r="P54" s="61">
        <f t="shared" si="24"/>
        <v>144.562613999387</v>
      </c>
      <c r="Q54" s="61">
        <f t="shared" si="24"/>
        <v>199.96175490200974</v>
      </c>
      <c r="R54" s="61">
        <f t="shared" si="24"/>
        <v>255.36089580463249</v>
      </c>
      <c r="S54" s="61">
        <f t="shared" si="24"/>
        <v>310.76003670725527</v>
      </c>
      <c r="T54" s="61">
        <f t="shared" si="24"/>
        <v>366.15917760987804</v>
      </c>
      <c r="U54" s="61">
        <f t="shared" si="24"/>
        <v>421.5583185125007</v>
      </c>
      <c r="V54" s="61">
        <f t="shared" si="24"/>
        <v>551.91714225219016</v>
      </c>
      <c r="W54" s="61">
        <f t="shared" si="24"/>
        <v>682.27596599187962</v>
      </c>
      <c r="X54" s="61">
        <f t="shared" si="24"/>
        <v>812.63478973156907</v>
      </c>
      <c r="Y54" s="61">
        <f t="shared" si="24"/>
        <v>942.99361347125853</v>
      </c>
      <c r="Z54" s="61">
        <f t="shared" si="24"/>
        <v>1073.352437210948</v>
      </c>
      <c r="AA54" s="61">
        <f t="shared" si="24"/>
        <v>1297.6248419255464</v>
      </c>
      <c r="AB54" s="61">
        <f t="shared" si="24"/>
        <v>1521.8972466401449</v>
      </c>
      <c r="AC54" s="61">
        <f t="shared" si="24"/>
        <v>1746.1696513547433</v>
      </c>
      <c r="AD54" s="61">
        <f t="shared" si="24"/>
        <v>1970.4420560693418</v>
      </c>
      <c r="AE54" s="61">
        <f t="shared" si="24"/>
        <v>2194.71446078394</v>
      </c>
    </row>
    <row r="55" spans="1:31" x14ac:dyDescent="0.35">
      <c r="A55" s="87" t="s">
        <v>39</v>
      </c>
      <c r="B55" s="9">
        <f>NPV('Cost Assumptions'!$B$3,'Centralized BESS in Valley S'!D55:'Centralized BESS in Valley S'!AE55)</f>
        <v>22.545263184878515</v>
      </c>
      <c r="C55" s="87" t="s">
        <v>34</v>
      </c>
      <c r="D55" s="61">
        <f t="shared" ref="D55" si="25">D11-D30</f>
        <v>5.3000580815727012E-2</v>
      </c>
      <c r="E55" s="61">
        <f t="shared" ref="E55:AE55" si="26">E11-E30</f>
        <v>0.13729066114917213</v>
      </c>
      <c r="F55" s="61">
        <f t="shared" si="26"/>
        <v>0.27537952381665309</v>
      </c>
      <c r="G55" s="61">
        <f t="shared" si="26"/>
        <v>0.41346838648413409</v>
      </c>
      <c r="H55" s="61">
        <f t="shared" si="26"/>
        <v>0.55155724915161508</v>
      </c>
      <c r="I55" s="61">
        <f t="shared" si="26"/>
        <v>0.68964611181909607</v>
      </c>
      <c r="J55" s="61">
        <f t="shared" si="26"/>
        <v>0.82773497448657707</v>
      </c>
      <c r="K55" s="61">
        <f t="shared" si="26"/>
        <v>0.96582383715405795</v>
      </c>
      <c r="L55" s="61">
        <f t="shared" si="26"/>
        <v>1.3268237771680045</v>
      </c>
      <c r="M55" s="61">
        <f t="shared" si="26"/>
        <v>1.687823717181951</v>
      </c>
      <c r="N55" s="61">
        <f t="shared" si="26"/>
        <v>2.0488236571958973</v>
      </c>
      <c r="O55" s="61">
        <f t="shared" si="26"/>
        <v>2.4098235972098441</v>
      </c>
      <c r="P55" s="61">
        <f t="shared" si="26"/>
        <v>3.0264431390094124</v>
      </c>
      <c r="Q55" s="61">
        <f t="shared" si="26"/>
        <v>3.6430626808089812</v>
      </c>
      <c r="R55" s="61">
        <f t="shared" si="26"/>
        <v>4.25968222260855</v>
      </c>
      <c r="S55" s="61">
        <f t="shared" si="26"/>
        <v>4.8763017644081188</v>
      </c>
      <c r="T55" s="61">
        <f t="shared" si="26"/>
        <v>5.4929213062076876</v>
      </c>
      <c r="U55" s="61">
        <f t="shared" si="26"/>
        <v>6.1095408480072555</v>
      </c>
      <c r="V55" s="61">
        <f t="shared" si="26"/>
        <v>6.9922453003880554</v>
      </c>
      <c r="W55" s="61">
        <f t="shared" si="26"/>
        <v>7.8749497527688552</v>
      </c>
      <c r="X55" s="61">
        <f t="shared" si="26"/>
        <v>8.7576542051496542</v>
      </c>
      <c r="Y55" s="61">
        <f t="shared" si="26"/>
        <v>9.6403586575304541</v>
      </c>
      <c r="Z55" s="61">
        <f t="shared" si="26"/>
        <v>10.523063109911254</v>
      </c>
      <c r="AA55" s="61">
        <f t="shared" si="26"/>
        <v>11.509597615793707</v>
      </c>
      <c r="AB55" s="61">
        <f t="shared" si="26"/>
        <v>12.49613212167616</v>
      </c>
      <c r="AC55" s="61">
        <f t="shared" si="26"/>
        <v>13.482666627558613</v>
      </c>
      <c r="AD55" s="61">
        <f t="shared" si="26"/>
        <v>14.469201133441066</v>
      </c>
      <c r="AE55" s="61">
        <f t="shared" si="26"/>
        <v>15.455735639323521</v>
      </c>
    </row>
    <row r="56" spans="1:31" x14ac:dyDescent="0.35">
      <c r="A56" s="87" t="s">
        <v>39</v>
      </c>
      <c r="B56" s="9">
        <f>NPV('Cost Assumptions'!$B$3,'Centralized BESS in Valley S'!D56:'Centralized BESS in Valley S'!AE56)</f>
        <v>284.37326230940391</v>
      </c>
      <c r="C56" s="87" t="s">
        <v>35</v>
      </c>
      <c r="D56" s="61">
        <f t="shared" ref="D56" si="27">D12-D31</f>
        <v>4</v>
      </c>
      <c r="E56" s="61">
        <f t="shared" ref="E56:AE56" si="28">E12-E31</f>
        <v>5</v>
      </c>
      <c r="F56" s="61">
        <f t="shared" si="28"/>
        <v>7.3333333333333339</v>
      </c>
      <c r="G56" s="61">
        <f t="shared" si="28"/>
        <v>9.6666666666666679</v>
      </c>
      <c r="H56" s="61">
        <f t="shared" si="28"/>
        <v>12.000000000000002</v>
      </c>
      <c r="I56" s="61">
        <f t="shared" si="28"/>
        <v>14.333333333333336</v>
      </c>
      <c r="J56" s="61">
        <f t="shared" si="28"/>
        <v>16.666666666666668</v>
      </c>
      <c r="K56" s="61">
        <f t="shared" si="28"/>
        <v>19</v>
      </c>
      <c r="L56" s="61">
        <f t="shared" si="28"/>
        <v>23.5</v>
      </c>
      <c r="M56" s="61">
        <f t="shared" si="28"/>
        <v>28</v>
      </c>
      <c r="N56" s="61">
        <f t="shared" si="28"/>
        <v>32.5</v>
      </c>
      <c r="O56" s="61">
        <f t="shared" si="28"/>
        <v>37</v>
      </c>
      <c r="P56" s="61">
        <f t="shared" si="28"/>
        <v>42.333333333333336</v>
      </c>
      <c r="Q56" s="61">
        <f t="shared" si="28"/>
        <v>47.666666666666671</v>
      </c>
      <c r="R56" s="61">
        <f t="shared" si="28"/>
        <v>53.000000000000007</v>
      </c>
      <c r="S56" s="61">
        <f t="shared" si="28"/>
        <v>58.333333333333343</v>
      </c>
      <c r="T56" s="61">
        <f t="shared" si="28"/>
        <v>63.666666666666679</v>
      </c>
      <c r="U56" s="61">
        <f t="shared" si="28"/>
        <v>69</v>
      </c>
      <c r="V56" s="61">
        <f t="shared" si="28"/>
        <v>75.599999999999994</v>
      </c>
      <c r="W56" s="61">
        <f t="shared" si="28"/>
        <v>82.199999999999989</v>
      </c>
      <c r="X56" s="61">
        <f t="shared" si="28"/>
        <v>88.799999999999983</v>
      </c>
      <c r="Y56" s="61">
        <f t="shared" si="28"/>
        <v>95.399999999999977</v>
      </c>
      <c r="Z56" s="61">
        <f t="shared" si="28"/>
        <v>102</v>
      </c>
      <c r="AA56" s="61">
        <f t="shared" si="28"/>
        <v>110</v>
      </c>
      <c r="AB56" s="61">
        <f t="shared" si="28"/>
        <v>118</v>
      </c>
      <c r="AC56" s="61">
        <f t="shared" si="28"/>
        <v>126</v>
      </c>
      <c r="AD56" s="61">
        <f t="shared" si="28"/>
        <v>134</v>
      </c>
      <c r="AE56" s="61">
        <f t="shared" si="28"/>
        <v>142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4646660.6957218247</v>
      </c>
      <c r="D65" s="5">
        <f>'Baseline System Analysis'!D24-D34</f>
        <v>2664.1723479509105</v>
      </c>
      <c r="E65" s="5">
        <f>'Baseline System Analysis'!E24-E34</f>
        <v>6696.6564957916835</v>
      </c>
      <c r="F65" s="5">
        <f>'Baseline System Analysis'!F24-F34</f>
        <v>15296.141952645759</v>
      </c>
      <c r="G65" s="5">
        <f>'Baseline System Analysis'!G24-G34</f>
        <v>23895.627409499837</v>
      </c>
      <c r="H65" s="5">
        <f>'Baseline System Analysis'!H24-H34</f>
        <v>32495.112866353913</v>
      </c>
      <c r="I65" s="5">
        <f>'Baseline System Analysis'!I24-I34</f>
        <v>41094.598323207989</v>
      </c>
      <c r="J65" s="5">
        <f>'Baseline System Analysis'!J24-J34</f>
        <v>49694.083780062065</v>
      </c>
      <c r="K65" s="5">
        <f>'Baseline System Analysis'!K24-K34</f>
        <v>58293.569236916141</v>
      </c>
      <c r="L65" s="5">
        <f>'Baseline System Analysis'!L24-L34</f>
        <v>105854.92342039704</v>
      </c>
      <c r="M65" s="5">
        <f>'Baseline System Analysis'!M24-M34</f>
        <v>153416.27760387794</v>
      </c>
      <c r="N65" s="5">
        <f>'Baseline System Analysis'!N24-N34</f>
        <v>200977.63178735884</v>
      </c>
      <c r="O65" s="5">
        <f>'Baseline System Analysis'!O24-O34</f>
        <v>248538.98597083971</v>
      </c>
      <c r="P65" s="5">
        <f>'Baseline System Analysis'!P24-P34</f>
        <v>392537.65548732539</v>
      </c>
      <c r="Q65" s="5">
        <f>'Baseline System Analysis'!Q24-Q34</f>
        <v>536536.32500381116</v>
      </c>
      <c r="R65" s="5">
        <f>'Baseline System Analysis'!R24-R34</f>
        <v>680534.99452029681</v>
      </c>
      <c r="S65" s="5">
        <f>'Baseline System Analysis'!S24-S34</f>
        <v>824533.66403678246</v>
      </c>
      <c r="T65" s="5">
        <f>'Baseline System Analysis'!T24-T34</f>
        <v>968532.33355326811</v>
      </c>
      <c r="U65" s="5">
        <f>'Baseline System Analysis'!U24-U34</f>
        <v>1112531.003069754</v>
      </c>
      <c r="V65" s="5">
        <f>'Baseline System Analysis'!V24-V34</f>
        <v>1456952.4967023456</v>
      </c>
      <c r="W65" s="5">
        <f>'Baseline System Analysis'!W24-W34</f>
        <v>1801373.9903349369</v>
      </c>
      <c r="X65" s="5">
        <f>'Baseline System Analysis'!X24-X34</f>
        <v>2145795.4839675282</v>
      </c>
      <c r="Y65" s="5">
        <f>'Baseline System Analysis'!Y24-Y34</f>
        <v>2490216.9776001195</v>
      </c>
      <c r="Z65" s="5">
        <f>'Baseline System Analysis'!Z24-Z34</f>
        <v>2834638.4712327113</v>
      </c>
      <c r="AA65" s="5">
        <f>'Baseline System Analysis'!AA24-AA34</f>
        <v>3384049.8495681961</v>
      </c>
      <c r="AB65" s="5">
        <f>'Baseline System Analysis'!AB24-AB34</f>
        <v>3933461.2279036809</v>
      </c>
      <c r="AC65" s="5">
        <f>'Baseline System Analysis'!AC24-AC34</f>
        <v>4482872.6062391652</v>
      </c>
      <c r="AD65" s="5">
        <f>'Baseline System Analysis'!AD24-AD34</f>
        <v>5032283.9845746504</v>
      </c>
      <c r="AE65" s="5">
        <f>'Baseline System Analysis'!AE24-AE34</f>
        <v>5581695.3629101356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19078719.664925262</v>
      </c>
      <c r="D66" s="5">
        <f>'Baseline System Analysis'!D25-D35</f>
        <v>11054.945403686945</v>
      </c>
      <c r="E66" s="5">
        <f>'Baseline System Analysis'!E25-E35</f>
        <v>27787.681230593829</v>
      </c>
      <c r="F66" s="5">
        <f>'Baseline System Analysis'!F25-F35</f>
        <v>63471.124270020417</v>
      </c>
      <c r="G66" s="5">
        <f>'Baseline System Analysis'!G25-G35</f>
        <v>99154.567309447011</v>
      </c>
      <c r="H66" s="5">
        <f>'Baseline System Analysis'!H25-H35</f>
        <v>134838.01034887359</v>
      </c>
      <c r="I66" s="5">
        <f>'Baseline System Analysis'!I25-I35</f>
        <v>170521.45338830017</v>
      </c>
      <c r="J66" s="5">
        <f>'Baseline System Analysis'!J25-J35</f>
        <v>206204.89642772675</v>
      </c>
      <c r="K66" s="5">
        <f>'Baseline System Analysis'!K25-K35</f>
        <v>241888.33946715333</v>
      </c>
      <c r="L66" s="5">
        <f>'Baseline System Analysis'!L25-L35</f>
        <v>439243.50465689693</v>
      </c>
      <c r="M66" s="5">
        <f>'Baseline System Analysis'!M25-M35</f>
        <v>636598.66984664055</v>
      </c>
      <c r="N66" s="5">
        <f>'Baseline System Analysis'!N25-N35</f>
        <v>833953.83503638417</v>
      </c>
      <c r="O66" s="5">
        <f>'Baseline System Analysis'!O25-O35</f>
        <v>1031309.0002261278</v>
      </c>
      <c r="P66" s="5">
        <f>'Baseline System Analysis'!P25-P35</f>
        <v>1628829.4387715852</v>
      </c>
      <c r="Q66" s="5">
        <f>'Baseline System Analysis'!Q25-Q35</f>
        <v>2226349.8773170426</v>
      </c>
      <c r="R66" s="5">
        <f>'Baseline System Analysis'!R25-R35</f>
        <v>2823870.3158625001</v>
      </c>
      <c r="S66" s="5">
        <f>'Baseline System Analysis'!S25-S35</f>
        <v>3421390.7544079577</v>
      </c>
      <c r="T66" s="5">
        <f>'Baseline System Analysis'!T25-T35</f>
        <v>4018911.1929534152</v>
      </c>
      <c r="U66" s="5">
        <f>'Baseline System Analysis'!U25-U35</f>
        <v>4616431.6314988723</v>
      </c>
      <c r="V66" s="5">
        <f>'Baseline System Analysis'!V25-V35</f>
        <v>6045603.7385110594</v>
      </c>
      <c r="W66" s="5">
        <f>'Baseline System Analysis'!W25-W35</f>
        <v>7474775.8455232456</v>
      </c>
      <c r="X66" s="5">
        <f>'Baseline System Analysis'!X25-X35</f>
        <v>8903947.9525354318</v>
      </c>
      <c r="Y66" s="5">
        <f>'Baseline System Analysis'!Y25-Y35</f>
        <v>10333120.059547618</v>
      </c>
      <c r="Z66" s="5">
        <f>'Baseline System Analysis'!Z25-Z35</f>
        <v>11762292.166559806</v>
      </c>
      <c r="AA66" s="5">
        <f>'Baseline System Analysis'!AA25-AA35</f>
        <v>13871822.624567954</v>
      </c>
      <c r="AB66" s="5">
        <f>'Baseline System Analysis'!AB25-AB35</f>
        <v>15981353.082576102</v>
      </c>
      <c r="AC66" s="5">
        <f>'Baseline System Analysis'!AC25-AC35</f>
        <v>18090883.540584251</v>
      </c>
      <c r="AD66" s="5">
        <f>'Baseline System Analysis'!AD25-AD35</f>
        <v>20200413.998592399</v>
      </c>
      <c r="AE66" s="5">
        <f>'Baseline System Analysis'!AE25-AE35</f>
        <v>22309944.456600547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23725380.36064709</v>
      </c>
      <c r="D67" s="5">
        <f>SUM(D65:D66)</f>
        <v>13719.117751637856</v>
      </c>
      <c r="E67" s="5">
        <f>SUM(E65:E66)</f>
        <v>34484.337726385515</v>
      </c>
      <c r="F67" s="5">
        <f t="shared" ref="F67:AE67" si="29">SUM(F65:F66)</f>
        <v>78767.266222666178</v>
      </c>
      <c r="G67" s="5">
        <f t="shared" si="29"/>
        <v>123050.19471894685</v>
      </c>
      <c r="H67" s="5">
        <f t="shared" si="29"/>
        <v>167333.1232152275</v>
      </c>
      <c r="I67" s="5">
        <f t="shared" si="29"/>
        <v>211616.05171150816</v>
      </c>
      <c r="J67" s="5">
        <f t="shared" si="29"/>
        <v>255898.98020778882</v>
      </c>
      <c r="K67" s="5">
        <f t="shared" si="29"/>
        <v>300181.90870406944</v>
      </c>
      <c r="L67" s="5">
        <f t="shared" si="29"/>
        <v>545098.42807729403</v>
      </c>
      <c r="M67" s="5">
        <f t="shared" si="29"/>
        <v>790014.94745051849</v>
      </c>
      <c r="N67" s="5">
        <f t="shared" si="29"/>
        <v>1034931.466823743</v>
      </c>
      <c r="O67" s="5">
        <f t="shared" si="29"/>
        <v>1279847.9861969675</v>
      </c>
      <c r="P67" s="5">
        <f t="shared" si="29"/>
        <v>2021367.0942589105</v>
      </c>
      <c r="Q67" s="5">
        <f t="shared" si="29"/>
        <v>2762886.2023208537</v>
      </c>
      <c r="R67" s="5">
        <f t="shared" si="29"/>
        <v>3504405.3103827969</v>
      </c>
      <c r="S67" s="5">
        <f t="shared" si="29"/>
        <v>4245924.4184447397</v>
      </c>
      <c r="T67" s="5">
        <f t="shared" si="29"/>
        <v>4987443.5265066829</v>
      </c>
      <c r="U67" s="5">
        <f t="shared" si="29"/>
        <v>5728962.6345686261</v>
      </c>
      <c r="V67" s="5">
        <f t="shared" si="29"/>
        <v>7502556.2352134045</v>
      </c>
      <c r="W67" s="5">
        <f t="shared" si="29"/>
        <v>9276149.835858183</v>
      </c>
      <c r="X67" s="5">
        <f t="shared" si="29"/>
        <v>11049743.43650296</v>
      </c>
      <c r="Y67" s="5">
        <f t="shared" si="29"/>
        <v>12823337.037147738</v>
      </c>
      <c r="Z67" s="5">
        <f t="shared" si="29"/>
        <v>14596930.637792516</v>
      </c>
      <c r="AA67" s="5">
        <f t="shared" si="29"/>
        <v>17255872.474136151</v>
      </c>
      <c r="AB67" s="5">
        <f t="shared" si="29"/>
        <v>19914814.310479783</v>
      </c>
      <c r="AC67" s="5">
        <f t="shared" si="29"/>
        <v>22573756.146823417</v>
      </c>
      <c r="AD67" s="5">
        <f t="shared" si="29"/>
        <v>25232697.983167049</v>
      </c>
      <c r="AE67" s="5">
        <f t="shared" si="29"/>
        <v>27891639.819510683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122402385.45052689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2696419.0538857356</v>
      </c>
      <c r="J69" s="5">
        <f>'Baseline System Analysis'!J28-J32</f>
        <v>3587048.7001477713</v>
      </c>
      <c r="K69" s="5">
        <f>'Baseline System Analysis'!K28-K32</f>
        <v>4534084.5657563498</v>
      </c>
      <c r="L69" s="5">
        <f>'Baseline System Analysis'!L28-L32</f>
        <v>5693348.9186131302</v>
      </c>
      <c r="M69" s="5">
        <f>'Baseline System Analysis'!M28-M32</f>
        <v>7548985.0743932622</v>
      </c>
      <c r="N69" s="5">
        <f>'Baseline System Analysis'!N28-N32</f>
        <v>9794691.5976483021</v>
      </c>
      <c r="O69" s="5">
        <f>'Baseline System Analysis'!O28-O32</f>
        <v>12474348.375717288</v>
      </c>
      <c r="P69" s="5">
        <f>'Baseline System Analysis'!P28-P32</f>
        <v>15347020.983958816</v>
      </c>
      <c r="Q69" s="5">
        <f>'Baseline System Analysis'!Q28-Q32</f>
        <v>17866466.956706397</v>
      </c>
      <c r="R69" s="5">
        <f>'Baseline System Analysis'!R28-R32</f>
        <v>20996797.786055777</v>
      </c>
      <c r="S69" s="5">
        <f>'Baseline System Analysis'!S28-S32</f>
        <v>24698098.988227863</v>
      </c>
      <c r="T69" s="5">
        <f>'Baseline System Analysis'!T28-T32</f>
        <v>28840317.341671247</v>
      </c>
      <c r="U69" s="5">
        <f>'Baseline System Analysis'!U28-U32</f>
        <v>33541217.353331745</v>
      </c>
      <c r="V69" s="5">
        <f>'Baseline System Analysis'!V28-V32</f>
        <v>38471074.127916157</v>
      </c>
      <c r="W69" s="5">
        <f>'Baseline System Analysis'!W28-W32</f>
        <v>44538095.497219943</v>
      </c>
      <c r="X69" s="5">
        <f>'Baseline System Analysis'!X28-X32</f>
        <v>50065147.454451628</v>
      </c>
      <c r="Y69" s="5">
        <f>'Baseline System Analysis'!Y28-Y32</f>
        <v>56027611.218482688</v>
      </c>
      <c r="Z69" s="5">
        <f>'Baseline System Analysis'!Z28-Z32</f>
        <v>61953016.92696394</v>
      </c>
      <c r="AA69" s="5">
        <f>'Baseline System Analysis'!AA28-AA32</f>
        <v>68192076.492750496</v>
      </c>
      <c r="AB69" s="5">
        <f>'Baseline System Analysis'!AB28-AB32</f>
        <v>75753576.054779172</v>
      </c>
      <c r="AC69" s="5">
        <f>'Baseline System Analysis'!AC28-AC32</f>
        <v>84072896.775216386</v>
      </c>
      <c r="AD69" s="5">
        <f>'Baseline System Analysis'!AD28-AD32</f>
        <v>90296154.735241339</v>
      </c>
      <c r="AE69" s="5">
        <f>'Baseline System Analysis'!AE28-AE32</f>
        <v>99941321.925509945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524690134.18495488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11935292.094424136</v>
      </c>
      <c r="J70" s="5">
        <f>'Baseline System Analysis'!J29-J33</f>
        <v>15941642.32252172</v>
      </c>
      <c r="K70" s="5">
        <f>'Baseline System Analysis'!K29-K33</f>
        <v>19613619.815275714</v>
      </c>
      <c r="L70" s="5">
        <f>'Baseline System Analysis'!L29-L33</f>
        <v>24661704.485005222</v>
      </c>
      <c r="M70" s="5">
        <f>'Baseline System Analysis'!M29-M33</f>
        <v>32796387.723990619</v>
      </c>
      <c r="N70" s="5">
        <f>'Baseline System Analysis'!N29-N33</f>
        <v>43151911.473019019</v>
      </c>
      <c r="O70" s="5">
        <f>'Baseline System Analysis'!O29-O33</f>
        <v>55866474.738844089</v>
      </c>
      <c r="P70" s="5">
        <f>'Baseline System Analysis'!P29-P33</f>
        <v>68637387.043348879</v>
      </c>
      <c r="Q70" s="5">
        <f>'Baseline System Analysis'!Q29-Q33</f>
        <v>77675195.110624015</v>
      </c>
      <c r="R70" s="5">
        <f>'Baseline System Analysis'!R29-R33</f>
        <v>90392543.566104695</v>
      </c>
      <c r="S70" s="5">
        <f>'Baseline System Analysis'!S29-S33</f>
        <v>106694968.75578959</v>
      </c>
      <c r="T70" s="5">
        <f>'Baseline System Analysis'!T29-T33</f>
        <v>124345366.11087258</v>
      </c>
      <c r="U70" s="5">
        <f>'Baseline System Analysis'!U29-U33</f>
        <v>143712431.51196387</v>
      </c>
      <c r="V70" s="5">
        <f>'Baseline System Analysis'!V29-V33</f>
        <v>164558346.42944998</v>
      </c>
      <c r="W70" s="5">
        <f>'Baseline System Analysis'!W29-W33</f>
        <v>190732503.36979601</v>
      </c>
      <c r="X70" s="5">
        <f>'Baseline System Analysis'!X29-X33</f>
        <v>211736495.75619063</v>
      </c>
      <c r="Y70" s="5">
        <f>'Baseline System Analysis'!Y29-Y33</f>
        <v>237640870.29091629</v>
      </c>
      <c r="Z70" s="5">
        <f>'Baseline System Analysis'!Z29-Z33</f>
        <v>261024283.43241259</v>
      </c>
      <c r="AA70" s="5">
        <f>'Baseline System Analysis'!AA29-AA33</f>
        <v>285410828.68515736</v>
      </c>
      <c r="AB70" s="5">
        <f>'Baseline System Analysis'!AB29-AB33</f>
        <v>316389312.35185409</v>
      </c>
      <c r="AC70" s="5">
        <f>'Baseline System Analysis'!AC29-AC33</f>
        <v>351526819.46737939</v>
      </c>
      <c r="AD70" s="5">
        <f>'Baseline System Analysis'!AD29-AD33</f>
        <v>372036180.3666203</v>
      </c>
      <c r="AE70" s="5">
        <f>'Baseline System Analysis'!AE29-AE33</f>
        <v>405152985.56203926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647092519.63548172</v>
      </c>
      <c r="D71" s="5">
        <f>SUM(D69:D70)</f>
        <v>1938540.0424908805</v>
      </c>
      <c r="E71" s="5">
        <f>SUM(E69:E70)</f>
        <v>5093845.8447473096</v>
      </c>
      <c r="F71" s="5">
        <f t="shared" ref="F71:AE71" si="30">SUM(F69:F70)</f>
        <v>7741142.53278674</v>
      </c>
      <c r="G71" s="5">
        <f t="shared" si="30"/>
        <v>10801761.726361772</v>
      </c>
      <c r="H71" s="5">
        <f t="shared" si="30"/>
        <v>12982259.988815472</v>
      </c>
      <c r="I71" s="5">
        <f t="shared" si="30"/>
        <v>14631711.148309872</v>
      </c>
      <c r="J71" s="5">
        <f t="shared" si="30"/>
        <v>19528691.02266949</v>
      </c>
      <c r="K71" s="5">
        <f t="shared" si="30"/>
        <v>24147704.381032065</v>
      </c>
      <c r="L71" s="5">
        <f t="shared" si="30"/>
        <v>30355053.403618351</v>
      </c>
      <c r="M71" s="5">
        <f t="shared" si="30"/>
        <v>40345372.798383884</v>
      </c>
      <c r="N71" s="5">
        <f t="shared" si="30"/>
        <v>52946603.070667319</v>
      </c>
      <c r="O71" s="5">
        <f t="shared" si="30"/>
        <v>68340823.114561379</v>
      </c>
      <c r="P71" s="5">
        <f t="shared" si="30"/>
        <v>83984408.027307689</v>
      </c>
      <c r="Q71" s="5">
        <f t="shared" si="30"/>
        <v>95541662.06733042</v>
      </c>
      <c r="R71" s="5">
        <f t="shared" si="30"/>
        <v>111389341.35216047</v>
      </c>
      <c r="S71" s="5">
        <f t="shared" si="30"/>
        <v>131393067.74401745</v>
      </c>
      <c r="T71" s="5">
        <f t="shared" si="30"/>
        <v>153185683.45254382</v>
      </c>
      <c r="U71" s="5">
        <f t="shared" si="30"/>
        <v>177253648.86529562</v>
      </c>
      <c r="V71" s="5">
        <f t="shared" si="30"/>
        <v>203029420.55736613</v>
      </c>
      <c r="W71" s="5">
        <f t="shared" si="30"/>
        <v>235270598.86701596</v>
      </c>
      <c r="X71" s="5">
        <f t="shared" si="30"/>
        <v>261801643.21064225</v>
      </c>
      <c r="Y71" s="5">
        <f t="shared" si="30"/>
        <v>293668481.509399</v>
      </c>
      <c r="Z71" s="5">
        <f t="shared" si="30"/>
        <v>322977300.35937655</v>
      </c>
      <c r="AA71" s="5">
        <f t="shared" si="30"/>
        <v>353602905.17790782</v>
      </c>
      <c r="AB71" s="5">
        <f t="shared" si="30"/>
        <v>392142888.40663326</v>
      </c>
      <c r="AC71" s="5">
        <f t="shared" si="30"/>
        <v>435599716.24259579</v>
      </c>
      <c r="AD71" s="5">
        <f t="shared" si="30"/>
        <v>462332335.10186166</v>
      </c>
      <c r="AE71" s="5">
        <f t="shared" si="30"/>
        <v>505094307.48754919</v>
      </c>
    </row>
    <row r="73" spans="1:31" x14ac:dyDescent="0.35">
      <c r="A73" s="87" t="s">
        <v>117</v>
      </c>
      <c r="B73" s="87" t="s">
        <v>144</v>
      </c>
      <c r="C73" s="17">
        <f>NPV('Cost Assumptions'!$B$3,D73:AE73)</f>
        <v>535800846.09541899</v>
      </c>
      <c r="D73" s="61">
        <f>ABS((D49*D60*1000*'Cost Assumptions'!$B$6)/'Cost Assumptions'!$B$14)</f>
        <v>8142046.0165852169</v>
      </c>
      <c r="E73" s="61">
        <f>ABS((E49*E60*1000*'Cost Assumptions'!$B$6)/'Cost Assumptions'!$B$14)</f>
        <v>12650320.885132998</v>
      </c>
      <c r="F73" s="61">
        <f>ABS((F49*F60*1000*'Cost Assumptions'!$B$6)/'Cost Assumptions'!$B$14)</f>
        <v>17378920.718347803</v>
      </c>
      <c r="G73" s="61">
        <f>ABS((G49*G60*1000*'Cost Assumptions'!$B$6)/'Cost Assumptions'!$B$14)</f>
        <v>22336044.092670131</v>
      </c>
      <c r="H73" s="61">
        <f>ABS((H49*H60*1000*'Cost Assumptions'!$B$6)/'Cost Assumptions'!$B$14)</f>
        <v>27530161.810259603</v>
      </c>
      <c r="I73" s="61">
        <f>ABS((I49*I60*1000*'Cost Assumptions'!$B$6)/'Cost Assumptions'!$B$14)</f>
        <v>32970025.386170641</v>
      </c>
      <c r="J73" s="61">
        <f>ABS((J49*J60*1000*'Cost Assumptions'!$B$6)/'Cost Assumptions'!$B$14)</f>
        <v>38664675.789745815</v>
      </c>
      <c r="K73" s="61">
        <f>ABS((K49*K60*1000*'Cost Assumptions'!$B$6)/'Cost Assumptions'!$B$14)</f>
        <v>44623452.447633386</v>
      </c>
      <c r="L73" s="61">
        <f>ABS((L49*L60*1000*'Cost Assumptions'!$B$6)/'Cost Assumptions'!$B$14)</f>
        <v>50856002.516046748</v>
      </c>
      <c r="M73" s="61">
        <f>ABS((M49*M60*1000*'Cost Assumptions'!$B$6)/'Cost Assumptions'!$B$14)</f>
        <v>57372290.430100985</v>
      </c>
      <c r="N73" s="61">
        <f>ABS((N49*N60*1000*'Cost Assumptions'!$B$6)/'Cost Assumptions'!$B$14)</f>
        <v>64182607.738285407</v>
      </c>
      <c r="O73" s="61">
        <f>ABS((O49*O60*1000*'Cost Assumptions'!$B$6)/'Cost Assumptions'!$B$14)</f>
        <v>71297583.230360225</v>
      </c>
      <c r="P73" s="61">
        <f>ABS((P49*P60*1000*'Cost Assumptions'!$B$6)/'Cost Assumptions'!$B$14)</f>
        <v>78728193.367202371</v>
      </c>
      <c r="Q73" s="61">
        <f>ABS((Q49*Q60*1000*'Cost Assumptions'!$B$6)/'Cost Assumptions'!$B$14)</f>
        <v>86485773.021367624</v>
      </c>
      <c r="R73" s="61">
        <f>ABS((R49*R60*1000*'Cost Assumptions'!$B$6)/'Cost Assumptions'!$B$14)</f>
        <v>94582026.537386701</v>
      </c>
      <c r="S73" s="61">
        <f>ABS((S49*S60*1000*'Cost Assumptions'!$B$6)/'Cost Assumptions'!$B$14)</f>
        <v>103029039.12106833</v>
      </c>
      <c r="T73" s="61">
        <f>ABS((T49*T60*1000*'Cost Assumptions'!$B$6)/'Cost Assumptions'!$B$14)</f>
        <v>111839288.56734818</v>
      </c>
      <c r="U73" s="61">
        <f>ABS((U49*U60*1000*'Cost Assumptions'!$B$6)/'Cost Assumptions'!$B$14)</f>
        <v>121025657.33649138</v>
      </c>
      <c r="V73" s="61">
        <f>ABS((V49*V60*1000*'Cost Assumptions'!$B$6)/'Cost Assumptions'!$B$14)</f>
        <v>130601444.98873711</v>
      </c>
      <c r="W73" s="61">
        <f>ABS((W49*W60*1000*'Cost Assumptions'!$B$6)/'Cost Assumptions'!$B$14)</f>
        <v>140580380.98775986</v>
      </c>
      <c r="X73" s="61">
        <f>ABS((X49*X60*1000*'Cost Assumptions'!$B$6)/'Cost Assumptions'!$B$14)</f>
        <v>150976637.88361582</v>
      </c>
      <c r="Y73" s="61">
        <f>ABS((Y49*Y60*1000*'Cost Assumptions'!$B$6)/'Cost Assumptions'!$B$14)</f>
        <v>161804844.8861472</v>
      </c>
      <c r="Z73" s="61">
        <f>ABS((Z49*Z60*1000*'Cost Assumptions'!$B$6)/'Cost Assumptions'!$B$14)</f>
        <v>173080101.84012794</v>
      </c>
      <c r="AA73" s="61">
        <f>ABS((AA49*AA60*1000*'Cost Assumptions'!$B$6)/'Cost Assumptions'!$B$14)</f>
        <v>184817993.6137538</v>
      </c>
      <c r="AB73" s="61">
        <f>ABS((AB49*AB60*1000*'Cost Assumptions'!$B$6)/'Cost Assumptions'!$B$14)</f>
        <v>197034604.91241094</v>
      </c>
      <c r="AC73" s="61">
        <f>ABS((AC49*AC60*1000*'Cost Assumptions'!$B$6)/'Cost Assumptions'!$B$14)</f>
        <v>209746535.52999231</v>
      </c>
      <c r="AD73" s="61">
        <f>ABS((AD49*AD60*1000*'Cost Assumptions'!$B$6)/'Cost Assumptions'!$B$14)</f>
        <v>222970916.05038249</v>
      </c>
      <c r="AE73" s="61">
        <f>ABS((AE49*AE60*1000*'Cost Assumptions'!$B$6)/'Cost Assumptions'!$B$14)</f>
        <v>236725424.01208574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2207302586.8604364</v>
      </c>
      <c r="D74" s="61">
        <f>ABS((D49*D62*1000*'Cost Assumptions'!$B$7)/'Cost Assumptions'!$B$14)</f>
        <v>33542237.504314594</v>
      </c>
      <c r="E74" s="61">
        <f>ABS((E49*E62*1000*'Cost Assumptions'!$B$7)/'Cost Assumptions'!$B$14)</f>
        <v>52114673.236995839</v>
      </c>
      <c r="F74" s="61">
        <f>ABS((F49*F62*1000*'Cost Assumptions'!$B$7)/'Cost Assumptions'!$B$14)</f>
        <v>71594766.857870951</v>
      </c>
      <c r="G74" s="61">
        <f>ABS((G49*G62*1000*'Cost Assumptions'!$B$7)/'Cost Assumptions'!$B$14)</f>
        <v>92016293.489016697</v>
      </c>
      <c r="H74" s="61">
        <f>ABS((H49*H62*1000*'Cost Assumptions'!$B$7)/'Cost Assumptions'!$B$14)</f>
        <v>113414149.72243352</v>
      </c>
      <c r="I74" s="61">
        <f>ABS((I49*I62*1000*'Cost Assumptions'!$B$7)/'Cost Assumptions'!$B$14)</f>
        <v>135824388.58409056</v>
      </c>
      <c r="J74" s="61">
        <f>ABS((J49*J62*1000*'Cost Assumptions'!$B$7)/'Cost Assumptions'!$B$14)</f>
        <v>159284255.54525393</v>
      </c>
      <c r="K74" s="61">
        <f>ABS((K49*K62*1000*'Cost Assumptions'!$B$7)/'Cost Assumptions'!$B$14)</f>
        <v>183832225.61161038</v>
      </c>
      <c r="L74" s="61">
        <f>ABS((L49*L62*1000*'Cost Assumptions'!$B$7)/'Cost Assumptions'!$B$14)</f>
        <v>209508041.52156889</v>
      </c>
      <c r="M74" s="61">
        <f>ABS((M49*M62*1000*'Cost Assumptions'!$B$7)/'Cost Assumptions'!$B$14)</f>
        <v>236352753.086018</v>
      </c>
      <c r="N74" s="61">
        <f>ABS((N49*N62*1000*'Cost Assumptions'!$B$7)/'Cost Assumptions'!$B$14)</f>
        <v>264408757.70273861</v>
      </c>
      <c r="O74" s="61">
        <f>ABS((O49*O62*1000*'Cost Assumptions'!$B$7)/'Cost Assumptions'!$B$14)</f>
        <v>293719842.07961643</v>
      </c>
      <c r="P74" s="61">
        <f>ABS((P49*P62*1000*'Cost Assumptions'!$B$7)/'Cost Assumptions'!$B$14)</f>
        <v>324331225.20177394</v>
      </c>
      <c r="Q74" s="61">
        <f>ABS((Q49*Q62*1000*'Cost Assumptions'!$B$7)/'Cost Assumptions'!$B$14)</f>
        <v>356289602.57873958</v>
      </c>
      <c r="R74" s="61">
        <f>ABS((R49*R62*1000*'Cost Assumptions'!$B$7)/'Cost Assumptions'!$B$14)</f>
        <v>389643191.80880249</v>
      </c>
      <c r="S74" s="61">
        <f>ABS((S49*S62*1000*'Cost Assumptions'!$B$7)/'Cost Assumptions'!$B$14)</f>
        <v>424441779.49875677</v>
      </c>
      <c r="T74" s="61">
        <f>ABS((T49*T62*1000*'Cost Assumptions'!$B$7)/'Cost Assumptions'!$B$14)</f>
        <v>460736769.57832831</v>
      </c>
      <c r="U74" s="61">
        <f>ABS((U49*U62*1000*'Cost Assumptions'!$B$7)/'Cost Assumptions'!$B$14)</f>
        <v>498581233.04969174</v>
      </c>
      <c r="V74" s="61">
        <f>ABS((V49*V62*1000*'Cost Assumptions'!$B$7)/'Cost Assumptions'!$B$14)</f>
        <v>538029959.21363676</v>
      </c>
      <c r="W74" s="61">
        <f>ABS((W49*W62*1000*'Cost Assumptions'!$B$7)/'Cost Assumptions'!$B$14)</f>
        <v>579139508.41512311</v>
      </c>
      <c r="X74" s="61">
        <f>ABS((X49*X62*1000*'Cost Assumptions'!$B$7)/'Cost Assumptions'!$B$14)</f>
        <v>621968266.35217524</v>
      </c>
      <c r="Y74" s="61">
        <f>ABS((Y49*Y62*1000*'Cost Assumptions'!$B$7)/'Cost Assumptions'!$B$14)</f>
        <v>666576499.9933207</v>
      </c>
      <c r="Z74" s="61">
        <f>ABS((Z49*Z62*1000*'Cost Assumptions'!$B$7)/'Cost Assumptions'!$B$14)</f>
        <v>713026415.15005338</v>
      </c>
      <c r="AA74" s="61">
        <f>ABS((AA49*AA62*1000*'Cost Assumptions'!$B$7)/'Cost Assumptions'!$B$14)</f>
        <v>761382215.75212657</v>
      </c>
      <c r="AB74" s="61">
        <f>ABS((AB49*AB62*1000*'Cost Assumptions'!$B$7)/'Cost Assumptions'!$B$14)</f>
        <v>811710164.87483478</v>
      </c>
      <c r="AC74" s="61">
        <f>ABS((AC49*AC62*1000*'Cost Assumptions'!$B$7)/'Cost Assumptions'!$B$14)</f>
        <v>864078647.56883359</v>
      </c>
      <c r="AD74" s="61">
        <f>ABS((AD49*AD62*1000*'Cost Assumptions'!$B$7)/'Cost Assumptions'!$B$14)</f>
        <v>918558235.54448521</v>
      </c>
      <c r="AE74" s="61">
        <f>ABS((AE49*AE62*1000*'Cost Assumptions'!$B$7)/'Cost Assumptions'!$B$14)</f>
        <v>975221753.76418793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2743103432.9558544</v>
      </c>
      <c r="D75" s="61">
        <f>SUM(D73:D74)</f>
        <v>41684283.52089981</v>
      </c>
      <c r="E75" s="61">
        <f>SUM(E73:E74)</f>
        <v>64764994.122128837</v>
      </c>
      <c r="F75" s="61">
        <f t="shared" ref="F75:AE75" si="31">SUM(F73:F74)</f>
        <v>88973687.576218754</v>
      </c>
      <c r="G75" s="61">
        <f t="shared" si="31"/>
        <v>114352337.58168682</v>
      </c>
      <c r="H75" s="61">
        <f t="shared" si="31"/>
        <v>140944311.53269312</v>
      </c>
      <c r="I75" s="61">
        <f t="shared" si="31"/>
        <v>168794413.97026122</v>
      </c>
      <c r="J75" s="61">
        <f t="shared" si="31"/>
        <v>197948931.33499974</v>
      </c>
      <c r="K75" s="61">
        <f t="shared" si="31"/>
        <v>228455678.05924377</v>
      </c>
      <c r="L75" s="61">
        <f t="shared" si="31"/>
        <v>260364044.03761566</v>
      </c>
      <c r="M75" s="61">
        <f t="shared" si="31"/>
        <v>293725043.516119</v>
      </c>
      <c r="N75" s="61">
        <f t="shared" si="31"/>
        <v>328591365.44102401</v>
      </c>
      <c r="O75" s="61">
        <f t="shared" si="31"/>
        <v>365017425.30997664</v>
      </c>
      <c r="P75" s="61">
        <f t="shared" si="31"/>
        <v>403059418.56897628</v>
      </c>
      <c r="Q75" s="61">
        <f t="shared" si="31"/>
        <v>442775375.60010719</v>
      </c>
      <c r="R75" s="61">
        <f t="shared" si="31"/>
        <v>484225218.3461892</v>
      </c>
      <c r="S75" s="61">
        <f t="shared" si="31"/>
        <v>527470818.61982512</v>
      </c>
      <c r="T75" s="61">
        <f t="shared" si="31"/>
        <v>572576058.14567649</v>
      </c>
      <c r="U75" s="61">
        <f t="shared" si="31"/>
        <v>619606890.38618314</v>
      </c>
      <c r="V75" s="61">
        <f t="shared" si="31"/>
        <v>668631404.20237386</v>
      </c>
      <c r="W75" s="61">
        <f t="shared" si="31"/>
        <v>719719889.40288293</v>
      </c>
      <c r="X75" s="61">
        <f t="shared" si="31"/>
        <v>772944904.23579109</v>
      </c>
      <c r="Y75" s="61">
        <f t="shared" si="31"/>
        <v>828381344.87946796</v>
      </c>
      <c r="Z75" s="61">
        <f t="shared" si="31"/>
        <v>886106516.99018133</v>
      </c>
      <c r="AA75" s="61">
        <f t="shared" si="31"/>
        <v>946200209.36588037</v>
      </c>
      <c r="AB75" s="61">
        <f t="shared" si="31"/>
        <v>1008744769.7872458</v>
      </c>
      <c r="AC75" s="61">
        <f t="shared" si="31"/>
        <v>1073825183.0988259</v>
      </c>
      <c r="AD75" s="61">
        <f t="shared" si="31"/>
        <v>1141529151.5948677</v>
      </c>
      <c r="AE75" s="61">
        <f t="shared" si="31"/>
        <v>1211947177.7762737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0</v>
      </c>
      <c r="D77" s="61">
        <f>ABS(((MIN(ABS(D50),'Baseline System Analysis'!D14)*D61*1000*'Cost Assumptions'!$B$6)*'Cost Assumptions'!$B$13))</f>
        <v>0</v>
      </c>
      <c r="E77" s="61">
        <f>ABS(((MIN(ABS(E50),'Baseline System Analysis'!E14)*E61*1000*'Cost Assumptions'!$B$6)*'Cost Assumptions'!$B$13))</f>
        <v>0</v>
      </c>
      <c r="F77" s="61">
        <f>ABS(((MIN(ABS(F50),'Baseline System Analysis'!F14)*F61*1000*'Cost Assumptions'!$B$6)*'Cost Assumptions'!$B$13))</f>
        <v>0</v>
      </c>
      <c r="G77" s="61">
        <f>ABS(((MIN(ABS(G50),'Baseline System Analysis'!G14)*G61*1000*'Cost Assumptions'!$B$6)*'Cost Assumptions'!$B$13))</f>
        <v>0</v>
      </c>
      <c r="H77" s="61">
        <f>ABS(((MIN(ABS(H50),'Baseline System Analysis'!H14)*H61*1000*'Cost Assumptions'!$B$6)*'Cost Assumptions'!$B$13))</f>
        <v>0</v>
      </c>
      <c r="I77" s="61">
        <f>ABS(((MIN(ABS(I50),'Baseline System Analysis'!I14)*I61*1000*'Cost Assumptions'!$B$6)*'Cost Assumptions'!$B$13))</f>
        <v>0</v>
      </c>
      <c r="J77" s="61">
        <f>ABS(((MIN(ABS(J50),'Baseline System Analysis'!J14)*J61*1000*'Cost Assumptions'!$B$6)*'Cost Assumptions'!$B$13))</f>
        <v>0</v>
      </c>
      <c r="K77" s="61">
        <f>ABS(((MIN(ABS(K50),'Baseline System Analysis'!K14)*K61*1000*'Cost Assumptions'!$B$6)*'Cost Assumptions'!$B$13))</f>
        <v>0</v>
      </c>
      <c r="L77" s="61">
        <f>ABS(((MIN(ABS(L50),'Baseline System Analysis'!L14)*L61*1000*'Cost Assumptions'!$B$6)*'Cost Assumptions'!$B$13))</f>
        <v>0</v>
      </c>
      <c r="M77" s="61">
        <f>ABS(((MIN(ABS(M50),'Baseline System Analysis'!M14)*M61*1000*'Cost Assumptions'!$B$6)*'Cost Assumptions'!$B$13))</f>
        <v>0</v>
      </c>
      <c r="N77" s="61">
        <f>ABS(((MIN(ABS(N50),'Baseline System Analysis'!N14)*N61*1000*'Cost Assumptions'!$B$6)*'Cost Assumptions'!$B$13))</f>
        <v>0</v>
      </c>
      <c r="O77" s="61">
        <f>ABS(((MIN(ABS(O50),'Baseline System Analysis'!O14)*O61*1000*'Cost Assumptions'!$B$6)*'Cost Assumptions'!$B$13))</f>
        <v>0</v>
      </c>
      <c r="P77" s="61">
        <f>ABS(((MIN(ABS(P50),'Baseline System Analysis'!P14)*P61*1000*'Cost Assumptions'!$B$6)*'Cost Assumptions'!$B$13))</f>
        <v>0</v>
      </c>
      <c r="Q77" s="61">
        <f>ABS(((MIN(ABS(Q50),'Baseline System Analysis'!Q14)*Q61*1000*'Cost Assumptions'!$B$6)*'Cost Assumptions'!$B$13))</f>
        <v>0</v>
      </c>
      <c r="R77" s="61">
        <f>ABS(((MIN(ABS(R50),'Baseline System Analysis'!R14)*R61*1000*'Cost Assumptions'!$B$6)*'Cost Assumptions'!$B$13))</f>
        <v>0</v>
      </c>
      <c r="S77" s="61">
        <f>ABS(((MIN(ABS(S50),'Baseline System Analysis'!S14)*S61*1000*'Cost Assumptions'!$B$6)*'Cost Assumptions'!$B$13))</f>
        <v>0</v>
      </c>
      <c r="T77" s="61">
        <f>ABS(((MIN(ABS(T50),'Baseline System Analysis'!T14)*T61*1000*'Cost Assumptions'!$B$6)*'Cost Assumptions'!$B$13))</f>
        <v>0</v>
      </c>
      <c r="U77" s="61">
        <f>ABS(((MIN(ABS(U50),'Baseline System Analysis'!U14)*U61*1000*'Cost Assumptions'!$B$6)*'Cost Assumptions'!$B$13))</f>
        <v>0</v>
      </c>
      <c r="V77" s="61">
        <f>ABS(((MIN(ABS(V50),'Baseline System Analysis'!V14)*V61*1000*'Cost Assumptions'!$B$6)*'Cost Assumptions'!$B$13))</f>
        <v>0</v>
      </c>
      <c r="W77" s="61">
        <f>ABS(((MIN(ABS(W50),'Baseline System Analysis'!W14)*W61*1000*'Cost Assumptions'!$B$6)*'Cost Assumptions'!$B$13))</f>
        <v>0</v>
      </c>
      <c r="X77" s="61">
        <f>ABS(((MIN(ABS(X50),'Baseline System Analysis'!X14)*X61*1000*'Cost Assumptions'!$B$6)*'Cost Assumptions'!$B$13))</f>
        <v>0</v>
      </c>
      <c r="Y77" s="61">
        <f>ABS(((MIN(ABS(Y50),'Baseline System Analysis'!Y14)*Y61*1000*'Cost Assumptions'!$B$6)*'Cost Assumptions'!$B$13))</f>
        <v>0</v>
      </c>
      <c r="Z77" s="61">
        <f>ABS(((MIN(ABS(Z50),'Baseline System Analysis'!Z14)*Z61*1000*'Cost Assumptions'!$B$6)*'Cost Assumptions'!$B$13))</f>
        <v>0</v>
      </c>
      <c r="AA77" s="61">
        <f>ABS(((MIN(ABS(AA50),'Baseline System Analysis'!AA14)*AA61*1000*'Cost Assumptions'!$B$6)*'Cost Assumptions'!$B$13))</f>
        <v>0</v>
      </c>
      <c r="AB77" s="61">
        <f>ABS(((MIN(ABS(AB50),'Baseline System Analysis'!AB14)*AB61*1000*'Cost Assumptions'!$B$6)*'Cost Assumptions'!$B$13))</f>
        <v>0</v>
      </c>
      <c r="AC77" s="61">
        <f>ABS(((MIN(ABS(AC50),'Baseline System Analysis'!AC14)*AC61*1000*'Cost Assumptions'!$B$6)*'Cost Assumptions'!$B$13))</f>
        <v>0</v>
      </c>
      <c r="AD77" s="61">
        <f>ABS(((MIN(ABS(AD50),'Baseline System Analysis'!AD14)*AD61*1000*'Cost Assumptions'!$B$6)*'Cost Assumptions'!$B$13))</f>
        <v>0</v>
      </c>
      <c r="AE77" s="61">
        <f>ABS(((MIN(ABS(AE50),'Baseline System Analysis'!AE14)*AE61*1000*'Cost Assumptions'!$B$6)*'Cost Assumptions'!$B$13))</f>
        <v>0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0</v>
      </c>
      <c r="D78" s="61">
        <f>ABS(((MIN(ABS(D50),'Baseline System Analysis'!D14)*D63*1000*'Cost Assumptions'!$B$6)*'Cost Assumptions'!$B$13))</f>
        <v>0</v>
      </c>
      <c r="E78" s="61">
        <f>ABS(((MIN(ABS(E50),'Baseline System Analysis'!E14)*E63*1000*'Cost Assumptions'!$B$6)*'Cost Assumptions'!$B$13))</f>
        <v>0</v>
      </c>
      <c r="F78" s="61">
        <f>ABS(((MIN(ABS(F50),'Baseline System Analysis'!F14)*F63*1000*'Cost Assumptions'!$B$6)*'Cost Assumptions'!$B$13))</f>
        <v>0</v>
      </c>
      <c r="G78" s="61">
        <f>ABS(((MIN(ABS(G50),'Baseline System Analysis'!G14)*G63*1000*'Cost Assumptions'!$B$6)*'Cost Assumptions'!$B$13))</f>
        <v>0</v>
      </c>
      <c r="H78" s="61">
        <f>ABS(((MIN(ABS(H50),'Baseline System Analysis'!H14)*H63*1000*'Cost Assumptions'!$B$6)*'Cost Assumptions'!$B$13))</f>
        <v>0</v>
      </c>
      <c r="I78" s="61">
        <f>ABS(((MIN(ABS(I50),'Baseline System Analysis'!I14)*I63*1000*'Cost Assumptions'!$B$6)*'Cost Assumptions'!$B$13))</f>
        <v>0</v>
      </c>
      <c r="J78" s="61">
        <f>ABS(((MIN(ABS(J50),'Baseline System Analysis'!J14)*J63*1000*'Cost Assumptions'!$B$6)*'Cost Assumptions'!$B$13))</f>
        <v>0</v>
      </c>
      <c r="K78" s="61">
        <f>ABS(((MIN(ABS(K50),'Baseline System Analysis'!K14)*K63*1000*'Cost Assumptions'!$B$6)*'Cost Assumptions'!$B$13))</f>
        <v>0</v>
      </c>
      <c r="L78" s="61">
        <f>ABS(((MIN(ABS(L50),'Baseline System Analysis'!L14)*L63*1000*'Cost Assumptions'!$B$6)*'Cost Assumptions'!$B$13))</f>
        <v>0</v>
      </c>
      <c r="M78" s="61">
        <f>ABS(((MIN(ABS(M50),'Baseline System Analysis'!M14)*M63*1000*'Cost Assumptions'!$B$6)*'Cost Assumptions'!$B$13))</f>
        <v>0</v>
      </c>
      <c r="N78" s="61">
        <f>ABS(((MIN(ABS(N50),'Baseline System Analysis'!N14)*N63*1000*'Cost Assumptions'!$B$6)*'Cost Assumptions'!$B$13))</f>
        <v>0</v>
      </c>
      <c r="O78" s="61">
        <f>ABS(((MIN(ABS(O50),'Baseline System Analysis'!O14)*O63*1000*'Cost Assumptions'!$B$6)*'Cost Assumptions'!$B$13))</f>
        <v>0</v>
      </c>
      <c r="P78" s="61">
        <f>ABS(((MIN(ABS(P50),'Baseline System Analysis'!P14)*P63*1000*'Cost Assumptions'!$B$6)*'Cost Assumptions'!$B$13))</f>
        <v>0</v>
      </c>
      <c r="Q78" s="61">
        <f>ABS(((MIN(ABS(Q50),'Baseline System Analysis'!Q14)*Q63*1000*'Cost Assumptions'!$B$6)*'Cost Assumptions'!$B$13))</f>
        <v>0</v>
      </c>
      <c r="R78" s="61">
        <f>ABS(((MIN(ABS(R50),'Baseline System Analysis'!R14)*R63*1000*'Cost Assumptions'!$B$6)*'Cost Assumptions'!$B$13))</f>
        <v>0</v>
      </c>
      <c r="S78" s="61">
        <f>ABS(((MIN(ABS(S50),'Baseline System Analysis'!S14)*S63*1000*'Cost Assumptions'!$B$6)*'Cost Assumptions'!$B$13))</f>
        <v>0</v>
      </c>
      <c r="T78" s="61">
        <f>ABS(((MIN(ABS(T50),'Baseline System Analysis'!T14)*T63*1000*'Cost Assumptions'!$B$6)*'Cost Assumptions'!$B$13))</f>
        <v>0</v>
      </c>
      <c r="U78" s="61">
        <f>ABS(((MIN(ABS(U50),'Baseline System Analysis'!U14)*U63*1000*'Cost Assumptions'!$B$6)*'Cost Assumptions'!$B$13))</f>
        <v>0</v>
      </c>
      <c r="V78" s="61">
        <f>ABS(((MIN(ABS(V50),'Baseline System Analysis'!V14)*V63*1000*'Cost Assumptions'!$B$6)*'Cost Assumptions'!$B$13))</f>
        <v>0</v>
      </c>
      <c r="W78" s="61">
        <f>ABS(((MIN(ABS(W50),'Baseline System Analysis'!W14)*W63*1000*'Cost Assumptions'!$B$6)*'Cost Assumptions'!$B$13))</f>
        <v>0</v>
      </c>
      <c r="X78" s="61">
        <f>ABS(((MIN(ABS(X50),'Baseline System Analysis'!X14)*X63*1000*'Cost Assumptions'!$B$6)*'Cost Assumptions'!$B$13))</f>
        <v>0</v>
      </c>
      <c r="Y78" s="61">
        <f>ABS(((MIN(ABS(Y50),'Baseline System Analysis'!Y14)*Y63*1000*'Cost Assumptions'!$B$6)*'Cost Assumptions'!$B$13))</f>
        <v>0</v>
      </c>
      <c r="Z78" s="61">
        <f>ABS(((MIN(ABS(Z50),'Baseline System Analysis'!Z14)*Z63*1000*'Cost Assumptions'!$B$6)*'Cost Assumptions'!$B$13))</f>
        <v>0</v>
      </c>
      <c r="AA78" s="61">
        <f>ABS(((MIN(ABS(AA50),'Baseline System Analysis'!AA14)*AA63*1000*'Cost Assumptions'!$B$6)*'Cost Assumptions'!$B$13))</f>
        <v>0</v>
      </c>
      <c r="AB78" s="61">
        <f>ABS(((MIN(ABS(AB50),'Baseline System Analysis'!AB14)*AB63*1000*'Cost Assumptions'!$B$6)*'Cost Assumptions'!$B$13))</f>
        <v>0</v>
      </c>
      <c r="AC78" s="61">
        <f>ABS(((MIN(ABS(AC50),'Baseline System Analysis'!AC14)*AC63*1000*'Cost Assumptions'!$B$6)*'Cost Assumptions'!$B$13))</f>
        <v>0</v>
      </c>
      <c r="AD78" s="61">
        <f>ABS(((MIN(ABS(AD50),'Baseline System Analysis'!AD14)*AD63*1000*'Cost Assumptions'!$B$6)*'Cost Assumptions'!$B$13))</f>
        <v>0</v>
      </c>
      <c r="AE78" s="61">
        <f>ABS(((MIN(ABS(AE50),'Baseline System Analysis'!AE14)*AE63*1000*'Cost Assumptions'!$B$6)*'Cost Assumptions'!$B$13))</f>
        <v>0</v>
      </c>
    </row>
    <row r="79" spans="1:31" ht="29" x14ac:dyDescent="0.35">
      <c r="A79" s="3" t="s">
        <v>146</v>
      </c>
      <c r="B79" s="87" t="s">
        <v>152</v>
      </c>
      <c r="C79" s="17">
        <f>NPV('Cost Assumptions'!$B$3,D79:AE79)</f>
        <v>0</v>
      </c>
      <c r="D79" s="61">
        <f>SUM(D77:D78)</f>
        <v>0</v>
      </c>
      <c r="E79" s="61">
        <f>SUM(E77:E78)</f>
        <v>0</v>
      </c>
      <c r="F79" s="61">
        <f t="shared" ref="F79:AE79" si="32">SUM(F77:F78)</f>
        <v>0</v>
      </c>
      <c r="G79" s="61">
        <f t="shared" si="32"/>
        <v>0</v>
      </c>
      <c r="H79" s="61">
        <f t="shared" si="32"/>
        <v>0</v>
      </c>
      <c r="I79" s="61">
        <f t="shared" si="32"/>
        <v>0</v>
      </c>
      <c r="J79" s="61">
        <f t="shared" si="32"/>
        <v>0</v>
      </c>
      <c r="K79" s="61">
        <f t="shared" si="32"/>
        <v>0</v>
      </c>
      <c r="L79" s="61">
        <f t="shared" si="32"/>
        <v>0</v>
      </c>
      <c r="M79" s="61">
        <f t="shared" si="32"/>
        <v>0</v>
      </c>
      <c r="N79" s="61">
        <f t="shared" si="32"/>
        <v>0</v>
      </c>
      <c r="O79" s="61">
        <f t="shared" si="32"/>
        <v>0</v>
      </c>
      <c r="P79" s="61">
        <f t="shared" si="32"/>
        <v>0</v>
      </c>
      <c r="Q79" s="61">
        <f t="shared" si="32"/>
        <v>0</v>
      </c>
      <c r="R79" s="61">
        <f t="shared" si="32"/>
        <v>0</v>
      </c>
      <c r="S79" s="61">
        <f t="shared" si="32"/>
        <v>0</v>
      </c>
      <c r="T79" s="61">
        <f t="shared" si="32"/>
        <v>0</v>
      </c>
      <c r="U79" s="61">
        <f t="shared" si="32"/>
        <v>0</v>
      </c>
      <c r="V79" s="61">
        <f t="shared" si="32"/>
        <v>0</v>
      </c>
      <c r="W79" s="61">
        <f t="shared" si="32"/>
        <v>0</v>
      </c>
      <c r="X79" s="61">
        <f t="shared" si="32"/>
        <v>0</v>
      </c>
      <c r="Y79" s="61">
        <f t="shared" si="32"/>
        <v>0</v>
      </c>
      <c r="Z79" s="61">
        <f t="shared" si="32"/>
        <v>0</v>
      </c>
      <c r="AA79" s="61">
        <f t="shared" si="32"/>
        <v>0</v>
      </c>
      <c r="AB79" s="61">
        <f t="shared" si="32"/>
        <v>0</v>
      </c>
      <c r="AC79" s="61">
        <f t="shared" si="32"/>
        <v>0</v>
      </c>
      <c r="AD79" s="61">
        <f t="shared" si="32"/>
        <v>0</v>
      </c>
      <c r="AE79" s="61">
        <f t="shared" si="32"/>
        <v>0</v>
      </c>
    </row>
    <row r="80" spans="1:31" s="60" customForma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7241189.2668485343</v>
      </c>
      <c r="D81" s="61">
        <f>('Baseline System Analysis'!D42-D36)</f>
        <v>12233.271639754996</v>
      </c>
      <c r="E81" s="61">
        <f>('Baseline System Analysis'!E42-E36)</f>
        <v>32317.164910271764</v>
      </c>
      <c r="F81" s="61">
        <f>('Baseline System Analysis'!F42-F36)</f>
        <v>62281.983919799328</v>
      </c>
      <c r="G81" s="61">
        <f>('Baseline System Analysis'!G42-G36)</f>
        <v>86651.792475178838</v>
      </c>
      <c r="H81" s="61">
        <f>('Baseline System Analysis'!H42-H36)</f>
        <v>115198.99770839885</v>
      </c>
      <c r="I81" s="61">
        <f>('Baseline System Analysis'!I42-I36)</f>
        <v>146693.85573846474</v>
      </c>
      <c r="J81" s="61">
        <f>('Baseline System Analysis'!J42-J36)</f>
        <v>194036.88637859747</v>
      </c>
      <c r="K81" s="61">
        <f>('Baseline System Analysis'!K42-K36)</f>
        <v>253590.82905342057</v>
      </c>
      <c r="L81" s="61">
        <f>('Baseline System Analysis'!L42-L36)</f>
        <v>338333.22692206502</v>
      </c>
      <c r="M81" s="61">
        <f>('Baseline System Analysis'!M42-M36)</f>
        <v>440237.32939384878</v>
      </c>
      <c r="N81" s="61">
        <f>('Baseline System Analysis'!N42-N36)</f>
        <v>558099.17744505405</v>
      </c>
      <c r="O81" s="61">
        <f>('Baseline System Analysis'!O42-O36)</f>
        <v>681516.26356051862</v>
      </c>
      <c r="P81" s="61">
        <f>('Baseline System Analysis'!P42-P36)</f>
        <v>834398.33388056606</v>
      </c>
      <c r="Q81" s="61">
        <f>('Baseline System Analysis'!Q42-Q36)</f>
        <v>1008053.2199461162</v>
      </c>
      <c r="R81" s="61">
        <f>('Baseline System Analysis'!R42-R36)</f>
        <v>1203178.663316451</v>
      </c>
      <c r="S81" s="61">
        <f>('Baseline System Analysis'!S42-S36)</f>
        <v>1429313.1909573972</v>
      </c>
      <c r="T81" s="61">
        <f>('Baseline System Analysis'!T42-T36)</f>
        <v>1691247.6812781915</v>
      </c>
      <c r="U81" s="61">
        <f>('Baseline System Analysis'!U42-U36)</f>
        <v>1997534.2822565436</v>
      </c>
      <c r="V81" s="61">
        <f>('Baseline System Analysis'!V42-V36)</f>
        <v>2317050.7479646206</v>
      </c>
      <c r="W81" s="61">
        <f>('Baseline System Analysis'!W42-W36)</f>
        <v>2661400.1753453091</v>
      </c>
      <c r="X81" s="61">
        <f>('Baseline System Analysis'!X42-X36)</f>
        <v>3038973.2480574548</v>
      </c>
      <c r="Y81" s="61">
        <f>('Baseline System Analysis'!Y42-Y36)</f>
        <v>3425320.7771518975</v>
      </c>
      <c r="Z81" s="61">
        <f>('Baseline System Analysis'!Z42-Z36)</f>
        <v>3826095.8498544842</v>
      </c>
      <c r="AA81" s="61">
        <f>('Baseline System Analysis'!AA42-AA36)</f>
        <v>4266520.7975438237</v>
      </c>
      <c r="AB81" s="61">
        <f>('Baseline System Analysis'!AB42-AB36)</f>
        <v>4711148.9751283675</v>
      </c>
      <c r="AC81" s="61">
        <f>('Baseline System Analysis'!AC42-AC36)</f>
        <v>5222941.1515981257</v>
      </c>
      <c r="AD81" s="61">
        <f>('Baseline System Analysis'!AD42-AD36)</f>
        <v>5657779.5533702821</v>
      </c>
      <c r="AE81" s="61">
        <f>('Baseline System Analysis'!AE42-AE36)</f>
        <v>6173736.5041838884</v>
      </c>
    </row>
    <row r="83" spans="1:31" ht="20" thickBot="1" x14ac:dyDescent="0.5">
      <c r="A83" s="145" t="s">
        <v>61</v>
      </c>
      <c r="B83" s="145"/>
      <c r="C83" s="17">
        <f>NPV('Cost Assumptions'!$B$3,D83:AE83)/1000000</f>
        <v>3421.1625222188327</v>
      </c>
      <c r="D83" s="61">
        <f>SUM(D67,D71,D75,D79,D81)</f>
        <v>43648775.952782087</v>
      </c>
      <c r="E83" s="61">
        <f>SUM(E67,E71,E75,E79,E81)</f>
        <v>69925641.469512805</v>
      </c>
      <c r="F83" s="61">
        <f t="shared" ref="F83:AE83" si="33">SUM(F67,F71,F75,F79,F81)</f>
        <v>96855879.359147966</v>
      </c>
      <c r="G83" s="61">
        <f t="shared" si="33"/>
        <v>125363801.29524273</v>
      </c>
      <c r="H83" s="61">
        <f t="shared" si="33"/>
        <v>154209103.64243224</v>
      </c>
      <c r="I83" s="61">
        <f t="shared" si="33"/>
        <v>183784435.02602106</v>
      </c>
      <c r="J83" s="61">
        <f t="shared" si="33"/>
        <v>217927558.22425562</v>
      </c>
      <c r="K83" s="61">
        <f t="shared" si="33"/>
        <v>253157155.17803332</v>
      </c>
      <c r="L83" s="61">
        <f t="shared" si="33"/>
        <v>291602529.09623337</v>
      </c>
      <c r="M83" s="61">
        <f t="shared" si="33"/>
        <v>335300668.59134728</v>
      </c>
      <c r="N83" s="61">
        <f t="shared" si="33"/>
        <v>383130999.15596014</v>
      </c>
      <c r="O83" s="61">
        <f t="shared" si="33"/>
        <v>435319612.67429554</v>
      </c>
      <c r="P83" s="61">
        <f t="shared" si="33"/>
        <v>489899592.02442342</v>
      </c>
      <c r="Q83" s="61">
        <f t="shared" si="33"/>
        <v>542087977.08970463</v>
      </c>
      <c r="R83" s="61">
        <f t="shared" si="33"/>
        <v>600322143.67204893</v>
      </c>
      <c r="S83" s="61">
        <f t="shared" si="33"/>
        <v>664539123.97324479</v>
      </c>
      <c r="T83" s="61">
        <f t="shared" si="33"/>
        <v>732440432.80600524</v>
      </c>
      <c r="U83" s="61">
        <f t="shared" si="33"/>
        <v>804587036.16830397</v>
      </c>
      <c r="V83" s="61">
        <f t="shared" si="33"/>
        <v>881480431.74291801</v>
      </c>
      <c r="W83" s="61">
        <f t="shared" si="33"/>
        <v>966928038.28110242</v>
      </c>
      <c r="X83" s="61">
        <f t="shared" si="33"/>
        <v>1048835264.1309937</v>
      </c>
      <c r="Y83" s="61">
        <f t="shared" si="33"/>
        <v>1138298484.2031665</v>
      </c>
      <c r="Z83" s="61">
        <f t="shared" si="33"/>
        <v>1227506843.8372049</v>
      </c>
      <c r="AA83" s="61">
        <f t="shared" si="33"/>
        <v>1321325507.8154681</v>
      </c>
      <c r="AB83" s="61">
        <f t="shared" si="33"/>
        <v>1425513621.4794872</v>
      </c>
      <c r="AC83" s="61">
        <f t="shared" si="33"/>
        <v>1537221596.6398432</v>
      </c>
      <c r="AD83" s="61">
        <f t="shared" si="33"/>
        <v>1634751964.2332666</v>
      </c>
      <c r="AE83" s="61">
        <f t="shared" si="33"/>
        <v>1751106861.5875173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3422.0829051388182</v>
      </c>
      <c r="D84" s="61">
        <f>D83+D43</f>
        <v>43695727.952782094</v>
      </c>
      <c r="E84" s="61">
        <f t="shared" ref="E84:AE84" si="34">E83+E43</f>
        <v>69976979.619512811</v>
      </c>
      <c r="F84" s="61">
        <f t="shared" si="34"/>
        <v>96912359.100349903</v>
      </c>
      <c r="G84" s="61">
        <f t="shared" si="34"/>
        <v>125425647.62086293</v>
      </c>
      <c r="H84" s="61">
        <f t="shared" si="34"/>
        <v>154276549.58185336</v>
      </c>
      <c r="I84" s="61">
        <f t="shared" si="34"/>
        <v>183857721.90597966</v>
      </c>
      <c r="J84" s="61">
        <f t="shared" si="34"/>
        <v>218006935.93806642</v>
      </c>
      <c r="K84" s="61">
        <f t="shared" si="34"/>
        <v>253242882.46308896</v>
      </c>
      <c r="L84" s="61">
        <f t="shared" si="34"/>
        <v>291694873.82002497</v>
      </c>
      <c r="M84" s="61">
        <f t="shared" si="34"/>
        <v>335399908.04625845</v>
      </c>
      <c r="N84" s="61">
        <f t="shared" si="34"/>
        <v>383237420.36309451</v>
      </c>
      <c r="O84" s="61">
        <f>O83+O43</f>
        <v>435433512.69660491</v>
      </c>
      <c r="P84" s="61">
        <f t="shared" si="34"/>
        <v>490021278.28941214</v>
      </c>
      <c r="Q84" s="61">
        <f t="shared" si="34"/>
        <v>542217767.72199273</v>
      </c>
      <c r="R84" s="61">
        <f t="shared" si="34"/>
        <v>600460367.83608568</v>
      </c>
      <c r="S84" s="61">
        <f t="shared" si="34"/>
        <v>664686122.2264725</v>
      </c>
      <c r="T84" s="61">
        <f t="shared" si="34"/>
        <v>732596557.46278095</v>
      </c>
      <c r="U84" s="61">
        <f t="shared" si="34"/>
        <v>804752651.67489672</v>
      </c>
      <c r="V84" s="61">
        <f t="shared" si="34"/>
        <v>881655915.06390834</v>
      </c>
      <c r="W84" s="61">
        <f t="shared" si="34"/>
        <v>967113779.29751849</v>
      </c>
      <c r="X84" s="61">
        <f t="shared" si="34"/>
        <v>1049031666.0505311</v>
      </c>
      <c r="Y84" s="61">
        <f t="shared" si="34"/>
        <v>1138505963.982846</v>
      </c>
      <c r="Z84" s="61">
        <f t="shared" si="34"/>
        <v>1227725832.6188343</v>
      </c>
      <c r="AA84" s="61">
        <f t="shared" si="34"/>
        <v>1321556451.3742821</v>
      </c>
      <c r="AB84" s="61">
        <f t="shared" si="34"/>
        <v>1425756980.6863568</v>
      </c>
      <c r="AC84" s="61">
        <f t="shared" si="34"/>
        <v>1537477847.9374468</v>
      </c>
      <c r="AD84" s="61">
        <f t="shared" si="34"/>
        <v>1635021600.1266365</v>
      </c>
      <c r="AE84" s="61">
        <f t="shared" si="34"/>
        <v>1751390391.1493809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Summary!$D$10</f>
        <v>923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3.7075654443540826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42.65" customHeight="1" thickBot="1" x14ac:dyDescent="0.5">
      <c r="A90" s="168" t="s">
        <v>156</v>
      </c>
      <c r="B90" s="168"/>
      <c r="C90" s="87"/>
      <c r="D90" s="61">
        <v>5594.0223409252412</v>
      </c>
      <c r="E90" s="61">
        <v>6540.7403586060536</v>
      </c>
      <c r="F90" s="61">
        <v>7487.458376286866</v>
      </c>
      <c r="G90" s="61">
        <v>8434.1763939676785</v>
      </c>
      <c r="H90" s="61">
        <v>9380.8944116484909</v>
      </c>
      <c r="I90" s="61">
        <v>10327.612429329303</v>
      </c>
      <c r="J90" s="61">
        <v>11380.947907915088</v>
      </c>
      <c r="K90" s="61">
        <v>12434.283386500872</v>
      </c>
      <c r="L90" s="61">
        <v>13487.618865086657</v>
      </c>
      <c r="M90" s="61">
        <v>14540.954343672442</v>
      </c>
      <c r="N90" s="61">
        <v>15594.289822258223</v>
      </c>
      <c r="O90" s="61">
        <v>16380.294635364995</v>
      </c>
      <c r="P90" s="61">
        <v>17166.299448471767</v>
      </c>
      <c r="Q90" s="61">
        <v>17952.304261578538</v>
      </c>
      <c r="R90" s="61">
        <v>18738.309074685309</v>
      </c>
      <c r="S90" s="61">
        <v>19524.313887792083</v>
      </c>
      <c r="T90" s="61">
        <v>20191.760324977484</v>
      </c>
      <c r="U90" s="61">
        <v>20859.206762162885</v>
      </c>
      <c r="V90" s="61">
        <v>21526.653199348286</v>
      </c>
      <c r="W90" s="61">
        <v>22194.099636533687</v>
      </c>
      <c r="X90" s="61">
        <v>22861.546073719092</v>
      </c>
      <c r="Y90" s="61">
        <v>23366.539148546315</v>
      </c>
      <c r="Z90" s="61">
        <v>23871.532223373539</v>
      </c>
      <c r="AA90" s="61">
        <v>24376.525298200762</v>
      </c>
      <c r="AB90" s="61">
        <v>24881.518373027986</v>
      </c>
      <c r="AC90" s="61">
        <v>25386.51144785521</v>
      </c>
      <c r="AD90" s="61">
        <v>25670.3387391297</v>
      </c>
      <c r="AE90" s="61">
        <v>25954.166030404187</v>
      </c>
    </row>
    <row r="91" spans="1:31" ht="15" thickTop="1" x14ac:dyDescent="0.35">
      <c r="A91" s="87"/>
      <c r="B91" s="87"/>
      <c r="C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</row>
  </sheetData>
  <mergeCells count="9">
    <mergeCell ref="B18:B31"/>
    <mergeCell ref="B2:B15"/>
    <mergeCell ref="A90:B90"/>
    <mergeCell ref="B40:AE40"/>
    <mergeCell ref="A58:AE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91"/>
  <sheetViews>
    <sheetView zoomScale="85" zoomScaleNormal="85" workbookViewId="0"/>
  </sheetViews>
  <sheetFormatPr defaultRowHeight="14.5" x14ac:dyDescent="0.35"/>
  <cols>
    <col min="1" max="1" width="18.1796875" customWidth="1"/>
    <col min="2" max="2" width="26.7265625" bestFit="1" customWidth="1"/>
    <col min="3" max="3" width="22.81640625" customWidth="1"/>
    <col min="4" max="4" width="18" style="87" customWidth="1"/>
    <col min="5" max="5" width="14.81640625" bestFit="1" customWidth="1"/>
    <col min="6" max="11" width="15" bestFit="1" customWidth="1"/>
    <col min="12" max="12" width="13.81640625" bestFit="1" customWidth="1"/>
    <col min="13" max="29" width="14" bestFit="1" customWidth="1"/>
    <col min="30" max="31" width="14.179687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6" spans="1:31" s="60" customFormat="1" x14ac:dyDescent="0.35">
      <c r="A16" s="87"/>
      <c r="B16" s="87"/>
      <c r="C16" s="87"/>
      <c r="D16" s="87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15" customHeight="1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16</v>
      </c>
      <c r="C18" s="87" t="s">
        <v>107</v>
      </c>
      <c r="D18" s="61">
        <v>48849.324999999626</v>
      </c>
      <c r="E18" s="61">
        <v>49618.499999999782</v>
      </c>
      <c r="F18" s="61">
        <v>50168.163461538257</v>
      </c>
      <c r="G18" s="61">
        <v>50717.826923076733</v>
      </c>
      <c r="H18" s="61">
        <v>51267.490384615208</v>
      </c>
      <c r="I18" s="61">
        <v>51817.153846153684</v>
      </c>
      <c r="J18" s="61">
        <v>52366.817307692159</v>
      </c>
      <c r="K18" s="61">
        <v>52916.480769230635</v>
      </c>
      <c r="L18" s="61">
        <v>53466.14423076911</v>
      </c>
      <c r="M18" s="61">
        <v>54015.807692307586</v>
      </c>
      <c r="N18" s="61">
        <v>54565.471153846061</v>
      </c>
      <c r="O18" s="61">
        <v>55115.134615384537</v>
      </c>
      <c r="P18" s="61">
        <v>55664.798076923013</v>
      </c>
      <c r="Q18" s="61">
        <v>56214.461538461488</v>
      </c>
      <c r="R18" s="61">
        <v>56764.124999999964</v>
      </c>
      <c r="S18" s="61">
        <v>57313.788461538439</v>
      </c>
      <c r="T18" s="61">
        <v>57863.451923076915</v>
      </c>
      <c r="U18" s="61">
        <v>58413.11538461539</v>
      </c>
      <c r="V18" s="61">
        <v>58962.778846153866</v>
      </c>
      <c r="W18" s="61">
        <v>59512.442307692341</v>
      </c>
      <c r="X18" s="61">
        <v>60062.105769230817</v>
      </c>
      <c r="Y18" s="61">
        <v>60611.769230769292</v>
      </c>
      <c r="Z18" s="61">
        <v>61161.432692307768</v>
      </c>
      <c r="AA18" s="61">
        <v>61711.096153846243</v>
      </c>
      <c r="AB18" s="61">
        <v>62260.759615384719</v>
      </c>
      <c r="AC18" s="61">
        <v>62810.423076923194</v>
      </c>
      <c r="AD18" s="61">
        <v>63360.08653846167</v>
      </c>
      <c r="AE18" s="61">
        <v>63909.750000000138</v>
      </c>
    </row>
    <row r="19" spans="1:31" x14ac:dyDescent="0.35">
      <c r="A19" s="87" t="s">
        <v>30</v>
      </c>
      <c r="B19" s="167"/>
      <c r="C19" s="87" t="s">
        <v>31</v>
      </c>
      <c r="D19" s="61">
        <v>1.2999999999999829</v>
      </c>
      <c r="E19" s="61">
        <v>10.599999999999994</v>
      </c>
      <c r="F19" s="61">
        <v>21.783333333333324</v>
      </c>
      <c r="G19" s="61">
        <v>32.966666666666654</v>
      </c>
      <c r="H19" s="61">
        <v>44.149999999999984</v>
      </c>
      <c r="I19" s="61">
        <v>55.333333333333314</v>
      </c>
      <c r="J19" s="61">
        <v>66.516666666666652</v>
      </c>
      <c r="K19" s="61">
        <v>77.699999999999989</v>
      </c>
      <c r="L19" s="61">
        <v>100.67999999999999</v>
      </c>
      <c r="M19" s="61">
        <v>123.66</v>
      </c>
      <c r="N19" s="61">
        <v>146.64000000000001</v>
      </c>
      <c r="O19" s="61">
        <v>169.62000000000003</v>
      </c>
      <c r="P19" s="61">
        <v>192.60000000000002</v>
      </c>
      <c r="Q19" s="61">
        <v>209.84</v>
      </c>
      <c r="R19" s="61">
        <v>227.07999999999998</v>
      </c>
      <c r="S19" s="61">
        <v>244.31999999999996</v>
      </c>
      <c r="T19" s="61">
        <v>261.55999999999995</v>
      </c>
      <c r="U19" s="61">
        <v>278.79999999999995</v>
      </c>
      <c r="V19" s="61">
        <v>312.39999999999992</v>
      </c>
      <c r="W19" s="61">
        <v>345.99999999999989</v>
      </c>
      <c r="X19" s="61">
        <v>379.59999999999985</v>
      </c>
      <c r="Y19" s="61">
        <v>413.19999999999982</v>
      </c>
      <c r="Z19" s="61">
        <v>446.79999999999984</v>
      </c>
      <c r="AA19" s="61">
        <v>483.33999999999986</v>
      </c>
      <c r="AB19" s="61">
        <v>519.87999999999988</v>
      </c>
      <c r="AC19" s="61">
        <v>556.41999999999996</v>
      </c>
      <c r="AD19" s="61">
        <v>592.96</v>
      </c>
      <c r="AE19" s="61">
        <v>629.5</v>
      </c>
    </row>
    <row r="20" spans="1:31" x14ac:dyDescent="0.35">
      <c r="A20" s="87" t="s">
        <v>30</v>
      </c>
      <c r="B20" s="167"/>
      <c r="C20" s="87" t="s">
        <v>32</v>
      </c>
      <c r="D20" s="61">
        <v>1.1999999999999886</v>
      </c>
      <c r="E20" s="61">
        <v>4.4000000000000057</v>
      </c>
      <c r="F20" s="61">
        <v>5.6666666666666714</v>
      </c>
      <c r="G20" s="61">
        <v>6.9333333333333371</v>
      </c>
      <c r="H20" s="61">
        <v>8.2000000000000028</v>
      </c>
      <c r="I20" s="61">
        <v>9.4666666666666686</v>
      </c>
      <c r="J20" s="61">
        <v>10.733333333333334</v>
      </c>
      <c r="K20" s="61">
        <v>12</v>
      </c>
      <c r="L20" s="61">
        <v>14.580000000000007</v>
      </c>
      <c r="M20" s="61">
        <v>17.160000000000014</v>
      </c>
      <c r="N20" s="61">
        <v>19.74000000000002</v>
      </c>
      <c r="O20" s="61">
        <v>22.320000000000025</v>
      </c>
      <c r="P20" s="61">
        <v>24.900000000000034</v>
      </c>
      <c r="Q20" s="61">
        <v>24.600000000000033</v>
      </c>
      <c r="R20" s="61">
        <v>24.300000000000033</v>
      </c>
      <c r="S20" s="61">
        <v>24.000000000000032</v>
      </c>
      <c r="T20" s="61">
        <v>23.700000000000031</v>
      </c>
      <c r="U20" s="61">
        <v>23.400000000000034</v>
      </c>
      <c r="V20" s="61">
        <v>25.920000000000027</v>
      </c>
      <c r="W20" s="61">
        <v>28.440000000000019</v>
      </c>
      <c r="X20" s="61">
        <v>30.960000000000012</v>
      </c>
      <c r="Y20" s="61">
        <v>33.480000000000004</v>
      </c>
      <c r="Z20" s="61">
        <v>36</v>
      </c>
      <c r="AA20" s="61">
        <v>36.419999999999995</v>
      </c>
      <c r="AB20" s="61">
        <v>36.839999999999989</v>
      </c>
      <c r="AC20" s="61">
        <v>37.259999999999984</v>
      </c>
      <c r="AD20" s="61">
        <v>37.679999999999978</v>
      </c>
      <c r="AE20" s="61">
        <v>38.099999999999966</v>
      </c>
    </row>
    <row r="21" spans="1:31" x14ac:dyDescent="0.35">
      <c r="A21" s="87" t="s">
        <v>30</v>
      </c>
      <c r="B21" s="167"/>
      <c r="C21" s="87" t="s">
        <v>33</v>
      </c>
      <c r="D21" s="61">
        <v>2.6788584600682527E-3</v>
      </c>
      <c r="E21" s="61">
        <v>4.3685999502652048E-2</v>
      </c>
      <c r="F21" s="61">
        <v>0.20986108487496496</v>
      </c>
      <c r="G21" s="61">
        <v>0.37603617024727787</v>
      </c>
      <c r="H21" s="61">
        <v>0.54221125561959083</v>
      </c>
      <c r="I21" s="61">
        <v>0.70838634099190378</v>
      </c>
      <c r="J21" s="61">
        <v>0.87456142636421674</v>
      </c>
      <c r="K21" s="61">
        <v>1.0407365117365297</v>
      </c>
      <c r="L21" s="61">
        <v>2.1026153987040601</v>
      </c>
      <c r="M21" s="61">
        <v>3.1644942856715907</v>
      </c>
      <c r="N21" s="61">
        <v>4.2263731726391214</v>
      </c>
      <c r="O21" s="61">
        <v>5.288252059606652</v>
      </c>
      <c r="P21" s="61">
        <v>6.3501309465741818</v>
      </c>
      <c r="Q21" s="61">
        <v>8.0655054808844824</v>
      </c>
      <c r="R21" s="61">
        <v>9.7808800151947821</v>
      </c>
      <c r="S21" s="61">
        <v>11.496254549505082</v>
      </c>
      <c r="T21" s="61">
        <v>13.211629083815382</v>
      </c>
      <c r="U21" s="61">
        <v>14.92700361812568</v>
      </c>
      <c r="V21" s="61">
        <v>18.357296020729336</v>
      </c>
      <c r="W21" s="61">
        <v>21.787588423332995</v>
      </c>
      <c r="X21" s="61">
        <v>25.217880825936653</v>
      </c>
      <c r="Y21" s="61">
        <v>28.648173228540312</v>
      </c>
      <c r="Z21" s="61">
        <v>32.07846563114397</v>
      </c>
      <c r="AA21" s="61">
        <v>35.232889397048687</v>
      </c>
      <c r="AB21" s="61">
        <v>38.387313162953404</v>
      </c>
      <c r="AC21" s="61">
        <v>41.541736928858121</v>
      </c>
      <c r="AD21" s="61">
        <v>44.696160694762838</v>
      </c>
      <c r="AE21" s="61">
        <v>47.850584460667562</v>
      </c>
    </row>
    <row r="22" spans="1:31" x14ac:dyDescent="0.35">
      <c r="A22" s="87" t="s">
        <v>30</v>
      </c>
      <c r="B22" s="167"/>
      <c r="C22" s="87" t="s">
        <v>34</v>
      </c>
      <c r="D22" s="61">
        <v>1.3394292300341263E-3</v>
      </c>
      <c r="E22" s="61">
        <v>1.0921499875663012E-2</v>
      </c>
      <c r="F22" s="61">
        <v>2.2444025687879815E-2</v>
      </c>
      <c r="G22" s="61">
        <v>3.3966551500096615E-2</v>
      </c>
      <c r="H22" s="61">
        <v>4.5489077312313414E-2</v>
      </c>
      <c r="I22" s="61">
        <v>5.7011603124530214E-2</v>
      </c>
      <c r="J22" s="61">
        <v>6.8534128936747013E-2</v>
      </c>
      <c r="K22" s="61">
        <v>8.0056654748963826E-2</v>
      </c>
      <c r="L22" s="61">
        <v>0.1037336422152597</v>
      </c>
      <c r="M22" s="61">
        <v>0.12741062968155556</v>
      </c>
      <c r="N22" s="61">
        <v>0.15108761714785143</v>
      </c>
      <c r="O22" s="61">
        <v>0.17476460461414731</v>
      </c>
      <c r="P22" s="61">
        <v>0.19844159208044318</v>
      </c>
      <c r="Q22" s="61">
        <v>0.21648503518965012</v>
      </c>
      <c r="R22" s="61">
        <v>0.23452847829885706</v>
      </c>
      <c r="S22" s="61">
        <v>0.252571921408064</v>
      </c>
      <c r="T22" s="61">
        <v>0.27061536451727097</v>
      </c>
      <c r="U22" s="61">
        <v>0.28865880762647794</v>
      </c>
      <c r="V22" s="61">
        <v>0.32374679348436697</v>
      </c>
      <c r="W22" s="61">
        <v>0.35883477934225599</v>
      </c>
      <c r="X22" s="61">
        <v>0.39392276520014502</v>
      </c>
      <c r="Y22" s="61">
        <v>0.42901075105803405</v>
      </c>
      <c r="Z22" s="61">
        <v>0.46409873691592307</v>
      </c>
      <c r="AA22" s="61">
        <v>0.50274126116675855</v>
      </c>
      <c r="AB22" s="61">
        <v>0.54138378541759402</v>
      </c>
      <c r="AC22" s="61">
        <v>0.5800263096684295</v>
      </c>
      <c r="AD22" s="61">
        <v>0.61866883391926497</v>
      </c>
      <c r="AE22" s="61">
        <v>0.65731135817010067</v>
      </c>
    </row>
    <row r="23" spans="1:31" x14ac:dyDescent="0.35">
      <c r="A23" s="87" t="s">
        <v>30</v>
      </c>
      <c r="B23" s="167"/>
      <c r="C23" s="87" t="s">
        <v>35</v>
      </c>
      <c r="D23" s="61">
        <v>2</v>
      </c>
      <c r="E23" s="61">
        <v>4</v>
      </c>
      <c r="F23" s="61">
        <v>5.5</v>
      </c>
      <c r="G23" s="61">
        <v>7</v>
      </c>
      <c r="H23" s="61">
        <v>8.5</v>
      </c>
      <c r="I23" s="61">
        <v>10</v>
      </c>
      <c r="J23" s="61">
        <v>11.5</v>
      </c>
      <c r="K23" s="61">
        <v>13</v>
      </c>
      <c r="L23" s="61">
        <v>16.8</v>
      </c>
      <c r="M23" s="61">
        <v>20.6</v>
      </c>
      <c r="N23" s="61">
        <v>24.400000000000002</v>
      </c>
      <c r="O23" s="61">
        <v>28.200000000000003</v>
      </c>
      <c r="P23" s="61">
        <v>32</v>
      </c>
      <c r="Q23" s="61">
        <v>36.4</v>
      </c>
      <c r="R23" s="61">
        <v>40.799999999999997</v>
      </c>
      <c r="S23" s="61">
        <v>45.199999999999996</v>
      </c>
      <c r="T23" s="61">
        <v>49.599999999999994</v>
      </c>
      <c r="U23" s="61">
        <v>54</v>
      </c>
      <c r="V23" s="61">
        <v>58.2</v>
      </c>
      <c r="W23" s="61">
        <v>62.400000000000006</v>
      </c>
      <c r="X23" s="61">
        <v>66.600000000000009</v>
      </c>
      <c r="Y23" s="61">
        <v>70.800000000000011</v>
      </c>
      <c r="Z23" s="61">
        <v>75</v>
      </c>
      <c r="AA23" s="61">
        <v>78.8</v>
      </c>
      <c r="AB23" s="61">
        <v>82.6</v>
      </c>
      <c r="AC23" s="61">
        <v>86.399999999999991</v>
      </c>
      <c r="AD23" s="61">
        <v>90.199999999999989</v>
      </c>
      <c r="AE23" s="61">
        <v>94</v>
      </c>
    </row>
    <row r="24" spans="1:31" x14ac:dyDescent="0.35">
      <c r="A24" s="87" t="s">
        <v>30</v>
      </c>
      <c r="B24" s="167"/>
      <c r="C24" s="87" t="s">
        <v>108</v>
      </c>
      <c r="D24" s="61">
        <v>1062.8604651526903</v>
      </c>
      <c r="E24" s="61">
        <v>2091.4078552237397</v>
      </c>
      <c r="F24" s="61">
        <v>3119.9552452947883</v>
      </c>
      <c r="G24" s="61">
        <v>4148.5026353658377</v>
      </c>
      <c r="H24" s="61">
        <v>5177.0500254368853</v>
      </c>
      <c r="I24" s="61">
        <v>6205.5974155079348</v>
      </c>
      <c r="J24" s="61">
        <v>7234.1448055789842</v>
      </c>
      <c r="K24" s="61">
        <v>8262.6921956500337</v>
      </c>
      <c r="L24" s="61">
        <v>9291.2395857210831</v>
      </c>
      <c r="M24" s="61">
        <v>10319.786975792129</v>
      </c>
      <c r="N24" s="61">
        <v>11348.334365863175</v>
      </c>
      <c r="O24" s="61">
        <v>12376.881755934221</v>
      </c>
      <c r="P24" s="61">
        <v>13405.429146005266</v>
      </c>
      <c r="Q24" s="61">
        <v>14433.976536076312</v>
      </c>
      <c r="R24" s="61">
        <v>15462.523926147354</v>
      </c>
      <c r="S24" s="61">
        <v>16491.071316218397</v>
      </c>
      <c r="T24" s="61">
        <v>17519.618706289439</v>
      </c>
      <c r="U24" s="61">
        <v>18548.166096360481</v>
      </c>
      <c r="V24" s="61">
        <v>19576.713486431523</v>
      </c>
      <c r="W24" s="61">
        <v>20605.260876502565</v>
      </c>
      <c r="X24" s="61">
        <v>21633.808266573615</v>
      </c>
      <c r="Y24" s="61">
        <v>22662.355656644664</v>
      </c>
      <c r="Z24" s="61">
        <v>23690.903046715714</v>
      </c>
      <c r="AA24" s="61">
        <v>24719.450436786763</v>
      </c>
      <c r="AB24" s="61">
        <v>25747.997826857812</v>
      </c>
      <c r="AC24" s="61">
        <v>26776.545216928862</v>
      </c>
      <c r="AD24" s="61">
        <v>27805.092606999911</v>
      </c>
      <c r="AE24" s="61">
        <v>28833.639997071019</v>
      </c>
    </row>
    <row r="25" spans="1:31" x14ac:dyDescent="0.35">
      <c r="A25" s="87" t="s">
        <v>30</v>
      </c>
      <c r="B25" s="167"/>
      <c r="C25" s="87" t="s">
        <v>109</v>
      </c>
      <c r="D25" s="61">
        <v>141086.1702904517</v>
      </c>
      <c r="E25" s="61">
        <v>144165.82489178426</v>
      </c>
      <c r="F25" s="61">
        <v>147245.47949311711</v>
      </c>
      <c r="G25" s="61">
        <v>149074.51293654789</v>
      </c>
      <c r="H25" s="61">
        <v>150919.179144453</v>
      </c>
      <c r="I25" s="61">
        <v>152748.21258788393</v>
      </c>
      <c r="J25" s="61">
        <v>154733.57367605288</v>
      </c>
      <c r="K25" s="61">
        <v>156703.30199974778</v>
      </c>
      <c r="L25" s="61">
        <v>158673.03032344286</v>
      </c>
      <c r="M25" s="61">
        <v>160642.75864713761</v>
      </c>
      <c r="N25" s="61">
        <v>162659.38526425409</v>
      </c>
      <c r="O25" s="61">
        <v>164676.01188137045</v>
      </c>
      <c r="P25" s="61">
        <v>166708.27126296054</v>
      </c>
      <c r="Q25" s="61">
        <v>168724.89788007684</v>
      </c>
      <c r="R25" s="61">
        <v>170678.99343929789</v>
      </c>
      <c r="S25" s="61">
        <v>172633.08899851915</v>
      </c>
      <c r="T25" s="61">
        <v>174602.81732221428</v>
      </c>
      <c r="U25" s="61">
        <v>176556.91288143542</v>
      </c>
      <c r="V25" s="61">
        <v>178370.31356039262</v>
      </c>
      <c r="W25" s="61">
        <v>180183.71423935014</v>
      </c>
      <c r="X25" s="61">
        <v>181997.1149183074</v>
      </c>
      <c r="Y25" s="61">
        <v>183794.88283279102</v>
      </c>
      <c r="Z25" s="61">
        <v>185405.05757358941</v>
      </c>
      <c r="AA25" s="61">
        <v>186999.5995499136</v>
      </c>
      <c r="AB25" s="61">
        <v>188594.14152623827</v>
      </c>
      <c r="AC25" s="61">
        <v>190204.31626703651</v>
      </c>
      <c r="AD25" s="61">
        <v>191564.36677625446</v>
      </c>
      <c r="AE25" s="61">
        <v>192924.41728547239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19646.611636077985</v>
      </c>
      <c r="E26" s="61">
        <v>22588.997695976221</v>
      </c>
      <c r="F26" s="61">
        <v>25771.727449706639</v>
      </c>
      <c r="G26" s="61">
        <v>27776.21689041119</v>
      </c>
      <c r="H26" s="61">
        <v>29895.442276135811</v>
      </c>
      <c r="I26" s="61">
        <v>32061.702679361944</v>
      </c>
      <c r="J26" s="61">
        <v>34501.465671379687</v>
      </c>
      <c r="K26" s="61">
        <v>37006.142650254194</v>
      </c>
      <c r="L26" s="61">
        <v>39617.237786424215</v>
      </c>
      <c r="M26" s="61">
        <v>42313.533536448529</v>
      </c>
      <c r="N26" s="61">
        <v>45181.157242540532</v>
      </c>
      <c r="O26" s="61">
        <v>48158.57127577909</v>
      </c>
      <c r="P26" s="61">
        <v>51239.604444725264</v>
      </c>
      <c r="Q26" s="61">
        <v>54402.559307971438</v>
      </c>
      <c r="R26" s="61">
        <v>57566.843418086697</v>
      </c>
      <c r="S26" s="61">
        <v>60844.467565614621</v>
      </c>
      <c r="T26" s="61">
        <v>64280.191751636892</v>
      </c>
      <c r="U26" s="61">
        <v>67798.26202107819</v>
      </c>
      <c r="V26" s="61">
        <v>71155.874202448045</v>
      </c>
      <c r="W26" s="61">
        <v>74572.337246117633</v>
      </c>
      <c r="X26" s="61">
        <v>78072.11358979861</v>
      </c>
      <c r="Y26" s="61">
        <v>81601.969931761661</v>
      </c>
      <c r="Z26" s="61">
        <v>84794.911493278225</v>
      </c>
      <c r="AA26" s="61">
        <v>87999.279638085296</v>
      </c>
      <c r="AB26" s="61">
        <v>91257.191540660948</v>
      </c>
      <c r="AC26" s="61">
        <v>94604.889501165992</v>
      </c>
      <c r="AD26" s="61">
        <v>97466.769032356431</v>
      </c>
      <c r="AE26" s="61">
        <v>100353.22405093325</v>
      </c>
    </row>
    <row r="27" spans="1:31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</row>
    <row r="28" spans="1:31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</row>
    <row r="29" spans="1:31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</row>
    <row r="30" spans="1:31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</row>
    <row r="31" spans="1:31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277.60269121778202</v>
      </c>
      <c r="E34" s="61">
        <v>3055.4868892540076</v>
      </c>
      <c r="F34" s="61">
        <v>5833.3710872902329</v>
      </c>
      <c r="G34" s="61">
        <v>8611.2552853264588</v>
      </c>
      <c r="H34" s="61">
        <v>11389.139483362684</v>
      </c>
      <c r="I34" s="61">
        <v>14167.023681398909</v>
      </c>
      <c r="J34" s="61">
        <v>16944.907879435134</v>
      </c>
      <c r="K34" s="61">
        <v>19722.792077471357</v>
      </c>
      <c r="L34" s="61">
        <v>26840.726000146762</v>
      </c>
      <c r="M34" s="61">
        <v>33958.659922822168</v>
      </c>
      <c r="N34" s="61">
        <v>41076.593845497569</v>
      </c>
      <c r="O34" s="61">
        <v>48194.527768172971</v>
      </c>
      <c r="P34" s="61">
        <v>55312.46169084838</v>
      </c>
      <c r="Q34" s="61">
        <v>62347.716590939061</v>
      </c>
      <c r="R34" s="61">
        <v>69382.971491029748</v>
      </c>
      <c r="S34" s="61">
        <v>76418.226391120435</v>
      </c>
      <c r="T34" s="61">
        <v>83453.481291211123</v>
      </c>
      <c r="U34" s="61">
        <v>90488.736191301781</v>
      </c>
      <c r="V34" s="61">
        <v>107611.42850140887</v>
      </c>
      <c r="W34" s="61">
        <v>124734.12081151595</v>
      </c>
      <c r="X34" s="61">
        <v>141856.81312162304</v>
      </c>
      <c r="Y34" s="61">
        <v>158979.50543173013</v>
      </c>
      <c r="Z34" s="61">
        <v>176102.19774183718</v>
      </c>
      <c r="AA34" s="61">
        <v>203735.55477193336</v>
      </c>
      <c r="AB34" s="61">
        <v>231368.91180202953</v>
      </c>
      <c r="AC34" s="61">
        <v>259002.2688321257</v>
      </c>
      <c r="AD34" s="61">
        <v>286635.62586222187</v>
      </c>
      <c r="AE34" s="61">
        <v>314268.9828923181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1151.908433284922</v>
      </c>
      <c r="E35" s="61">
        <v>3929.7926313211474</v>
      </c>
      <c r="F35" s="61">
        <v>6707.6768293573732</v>
      </c>
      <c r="G35" s="61">
        <v>9485.5610273935981</v>
      </c>
      <c r="H35" s="61">
        <v>12263.445225429823</v>
      </c>
      <c r="I35" s="61">
        <v>15041.329423466048</v>
      </c>
      <c r="J35" s="61">
        <v>17819.213621502273</v>
      </c>
      <c r="K35" s="61">
        <v>81839.446232677714</v>
      </c>
      <c r="L35" s="61">
        <v>88957.380155353123</v>
      </c>
      <c r="M35" s="61">
        <v>96075.314078028532</v>
      </c>
      <c r="N35" s="61">
        <v>103193.24800070394</v>
      </c>
      <c r="O35" s="61">
        <v>110311.18192337935</v>
      </c>
      <c r="P35" s="61">
        <v>229518.27595018689</v>
      </c>
      <c r="Q35" s="61">
        <v>258710.96646112247</v>
      </c>
      <c r="R35" s="61">
        <v>265746.22136121313</v>
      </c>
      <c r="S35" s="61">
        <v>272781.47626130382</v>
      </c>
      <c r="T35" s="61">
        <v>279816.73116139451</v>
      </c>
      <c r="U35" s="61">
        <v>375481.72850486485</v>
      </c>
      <c r="V35" s="61">
        <v>446532.09759902378</v>
      </c>
      <c r="W35" s="61">
        <v>517582.46669318271</v>
      </c>
      <c r="X35" s="61">
        <v>588632.83578734158</v>
      </c>
      <c r="Y35" s="61">
        <v>659683.20488150045</v>
      </c>
      <c r="Z35" s="61">
        <v>730733.57397565944</v>
      </c>
      <c r="AA35" s="61">
        <v>845397.79737819545</v>
      </c>
      <c r="AB35" s="61">
        <v>960062.02078073146</v>
      </c>
      <c r="AC35" s="61">
        <v>1074726.2441832675</v>
      </c>
      <c r="AD35" s="61">
        <v>1189390.4675858035</v>
      </c>
      <c r="AE35" s="61">
        <v>1304054.6909883395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5799348.3160595065</v>
      </c>
      <c r="E36" s="61">
        <v>6749515.6314640911</v>
      </c>
      <c r="F36" s="61">
        <v>7911536.0081147701</v>
      </c>
      <c r="G36" s="61">
        <v>8597773.9763068873</v>
      </c>
      <c r="H36" s="61">
        <v>9445306.7754648943</v>
      </c>
      <c r="I36" s="61">
        <v>10346308.021242941</v>
      </c>
      <c r="J36" s="61">
        <v>11371463.484165553</v>
      </c>
      <c r="K36" s="61">
        <v>12358291.355340805</v>
      </c>
      <c r="L36" s="61">
        <v>13547148.55829086</v>
      </c>
      <c r="M36" s="61">
        <v>14761620.398175588</v>
      </c>
      <c r="N36" s="61">
        <v>16103849.337009409</v>
      </c>
      <c r="O36" s="61">
        <v>17426439.139376301</v>
      </c>
      <c r="P36" s="61">
        <v>18990300.675412636</v>
      </c>
      <c r="Q36" s="61">
        <v>20402738.574211761</v>
      </c>
      <c r="R36" s="61">
        <v>22102205.431881357</v>
      </c>
      <c r="S36" s="61">
        <v>23864301.062465288</v>
      </c>
      <c r="T36" s="61">
        <v>25807425.438100919</v>
      </c>
      <c r="U36" s="61">
        <v>27807521.772797856</v>
      </c>
      <c r="V36" s="61">
        <v>29903301.333965987</v>
      </c>
      <c r="W36" s="61">
        <v>32003476.810133234</v>
      </c>
      <c r="X36" s="61">
        <v>34220806.123836845</v>
      </c>
      <c r="Y36" s="61">
        <v>36624387.608121723</v>
      </c>
      <c r="Z36" s="61">
        <v>39001620.985003717</v>
      </c>
      <c r="AA36" s="61">
        <v>41268160.182770029</v>
      </c>
      <c r="AB36" s="61">
        <v>43492662.35176003</v>
      </c>
      <c r="AC36" s="61">
        <v>46176949.545452125</v>
      </c>
      <c r="AD36" s="61">
        <v>48732660.619912393</v>
      </c>
      <c r="AE36" s="61">
        <v>51272555.428360701</v>
      </c>
    </row>
    <row r="37" spans="1:31" x14ac:dyDescent="0.35">
      <c r="A37" s="87"/>
      <c r="B37" s="87"/>
      <c r="C37" s="87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8">
        <f>H38*'Cost Assumptions'!$B$5</f>
        <v>45.256328515624986</v>
      </c>
      <c r="J38" s="8">
        <f>I38*'Cost Assumptions'!$B$5</f>
        <v>46.387736728515605</v>
      </c>
      <c r="K38" s="8">
        <f>J38*'Cost Assumptions'!$B$5</f>
        <v>47.547430146728495</v>
      </c>
      <c r="L38" s="8">
        <f>K38*'Cost Assumptions'!$B$5</f>
        <v>48.736115900396705</v>
      </c>
      <c r="M38" s="8">
        <f>L38*'Cost Assumptions'!$B$5</f>
        <v>49.954518797906616</v>
      </c>
      <c r="N38" s="8">
        <f>M38*'Cost Assumptions'!$B$5</f>
        <v>51.203381767854275</v>
      </c>
      <c r="O38" s="8">
        <f>N38*'Cost Assumptions'!$B$5</f>
        <v>52.483466312050624</v>
      </c>
      <c r="P38" s="8">
        <f>O38*'Cost Assumptions'!$B$5</f>
        <v>53.795552969851883</v>
      </c>
      <c r="Q38" s="8">
        <f>P38*'Cost Assumptions'!$B$5</f>
        <v>55.140441794098173</v>
      </c>
      <c r="R38" s="8">
        <f>Q38*'Cost Assumptions'!$B$5</f>
        <v>56.518952838950625</v>
      </c>
      <c r="S38" s="8">
        <f>R38*'Cost Assumptions'!$B$5</f>
        <v>57.931926659924386</v>
      </c>
      <c r="T38" s="8">
        <f>S38*'Cost Assumptions'!$B$5</f>
        <v>59.380224826422491</v>
      </c>
      <c r="U38" s="8">
        <f>T38*'Cost Assumptions'!$B$5</f>
        <v>60.864730447083048</v>
      </c>
      <c r="V38" s="8">
        <f>U38*'Cost Assumptions'!$B$5</f>
        <v>62.386348708260115</v>
      </c>
      <c r="W38" s="8">
        <f>V38*'Cost Assumptions'!$B$5</f>
        <v>63.946007425966613</v>
      </c>
      <c r="X38" s="8">
        <f>W38*'Cost Assumptions'!$B$5</f>
        <v>65.544657611615776</v>
      </c>
      <c r="Y38" s="8">
        <f>X38*'Cost Assumptions'!$B$5</f>
        <v>67.183274051906167</v>
      </c>
      <c r="Z38" s="8">
        <f>Y38*'Cost Assumptions'!$B$5</f>
        <v>68.862855903203823</v>
      </c>
      <c r="AA38" s="8">
        <f>Z38*'Cost Assumptions'!$B$5</f>
        <v>70.584427300783915</v>
      </c>
      <c r="AB38" s="8">
        <f>AA38*'Cost Assumptions'!$B$5</f>
        <v>72.349037983303504</v>
      </c>
      <c r="AC38" s="8">
        <f>AB38*'Cost Assumptions'!$B$5</f>
        <v>74.157763932886084</v>
      </c>
      <c r="AD38" s="8">
        <f>AC38*'Cost Assumptions'!$B$5</f>
        <v>76.011708031208229</v>
      </c>
      <c r="AE38" s="8">
        <f>AD38*'Cost Assumptions'!$B$5</f>
        <v>77.912000731988428</v>
      </c>
    </row>
    <row r="39" spans="1:31" x14ac:dyDescent="0.35">
      <c r="A39" s="87"/>
      <c r="B39" s="87"/>
      <c r="C39" s="8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Assumptions'!$B$3,'MiraLoma &amp; Centralized BESS VS'!D42:'MiraLoma &amp; Centralized BESS VS'!AE42)</f>
        <v>14837.832700200363</v>
      </c>
      <c r="C42" s="87" t="s">
        <v>107</v>
      </c>
      <c r="D42" s="61">
        <f t="shared" ref="D42" si="0">D2-D18</f>
        <v>1232.4249999998501</v>
      </c>
      <c r="E42" s="61">
        <f t="shared" ref="E42:AE42" si="1">E2-E18</f>
        <v>1269.5500000000102</v>
      </c>
      <c r="F42" s="61">
        <f t="shared" si="1"/>
        <v>1316.3903846153917</v>
      </c>
      <c r="G42" s="61">
        <f t="shared" si="1"/>
        <v>1363.2307692307731</v>
      </c>
      <c r="H42" s="61">
        <f t="shared" si="1"/>
        <v>1410.0711538461546</v>
      </c>
      <c r="I42" s="61">
        <f t="shared" si="1"/>
        <v>1456.9115384615361</v>
      </c>
      <c r="J42" s="61">
        <f t="shared" si="1"/>
        <v>1503.7519230769176</v>
      </c>
      <c r="K42" s="61">
        <f t="shared" si="1"/>
        <v>1550.5923076922991</v>
      </c>
      <c r="L42" s="61">
        <f t="shared" si="1"/>
        <v>1597.4326923076806</v>
      </c>
      <c r="M42" s="61">
        <f t="shared" si="1"/>
        <v>1644.273076923062</v>
      </c>
      <c r="N42" s="61">
        <f t="shared" si="1"/>
        <v>1691.1134615384435</v>
      </c>
      <c r="O42" s="61">
        <f t="shared" si="1"/>
        <v>1737.953846153825</v>
      </c>
      <c r="P42" s="61">
        <f t="shared" si="1"/>
        <v>1784.7942307692065</v>
      </c>
      <c r="Q42" s="61">
        <f t="shared" si="1"/>
        <v>1831.634615384588</v>
      </c>
      <c r="R42" s="61">
        <f t="shared" si="1"/>
        <v>1878.4749999999694</v>
      </c>
      <c r="S42" s="61">
        <f t="shared" si="1"/>
        <v>1925.3153846153509</v>
      </c>
      <c r="T42" s="61">
        <f t="shared" si="1"/>
        <v>1972.1557692307324</v>
      </c>
      <c r="U42" s="61">
        <f t="shared" si="1"/>
        <v>2018.9961538461139</v>
      </c>
      <c r="V42" s="61">
        <f t="shared" si="1"/>
        <v>2065.8365384614954</v>
      </c>
      <c r="W42" s="61">
        <f t="shared" si="1"/>
        <v>2112.6769230768768</v>
      </c>
      <c r="X42" s="61">
        <f t="shared" si="1"/>
        <v>2159.5173076922583</v>
      </c>
      <c r="Y42" s="61">
        <f t="shared" si="1"/>
        <v>2206.3576923076398</v>
      </c>
      <c r="Z42" s="61">
        <f t="shared" si="1"/>
        <v>2253.1980769230213</v>
      </c>
      <c r="AA42" s="61">
        <f t="shared" si="1"/>
        <v>2300.0384615384028</v>
      </c>
      <c r="AB42" s="61">
        <f t="shared" si="1"/>
        <v>2346.8788461537843</v>
      </c>
      <c r="AC42" s="61">
        <f t="shared" si="1"/>
        <v>2393.7192307691657</v>
      </c>
      <c r="AD42" s="61">
        <f t="shared" si="1"/>
        <v>2440.5596153845472</v>
      </c>
      <c r="AE42" s="61">
        <f t="shared" si="1"/>
        <v>2487.3999999998559</v>
      </c>
    </row>
    <row r="43" spans="1:31" x14ac:dyDescent="0.35">
      <c r="A43" s="87"/>
      <c r="B43" s="9">
        <f>NPV('Cost Assumptions'!$B$3,'MiraLoma &amp; Centralized BESS VS'!D43:'MiraLoma &amp; Centralized BESS VS'!AE43)</f>
        <v>759493.06003675901</v>
      </c>
      <c r="C43" s="87" t="s">
        <v>139</v>
      </c>
      <c r="D43" s="61">
        <f t="shared" ref="D43" si="2">D42*D38</f>
        <v>49296.999999994005</v>
      </c>
      <c r="E43" s="61">
        <f t="shared" ref="E43:AE43" si="3">E42*E38</f>
        <v>52051.550000000418</v>
      </c>
      <c r="F43" s="61">
        <f t="shared" si="3"/>
        <v>55321.305913461831</v>
      </c>
      <c r="G43" s="61">
        <f t="shared" si="3"/>
        <v>58722.017403846316</v>
      </c>
      <c r="H43" s="61">
        <f t="shared" si="3"/>
        <v>62258.188652554112</v>
      </c>
      <c r="I43" s="61">
        <f t="shared" si="3"/>
        <v>65934.467202819884</v>
      </c>
      <c r="J43" s="61">
        <f t="shared" si="3"/>
        <v>69755.648312691104</v>
      </c>
      <c r="K43" s="61">
        <f t="shared" si="3"/>
        <v>73726.679436054124</v>
      </c>
      <c r="L43" s="61">
        <f t="shared" si="3"/>
        <v>77852.664835389864</v>
      </c>
      <c r="M43" s="61">
        <f t="shared" si="3"/>
        <v>82138.870330044854</v>
      </c>
      <c r="N43" s="61">
        <f t="shared" si="3"/>
        <v>86590.728183910469</v>
      </c>
      <c r="O43" s="61">
        <f t="shared" si="3"/>
        <v>91213.842136513093</v>
      </c>
      <c r="P43" s="61">
        <f t="shared" si="3"/>
        <v>96013.992581630897</v>
      </c>
      <c r="Q43" s="61">
        <f t="shared" si="3"/>
        <v>100997.14189766927</v>
      </c>
      <c r="R43" s="61">
        <f t="shared" si="3"/>
        <v>106169.43993414605</v>
      </c>
      <c r="S43" s="61">
        <f t="shared" si="3"/>
        <v>111537.22965876063</v>
      </c>
      <c r="T43" s="61">
        <f t="shared" si="3"/>
        <v>117107.05296964708</v>
      </c>
      <c r="U43" s="61">
        <f t="shared" si="3"/>
        <v>122885.65667754113</v>
      </c>
      <c r="V43" s="61">
        <f t="shared" si="3"/>
        <v>128879.99866272385</v>
      </c>
      <c r="W43" s="61">
        <f t="shared" si="3"/>
        <v>135097.25421174226</v>
      </c>
      <c r="X43" s="61">
        <f t="shared" si="3"/>
        <v>141544.8225390474</v>
      </c>
      <c r="Y43" s="61">
        <f t="shared" si="3"/>
        <v>148230.33349883542</v>
      </c>
      <c r="Z43" s="61">
        <f t="shared" si="3"/>
        <v>155161.65449252597</v>
      </c>
      <c r="AA43" s="61">
        <f t="shared" si="3"/>
        <v>162346.89757746426</v>
      </c>
      <c r="AB43" s="61">
        <f t="shared" si="3"/>
        <v>169794.42678259165</v>
      </c>
      <c r="AC43" s="61">
        <f t="shared" si="3"/>
        <v>177512.86563698945</v>
      </c>
      <c r="AD43" s="61">
        <f t="shared" si="3"/>
        <v>185511.10491736807</v>
      </c>
      <c r="AE43" s="61">
        <f t="shared" si="3"/>
        <v>193798.3106207368</v>
      </c>
    </row>
    <row r="44" spans="1:31" x14ac:dyDescent="0.35">
      <c r="A44" s="87" t="s">
        <v>30</v>
      </c>
      <c r="B44" s="9">
        <f>NPV('Cost Assumptions'!$B$3,'MiraLoma &amp; Centralized BESS VS'!D44:'MiraLoma &amp; Centralized BESS VS'!AE44)</f>
        <v>8472.3643209853726</v>
      </c>
      <c r="C44" s="87" t="s">
        <v>31</v>
      </c>
      <c r="D44" s="61">
        <f t="shared" ref="D44" si="4">D3-D19</f>
        <v>16.700000000000017</v>
      </c>
      <c r="E44" s="61">
        <f t="shared" ref="E44:AE44" si="5">E3-E19</f>
        <v>29.400000000000006</v>
      </c>
      <c r="F44" s="61">
        <f t="shared" si="5"/>
        <v>50.050000000000018</v>
      </c>
      <c r="G44" s="61">
        <f t="shared" si="5"/>
        <v>70.700000000000031</v>
      </c>
      <c r="H44" s="61">
        <f t="shared" si="5"/>
        <v>91.350000000000051</v>
      </c>
      <c r="I44" s="61">
        <f t="shared" si="5"/>
        <v>112.00000000000006</v>
      </c>
      <c r="J44" s="61">
        <f t="shared" si="5"/>
        <v>132.65000000000006</v>
      </c>
      <c r="K44" s="61">
        <f t="shared" si="5"/>
        <v>153.30000000000004</v>
      </c>
      <c r="L44" s="61">
        <f t="shared" si="5"/>
        <v>247.42000000000002</v>
      </c>
      <c r="M44" s="61">
        <f t="shared" si="5"/>
        <v>341.54000000000008</v>
      </c>
      <c r="N44" s="61">
        <f t="shared" si="5"/>
        <v>435.66000000000008</v>
      </c>
      <c r="O44" s="61">
        <f t="shared" si="5"/>
        <v>529.78</v>
      </c>
      <c r="P44" s="61">
        <f t="shared" si="5"/>
        <v>796.05</v>
      </c>
      <c r="Q44" s="61">
        <f t="shared" si="5"/>
        <v>1068.0600000000002</v>
      </c>
      <c r="R44" s="61">
        <f t="shared" si="5"/>
        <v>1340.0700000000002</v>
      </c>
      <c r="S44" s="61">
        <f t="shared" si="5"/>
        <v>1612.0800000000002</v>
      </c>
      <c r="T44" s="61">
        <f t="shared" si="5"/>
        <v>1884.0900000000001</v>
      </c>
      <c r="U44" s="61">
        <f t="shared" si="5"/>
        <v>2156.1000000000004</v>
      </c>
      <c r="V44" s="61">
        <f t="shared" si="5"/>
        <v>2802.57</v>
      </c>
      <c r="W44" s="61">
        <f t="shared" si="5"/>
        <v>3449.04</v>
      </c>
      <c r="X44" s="61">
        <f t="shared" si="5"/>
        <v>4095.5099999999998</v>
      </c>
      <c r="Y44" s="61">
        <f t="shared" si="5"/>
        <v>4741.9799999999996</v>
      </c>
      <c r="Z44" s="61">
        <f t="shared" si="5"/>
        <v>4815.9000000000005</v>
      </c>
      <c r="AA44" s="61">
        <f t="shared" si="5"/>
        <v>5573.9400000000005</v>
      </c>
      <c r="AB44" s="61">
        <f t="shared" si="5"/>
        <v>6331.9800000000005</v>
      </c>
      <c r="AC44" s="61">
        <f t="shared" si="5"/>
        <v>7090.02</v>
      </c>
      <c r="AD44" s="61">
        <f t="shared" si="5"/>
        <v>7848.06</v>
      </c>
      <c r="AE44" s="61">
        <f t="shared" si="5"/>
        <v>8606.0999999999985</v>
      </c>
    </row>
    <row r="45" spans="1:31" x14ac:dyDescent="0.35">
      <c r="A45" s="87" t="s">
        <v>30</v>
      </c>
      <c r="B45" s="9">
        <f>NPV('Cost Assumptions'!$B$3,'MiraLoma &amp; Centralized BESS VS'!D45:'MiraLoma &amp; Centralized BESS VS'!AE45)</f>
        <v>133.69765239907571</v>
      </c>
      <c r="C45" s="87" t="s">
        <v>32</v>
      </c>
      <c r="D45" s="61">
        <f t="shared" ref="D45" si="6">D4-D20</f>
        <v>2.3000000000000114</v>
      </c>
      <c r="E45" s="61">
        <f t="shared" ref="E45:AE45" si="7">E4-E20</f>
        <v>1.5999999999999943</v>
      </c>
      <c r="F45" s="61">
        <f t="shared" si="7"/>
        <v>3.2166666666666632</v>
      </c>
      <c r="G45" s="61">
        <f t="shared" si="7"/>
        <v>4.8333333333333321</v>
      </c>
      <c r="H45" s="61">
        <f t="shared" si="7"/>
        <v>6.4500000000000011</v>
      </c>
      <c r="I45" s="61">
        <f t="shared" si="7"/>
        <v>8.06666666666667</v>
      </c>
      <c r="J45" s="61">
        <f t="shared" si="7"/>
        <v>9.6833333333333407</v>
      </c>
      <c r="K45" s="61">
        <f t="shared" si="7"/>
        <v>11.300000000000011</v>
      </c>
      <c r="L45" s="61">
        <f t="shared" si="7"/>
        <v>11.670000000000007</v>
      </c>
      <c r="M45" s="61">
        <f t="shared" si="7"/>
        <v>12.040000000000003</v>
      </c>
      <c r="N45" s="61">
        <f t="shared" si="7"/>
        <v>12.41</v>
      </c>
      <c r="O45" s="61">
        <f t="shared" si="7"/>
        <v>12.779999999999998</v>
      </c>
      <c r="P45" s="61">
        <f t="shared" si="7"/>
        <v>14.599999999999987</v>
      </c>
      <c r="Q45" s="61">
        <f t="shared" si="7"/>
        <v>19.299999999999986</v>
      </c>
      <c r="R45" s="61">
        <f t="shared" si="7"/>
        <v>23.999999999999986</v>
      </c>
      <c r="S45" s="61">
        <f t="shared" si="7"/>
        <v>28.699999999999985</v>
      </c>
      <c r="T45" s="61">
        <f t="shared" si="7"/>
        <v>33.399999999999984</v>
      </c>
      <c r="U45" s="61">
        <f t="shared" si="7"/>
        <v>38.099999999999966</v>
      </c>
      <c r="V45" s="61">
        <f t="shared" si="7"/>
        <v>37.559999999999974</v>
      </c>
      <c r="W45" s="61">
        <f t="shared" si="7"/>
        <v>37.019999999999975</v>
      </c>
      <c r="X45" s="61">
        <f t="shared" si="7"/>
        <v>36.479999999999976</v>
      </c>
      <c r="Y45" s="61">
        <f t="shared" si="7"/>
        <v>35.939999999999969</v>
      </c>
      <c r="Z45" s="61">
        <f t="shared" si="7"/>
        <v>35.399999999999977</v>
      </c>
      <c r="AA45" s="61">
        <f t="shared" si="7"/>
        <v>46.379999999999988</v>
      </c>
      <c r="AB45" s="61">
        <f t="shared" si="7"/>
        <v>57.36</v>
      </c>
      <c r="AC45" s="61">
        <f t="shared" si="7"/>
        <v>68.34</v>
      </c>
      <c r="AD45" s="61">
        <f t="shared" si="7"/>
        <v>79.320000000000022</v>
      </c>
      <c r="AE45" s="61">
        <f t="shared" si="7"/>
        <v>90.300000000000068</v>
      </c>
    </row>
    <row r="46" spans="1:31" x14ac:dyDescent="0.35">
      <c r="A46" s="87" t="s">
        <v>30</v>
      </c>
      <c r="B46" s="9">
        <f>NPV('Cost Assumptions'!$B$3,'MiraLoma &amp; Centralized BESS VS'!D46:'MiraLoma &amp; Centralized BESS VS'!AE46)</f>
        <v>1082.0563138734988</v>
      </c>
      <c r="C46" s="87" t="s">
        <v>33</v>
      </c>
      <c r="D46" s="61">
        <f t="shared" ref="D46" si="8">D5-D21</f>
        <v>0.20071614816091138</v>
      </c>
      <c r="E46" s="61">
        <f t="shared" ref="E46:AE46" si="9">E5-E21</f>
        <v>0.41235757225155967</v>
      </c>
      <c r="F46" s="61">
        <f t="shared" si="9"/>
        <v>0.92253441961049365</v>
      </c>
      <c r="G46" s="61">
        <f t="shared" si="9"/>
        <v>1.4327112669694275</v>
      </c>
      <c r="H46" s="61">
        <f t="shared" si="9"/>
        <v>1.9428881143283614</v>
      </c>
      <c r="I46" s="61">
        <f t="shared" si="9"/>
        <v>2.4530649616872955</v>
      </c>
      <c r="J46" s="61">
        <f t="shared" si="9"/>
        <v>2.9632418090462291</v>
      </c>
      <c r="K46" s="61">
        <f t="shared" si="9"/>
        <v>3.4734186564051637</v>
      </c>
      <c r="L46" s="61">
        <f t="shared" si="9"/>
        <v>7.6508308470629327</v>
      </c>
      <c r="M46" s="61">
        <f t="shared" si="9"/>
        <v>11.828243037720702</v>
      </c>
      <c r="N46" s="61">
        <f t="shared" si="9"/>
        <v>16.005655228378473</v>
      </c>
      <c r="O46" s="61">
        <f t="shared" si="9"/>
        <v>20.183067419036238</v>
      </c>
      <c r="P46" s="61">
        <f t="shared" si="9"/>
        <v>47.786639323064669</v>
      </c>
      <c r="Q46" s="61">
        <f t="shared" si="9"/>
        <v>74.736715579750339</v>
      </c>
      <c r="R46" s="61">
        <f t="shared" si="9"/>
        <v>101.686791836436</v>
      </c>
      <c r="S46" s="61">
        <f t="shared" si="9"/>
        <v>128.63686809312168</v>
      </c>
      <c r="T46" s="61">
        <f t="shared" si="9"/>
        <v>155.58694434980734</v>
      </c>
      <c r="U46" s="61">
        <f t="shared" si="9"/>
        <v>182.537020606493</v>
      </c>
      <c r="V46" s="61">
        <f t="shared" si="9"/>
        <v>287.24183228424249</v>
      </c>
      <c r="W46" s="61">
        <f t="shared" si="9"/>
        <v>391.94664396199198</v>
      </c>
      <c r="X46" s="61">
        <f t="shared" si="9"/>
        <v>496.65145563974141</v>
      </c>
      <c r="Y46" s="61">
        <f t="shared" si="9"/>
        <v>601.35626731749096</v>
      </c>
      <c r="Z46" s="61">
        <f t="shared" si="9"/>
        <v>706.06107899524045</v>
      </c>
      <c r="AA46" s="61">
        <f t="shared" si="9"/>
        <v>942.12396437479094</v>
      </c>
      <c r="AB46" s="61">
        <f t="shared" si="9"/>
        <v>1178.1868497543414</v>
      </c>
      <c r="AC46" s="61">
        <f t="shared" si="9"/>
        <v>1414.2497351338918</v>
      </c>
      <c r="AD46" s="61">
        <f t="shared" si="9"/>
        <v>1650.3126205134424</v>
      </c>
      <c r="AE46" s="61">
        <f t="shared" si="9"/>
        <v>1886.3755058929926</v>
      </c>
    </row>
    <row r="47" spans="1:31" x14ac:dyDescent="0.35">
      <c r="A47" s="87" t="s">
        <v>30</v>
      </c>
      <c r="B47" s="9">
        <f>NPV('Cost Assumptions'!$B$3,'MiraLoma &amp; Centralized BESS VS'!D47:'MiraLoma &amp; Centralized BESS VS'!AE47)</f>
        <v>7.2856742417720088</v>
      </c>
      <c r="C47" s="87" t="s">
        <v>34</v>
      </c>
      <c r="D47" s="61">
        <f t="shared" ref="D47" si="10">D6-D22</f>
        <v>1.2666321565399149E-2</v>
      </c>
      <c r="E47" s="61">
        <f t="shared" ref="E47:AE47" si="11">E6-E22</f>
        <v>2.0001592706012591E-2</v>
      </c>
      <c r="F47" s="61">
        <f t="shared" si="11"/>
        <v>3.5146815120062125E-2</v>
      </c>
      <c r="G47" s="61">
        <f t="shared" si="11"/>
        <v>5.0292037534111655E-2</v>
      </c>
      <c r="H47" s="61">
        <f t="shared" si="11"/>
        <v>6.5437259948161186E-2</v>
      </c>
      <c r="I47" s="61">
        <f t="shared" si="11"/>
        <v>8.0582482362210717E-2</v>
      </c>
      <c r="J47" s="61">
        <f t="shared" si="11"/>
        <v>9.5727704776260247E-2</v>
      </c>
      <c r="K47" s="61">
        <f t="shared" si="11"/>
        <v>0.11087292719030979</v>
      </c>
      <c r="L47" s="61">
        <f t="shared" si="11"/>
        <v>0.1921407400211389</v>
      </c>
      <c r="M47" s="61">
        <f t="shared" si="11"/>
        <v>0.27340855285196808</v>
      </c>
      <c r="N47" s="61">
        <f t="shared" si="11"/>
        <v>0.35467636568279715</v>
      </c>
      <c r="O47" s="61">
        <f t="shared" si="11"/>
        <v>0.43594417851362621</v>
      </c>
      <c r="P47" s="61">
        <f t="shared" si="11"/>
        <v>0.6739550902783038</v>
      </c>
      <c r="Q47" s="61">
        <f t="shared" si="11"/>
        <v>0.91759954640007035</v>
      </c>
      <c r="R47" s="61">
        <f t="shared" si="11"/>
        <v>1.1612440025218369</v>
      </c>
      <c r="S47" s="61">
        <f t="shared" si="11"/>
        <v>1.4048884586436035</v>
      </c>
      <c r="T47" s="61">
        <f t="shared" si="11"/>
        <v>1.64853291476537</v>
      </c>
      <c r="U47" s="61">
        <f t="shared" si="11"/>
        <v>1.8921773708871359</v>
      </c>
      <c r="V47" s="61">
        <f t="shared" si="11"/>
        <v>2.3769179305953285</v>
      </c>
      <c r="W47" s="61">
        <f t="shared" si="11"/>
        <v>2.8616584903035212</v>
      </c>
      <c r="X47" s="61">
        <f t="shared" si="11"/>
        <v>3.3463990500117138</v>
      </c>
      <c r="Y47" s="61">
        <f t="shared" si="11"/>
        <v>3.8311396097199064</v>
      </c>
      <c r="Z47" s="61">
        <f t="shared" si="11"/>
        <v>4.3158801694280982</v>
      </c>
      <c r="AA47" s="61">
        <f t="shared" si="11"/>
        <v>5.0108362443918262</v>
      </c>
      <c r="AB47" s="61">
        <f t="shared" si="11"/>
        <v>5.7057923193555551</v>
      </c>
      <c r="AC47" s="61">
        <f t="shared" si="11"/>
        <v>6.4007483943192831</v>
      </c>
      <c r="AD47" s="61">
        <f t="shared" si="11"/>
        <v>7.095704469283012</v>
      </c>
      <c r="AE47" s="61">
        <f t="shared" si="11"/>
        <v>7.7906605442467418</v>
      </c>
    </row>
    <row r="48" spans="1:31" ht="15.65" customHeight="1" x14ac:dyDescent="0.35">
      <c r="A48" s="87" t="s">
        <v>30</v>
      </c>
      <c r="B48" s="9">
        <f>NPV('Cost Assumptions'!$B$3,'MiraLoma &amp; Centralized BESS VS'!D48:'MiraLoma &amp; Centralized BESS VS'!AE48)</f>
        <v>494.99282613025338</v>
      </c>
      <c r="C48" s="87" t="s">
        <v>35</v>
      </c>
      <c r="D48" s="61">
        <f t="shared" ref="D48" si="12">D7-D23</f>
        <v>16</v>
      </c>
      <c r="E48" s="61">
        <f t="shared" ref="E48:AE48" si="13">E7-E23</f>
        <v>24</v>
      </c>
      <c r="F48" s="61">
        <f t="shared" si="13"/>
        <v>27.833333333333336</v>
      </c>
      <c r="G48" s="61">
        <f t="shared" si="13"/>
        <v>31.666666666666671</v>
      </c>
      <c r="H48" s="61">
        <f t="shared" si="13"/>
        <v>35.500000000000007</v>
      </c>
      <c r="I48" s="61">
        <f t="shared" si="13"/>
        <v>39.333333333333343</v>
      </c>
      <c r="J48" s="61">
        <f t="shared" si="13"/>
        <v>43.166666666666679</v>
      </c>
      <c r="K48" s="61">
        <f t="shared" si="13"/>
        <v>47</v>
      </c>
      <c r="L48" s="61">
        <f t="shared" si="13"/>
        <v>50.2</v>
      </c>
      <c r="M48" s="61">
        <f t="shared" si="13"/>
        <v>53.4</v>
      </c>
      <c r="N48" s="61">
        <f t="shared" si="13"/>
        <v>56.599999999999994</v>
      </c>
      <c r="O48" s="61">
        <f t="shared" si="13"/>
        <v>59.8</v>
      </c>
      <c r="P48" s="61">
        <f t="shared" si="13"/>
        <v>65.833333333333329</v>
      </c>
      <c r="Q48" s="61">
        <f t="shared" si="13"/>
        <v>71.266666666666652</v>
      </c>
      <c r="R48" s="61">
        <f t="shared" si="13"/>
        <v>76.699999999999989</v>
      </c>
      <c r="S48" s="61">
        <f t="shared" si="13"/>
        <v>82.133333333333326</v>
      </c>
      <c r="T48" s="61">
        <f t="shared" si="13"/>
        <v>87.566666666666663</v>
      </c>
      <c r="U48" s="61">
        <f t="shared" si="13"/>
        <v>93</v>
      </c>
      <c r="V48" s="61">
        <f t="shared" si="13"/>
        <v>100.2</v>
      </c>
      <c r="W48" s="61">
        <f t="shared" si="13"/>
        <v>107.4</v>
      </c>
      <c r="X48" s="61">
        <f t="shared" si="13"/>
        <v>114.60000000000001</v>
      </c>
      <c r="Y48" s="61">
        <f t="shared" si="13"/>
        <v>121.80000000000001</v>
      </c>
      <c r="Z48" s="61">
        <f t="shared" si="13"/>
        <v>129</v>
      </c>
      <c r="AA48" s="61">
        <f t="shared" si="13"/>
        <v>136.60000000000002</v>
      </c>
      <c r="AB48" s="61">
        <f t="shared" si="13"/>
        <v>144.20000000000002</v>
      </c>
      <c r="AC48" s="61">
        <f t="shared" si="13"/>
        <v>151.80000000000001</v>
      </c>
      <c r="AD48" s="61">
        <f t="shared" si="13"/>
        <v>159.40000000000003</v>
      </c>
      <c r="AE48" s="61">
        <f t="shared" si="13"/>
        <v>167</v>
      </c>
    </row>
    <row r="49" spans="1:31" s="60" customFormat="1" x14ac:dyDescent="0.35">
      <c r="A49" s="87" t="s">
        <v>30</v>
      </c>
      <c r="B49" s="9">
        <f>NPV('Cost Assumptions'!$B$3,'MiraLoma &amp; Centralized BESS VS'!D49:'MiraLoma &amp; Centralized BESS VS'!AE49)</f>
        <v>213597.02691485235</v>
      </c>
      <c r="C49" s="85" t="s">
        <v>140</v>
      </c>
      <c r="D49" s="61">
        <f>D13-D24</f>
        <v>5264.1735041061502</v>
      </c>
      <c r="E49" s="61">
        <f>E13-E24</f>
        <v>7499.1592858253416</v>
      </c>
      <c r="F49" s="61">
        <f>F13-F24</f>
        <v>9734.145067544534</v>
      </c>
      <c r="G49" s="61">
        <f t="shared" ref="G49:AE49" si="14">G13-G24</f>
        <v>11969.130849263725</v>
      </c>
      <c r="H49" s="61">
        <f t="shared" si="14"/>
        <v>14204.116630982917</v>
      </c>
      <c r="I49" s="61">
        <f t="shared" si="14"/>
        <v>16439.102412702108</v>
      </c>
      <c r="J49" s="61">
        <f t="shared" si="14"/>
        <v>18674.0881944213</v>
      </c>
      <c r="K49" s="61">
        <f t="shared" si="14"/>
        <v>20909.073976140491</v>
      </c>
      <c r="L49" s="61">
        <f t="shared" si="14"/>
        <v>23144.059757859683</v>
      </c>
      <c r="M49" s="61">
        <f t="shared" si="14"/>
        <v>25379.045539578874</v>
      </c>
      <c r="N49" s="61">
        <f t="shared" si="14"/>
        <v>27614.031321298065</v>
      </c>
      <c r="O49" s="61">
        <f t="shared" si="14"/>
        <v>29849.017103017257</v>
      </c>
      <c r="P49" s="61">
        <f t="shared" si="14"/>
        <v>32084.002884736448</v>
      </c>
      <c r="Q49" s="61">
        <f t="shared" si="14"/>
        <v>34318.98866645564</v>
      </c>
      <c r="R49" s="61">
        <f t="shared" si="14"/>
        <v>36553.974448174835</v>
      </c>
      <c r="S49" s="61">
        <f t="shared" si="14"/>
        <v>38788.96022989403</v>
      </c>
      <c r="T49" s="61">
        <f t="shared" si="14"/>
        <v>41023.946011613225</v>
      </c>
      <c r="U49" s="61">
        <f t="shared" si="14"/>
        <v>43258.93179333242</v>
      </c>
      <c r="V49" s="61">
        <f t="shared" si="14"/>
        <v>45493.917575051615</v>
      </c>
      <c r="W49" s="61">
        <f t="shared" si="14"/>
        <v>47728.90335677081</v>
      </c>
      <c r="X49" s="61">
        <f t="shared" si="14"/>
        <v>49963.889138490005</v>
      </c>
      <c r="Y49" s="61">
        <f t="shared" si="14"/>
        <v>52198.8749202092</v>
      </c>
      <c r="Z49" s="61">
        <f t="shared" si="14"/>
        <v>54433.860701928395</v>
      </c>
      <c r="AA49" s="61">
        <f t="shared" si="14"/>
        <v>56668.846483647591</v>
      </c>
      <c r="AB49" s="61">
        <f t="shared" si="14"/>
        <v>58903.832265366786</v>
      </c>
      <c r="AC49" s="61">
        <f t="shared" si="14"/>
        <v>61138.818047085981</v>
      </c>
      <c r="AD49" s="61">
        <f t="shared" si="14"/>
        <v>63373.803828805176</v>
      </c>
      <c r="AE49" s="61">
        <f t="shared" si="14"/>
        <v>65608.789610524313</v>
      </c>
    </row>
    <row r="50" spans="1:31" s="60" customFormat="1" x14ac:dyDescent="0.35">
      <c r="A50" s="87" t="s">
        <v>30</v>
      </c>
      <c r="B50" s="9">
        <f>NPV('Cost Assumptions'!$B$3,'MiraLoma &amp; Centralized BESS VS'!D50:'MiraLoma &amp; Centralized BESS VS'!AE50)</f>
        <v>512526.55583863205</v>
      </c>
      <c r="C50" s="85" t="s">
        <v>141</v>
      </c>
      <c r="D50" s="61">
        <f>D14-D25</f>
        <v>53526.365550176241</v>
      </c>
      <c r="E50" s="61">
        <f>E14-E25</f>
        <v>53803.862398984144</v>
      </c>
      <c r="F50" s="61">
        <f t="shared" ref="F50:AE50" si="15">F14-F25</f>
        <v>54081.359247791785</v>
      </c>
      <c r="G50" s="61">
        <f t="shared" si="15"/>
        <v>54246.167020941793</v>
      </c>
      <c r="H50" s="61">
        <f t="shared" si="15"/>
        <v>54412.383407537156</v>
      </c>
      <c r="I50" s="61">
        <f t="shared" si="15"/>
        <v>54577.19118068699</v>
      </c>
      <c r="J50" s="61">
        <f t="shared" si="15"/>
        <v>54756.085088293941</v>
      </c>
      <c r="K50" s="61">
        <f t="shared" si="15"/>
        <v>54933.570382455393</v>
      </c>
      <c r="L50" s="61">
        <f t="shared" si="15"/>
        <v>55111.055676616379</v>
      </c>
      <c r="M50" s="61">
        <f t="shared" si="15"/>
        <v>55288.540970778151</v>
      </c>
      <c r="N50" s="61">
        <f t="shared" si="15"/>
        <v>55470.252105276682</v>
      </c>
      <c r="O50" s="61">
        <f t="shared" si="15"/>
        <v>55651.963239774923</v>
      </c>
      <c r="P50" s="61">
        <f t="shared" si="15"/>
        <v>55835.082987719099</v>
      </c>
      <c r="Q50" s="61">
        <f t="shared" si="15"/>
        <v>56016.794122217572</v>
      </c>
      <c r="R50" s="61">
        <f t="shared" si="15"/>
        <v>56192.870802933641</v>
      </c>
      <c r="S50" s="61">
        <f t="shared" si="15"/>
        <v>56368.947483649041</v>
      </c>
      <c r="T50" s="61">
        <f t="shared" si="15"/>
        <v>56546.432777810231</v>
      </c>
      <c r="U50" s="61">
        <f t="shared" si="15"/>
        <v>56722.509458525863</v>
      </c>
      <c r="V50" s="61">
        <f t="shared" si="15"/>
        <v>56885.908618230227</v>
      </c>
      <c r="W50" s="61">
        <f t="shared" si="15"/>
        <v>57049.307777933922</v>
      </c>
      <c r="X50" s="61">
        <f t="shared" si="15"/>
        <v>57212.706937638199</v>
      </c>
      <c r="Y50" s="61">
        <f t="shared" si="15"/>
        <v>57374.697483896307</v>
      </c>
      <c r="Z50" s="61">
        <f t="shared" si="15"/>
        <v>57519.784668805863</v>
      </c>
      <c r="AA50" s="61">
        <f t="shared" si="15"/>
        <v>57663.463240270037</v>
      </c>
      <c r="AB50" s="61">
        <f t="shared" si="15"/>
        <v>57807.141811733716</v>
      </c>
      <c r="AC50" s="61">
        <f t="shared" si="15"/>
        <v>57952.228996643389</v>
      </c>
      <c r="AD50" s="61">
        <f t="shared" si="15"/>
        <v>58074.778366421378</v>
      </c>
      <c r="AE50" s="61">
        <f t="shared" si="15"/>
        <v>58197.327736199746</v>
      </c>
    </row>
    <row r="51" spans="1:31" s="80" customFormat="1" x14ac:dyDescent="0.35">
      <c r="A51" s="87" t="s">
        <v>30</v>
      </c>
      <c r="B51" s="9">
        <f>NPV('Cost Assumptions'!$B$3,'MiraLoma &amp; Centralized BESS VS'!D51:'MiraLoma &amp; Centralized BESS VS'!AE51)</f>
        <v>587736.11798480409</v>
      </c>
      <c r="C51" s="85" t="s">
        <v>142</v>
      </c>
      <c r="D51" s="61">
        <f>D15-D26</f>
        <v>41367.35325362649</v>
      </c>
      <c r="E51" s="61">
        <f>E15-E26</f>
        <v>44921.282206971468</v>
      </c>
      <c r="F51" s="61">
        <f t="shared" ref="F51:AE51" si="16">F15-F26</f>
        <v>48605.847260212409</v>
      </c>
      <c r="G51" s="61">
        <f t="shared" si="16"/>
        <v>50842.009138842201</v>
      </c>
      <c r="H51" s="61">
        <f t="shared" si="16"/>
        <v>53093.539245370848</v>
      </c>
      <c r="I51" s="61">
        <f t="shared" si="16"/>
        <v>55327.700597813673</v>
      </c>
      <c r="J51" s="61">
        <f t="shared" si="16"/>
        <v>57819.849968039314</v>
      </c>
      <c r="K51" s="61">
        <f t="shared" si="16"/>
        <v>60354.38556661801</v>
      </c>
      <c r="L51" s="61">
        <f t="shared" si="16"/>
        <v>62941.116487744614</v>
      </c>
      <c r="M51" s="61">
        <f t="shared" si="16"/>
        <v>65589.465575388109</v>
      </c>
      <c r="N51" s="61">
        <f t="shared" si="16"/>
        <v>68329.125041342675</v>
      </c>
      <c r="O51" s="61">
        <f t="shared" si="16"/>
        <v>71056.973323523183</v>
      </c>
      <c r="P51" s="61">
        <f t="shared" si="16"/>
        <v>73863.714090903784</v>
      </c>
      <c r="Q51" s="61">
        <f t="shared" si="16"/>
        <v>76659.09389494051</v>
      </c>
      <c r="R51" s="61">
        <f t="shared" si="16"/>
        <v>79360.534712470893</v>
      </c>
      <c r="S51" s="61">
        <f t="shared" si="16"/>
        <v>82084.001609158091</v>
      </c>
      <c r="T51" s="61">
        <f t="shared" si="16"/>
        <v>84816.038046639034</v>
      </c>
      <c r="U51" s="61">
        <f t="shared" si="16"/>
        <v>87557.62142253069</v>
      </c>
      <c r="V51" s="61">
        <f t="shared" si="16"/>
        <v>90131.846470588716</v>
      </c>
      <c r="W51" s="61">
        <f t="shared" si="16"/>
        <v>92758.214114519287</v>
      </c>
      <c r="X51" s="61">
        <f t="shared" si="16"/>
        <v>95413.317897019719</v>
      </c>
      <c r="Y51" s="61">
        <f t="shared" si="16"/>
        <v>98135.595521629686</v>
      </c>
      <c r="Z51" s="61">
        <f t="shared" si="16"/>
        <v>100603.02015218983</v>
      </c>
      <c r="AA51" s="61">
        <f t="shared" si="16"/>
        <v>103061.609921329</v>
      </c>
      <c r="AB51" s="61">
        <f t="shared" si="16"/>
        <v>105548.04363780419</v>
      </c>
      <c r="AC51" s="61">
        <f t="shared" si="16"/>
        <v>108081.74138998955</v>
      </c>
      <c r="AD51" s="61">
        <f t="shared" si="16"/>
        <v>110260.06998152817</v>
      </c>
      <c r="AE51" s="61">
        <f t="shared" si="16"/>
        <v>112469.50422419653</v>
      </c>
    </row>
    <row r="52" spans="1:31" x14ac:dyDescent="0.35">
      <c r="A52" s="87" t="s">
        <v>39</v>
      </c>
      <c r="B52" s="9">
        <f>NPV('Cost Assumptions'!$B$3,'MiraLoma &amp; Centralized BESS VS'!D52:'MiraLoma &amp; Centralized BESS VS'!AE52)</f>
        <v>21183.807598459298</v>
      </c>
      <c r="C52" s="87" t="s">
        <v>31</v>
      </c>
      <c r="D52" s="61">
        <f t="shared" ref="D52" si="17">D8-D27</f>
        <v>49.800000000000182</v>
      </c>
      <c r="E52" s="61">
        <f t="shared" ref="E52:AE52" si="18">E8-E27</f>
        <v>129.00000000000023</v>
      </c>
      <c r="F52" s="61">
        <f t="shared" si="18"/>
        <v>258.75000000000023</v>
      </c>
      <c r="G52" s="61">
        <f t="shared" si="18"/>
        <v>388.50000000000023</v>
      </c>
      <c r="H52" s="61">
        <f t="shared" si="18"/>
        <v>518.25000000000023</v>
      </c>
      <c r="I52" s="61">
        <f t="shared" si="18"/>
        <v>648.00000000000023</v>
      </c>
      <c r="J52" s="61">
        <f t="shared" si="18"/>
        <v>777.75000000000023</v>
      </c>
      <c r="K52" s="61">
        <f t="shared" si="18"/>
        <v>907.5</v>
      </c>
      <c r="L52" s="61">
        <f t="shared" si="18"/>
        <v>1246.7</v>
      </c>
      <c r="M52" s="61">
        <f t="shared" si="18"/>
        <v>1585.9</v>
      </c>
      <c r="N52" s="61">
        <f t="shared" si="18"/>
        <v>1925.1000000000001</v>
      </c>
      <c r="O52" s="61">
        <f t="shared" si="18"/>
        <v>2264.3000000000002</v>
      </c>
      <c r="P52" s="61">
        <f t="shared" si="18"/>
        <v>2843.6833333333334</v>
      </c>
      <c r="Q52" s="61">
        <f t="shared" si="18"/>
        <v>3423.0666666666666</v>
      </c>
      <c r="R52" s="61">
        <f t="shared" si="18"/>
        <v>4002.45</v>
      </c>
      <c r="S52" s="61">
        <f t="shared" si="18"/>
        <v>4581.833333333333</v>
      </c>
      <c r="T52" s="61">
        <f t="shared" si="18"/>
        <v>5161.2166666666662</v>
      </c>
      <c r="U52" s="61">
        <f t="shared" si="18"/>
        <v>5740.5999999999995</v>
      </c>
      <c r="V52" s="61">
        <f t="shared" si="18"/>
        <v>6569.9999999999991</v>
      </c>
      <c r="W52" s="61">
        <f t="shared" si="18"/>
        <v>7399.3999999999987</v>
      </c>
      <c r="X52" s="61">
        <f t="shared" si="18"/>
        <v>8228.7999999999993</v>
      </c>
      <c r="Y52" s="61">
        <f t="shared" si="18"/>
        <v>9058.1999999999989</v>
      </c>
      <c r="Z52" s="61">
        <f t="shared" si="18"/>
        <v>9887.5999999999985</v>
      </c>
      <c r="AA52" s="61">
        <f t="shared" si="18"/>
        <v>10814.56</v>
      </c>
      <c r="AB52" s="61">
        <f t="shared" si="18"/>
        <v>11741.52</v>
      </c>
      <c r="AC52" s="61">
        <f t="shared" si="18"/>
        <v>12668.480000000001</v>
      </c>
      <c r="AD52" s="61">
        <f t="shared" si="18"/>
        <v>13595.440000000002</v>
      </c>
      <c r="AE52" s="61">
        <f t="shared" si="18"/>
        <v>14522.400000000003</v>
      </c>
    </row>
    <row r="53" spans="1:31" x14ac:dyDescent="0.35">
      <c r="A53" s="87" t="s">
        <v>39</v>
      </c>
      <c r="B53" s="9">
        <f>NPV('Cost Assumptions'!$B$3,'MiraLoma &amp; Centralized BESS VS'!D53:'MiraLoma &amp; Centralized BESS VS'!AE53)</f>
        <v>1335.7023826118307</v>
      </c>
      <c r="C53" s="87" t="s">
        <v>32</v>
      </c>
      <c r="D53" s="61">
        <f t="shared" ref="D53" si="19">D9-D28</f>
        <v>22.400000000000091</v>
      </c>
      <c r="E53" s="61">
        <f t="shared" ref="E53:AE53" si="20">E9-E28</f>
        <v>42.200000000000045</v>
      </c>
      <c r="F53" s="61">
        <f t="shared" si="20"/>
        <v>57.06666666666672</v>
      </c>
      <c r="G53" s="61">
        <f t="shared" si="20"/>
        <v>71.933333333333394</v>
      </c>
      <c r="H53" s="61">
        <f t="shared" si="20"/>
        <v>86.800000000000068</v>
      </c>
      <c r="I53" s="61">
        <f t="shared" si="20"/>
        <v>101.66666666666674</v>
      </c>
      <c r="J53" s="61">
        <f t="shared" si="20"/>
        <v>116.53333333333342</v>
      </c>
      <c r="K53" s="61">
        <f t="shared" si="20"/>
        <v>131.40000000000009</v>
      </c>
      <c r="L53" s="61">
        <f t="shared" si="20"/>
        <v>146.05000000000007</v>
      </c>
      <c r="M53" s="61">
        <f t="shared" si="20"/>
        <v>160.70000000000005</v>
      </c>
      <c r="N53" s="61">
        <f t="shared" si="20"/>
        <v>175.35000000000002</v>
      </c>
      <c r="O53" s="61">
        <f t="shared" si="20"/>
        <v>190</v>
      </c>
      <c r="P53" s="61">
        <f t="shared" si="20"/>
        <v>205</v>
      </c>
      <c r="Q53" s="61">
        <f t="shared" si="20"/>
        <v>220</v>
      </c>
      <c r="R53" s="61">
        <f t="shared" si="20"/>
        <v>235</v>
      </c>
      <c r="S53" s="61">
        <f t="shared" si="20"/>
        <v>250</v>
      </c>
      <c r="T53" s="61">
        <f t="shared" si="20"/>
        <v>265</v>
      </c>
      <c r="U53" s="61">
        <f t="shared" si="20"/>
        <v>280</v>
      </c>
      <c r="V53" s="61">
        <f t="shared" si="20"/>
        <v>293.68</v>
      </c>
      <c r="W53" s="61">
        <f t="shared" si="20"/>
        <v>307.36</v>
      </c>
      <c r="X53" s="61">
        <f t="shared" si="20"/>
        <v>321.04000000000002</v>
      </c>
      <c r="Y53" s="61">
        <f t="shared" si="20"/>
        <v>334.72</v>
      </c>
      <c r="Z53" s="61">
        <f t="shared" si="20"/>
        <v>348.40000000000009</v>
      </c>
      <c r="AA53" s="61">
        <f t="shared" si="20"/>
        <v>360.84000000000003</v>
      </c>
      <c r="AB53" s="61">
        <f t="shared" si="20"/>
        <v>373.28</v>
      </c>
      <c r="AC53" s="61">
        <f t="shared" si="20"/>
        <v>385.71999999999991</v>
      </c>
      <c r="AD53" s="61">
        <f t="shared" si="20"/>
        <v>398.15999999999985</v>
      </c>
      <c r="AE53" s="61">
        <f t="shared" si="20"/>
        <v>410.59999999999991</v>
      </c>
    </row>
    <row r="54" spans="1:31" x14ac:dyDescent="0.35">
      <c r="A54" s="87" t="s">
        <v>39</v>
      </c>
      <c r="B54" s="9">
        <f>NPV('Cost Assumptions'!$B$3,'MiraLoma &amp; Centralized BESS VS'!D54:'MiraLoma &amp; Centralized BESS VS'!AE54)</f>
        <v>1756.8124401485429</v>
      </c>
      <c r="C54" s="87" t="s">
        <v>33</v>
      </c>
      <c r="D54" s="61">
        <f t="shared" ref="D54" si="21">D10-D29</f>
        <v>0.21200232326290805</v>
      </c>
      <c r="E54" s="61">
        <f t="shared" ref="E54:AE54" si="22">E10-E29</f>
        <v>0.68645330574586072</v>
      </c>
      <c r="F54" s="61">
        <f t="shared" si="22"/>
        <v>3.6304865724427344</v>
      </c>
      <c r="G54" s="61">
        <f t="shared" si="22"/>
        <v>6.574519839139608</v>
      </c>
      <c r="H54" s="61">
        <f t="shared" si="22"/>
        <v>9.5185531058364816</v>
      </c>
      <c r="I54" s="61">
        <f t="shared" si="22"/>
        <v>12.462586372533355</v>
      </c>
      <c r="J54" s="61">
        <f t="shared" si="22"/>
        <v>15.406619639230229</v>
      </c>
      <c r="K54" s="61">
        <f t="shared" si="22"/>
        <v>18.350652905927102</v>
      </c>
      <c r="L54" s="61">
        <f t="shared" si="22"/>
        <v>36.053857953636381</v>
      </c>
      <c r="M54" s="61">
        <f t="shared" si="22"/>
        <v>53.757063001345664</v>
      </c>
      <c r="N54" s="61">
        <f t="shared" si="22"/>
        <v>71.460268049054946</v>
      </c>
      <c r="O54" s="61">
        <f t="shared" si="22"/>
        <v>89.163473096764235</v>
      </c>
      <c r="P54" s="61">
        <f t="shared" si="22"/>
        <v>144.562613999387</v>
      </c>
      <c r="Q54" s="61">
        <f t="shared" si="22"/>
        <v>199.96175490200974</v>
      </c>
      <c r="R54" s="61">
        <f t="shared" si="22"/>
        <v>255.36089580463249</v>
      </c>
      <c r="S54" s="61">
        <f t="shared" si="22"/>
        <v>310.76003670725527</v>
      </c>
      <c r="T54" s="61">
        <f t="shared" si="22"/>
        <v>366.15917760987804</v>
      </c>
      <c r="U54" s="61">
        <f t="shared" si="22"/>
        <v>421.5583185125007</v>
      </c>
      <c r="V54" s="61">
        <f t="shared" si="22"/>
        <v>551.91714225219016</v>
      </c>
      <c r="W54" s="61">
        <f t="shared" si="22"/>
        <v>682.27596599187962</v>
      </c>
      <c r="X54" s="61">
        <f t="shared" si="22"/>
        <v>812.63478973156907</v>
      </c>
      <c r="Y54" s="61">
        <f t="shared" si="22"/>
        <v>942.99361347125853</v>
      </c>
      <c r="Z54" s="61">
        <f t="shared" si="22"/>
        <v>1073.352437210948</v>
      </c>
      <c r="AA54" s="61">
        <f t="shared" si="22"/>
        <v>1297.6248419255464</v>
      </c>
      <c r="AB54" s="61">
        <f t="shared" si="22"/>
        <v>1521.8972466401449</v>
      </c>
      <c r="AC54" s="61">
        <f t="shared" si="22"/>
        <v>1746.1696513547433</v>
      </c>
      <c r="AD54" s="61">
        <f t="shared" si="22"/>
        <v>1970.4420560693418</v>
      </c>
      <c r="AE54" s="61">
        <f t="shared" si="22"/>
        <v>2194.71446078394</v>
      </c>
    </row>
    <row r="55" spans="1:31" x14ac:dyDescent="0.35">
      <c r="A55" s="87" t="s">
        <v>39</v>
      </c>
      <c r="B55" s="9">
        <f>NPV('Cost Assumptions'!$B$3,'MiraLoma &amp; Centralized BESS VS'!D55:'MiraLoma &amp; Centralized BESS VS'!AE55)</f>
        <v>22.545263184878515</v>
      </c>
      <c r="C55" s="87" t="s">
        <v>34</v>
      </c>
      <c r="D55" s="61">
        <f t="shared" ref="D55" si="23">D11-D30</f>
        <v>5.3000580815727012E-2</v>
      </c>
      <c r="E55" s="61">
        <f t="shared" ref="E55:AE55" si="24">E11-E30</f>
        <v>0.13729066114917213</v>
      </c>
      <c r="F55" s="61">
        <f t="shared" si="24"/>
        <v>0.27537952381665309</v>
      </c>
      <c r="G55" s="61">
        <f t="shared" si="24"/>
        <v>0.41346838648413409</v>
      </c>
      <c r="H55" s="61">
        <f t="shared" si="24"/>
        <v>0.55155724915161508</v>
      </c>
      <c r="I55" s="61">
        <f t="shared" si="24"/>
        <v>0.68964611181909607</v>
      </c>
      <c r="J55" s="61">
        <f t="shared" si="24"/>
        <v>0.82773497448657707</v>
      </c>
      <c r="K55" s="61">
        <f t="shared" si="24"/>
        <v>0.96582383715405795</v>
      </c>
      <c r="L55" s="61">
        <f t="shared" si="24"/>
        <v>1.3268237771680045</v>
      </c>
      <c r="M55" s="61">
        <f t="shared" si="24"/>
        <v>1.687823717181951</v>
      </c>
      <c r="N55" s="61">
        <f t="shared" si="24"/>
        <v>2.0488236571958973</v>
      </c>
      <c r="O55" s="61">
        <f t="shared" si="24"/>
        <v>2.4098235972098441</v>
      </c>
      <c r="P55" s="61">
        <f t="shared" si="24"/>
        <v>3.0264431390094124</v>
      </c>
      <c r="Q55" s="61">
        <f t="shared" si="24"/>
        <v>3.6430626808089812</v>
      </c>
      <c r="R55" s="61">
        <f t="shared" si="24"/>
        <v>4.25968222260855</v>
      </c>
      <c r="S55" s="61">
        <f t="shared" si="24"/>
        <v>4.8763017644081188</v>
      </c>
      <c r="T55" s="61">
        <f t="shared" si="24"/>
        <v>5.4929213062076876</v>
      </c>
      <c r="U55" s="61">
        <f t="shared" si="24"/>
        <v>6.1095408480072555</v>
      </c>
      <c r="V55" s="61">
        <f t="shared" si="24"/>
        <v>6.9922453003880554</v>
      </c>
      <c r="W55" s="61">
        <f t="shared" si="24"/>
        <v>7.8749497527688552</v>
      </c>
      <c r="X55" s="61">
        <f t="shared" si="24"/>
        <v>8.7576542051496542</v>
      </c>
      <c r="Y55" s="61">
        <f t="shared" si="24"/>
        <v>9.6403586575304541</v>
      </c>
      <c r="Z55" s="61">
        <f t="shared" si="24"/>
        <v>10.523063109911254</v>
      </c>
      <c r="AA55" s="61">
        <f t="shared" si="24"/>
        <v>11.509597615793707</v>
      </c>
      <c r="AB55" s="61">
        <f t="shared" si="24"/>
        <v>12.49613212167616</v>
      </c>
      <c r="AC55" s="61">
        <f t="shared" si="24"/>
        <v>13.482666627558613</v>
      </c>
      <c r="AD55" s="61">
        <f t="shared" si="24"/>
        <v>14.469201133441066</v>
      </c>
      <c r="AE55" s="61">
        <f t="shared" si="24"/>
        <v>15.455735639323521</v>
      </c>
    </row>
    <row r="56" spans="1:31" x14ac:dyDescent="0.35">
      <c r="A56" s="87" t="s">
        <v>39</v>
      </c>
      <c r="B56" s="9">
        <f>NPV('Cost Assumptions'!$B$3,'MiraLoma &amp; Centralized BESS VS'!D56:'MiraLoma &amp; Centralized BESS VS'!AE56)</f>
        <v>284.37326230940391</v>
      </c>
      <c r="C56" s="87" t="s">
        <v>35</v>
      </c>
      <c r="D56" s="61">
        <f t="shared" ref="D56" si="25">D12-D31</f>
        <v>4</v>
      </c>
      <c r="E56" s="61">
        <f t="shared" ref="E56:AE56" si="26">E12-E31</f>
        <v>5</v>
      </c>
      <c r="F56" s="61">
        <f t="shared" si="26"/>
        <v>7.3333333333333339</v>
      </c>
      <c r="G56" s="61">
        <f t="shared" si="26"/>
        <v>9.6666666666666679</v>
      </c>
      <c r="H56" s="61">
        <f t="shared" si="26"/>
        <v>12.000000000000002</v>
      </c>
      <c r="I56" s="61">
        <f t="shared" si="26"/>
        <v>14.333333333333336</v>
      </c>
      <c r="J56" s="61">
        <f t="shared" si="26"/>
        <v>16.666666666666668</v>
      </c>
      <c r="K56" s="61">
        <f t="shared" si="26"/>
        <v>19</v>
      </c>
      <c r="L56" s="61">
        <f t="shared" si="26"/>
        <v>23.5</v>
      </c>
      <c r="M56" s="61">
        <f t="shared" si="26"/>
        <v>28</v>
      </c>
      <c r="N56" s="61">
        <f t="shared" si="26"/>
        <v>32.5</v>
      </c>
      <c r="O56" s="61">
        <f t="shared" si="26"/>
        <v>37</v>
      </c>
      <c r="P56" s="61">
        <f t="shared" si="26"/>
        <v>42.333333333333336</v>
      </c>
      <c r="Q56" s="61">
        <f t="shared" si="26"/>
        <v>47.666666666666671</v>
      </c>
      <c r="R56" s="61">
        <f t="shared" si="26"/>
        <v>53.000000000000007</v>
      </c>
      <c r="S56" s="61">
        <f t="shared" si="26"/>
        <v>58.333333333333343</v>
      </c>
      <c r="T56" s="61">
        <f t="shared" si="26"/>
        <v>63.666666666666679</v>
      </c>
      <c r="U56" s="61">
        <f t="shared" si="26"/>
        <v>69</v>
      </c>
      <c r="V56" s="61">
        <f t="shared" si="26"/>
        <v>75.599999999999994</v>
      </c>
      <c r="W56" s="61">
        <f t="shared" si="26"/>
        <v>82.199999999999989</v>
      </c>
      <c r="X56" s="61">
        <f t="shared" si="26"/>
        <v>88.799999999999983</v>
      </c>
      <c r="Y56" s="61">
        <f t="shared" si="26"/>
        <v>95.399999999999977</v>
      </c>
      <c r="Z56" s="61">
        <f t="shared" si="26"/>
        <v>102</v>
      </c>
      <c r="AA56" s="61">
        <f t="shared" si="26"/>
        <v>110</v>
      </c>
      <c r="AB56" s="61">
        <f t="shared" si="26"/>
        <v>118</v>
      </c>
      <c r="AC56" s="61">
        <f t="shared" si="26"/>
        <v>126</v>
      </c>
      <c r="AD56" s="61">
        <f t="shared" si="26"/>
        <v>134</v>
      </c>
      <c r="AE56" s="61">
        <f t="shared" si="26"/>
        <v>142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4251371.1950135054</v>
      </c>
      <c r="D65" s="5">
        <f>'Baseline System Analysis'!D24-D34</f>
        <v>2386.5696567331283</v>
      </c>
      <c r="E65" s="5">
        <f>'Baseline System Analysis'!E24-E34</f>
        <v>3641.1696065376759</v>
      </c>
      <c r="F65" s="5">
        <f>'Baseline System Analysis'!F24-F34</f>
        <v>9462.7708653555273</v>
      </c>
      <c r="G65" s="5">
        <f>'Baseline System Analysis'!G24-G34</f>
        <v>15284.372124173378</v>
      </c>
      <c r="H65" s="5">
        <f>'Baseline System Analysis'!H24-H34</f>
        <v>21105.973382991229</v>
      </c>
      <c r="I65" s="5">
        <f>'Baseline System Analysis'!I24-I34</f>
        <v>26927.574641809078</v>
      </c>
      <c r="J65" s="5">
        <f>'Baseline System Analysis'!J24-J34</f>
        <v>32749.175900626931</v>
      </c>
      <c r="K65" s="5">
        <f>'Baseline System Analysis'!K24-K34</f>
        <v>38570.777159444784</v>
      </c>
      <c r="L65" s="5">
        <f>'Baseline System Analysis'!L24-L34</f>
        <v>79014.197420250275</v>
      </c>
      <c r="M65" s="5">
        <f>'Baseline System Analysis'!M24-M34</f>
        <v>119457.61768105577</v>
      </c>
      <c r="N65" s="5">
        <f>'Baseline System Analysis'!N24-N34</f>
        <v>159901.03794186126</v>
      </c>
      <c r="O65" s="5">
        <f>'Baseline System Analysis'!O24-O34</f>
        <v>200344.45820266675</v>
      </c>
      <c r="P65" s="5">
        <f>'Baseline System Analysis'!P24-P34</f>
        <v>337225.19379647699</v>
      </c>
      <c r="Q65" s="5">
        <f>'Baseline System Analysis'!Q24-Q34</f>
        <v>474188.60841287207</v>
      </c>
      <c r="R65" s="5">
        <f>'Baseline System Analysis'!R24-R34</f>
        <v>611152.02302926709</v>
      </c>
      <c r="S65" s="5">
        <f>'Baseline System Analysis'!S24-S34</f>
        <v>748115.43764566199</v>
      </c>
      <c r="T65" s="5">
        <f>'Baseline System Analysis'!T24-T34</f>
        <v>885078.85226205701</v>
      </c>
      <c r="U65" s="5">
        <f>'Baseline System Analysis'!U24-U34</f>
        <v>1022042.2668784522</v>
      </c>
      <c r="V65" s="5">
        <f>'Baseline System Analysis'!V24-V34</f>
        <v>1349341.0682009368</v>
      </c>
      <c r="W65" s="5">
        <f>'Baseline System Analysis'!W24-W34</f>
        <v>1676639.8695234209</v>
      </c>
      <c r="X65" s="5">
        <f>'Baseline System Analysis'!X24-X34</f>
        <v>2003938.6708459051</v>
      </c>
      <c r="Y65" s="5">
        <f>'Baseline System Analysis'!Y24-Y34</f>
        <v>2331237.4721683892</v>
      </c>
      <c r="Z65" s="5">
        <f>'Baseline System Analysis'!Z24-Z34</f>
        <v>2658536.2734908741</v>
      </c>
      <c r="AA65" s="5">
        <f>'Baseline System Analysis'!AA24-AA34</f>
        <v>3184804.7152733854</v>
      </c>
      <c r="AB65" s="5">
        <f>'Baseline System Analysis'!AB24-AB34</f>
        <v>3711073.1570558962</v>
      </c>
      <c r="AC65" s="5">
        <f>'Baseline System Analysis'!AC24-AC34</f>
        <v>4237341.5988384075</v>
      </c>
      <c r="AD65" s="5">
        <f>'Baseline System Analysis'!AD24-AD34</f>
        <v>4763610.0406209184</v>
      </c>
      <c r="AE65" s="5">
        <f>'Baseline System Analysis'!AE24-AE34</f>
        <v>5289878.4824034311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17859705.015092418</v>
      </c>
      <c r="D66" s="5">
        <f>'Baseline System Analysis'!D25-D35</f>
        <v>9903.0369704020231</v>
      </c>
      <c r="E66" s="5">
        <f>'Baseline System Analysis'!E25-E35</f>
        <v>23857.888599272683</v>
      </c>
      <c r="F66" s="5">
        <f>'Baseline System Analysis'!F25-F35</f>
        <v>56763.447440663047</v>
      </c>
      <c r="G66" s="5">
        <f>'Baseline System Analysis'!G25-G35</f>
        <v>89669.006282053408</v>
      </c>
      <c r="H66" s="5">
        <f>'Baseline System Analysis'!H25-H35</f>
        <v>122574.56512344377</v>
      </c>
      <c r="I66" s="5">
        <f>'Baseline System Analysis'!I25-I35</f>
        <v>155480.12396483411</v>
      </c>
      <c r="J66" s="5">
        <f>'Baseline System Analysis'!J25-J35</f>
        <v>188385.68280622447</v>
      </c>
      <c r="K66" s="5">
        <f>'Baseline System Analysis'!K25-K35</f>
        <v>160048.89323447563</v>
      </c>
      <c r="L66" s="5">
        <f>'Baseline System Analysis'!L25-L35</f>
        <v>350286.12450154382</v>
      </c>
      <c r="M66" s="5">
        <f>'Baseline System Analysis'!M25-M35</f>
        <v>540523.355768612</v>
      </c>
      <c r="N66" s="5">
        <f>'Baseline System Analysis'!N25-N35</f>
        <v>730760.58703568019</v>
      </c>
      <c r="O66" s="5">
        <f>'Baseline System Analysis'!O25-O35</f>
        <v>920997.81830274849</v>
      </c>
      <c r="P66" s="5">
        <f>'Baseline System Analysis'!P25-P35</f>
        <v>1399311.1628213983</v>
      </c>
      <c r="Q66" s="5">
        <f>'Baseline System Analysis'!Q25-Q35</f>
        <v>1967638.9108559201</v>
      </c>
      <c r="R66" s="5">
        <f>'Baseline System Analysis'!R25-R35</f>
        <v>2558124.0945012867</v>
      </c>
      <c r="S66" s="5">
        <f>'Baseline System Analysis'!S25-S35</f>
        <v>3148609.2781466539</v>
      </c>
      <c r="T66" s="5">
        <f>'Baseline System Analysis'!T25-T35</f>
        <v>3739094.4617920206</v>
      </c>
      <c r="U66" s="5">
        <f>'Baseline System Analysis'!U25-U35</f>
        <v>4240949.9029940078</v>
      </c>
      <c r="V66" s="5">
        <f>'Baseline System Analysis'!V25-V35</f>
        <v>5599071.6409120355</v>
      </c>
      <c r="W66" s="5">
        <f>'Baseline System Analysis'!W25-W35</f>
        <v>6957193.3788300632</v>
      </c>
      <c r="X66" s="5">
        <f>'Baseline System Analysis'!X25-X35</f>
        <v>8315315.1167480899</v>
      </c>
      <c r="Y66" s="5">
        <f>'Baseline System Analysis'!Y25-Y35</f>
        <v>9673436.8546661176</v>
      </c>
      <c r="Z66" s="5">
        <f>'Baseline System Analysis'!Z25-Z35</f>
        <v>11031558.592584146</v>
      </c>
      <c r="AA66" s="5">
        <f>'Baseline System Analysis'!AA25-AA35</f>
        <v>13215302.033981156</v>
      </c>
      <c r="AB66" s="5">
        <f>'Baseline System Analysis'!AB25-AB35</f>
        <v>15399045.475378165</v>
      </c>
      <c r="AC66" s="5">
        <f>'Baseline System Analysis'!AC25-AC35</f>
        <v>17582788.916775174</v>
      </c>
      <c r="AD66" s="5">
        <f>'Baseline System Analysis'!AD25-AD35</f>
        <v>19766532.358172186</v>
      </c>
      <c r="AE66" s="5">
        <f>'Baseline System Analysis'!AE25-AE35</f>
        <v>21950275.799569193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22111076.210105926</v>
      </c>
      <c r="D67" s="5">
        <f>SUM(D65:D66)</f>
        <v>12289.606627135152</v>
      </c>
      <c r="E67" s="5">
        <f>SUM(E65:E66)</f>
        <v>27499.058205810357</v>
      </c>
      <c r="F67" s="5">
        <f t="shared" ref="F67:AE67" si="27">SUM(F65:F66)</f>
        <v>66226.218306018578</v>
      </c>
      <c r="G67" s="5">
        <f t="shared" si="27"/>
        <v>104953.37840622678</v>
      </c>
      <c r="H67" s="5">
        <f t="shared" si="27"/>
        <v>143680.538506435</v>
      </c>
      <c r="I67" s="5">
        <f t="shared" si="27"/>
        <v>182407.69860664319</v>
      </c>
      <c r="J67" s="5">
        <f t="shared" si="27"/>
        <v>221134.8587068514</v>
      </c>
      <c r="K67" s="5">
        <f t="shared" si="27"/>
        <v>198619.67039392042</v>
      </c>
      <c r="L67" s="5">
        <f t="shared" si="27"/>
        <v>429300.32192179409</v>
      </c>
      <c r="M67" s="5">
        <f t="shared" si="27"/>
        <v>659980.9734496678</v>
      </c>
      <c r="N67" s="5">
        <f t="shared" si="27"/>
        <v>890661.62497754139</v>
      </c>
      <c r="O67" s="5">
        <f t="shared" si="27"/>
        <v>1121342.2765054153</v>
      </c>
      <c r="P67" s="5">
        <f t="shared" si="27"/>
        <v>1736536.3566178754</v>
      </c>
      <c r="Q67" s="5">
        <f t="shared" si="27"/>
        <v>2441827.5192687921</v>
      </c>
      <c r="R67" s="5">
        <f t="shared" si="27"/>
        <v>3169276.1175305536</v>
      </c>
      <c r="S67" s="5">
        <f t="shared" si="27"/>
        <v>3896724.715792316</v>
      </c>
      <c r="T67" s="5">
        <f t="shared" si="27"/>
        <v>4624173.3140540775</v>
      </c>
      <c r="U67" s="5">
        <f t="shared" si="27"/>
        <v>5262992.16987246</v>
      </c>
      <c r="V67" s="5">
        <f t="shared" si="27"/>
        <v>6948412.709112972</v>
      </c>
      <c r="W67" s="5">
        <f t="shared" si="27"/>
        <v>8633833.248353485</v>
      </c>
      <c r="X67" s="5">
        <f t="shared" si="27"/>
        <v>10319253.787593994</v>
      </c>
      <c r="Y67" s="5">
        <f t="shared" si="27"/>
        <v>12004674.326834507</v>
      </c>
      <c r="Z67" s="5">
        <f t="shared" si="27"/>
        <v>13690094.86607502</v>
      </c>
      <c r="AA67" s="5">
        <f t="shared" si="27"/>
        <v>16400106.749254541</v>
      </c>
      <c r="AB67" s="5">
        <f t="shared" si="27"/>
        <v>19110118.632434063</v>
      </c>
      <c r="AC67" s="5">
        <f t="shared" si="27"/>
        <v>21820130.515613582</v>
      </c>
      <c r="AD67" s="5">
        <f t="shared" si="27"/>
        <v>24530142.398793105</v>
      </c>
      <c r="AE67" s="5">
        <f t="shared" si="27"/>
        <v>27240154.281972624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122402385.45052689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2696419.0538857356</v>
      </c>
      <c r="J69" s="5">
        <f>'Baseline System Analysis'!J28-J32</f>
        <v>3587048.7001477713</v>
      </c>
      <c r="K69" s="5">
        <f>'Baseline System Analysis'!K28-K32</f>
        <v>4534084.5657563498</v>
      </c>
      <c r="L69" s="5">
        <f>'Baseline System Analysis'!L28-L32</f>
        <v>5693348.9186131302</v>
      </c>
      <c r="M69" s="5">
        <f>'Baseline System Analysis'!M28-M32</f>
        <v>7548985.0743932622</v>
      </c>
      <c r="N69" s="5">
        <f>'Baseline System Analysis'!N28-N32</f>
        <v>9794691.5976483021</v>
      </c>
      <c r="O69" s="5">
        <f>'Baseline System Analysis'!O28-O32</f>
        <v>12474348.375717288</v>
      </c>
      <c r="P69" s="5">
        <f>'Baseline System Analysis'!P28-P32</f>
        <v>15347020.983958816</v>
      </c>
      <c r="Q69" s="5">
        <f>'Baseline System Analysis'!Q28-Q32</f>
        <v>17866466.956706397</v>
      </c>
      <c r="R69" s="5">
        <f>'Baseline System Analysis'!R28-R32</f>
        <v>20996797.786055777</v>
      </c>
      <c r="S69" s="5">
        <f>'Baseline System Analysis'!S28-S32</f>
        <v>24698098.988227863</v>
      </c>
      <c r="T69" s="5">
        <f>'Baseline System Analysis'!T28-T32</f>
        <v>28840317.341671247</v>
      </c>
      <c r="U69" s="5">
        <f>'Baseline System Analysis'!U28-U32</f>
        <v>33541217.353331745</v>
      </c>
      <c r="V69" s="5">
        <f>'Baseline System Analysis'!V28-V32</f>
        <v>38471074.127916157</v>
      </c>
      <c r="W69" s="5">
        <f>'Baseline System Analysis'!W28-W32</f>
        <v>44538095.497219943</v>
      </c>
      <c r="X69" s="5">
        <f>'Baseline System Analysis'!X28-X32</f>
        <v>50065147.454451628</v>
      </c>
      <c r="Y69" s="5">
        <f>'Baseline System Analysis'!Y28-Y32</f>
        <v>56027611.218482688</v>
      </c>
      <c r="Z69" s="5">
        <f>'Baseline System Analysis'!Z28-Z32</f>
        <v>61953016.92696394</v>
      </c>
      <c r="AA69" s="5">
        <f>'Baseline System Analysis'!AA28-AA32</f>
        <v>68192076.492750496</v>
      </c>
      <c r="AB69" s="5">
        <f>'Baseline System Analysis'!AB28-AB32</f>
        <v>75753576.054779172</v>
      </c>
      <c r="AC69" s="5">
        <f>'Baseline System Analysis'!AC28-AC32</f>
        <v>84072896.775216386</v>
      </c>
      <c r="AD69" s="5">
        <f>'Baseline System Analysis'!AD28-AD32</f>
        <v>90296154.735241339</v>
      </c>
      <c r="AE69" s="5">
        <f>'Baseline System Analysis'!AE28-AE32</f>
        <v>99941321.925509945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524690134.18495488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11935292.094424136</v>
      </c>
      <c r="J70" s="5">
        <f>'Baseline System Analysis'!J29-J33</f>
        <v>15941642.32252172</v>
      </c>
      <c r="K70" s="5">
        <f>'Baseline System Analysis'!K29-K33</f>
        <v>19613619.815275714</v>
      </c>
      <c r="L70" s="5">
        <f>'Baseline System Analysis'!L29-L33</f>
        <v>24661704.485005222</v>
      </c>
      <c r="M70" s="5">
        <f>'Baseline System Analysis'!M29-M33</f>
        <v>32796387.723990619</v>
      </c>
      <c r="N70" s="5">
        <f>'Baseline System Analysis'!N29-N33</f>
        <v>43151911.473019019</v>
      </c>
      <c r="O70" s="5">
        <f>'Baseline System Analysis'!O29-O33</f>
        <v>55866474.738844089</v>
      </c>
      <c r="P70" s="5">
        <f>'Baseline System Analysis'!P29-P33</f>
        <v>68637387.043348879</v>
      </c>
      <c r="Q70" s="5">
        <f>'Baseline System Analysis'!Q29-Q33</f>
        <v>77675195.110624015</v>
      </c>
      <c r="R70" s="5">
        <f>'Baseline System Analysis'!R29-R33</f>
        <v>90392543.566104695</v>
      </c>
      <c r="S70" s="5">
        <f>'Baseline System Analysis'!S29-S33</f>
        <v>106694968.75578959</v>
      </c>
      <c r="T70" s="5">
        <f>'Baseline System Analysis'!T29-T33</f>
        <v>124345366.11087258</v>
      </c>
      <c r="U70" s="5">
        <f>'Baseline System Analysis'!U29-U33</f>
        <v>143712431.51196387</v>
      </c>
      <c r="V70" s="5">
        <f>'Baseline System Analysis'!V29-V33</f>
        <v>164558346.42944998</v>
      </c>
      <c r="W70" s="5">
        <f>'Baseline System Analysis'!W29-W33</f>
        <v>190732503.36979601</v>
      </c>
      <c r="X70" s="5">
        <f>'Baseline System Analysis'!X29-X33</f>
        <v>211736495.75619063</v>
      </c>
      <c r="Y70" s="5">
        <f>'Baseline System Analysis'!Y29-Y33</f>
        <v>237640870.29091629</v>
      </c>
      <c r="Z70" s="5">
        <f>'Baseline System Analysis'!Z29-Z33</f>
        <v>261024283.43241259</v>
      </c>
      <c r="AA70" s="5">
        <f>'Baseline System Analysis'!AA29-AA33</f>
        <v>285410828.68515736</v>
      </c>
      <c r="AB70" s="5">
        <f>'Baseline System Analysis'!AB29-AB33</f>
        <v>316389312.35185409</v>
      </c>
      <c r="AC70" s="5">
        <f>'Baseline System Analysis'!AC29-AC33</f>
        <v>351526819.46737939</v>
      </c>
      <c r="AD70" s="5">
        <f>'Baseline System Analysis'!AD29-AD33</f>
        <v>372036180.3666203</v>
      </c>
      <c r="AE70" s="5">
        <f>'Baseline System Analysis'!AE29-AE33</f>
        <v>405152985.56203926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647092519.63548172</v>
      </c>
      <c r="D71" s="5">
        <f>SUM(D69:D70)</f>
        <v>1938540.0424908805</v>
      </c>
      <c r="E71" s="5">
        <f>SUM(E69:E70)</f>
        <v>5093845.8447473096</v>
      </c>
      <c r="F71" s="5">
        <f t="shared" ref="F71:AE71" si="28">SUM(F69:F70)</f>
        <v>7741142.53278674</v>
      </c>
      <c r="G71" s="5">
        <f t="shared" si="28"/>
        <v>10801761.726361772</v>
      </c>
      <c r="H71" s="5">
        <f t="shared" si="28"/>
        <v>12982259.988815472</v>
      </c>
      <c r="I71" s="5">
        <f t="shared" si="28"/>
        <v>14631711.148309872</v>
      </c>
      <c r="J71" s="5">
        <f t="shared" si="28"/>
        <v>19528691.02266949</v>
      </c>
      <c r="K71" s="5">
        <f t="shared" si="28"/>
        <v>24147704.381032065</v>
      </c>
      <c r="L71" s="5">
        <f t="shared" si="28"/>
        <v>30355053.403618351</v>
      </c>
      <c r="M71" s="5">
        <f t="shared" si="28"/>
        <v>40345372.798383884</v>
      </c>
      <c r="N71" s="5">
        <f t="shared" si="28"/>
        <v>52946603.070667319</v>
      </c>
      <c r="O71" s="5">
        <f t="shared" si="28"/>
        <v>68340823.114561379</v>
      </c>
      <c r="P71" s="5">
        <f t="shared" si="28"/>
        <v>83984408.027307689</v>
      </c>
      <c r="Q71" s="5">
        <f t="shared" si="28"/>
        <v>95541662.06733042</v>
      </c>
      <c r="R71" s="5">
        <f t="shared" si="28"/>
        <v>111389341.35216047</v>
      </c>
      <c r="S71" s="5">
        <f t="shared" si="28"/>
        <v>131393067.74401745</v>
      </c>
      <c r="T71" s="5">
        <f t="shared" si="28"/>
        <v>153185683.45254382</v>
      </c>
      <c r="U71" s="5">
        <f t="shared" si="28"/>
        <v>177253648.86529562</v>
      </c>
      <c r="V71" s="5">
        <f t="shared" si="28"/>
        <v>203029420.55736613</v>
      </c>
      <c r="W71" s="5">
        <f t="shared" si="28"/>
        <v>235270598.86701596</v>
      </c>
      <c r="X71" s="5">
        <f t="shared" si="28"/>
        <v>261801643.21064225</v>
      </c>
      <c r="Y71" s="5">
        <f t="shared" si="28"/>
        <v>293668481.509399</v>
      </c>
      <c r="Z71" s="5">
        <f t="shared" si="28"/>
        <v>322977300.35937655</v>
      </c>
      <c r="AA71" s="5">
        <f t="shared" si="28"/>
        <v>353602905.17790782</v>
      </c>
      <c r="AB71" s="5">
        <f t="shared" si="28"/>
        <v>392142888.40663326</v>
      </c>
      <c r="AC71" s="5">
        <f t="shared" si="28"/>
        <v>435599716.24259579</v>
      </c>
      <c r="AD71" s="5">
        <f t="shared" si="28"/>
        <v>462332335.10186166</v>
      </c>
      <c r="AE71" s="5">
        <f t="shared" si="28"/>
        <v>505094307.48754919</v>
      </c>
    </row>
    <row r="73" spans="1:31" x14ac:dyDescent="0.35">
      <c r="A73" s="87" t="s">
        <v>117</v>
      </c>
      <c r="B73" s="87" t="s">
        <v>144</v>
      </c>
      <c r="C73" s="17">
        <f>NPV('Cost Assumptions'!$B$3,D73:AE73)</f>
        <v>1148319648.5866659</v>
      </c>
      <c r="D73" s="61">
        <f>ABS((D49*D60+D100*1000*'Cost Assumptions'!$B$6)/'Cost Assumptions'!$B$14)</f>
        <v>23076.730120643235</v>
      </c>
      <c r="E73" s="61">
        <f>ABS((E49*E60*1000*'Cost Assumptions'!$B$6)/'Cost Assumptions'!$B$14)</f>
        <v>30326551.553810272</v>
      </c>
      <c r="F73" s="61">
        <f>ABS((F49*F60*1000*'Cost Assumptions'!$B$6)/'Cost Assumptions'!$B$14)</f>
        <v>40348940.060610354</v>
      </c>
      <c r="G73" s="61">
        <f>ABS((G49*G60*1000*'Cost Assumptions'!$B$6)/'Cost Assumptions'!$B$14)</f>
        <v>50853493.898029298</v>
      </c>
      <c r="H73" s="61">
        <f>ABS((H49*H60*1000*'Cost Assumptions'!$B$6)/'Cost Assumptions'!$B$14)</f>
        <v>61858057.339781307</v>
      </c>
      <c r="I73" s="61">
        <f>ABS((I49*I60*1000*'Cost Assumptions'!$B$6)/'Cost Assumptions'!$B$14)</f>
        <v>73381065.519934639</v>
      </c>
      <c r="J73" s="61">
        <f>ABS((J49*J60*1000*'Cost Assumptions'!$B$6)/'Cost Assumptions'!$B$14)</f>
        <v>85441562.823258281</v>
      </c>
      <c r="K73" s="61">
        <f>ABS((K49*K60*1000*'Cost Assumptions'!$B$6)/'Cost Assumptions'!$B$14)</f>
        <v>98059221.825798139</v>
      </c>
      <c r="L73" s="61">
        <f>ABS((L49*L60*1000*'Cost Assumptions'!$B$6)/'Cost Assumptions'!$B$14)</f>
        <v>111254362.80170044</v>
      </c>
      <c r="M73" s="61">
        <f>ABS((M49*M60*1000*'Cost Assumptions'!$B$6)/'Cost Assumptions'!$B$14)</f>
        <v>125047973.81275678</v>
      </c>
      <c r="N73" s="61">
        <f>ABS((N49*N60*1000*'Cost Assumptions'!$B$6)/'Cost Assumptions'!$B$14)</f>
        <v>139461731.39761481</v>
      </c>
      <c r="O73" s="61">
        <f>ABS((O49*O60*1000*'Cost Assumptions'!$B$6)/'Cost Assumptions'!$B$14)</f>
        <v>154518021.87808278</v>
      </c>
      <c r="P73" s="61">
        <f>ABS((P49*P60*1000*'Cost Assumptions'!$B$6)/'Cost Assumptions'!$B$14)</f>
        <v>170239963.30045065</v>
      </c>
      <c r="Q73" s="61">
        <f>ABS((Q49*Q60*1000*'Cost Assumptions'!$B$6)/'Cost Assumptions'!$B$14)</f>
        <v>186651428.03026313</v>
      </c>
      <c r="R73" s="61">
        <f>ABS((R49*R60*1000*'Cost Assumptions'!$B$6)/'Cost Assumptions'!$B$14)</f>
        <v>203777066.01950344</v>
      </c>
      <c r="S73" s="61">
        <f>ABS((S49*S60*1000*'Cost Assumptions'!$B$6)/'Cost Assumptions'!$B$14)</f>
        <v>221642328.76568684</v>
      </c>
      <c r="T73" s="61">
        <f>ABS((T49*T60*1000*'Cost Assumptions'!$B$6)/'Cost Assumptions'!$B$14)</f>
        <v>240273493.98291725</v>
      </c>
      <c r="U73" s="61">
        <f>ABS((U49*U60*1000*'Cost Assumptions'!$B$6)/'Cost Assumptions'!$B$14)</f>
        <v>259697691.00553063</v>
      </c>
      <c r="V73" s="61">
        <f>ABS((V49*V60*1000*'Cost Assumptions'!$B$6)/'Cost Assumptions'!$B$14)</f>
        <v>279942926.9455353</v>
      </c>
      <c r="W73" s="61">
        <f>ABS((W49*W60*1000*'Cost Assumptions'!$B$6)/'Cost Assumptions'!$B$14)</f>
        <v>301038113.62566173</v>
      </c>
      <c r="X73" s="61">
        <f>ABS((X49*X60*1000*'Cost Assumptions'!$B$6)/'Cost Assumptions'!$B$14)</f>
        <v>323013095.31045365</v>
      </c>
      <c r="Y73" s="61">
        <f>ABS((Y49*Y60*1000*'Cost Assumptions'!$B$6)/'Cost Assumptions'!$B$14)</f>
        <v>345898677.25846899</v>
      </c>
      <c r="Z73" s="61">
        <f>ABS((Z49*Z60*1000*'Cost Assumptions'!$B$6)/'Cost Assumptions'!$B$14)</f>
        <v>369726655.1193161</v>
      </c>
      <c r="AA73" s="61">
        <f>ABS((AA49*AA60*1000*'Cost Assumptions'!$B$6)/'Cost Assumptions'!$B$14)</f>
        <v>394529845.1999191</v>
      </c>
      <c r="AB73" s="61">
        <f>ABS((AB49*AB60*1000*'Cost Assumptions'!$B$6)/'Cost Assumptions'!$B$14)</f>
        <v>420342115.62510258</v>
      </c>
      <c r="AC73" s="61">
        <f>ABS((AC49*AC60*1000*'Cost Assumptions'!$B$6)/'Cost Assumptions'!$B$14)</f>
        <v>447198418.41829532</v>
      </c>
      <c r="AD73" s="61">
        <f>ABS((AD49*AD60*1000*'Cost Assumptions'!$B$6)/'Cost Assumptions'!$B$14)</f>
        <v>475134822.52888197</v>
      </c>
      <c r="AE73" s="61">
        <f>ABS((AE49*AE60*1000*'Cost Assumptions'!$B$6)/'Cost Assumptions'!$B$14)</f>
        <v>504188547.83348614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4808351157.0716124</v>
      </c>
      <c r="D74" s="61">
        <f>ABS((D49*D62*1000*'Cost Assumptions'!$B$7)/'Cost Assumptions'!$B$14)</f>
        <v>85560882.959587976</v>
      </c>
      <c r="E74" s="61">
        <f>ABS((E49*E62*1000*'Cost Assumptions'!$B$7)/'Cost Assumptions'!$B$14)</f>
        <v>124934247.83312246</v>
      </c>
      <c r="F74" s="61">
        <f>ABS((F49*F62*1000*'Cost Assumptions'!$B$7)/'Cost Assumptions'!$B$14)</f>
        <v>166222805.39848399</v>
      </c>
      <c r="G74" s="61">
        <f>ABS((G49*G62*1000*'Cost Assumptions'!$B$7)/'Cost Assumptions'!$B$14)</f>
        <v>209497706.93721783</v>
      </c>
      <c r="H74" s="61">
        <f>ABS((H49*H62*1000*'Cost Assumptions'!$B$7)/'Cost Assumptions'!$B$14)</f>
        <v>254832464.29951432</v>
      </c>
      <c r="I74" s="61">
        <f>ABS((I49*I62*1000*'Cost Assumptions'!$B$7)/'Cost Assumptions'!$B$14)</f>
        <v>302303023.46308988</v>
      </c>
      <c r="J74" s="61">
        <f>ABS((J49*J62*1000*'Cost Assumptions'!$B$7)/'Cost Assumptions'!$B$14)</f>
        <v>351987840.29465699</v>
      </c>
      <c r="K74" s="61">
        <f>ABS((K49*K62*1000*'Cost Assumptions'!$B$7)/'Cost Assumptions'!$B$14)</f>
        <v>403967958.57813799</v>
      </c>
      <c r="L74" s="61">
        <f>ABS((L49*L62*1000*'Cost Assumptions'!$B$7)/'Cost Assumptions'!$B$14)</f>
        <v>458327090.3756088</v>
      </c>
      <c r="M74" s="61">
        <f>ABS((M49*M62*1000*'Cost Assumptions'!$B$7)/'Cost Assumptions'!$B$14)</f>
        <v>515151698.78884196</v>
      </c>
      <c r="N74" s="61">
        <f>ABS((N49*N62*1000*'Cost Assumptions'!$B$7)/'Cost Assumptions'!$B$14)</f>
        <v>574531083.19125199</v>
      </c>
      <c r="O74" s="61">
        <f>ABS((O49*O62*1000*'Cost Assumptions'!$B$7)/'Cost Assumptions'!$B$14)</f>
        <v>636557467.00203943</v>
      </c>
      <c r="P74" s="61">
        <f>ABS((P49*P62*1000*'Cost Assumptions'!$B$7)/'Cost Assumptions'!$B$14)</f>
        <v>701326088.07637167</v>
      </c>
      <c r="Q74" s="61">
        <f>ABS((Q49*Q62*1000*'Cost Assumptions'!$B$7)/'Cost Assumptions'!$B$14)</f>
        <v>768935291.78754437</v>
      </c>
      <c r="R74" s="61">
        <f>ABS((R49*R62*1000*'Cost Assumptions'!$B$7)/'Cost Assumptions'!$B$14)</f>
        <v>839486626.87922788</v>
      </c>
      <c r="S74" s="61">
        <f>ABS((S49*S62*1000*'Cost Assumptions'!$B$7)/'Cost Assumptions'!$B$14)</f>
        <v>913084944.16812861</v>
      </c>
      <c r="T74" s="61">
        <f>ABS((T49*T62*1000*'Cost Assumptions'!$B$7)/'Cost Assumptions'!$B$14)</f>
        <v>989838498.17967474</v>
      </c>
      <c r="U74" s="61">
        <f>ABS((U49*U62*1000*'Cost Assumptions'!$B$7)/'Cost Assumptions'!$B$14)</f>
        <v>1069859051.8016931</v>
      </c>
      <c r="V74" s="61">
        <f>ABS((V49*V62*1000*'Cost Assumptions'!$B$7)/'Cost Assumptions'!$B$14)</f>
        <v>1153261984.0434499</v>
      </c>
      <c r="W74" s="61">
        <f>ABS((W49*W62*1000*'Cost Assumptions'!$B$7)/'Cost Assumptions'!$B$14)</f>
        <v>1240166400.9899187</v>
      </c>
      <c r="X74" s="61">
        <f>ABS((X49*X62*1000*'Cost Assumptions'!$B$7)/'Cost Assumptions'!$B$14)</f>
        <v>1330695250.0436835</v>
      </c>
      <c r="Y74" s="61">
        <f>ABS((Y49*Y62*1000*'Cost Assumptions'!$B$7)/'Cost Assumptions'!$B$14)</f>
        <v>1424975437.5495179</v>
      </c>
      <c r="Z74" s="61">
        <f>ABS((Z49*Z62*1000*'Cost Assumptions'!$B$7)/'Cost Assumptions'!$B$14)</f>
        <v>1523137949.8993671</v>
      </c>
      <c r="AA74" s="61">
        <f>ABS((AA49*AA62*1000*'Cost Assumptions'!$B$7)/'Cost Assumptions'!$B$14)</f>
        <v>1625317978.2182398</v>
      </c>
      <c r="AB74" s="61">
        <f>ABS((AB49*AB62*1000*'Cost Assumptions'!$B$7)/'Cost Assumptions'!$B$14)</f>
        <v>1731655046.7343693</v>
      </c>
      <c r="AC74" s="61">
        <f>ABS((AC49*AC62*1000*'Cost Assumptions'!$B$7)/'Cost Assumptions'!$B$14)</f>
        <v>1842293144.9399185</v>
      </c>
      <c r="AD74" s="61">
        <f>ABS((AD49*AD62*1000*'Cost Assumptions'!$B$7)/'Cost Assumptions'!$B$14)</f>
        <v>1957380863.6515365</v>
      </c>
      <c r="AE74" s="61">
        <f>ABS((AE49*AE62*1000*'Cost Assumptions'!$B$7)/'Cost Assumptions'!$B$14)</f>
        <v>2077071535.0831459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5956670805.6582794</v>
      </c>
      <c r="D75" s="61">
        <f>SUM(D73:D74)</f>
        <v>85583959.68970862</v>
      </c>
      <c r="E75" s="61">
        <f>SUM(E73:E74)</f>
        <v>155260799.38693273</v>
      </c>
      <c r="F75" s="61">
        <f t="shared" ref="F75:AE75" si="29">SUM(F73:F74)</f>
        <v>206571745.45909435</v>
      </c>
      <c r="G75" s="61">
        <f t="shared" si="29"/>
        <v>260351200.83524713</v>
      </c>
      <c r="H75" s="61">
        <f t="shared" si="29"/>
        <v>316690521.63929564</v>
      </c>
      <c r="I75" s="61">
        <f t="shared" si="29"/>
        <v>375684088.98302454</v>
      </c>
      <c r="J75" s="61">
        <f t="shared" si="29"/>
        <v>437429403.11791527</v>
      </c>
      <c r="K75" s="61">
        <f t="shared" si="29"/>
        <v>502027180.40393615</v>
      </c>
      <c r="L75" s="61">
        <f t="shared" si="29"/>
        <v>569581453.17730927</v>
      </c>
      <c r="M75" s="61">
        <f t="shared" si="29"/>
        <v>640199672.60159874</v>
      </c>
      <c r="N75" s="61">
        <f t="shared" si="29"/>
        <v>713992814.58886683</v>
      </c>
      <c r="O75" s="61">
        <f t="shared" si="29"/>
        <v>791075488.88012218</v>
      </c>
      <c r="P75" s="61">
        <f t="shared" si="29"/>
        <v>871566051.37682235</v>
      </c>
      <c r="Q75" s="61">
        <f t="shared" si="29"/>
        <v>955586719.81780744</v>
      </c>
      <c r="R75" s="61">
        <f t="shared" si="29"/>
        <v>1043263692.8987314</v>
      </c>
      <c r="S75" s="61">
        <f t="shared" si="29"/>
        <v>1134727272.9338155</v>
      </c>
      <c r="T75" s="61">
        <f t="shared" si="29"/>
        <v>1230111992.1625919</v>
      </c>
      <c r="U75" s="61">
        <f t="shared" si="29"/>
        <v>1329556742.8072238</v>
      </c>
      <c r="V75" s="61">
        <f t="shared" si="29"/>
        <v>1433204910.9889851</v>
      </c>
      <c r="W75" s="61">
        <f t="shared" si="29"/>
        <v>1541204514.6155806</v>
      </c>
      <c r="X75" s="61">
        <f t="shared" si="29"/>
        <v>1653708345.3541372</v>
      </c>
      <c r="Y75" s="61">
        <f t="shared" si="29"/>
        <v>1770874114.8079867</v>
      </c>
      <c r="Z75" s="61">
        <f t="shared" si="29"/>
        <v>1892864605.0186832</v>
      </c>
      <c r="AA75" s="61">
        <f t="shared" si="29"/>
        <v>2019847823.418159</v>
      </c>
      <c r="AB75" s="61">
        <f t="shared" si="29"/>
        <v>2151997162.3594718</v>
      </c>
      <c r="AC75" s="61">
        <f t="shared" si="29"/>
        <v>2289491563.3582139</v>
      </c>
      <c r="AD75" s="61">
        <f t="shared" si="29"/>
        <v>2432515686.1804185</v>
      </c>
      <c r="AE75" s="61">
        <f t="shared" si="29"/>
        <v>2581260082.9166322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21148393.044836637</v>
      </c>
      <c r="D77" s="61">
        <f>ABS(D50)*D61*1000*'Cost Assumptions'!$B$6*'Cost Assumptions'!$B$13</f>
        <v>1782193.5022492749</v>
      </c>
      <c r="E77" s="61">
        <f>ABS(E50)*E61*1000*'Cost Assumptions'!$B$6*'Cost Assumptions'!$B$13</f>
        <v>1836218.7550420112</v>
      </c>
      <c r="F77" s="61">
        <f>ABS(F50)*F61*1000*'Cost Assumptions'!$B$6*'Cost Assumptions'!$B$13</f>
        <v>1891831.3995354688</v>
      </c>
      <c r="G77" s="61">
        <f>ABS(G50)*G61*1000*'Cost Assumptions'!$B$6*'Cost Assumptions'!$B$13</f>
        <v>1945036.4892747169</v>
      </c>
      <c r="H77" s="61">
        <f>ABS(H50)*H61*1000*'Cost Assumptions'!$B$6*'Cost Assumptions'!$B$13</f>
        <v>1999771.2084263719</v>
      </c>
      <c r="I77" s="61">
        <f>ABS(I50)*I61*1000*'Cost Assumptions'!$B$6*'Cost Assumptions'!$B$13</f>
        <v>2055973.9519408983</v>
      </c>
      <c r="J77" s="61">
        <f>ABS(J50)*J61*1000*'Cost Assumptions'!$B$6*'Cost Assumptions'!$B$13</f>
        <v>2114280.8794623292</v>
      </c>
      <c r="K77" s="61">
        <f>ABS(K50)*K61*1000*'Cost Assumptions'!$B$6*'Cost Assumptions'!$B$13</f>
        <v>2174162.419496641</v>
      </c>
      <c r="L77" s="61">
        <f>ABS(L50)*L61*1000*'Cost Assumptions'!$B$6*'Cost Assumptions'!$B$13</f>
        <v>2235716.6109829866</v>
      </c>
      <c r="M77" s="61">
        <f>ABS(M50)*M61*1000*'Cost Assumptions'!$B$6*'Cost Assumptions'!$B$13</f>
        <v>2298989.6605314957</v>
      </c>
      <c r="N77" s="61">
        <f>ABS(N50)*N61*1000*'Cost Assumptions'!$B$6*'Cost Assumptions'!$B$13</f>
        <v>2364209.1500953292</v>
      </c>
      <c r="O77" s="61">
        <f>ABS(O50)*O61*1000*'Cost Assumptions'!$B$6*'Cost Assumptions'!$B$13</f>
        <v>2431252.7455995088</v>
      </c>
      <c r="P77" s="61">
        <f>ABS(P50)*P61*1000*'Cost Assumptions'!$B$6*'Cost Assumptions'!$B$13</f>
        <v>2500233.9663300249</v>
      </c>
      <c r="Q77" s="61">
        <f>ABS(Q50)*Q61*1000*'Cost Assumptions'!$B$6*'Cost Assumptions'!$B$13</f>
        <v>2571080.0620568921</v>
      </c>
      <c r="R77" s="61">
        <f>ABS(R50)*R61*1000*'Cost Assumptions'!$B$6*'Cost Assumptions'!$B$13</f>
        <v>2643640.7387370514</v>
      </c>
      <c r="S77" s="61">
        <f>ABS(S50)*S61*1000*'Cost Assumptions'!$B$6*'Cost Assumptions'!$B$13</f>
        <v>2718222.5242124004</v>
      </c>
      <c r="T77" s="61">
        <f>ABS(T50)*T61*1000*'Cost Assumptions'!$B$6*'Cost Assumptions'!$B$13</f>
        <v>2794950.7477892675</v>
      </c>
      <c r="U77" s="61">
        <f>ABS(U50)*U61*1000*'Cost Assumptions'!$B$6*'Cost Assumptions'!$B$13</f>
        <v>2873745.1285706586</v>
      </c>
      <c r="V77" s="61">
        <f>ABS(V50)*V61*1000*'Cost Assumptions'!$B$6*'Cost Assumptions'!$B$13</f>
        <v>2954074.0430017705</v>
      </c>
      <c r="W77" s="61">
        <f>ABS(W50)*W61*1000*'Cost Assumptions'!$B$6*'Cost Assumptions'!$B$13</f>
        <v>3036623.3124490441</v>
      </c>
      <c r="X77" s="61">
        <f>ABS(X50)*X61*1000*'Cost Assumptions'!$B$6*'Cost Assumptions'!$B$13</f>
        <v>3121453.7490918376</v>
      </c>
      <c r="Y77" s="61">
        <f>ABS(Y50)*Y61*1000*'Cost Assumptions'!$B$6*'Cost Assumptions'!$B$13</f>
        <v>3208549.044503558</v>
      </c>
      <c r="Z77" s="61">
        <f>ABS(Z50)*Z61*1000*'Cost Assumptions'!$B$6*'Cost Assumptions'!$B$13</f>
        <v>3297079.2821299192</v>
      </c>
      <c r="AA77" s="61">
        <f>ABS(AA50)*AA61*1000*'Cost Assumptions'!$B$6*'Cost Assumptions'!$B$13</f>
        <v>3387947.9270838173</v>
      </c>
      <c r="AB77" s="61">
        <f>ABS(AB50)*AB61*1000*'Cost Assumptions'!$B$6*'Cost Assumptions'!$B$13</f>
        <v>3481299.3297340497</v>
      </c>
      <c r="AC77" s="61">
        <f>ABS(AC50)*AC61*1000*'Cost Assumptions'!$B$6*'Cost Assumptions'!$B$13</f>
        <v>3577287.786259294</v>
      </c>
      <c r="AD77" s="61">
        <f>ABS(AD50)*AD61*1000*'Cost Assumptions'!$B$6*'Cost Assumptions'!$B$13</f>
        <v>3674473.8539003623</v>
      </c>
      <c r="AE77" s="61">
        <f>ABS(AE50)*AE61*1000*'Cost Assumptions'!$B$6*'Cost Assumptions'!$B$13</f>
        <v>3774283.4200570956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95329595.241058052</v>
      </c>
      <c r="D78" s="61">
        <f>ABS(D50)*D63*1000*'Cost Assumptions'!$B$7*'Cost Assumptions'!$B$13</f>
        <v>8033508.0235397303</v>
      </c>
      <c r="E78" s="61">
        <f>ABS(E50)*E63*1000*'Cost Assumptions'!$B$7*'Cost Assumptions'!$B$13</f>
        <v>8277035.059878068</v>
      </c>
      <c r="F78" s="61">
        <f>ABS(F50)*F63*1000*'Cost Assumptions'!$B$7*'Cost Assumptions'!$B$13</f>
        <v>8527717.5055185687</v>
      </c>
      <c r="G78" s="61">
        <f>ABS(G50)*G63*1000*'Cost Assumptions'!$B$7*'Cost Assumptions'!$B$13</f>
        <v>8767547.5322659202</v>
      </c>
      <c r="H78" s="61">
        <f>ABS(H50)*H63*1000*'Cost Assumptions'!$B$7*'Cost Assumptions'!$B$13</f>
        <v>9014272.596023621</v>
      </c>
      <c r="I78" s="61">
        <f>ABS(I50)*I63*1000*'Cost Assumptions'!$B$7*'Cost Assumptions'!$B$13</f>
        <v>9267615.002669733</v>
      </c>
      <c r="J78" s="61">
        <f>ABS(J50)*J63*1000*'Cost Assumptions'!$B$7*'Cost Assumptions'!$B$13</f>
        <v>9530442.3384669945</v>
      </c>
      <c r="K78" s="61">
        <f>ABS(K50)*K63*1000*'Cost Assumptions'!$B$7*'Cost Assumptions'!$B$13</f>
        <v>9800367.4794353712</v>
      </c>
      <c r="L78" s="61">
        <f>ABS(L50)*L63*1000*'Cost Assumptions'!$B$7*'Cost Assumptions'!$B$13</f>
        <v>10077832.350990541</v>
      </c>
      <c r="M78" s="61">
        <f>ABS(M50)*M63*1000*'Cost Assumptions'!$B$7*'Cost Assumptions'!$B$13</f>
        <v>10363045.23644897</v>
      </c>
      <c r="N78" s="61">
        <f>ABS(N50)*N63*1000*'Cost Assumptions'!$B$7*'Cost Assumptions'!$B$13</f>
        <v>10657031.996046601</v>
      </c>
      <c r="O78" s="61">
        <f>ABS(O50)*O63*1000*'Cost Assumptions'!$B$7*'Cost Assumptions'!$B$13</f>
        <v>10959241.190351279</v>
      </c>
      <c r="P78" s="61">
        <f>ABS(P50)*P63*1000*'Cost Assumptions'!$B$7*'Cost Assumptions'!$B$13</f>
        <v>11270184.524794349</v>
      </c>
      <c r="Q78" s="61">
        <f>ABS(Q50)*Q63*1000*'Cost Assumptions'!$B$7*'Cost Assumptions'!$B$13</f>
        <v>11589534.066659443</v>
      </c>
      <c r="R78" s="61">
        <f>ABS(R50)*R63*1000*'Cost Assumptions'!$B$7*'Cost Assumptions'!$B$13</f>
        <v>11916612.342709627</v>
      </c>
      <c r="S78" s="61">
        <f>ABS(S50)*S63*1000*'Cost Assumptions'!$B$7*'Cost Assumptions'!$B$13</f>
        <v>12252801.073770512</v>
      </c>
      <c r="T78" s="61">
        <f>ABS(T50)*T63*1000*'Cost Assumptions'!$B$7*'Cost Assumptions'!$B$13</f>
        <v>12598665.200734707</v>
      </c>
      <c r="U78" s="61">
        <f>ABS(U50)*U63*1000*'Cost Assumptions'!$B$7*'Cost Assumptions'!$B$13</f>
        <v>12953842.845259983</v>
      </c>
      <c r="V78" s="61">
        <f>ABS(V50)*V63*1000*'Cost Assumptions'!$B$7*'Cost Assumptions'!$B$13</f>
        <v>13315937.63339052</v>
      </c>
      <c r="W78" s="61">
        <f>ABS(W50)*W63*1000*'Cost Assumptions'!$B$7*'Cost Assumptions'!$B$13</f>
        <v>13688041.009149132</v>
      </c>
      <c r="X78" s="61">
        <f>ABS(X50)*X63*1000*'Cost Assumptions'!$B$7*'Cost Assumptions'!$B$13</f>
        <v>14070427.09267495</v>
      </c>
      <c r="Y78" s="61">
        <f>ABS(Y50)*Y63*1000*'Cost Assumptions'!$B$7*'Cost Assumptions'!$B$13</f>
        <v>14463022.371256966</v>
      </c>
      <c r="Z78" s="61">
        <f>ABS(Z50)*Z63*1000*'Cost Assumptions'!$B$7*'Cost Assumptions'!$B$13</f>
        <v>14862085.869917272</v>
      </c>
      <c r="AA78" s="61">
        <f>ABS(AA50)*AA63*1000*'Cost Assumptions'!$B$7*'Cost Assumptions'!$B$13</f>
        <v>15271690.094937734</v>
      </c>
      <c r="AB78" s="61">
        <f>ABS(AB50)*AB63*1000*'Cost Assumptions'!$B$7*'Cost Assumptions'!$B$13</f>
        <v>15692485.727540392</v>
      </c>
      <c r="AC78" s="61">
        <f>ABS(AC50)*AC63*1000*'Cost Assumptions'!$B$7*'Cost Assumptions'!$B$13</f>
        <v>16125168.281196618</v>
      </c>
      <c r="AD78" s="61">
        <f>ABS(AD50)*AD63*1000*'Cost Assumptions'!$B$7*'Cost Assumptions'!$B$13</f>
        <v>16563249.248939699</v>
      </c>
      <c r="AE78" s="61">
        <f>ABS(AE50)*AE63*1000*'Cost Assumptions'!$B$7*'Cost Assumptions'!$B$13</f>
        <v>17013156.034894295</v>
      </c>
    </row>
    <row r="79" spans="1:31" s="60" customFormat="1" ht="29" x14ac:dyDescent="0.35">
      <c r="A79" s="3" t="s">
        <v>146</v>
      </c>
      <c r="B79" s="87" t="s">
        <v>152</v>
      </c>
      <c r="C79" s="17">
        <f>NPV('Cost Assumptions'!$B$3,D79:AE79)</f>
        <v>116477988.28589465</v>
      </c>
      <c r="D79" s="61">
        <f>SUM(D77:D78)</f>
        <v>9815701.5257890057</v>
      </c>
      <c r="E79" s="61">
        <f>SUM(E77:E78)</f>
        <v>10113253.814920079</v>
      </c>
      <c r="F79" s="61">
        <f t="shared" ref="F79:AE79" si="30">SUM(F77:F78)</f>
        <v>10419548.905054037</v>
      </c>
      <c r="G79" s="61">
        <f t="shared" si="30"/>
        <v>10712584.021540638</v>
      </c>
      <c r="H79" s="61">
        <f t="shared" si="30"/>
        <v>11014043.804449992</v>
      </c>
      <c r="I79" s="61">
        <f t="shared" si="30"/>
        <v>11323588.954610631</v>
      </c>
      <c r="J79" s="61">
        <f t="shared" si="30"/>
        <v>11644723.217929324</v>
      </c>
      <c r="K79" s="61">
        <f t="shared" si="30"/>
        <v>11974529.898932012</v>
      </c>
      <c r="L79" s="61">
        <f t="shared" si="30"/>
        <v>12313548.961973527</v>
      </c>
      <c r="M79" s="61">
        <f t="shared" si="30"/>
        <v>12662034.896980464</v>
      </c>
      <c r="N79" s="61">
        <f t="shared" si="30"/>
        <v>13021241.14614193</v>
      </c>
      <c r="O79" s="61">
        <f t="shared" si="30"/>
        <v>13390493.935950788</v>
      </c>
      <c r="P79" s="61">
        <f t="shared" si="30"/>
        <v>13770418.491124375</v>
      </c>
      <c r="Q79" s="61">
        <f t="shared" si="30"/>
        <v>14160614.128716335</v>
      </c>
      <c r="R79" s="61">
        <f t="shared" si="30"/>
        <v>14560253.081446677</v>
      </c>
      <c r="S79" s="61">
        <f t="shared" si="30"/>
        <v>14971023.597982913</v>
      </c>
      <c r="T79" s="61">
        <f t="shared" si="30"/>
        <v>15393615.948523974</v>
      </c>
      <c r="U79" s="61">
        <f t="shared" si="30"/>
        <v>15827587.973830642</v>
      </c>
      <c r="V79" s="61">
        <f t="shared" si="30"/>
        <v>16270011.676392291</v>
      </c>
      <c r="W79" s="61">
        <f t="shared" si="30"/>
        <v>16724664.321598176</v>
      </c>
      <c r="X79" s="61">
        <f t="shared" si="30"/>
        <v>17191880.84176679</v>
      </c>
      <c r="Y79" s="61">
        <f t="shared" si="30"/>
        <v>17671571.415760525</v>
      </c>
      <c r="Z79" s="61">
        <f t="shared" si="30"/>
        <v>18159165.152047191</v>
      </c>
      <c r="AA79" s="61">
        <f t="shared" si="30"/>
        <v>18659638.022021551</v>
      </c>
      <c r="AB79" s="61">
        <f t="shared" si="30"/>
        <v>19173785.057274442</v>
      </c>
      <c r="AC79" s="61">
        <f t="shared" si="30"/>
        <v>19702456.067455914</v>
      </c>
      <c r="AD79" s="61">
        <f t="shared" si="30"/>
        <v>20237723.102840062</v>
      </c>
      <c r="AE79" s="61">
        <f t="shared" si="30"/>
        <v>20787439.454951391</v>
      </c>
    </row>
    <row r="80" spans="1:31" s="60" customForma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188669783.23707518</v>
      </c>
      <c r="D81" s="61">
        <f>('Baseline System Analysis'!D42-D36)</f>
        <v>10726430.63179493</v>
      </c>
      <c r="E81" s="61">
        <f>('Baseline System Analysis'!E42-E36)</f>
        <v>11942838.035867047</v>
      </c>
      <c r="F81" s="61">
        <f>('Baseline System Analysis'!F42-F36)</f>
        <v>13061902.918978035</v>
      </c>
      <c r="G81" s="61">
        <f>('Baseline System Analysis'!G42-G36)</f>
        <v>14045858.016135579</v>
      </c>
      <c r="H81" s="61">
        <f>('Baseline System Analysis'!H42-H36)</f>
        <v>15047134.089325091</v>
      </c>
      <c r="I81" s="61">
        <f>('Baseline System Analysis'!I42-I36)</f>
        <v>15966281.382656323</v>
      </c>
      <c r="J81" s="61">
        <f>('Baseline System Analysis'!J42-J36)</f>
        <v>16826769.153879203</v>
      </c>
      <c r="K81" s="61">
        <f>('Baseline System Analysis'!K42-K36)</f>
        <v>18031643.241561528</v>
      </c>
      <c r="L81" s="61">
        <f>('Baseline System Analysis'!L42-L36)</f>
        <v>19121727.879047386</v>
      </c>
      <c r="M81" s="61">
        <f>('Baseline System Analysis'!M42-M36)</f>
        <v>20269467.163509257</v>
      </c>
      <c r="N81" s="61">
        <f>('Baseline System Analysis'!N42-N36)</f>
        <v>21725569.900219537</v>
      </c>
      <c r="O81" s="61">
        <f>('Baseline System Analysis'!O42-O36)</f>
        <v>23033944.160515789</v>
      </c>
      <c r="P81" s="61">
        <f>('Baseline System Analysis'!P42-P36)</f>
        <v>24337982.48870321</v>
      </c>
      <c r="Q81" s="61">
        <f>('Baseline System Analysis'!Q42-Q36)</f>
        <v>25992222.335908078</v>
      </c>
      <c r="R81" s="61">
        <f>('Baseline System Analysis'!R42-R36)</f>
        <v>27346151.760400776</v>
      </c>
      <c r="S81" s="61">
        <f>('Baseline System Analysis'!S42-S36)</f>
        <v>28972813.197860457</v>
      </c>
      <c r="T81" s="61">
        <f>('Baseline System Analysis'!T42-T36)</f>
        <v>30514933.401567243</v>
      </c>
      <c r="U81" s="61">
        <f>('Baseline System Analysis'!U42-U36)</f>
        <v>32194753.83737519</v>
      </c>
      <c r="V81" s="61">
        <f>('Baseline System Analysis'!V42-V36)</f>
        <v>33748293.610328086</v>
      </c>
      <c r="W81" s="61">
        <f>('Baseline System Analysis'!W42-W36)</f>
        <v>35525086.788249075</v>
      </c>
      <c r="X81" s="61">
        <f>('Baseline System Analysis'!X42-X36)</f>
        <v>37174742.075198382</v>
      </c>
      <c r="Y81" s="61">
        <f>('Baseline System Analysis'!Y42-Y36)</f>
        <v>38757026.504772261</v>
      </c>
      <c r="Z81" s="61">
        <f>('Baseline System Analysis'!Z42-Z36)</f>
        <v>40665669.109419458</v>
      </c>
      <c r="AA81" s="61">
        <f>('Baseline System Analysis'!AA42-AA36)</f>
        <v>42764617.442797035</v>
      </c>
      <c r="AB81" s="61">
        <f>('Baseline System Analysis'!AB42-AB36)</f>
        <v>44906575.785118639</v>
      </c>
      <c r="AC81" s="61">
        <f>('Baseline System Analysis'!AC42-AC36)</f>
        <v>46928961.032670729</v>
      </c>
      <c r="AD81" s="61">
        <f>('Baseline System Analysis'!AD42-AD36)</f>
        <v>48645205.373524554</v>
      </c>
      <c r="AE81" s="61">
        <f>('Baseline System Analysis'!AE42-AE36)</f>
        <v>50869866.943449646</v>
      </c>
    </row>
    <row r="83" spans="1:31" s="60" customFormat="1" ht="20" thickBot="1" x14ac:dyDescent="0.5">
      <c r="A83" s="145" t="s">
        <v>61</v>
      </c>
      <c r="B83" s="145"/>
      <c r="C83" s="17">
        <f>NPV('Cost Assumptions'!$B$3,D83:AE83)/1000000</f>
        <v>6931.0221730268377</v>
      </c>
      <c r="D83" s="61">
        <f>SUM(D67,D71,D75,D79,D81)</f>
        <v>108076921.49641058</v>
      </c>
      <c r="E83" s="61">
        <f>SUM(E67,E71,E75,E79,E81)</f>
        <v>182438236.14067295</v>
      </c>
      <c r="F83" s="61">
        <f t="shared" ref="F83:AE83" si="31">SUM(F67,F71,F75,F79,F81)</f>
        <v>237860566.03421918</v>
      </c>
      <c r="G83" s="61">
        <f t="shared" si="31"/>
        <v>296016357.97769135</v>
      </c>
      <c r="H83" s="61">
        <f t="shared" si="31"/>
        <v>355877640.06039262</v>
      </c>
      <c r="I83" s="61">
        <f t="shared" si="31"/>
        <v>417788078.16720802</v>
      </c>
      <c r="J83" s="61">
        <f t="shared" si="31"/>
        <v>485650721.37110013</v>
      </c>
      <c r="K83" s="61">
        <f t="shared" si="31"/>
        <v>556379677.59585571</v>
      </c>
      <c r="L83" s="61">
        <f t="shared" si="31"/>
        <v>631801083.74387038</v>
      </c>
      <c r="M83" s="61">
        <f t="shared" si="31"/>
        <v>714136528.43392193</v>
      </c>
      <c r="N83" s="61">
        <f t="shared" si="31"/>
        <v>802576890.33087313</v>
      </c>
      <c r="O83" s="61">
        <f t="shared" si="31"/>
        <v>896962092.36765552</v>
      </c>
      <c r="P83" s="61">
        <f t="shared" si="31"/>
        <v>995395396.74057555</v>
      </c>
      <c r="Q83" s="61">
        <f t="shared" si="31"/>
        <v>1093723045.8690312</v>
      </c>
      <c r="R83" s="61">
        <f t="shared" si="31"/>
        <v>1199728715.2102697</v>
      </c>
      <c r="S83" s="61">
        <f t="shared" si="31"/>
        <v>1313960902.1894686</v>
      </c>
      <c r="T83" s="61">
        <f t="shared" si="31"/>
        <v>1433830398.2792811</v>
      </c>
      <c r="U83" s="61">
        <f t="shared" si="31"/>
        <v>1560095725.6535978</v>
      </c>
      <c r="V83" s="61">
        <f t="shared" si="31"/>
        <v>1693201049.5421846</v>
      </c>
      <c r="W83" s="61">
        <f t="shared" si="31"/>
        <v>1837358697.8407972</v>
      </c>
      <c r="X83" s="61">
        <f t="shared" si="31"/>
        <v>1980195865.2693386</v>
      </c>
      <c r="Y83" s="61">
        <f t="shared" si="31"/>
        <v>2132975868.5647531</v>
      </c>
      <c r="Z83" s="61">
        <f t="shared" si="31"/>
        <v>2288356834.5056014</v>
      </c>
      <c r="AA83" s="61">
        <f t="shared" si="31"/>
        <v>2451275090.8101401</v>
      </c>
      <c r="AB83" s="61">
        <f t="shared" si="31"/>
        <v>2627330530.240932</v>
      </c>
      <c r="AC83" s="61">
        <f t="shared" si="31"/>
        <v>2813542827.2165494</v>
      </c>
      <c r="AD83" s="61">
        <f t="shared" si="31"/>
        <v>2988261092.1574378</v>
      </c>
      <c r="AE83" s="61">
        <f t="shared" si="31"/>
        <v>3185251851.0845547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6931.7816660868702</v>
      </c>
      <c r="D84" s="61">
        <f>D83+D43</f>
        <v>108126218.49641058</v>
      </c>
      <c r="E84" s="61">
        <f t="shared" ref="E84:AE84" si="32">E83+E43</f>
        <v>182490287.69067296</v>
      </c>
      <c r="F84" s="61">
        <f t="shared" si="32"/>
        <v>237915887.34013262</v>
      </c>
      <c r="G84" s="61">
        <f t="shared" si="32"/>
        <v>296075079.99509519</v>
      </c>
      <c r="H84" s="61">
        <f t="shared" si="32"/>
        <v>355939898.24904519</v>
      </c>
      <c r="I84" s="61">
        <f t="shared" si="32"/>
        <v>417854012.63441086</v>
      </c>
      <c r="J84" s="61">
        <f t="shared" si="32"/>
        <v>485720477.01941282</v>
      </c>
      <c r="K84" s="61">
        <f t="shared" si="32"/>
        <v>556453404.2752918</v>
      </c>
      <c r="L84" s="61">
        <f t="shared" si="32"/>
        <v>631878936.40870571</v>
      </c>
      <c r="M84" s="61">
        <f t="shared" si="32"/>
        <v>714218667.30425203</v>
      </c>
      <c r="N84" s="61">
        <f t="shared" si="32"/>
        <v>802663481.059057</v>
      </c>
      <c r="O84" s="61">
        <f t="shared" si="32"/>
        <v>897053306.20979202</v>
      </c>
      <c r="P84" s="61">
        <f t="shared" si="32"/>
        <v>995491410.73315716</v>
      </c>
      <c r="Q84" s="61">
        <f t="shared" si="32"/>
        <v>1093824043.0109289</v>
      </c>
      <c r="R84" s="61">
        <f t="shared" si="32"/>
        <v>1199834884.6502039</v>
      </c>
      <c r="S84" s="61">
        <f t="shared" si="32"/>
        <v>1314072439.4191275</v>
      </c>
      <c r="T84" s="61">
        <f t="shared" si="32"/>
        <v>1433947505.3322508</v>
      </c>
      <c r="U84" s="61">
        <f t="shared" si="32"/>
        <v>1560218611.3102753</v>
      </c>
      <c r="V84" s="61">
        <f t="shared" si="32"/>
        <v>1693329929.5408473</v>
      </c>
      <c r="W84" s="61">
        <f t="shared" si="32"/>
        <v>1837493795.0950089</v>
      </c>
      <c r="X84" s="61">
        <f t="shared" si="32"/>
        <v>1980337410.0918777</v>
      </c>
      <c r="Y84" s="61">
        <f t="shared" si="32"/>
        <v>2133124098.8982518</v>
      </c>
      <c r="Z84" s="61">
        <f t="shared" si="32"/>
        <v>2288511996.1600938</v>
      </c>
      <c r="AA84" s="61">
        <f t="shared" si="32"/>
        <v>2451437437.7077174</v>
      </c>
      <c r="AB84" s="61">
        <f t="shared" si="32"/>
        <v>2627500324.6677146</v>
      </c>
      <c r="AC84" s="61">
        <f t="shared" si="32"/>
        <v>2813720340.0821862</v>
      </c>
      <c r="AD84" s="61">
        <f t="shared" si="32"/>
        <v>2988446603.2623553</v>
      </c>
      <c r="AE84" s="61">
        <f t="shared" si="32"/>
        <v>3185445649.3951755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Summary!$D$11</f>
        <v>829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8.3616184150625692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s="60" customFormat="1" ht="42.65" customHeight="1" thickBot="1" x14ac:dyDescent="0.5">
      <c r="A90" s="168" t="s">
        <v>156</v>
      </c>
      <c r="B90" s="168"/>
      <c r="C90" s="87"/>
      <c r="D90" s="61"/>
      <c r="E90" s="61"/>
      <c r="F90" s="61"/>
      <c r="G90" s="61"/>
      <c r="H90" s="61"/>
      <c r="I90" s="61">
        <v>4759.526424449803</v>
      </c>
      <c r="J90" s="61">
        <v>5629.0105843099136</v>
      </c>
      <c r="K90" s="61">
        <v>6498.4947441700242</v>
      </c>
      <c r="L90" s="61">
        <v>7367.9789040301348</v>
      </c>
      <c r="M90" s="61">
        <v>8237.4630638902454</v>
      </c>
      <c r="N90" s="61">
        <v>9106.947223750356</v>
      </c>
      <c r="O90" s="61">
        <v>10185.171552882462</v>
      </c>
      <c r="P90" s="61">
        <v>11263.395882014569</v>
      </c>
      <c r="Q90" s="61">
        <v>12341.620211146676</v>
      </c>
      <c r="R90" s="61">
        <v>13419.844540278782</v>
      </c>
      <c r="S90" s="61">
        <v>14498.068869410885</v>
      </c>
      <c r="T90" s="61">
        <v>15431.801332152238</v>
      </c>
      <c r="U90" s="61">
        <v>16365.53379489359</v>
      </c>
      <c r="V90" s="61">
        <v>17299.266257634943</v>
      </c>
      <c r="W90" s="61">
        <v>18232.998720376294</v>
      </c>
      <c r="X90" s="61">
        <v>19166.731183117645</v>
      </c>
      <c r="Y90" s="61">
        <v>19576.944574578203</v>
      </c>
      <c r="Z90" s="61">
        <v>19987.157966038762</v>
      </c>
      <c r="AA90" s="61">
        <v>20397.37135749932</v>
      </c>
      <c r="AB90" s="61">
        <v>20807.584748959878</v>
      </c>
      <c r="AC90" s="61">
        <v>21217.798140420433</v>
      </c>
      <c r="AD90" s="61">
        <v>21455.86752855196</v>
      </c>
      <c r="AE90" s="61">
        <v>21693.936916683488</v>
      </c>
    </row>
    <row r="91" spans="1:31" ht="15" thickTop="1" x14ac:dyDescent="0.35">
      <c r="A91" s="87"/>
      <c r="B91" s="87"/>
      <c r="C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</row>
  </sheetData>
  <mergeCells count="9">
    <mergeCell ref="B18:B31"/>
    <mergeCell ref="B2:B15"/>
    <mergeCell ref="A90:B90"/>
    <mergeCell ref="B40:AE40"/>
    <mergeCell ref="A58:AE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92"/>
  <sheetViews>
    <sheetView zoomScale="89" zoomScaleNormal="89" workbookViewId="0"/>
  </sheetViews>
  <sheetFormatPr defaultRowHeight="14.5" x14ac:dyDescent="0.35"/>
  <cols>
    <col min="1" max="1" width="19" customWidth="1"/>
    <col min="2" max="2" width="29.453125" customWidth="1"/>
    <col min="3" max="3" width="17.1796875" bestFit="1" customWidth="1"/>
    <col min="4" max="4" width="17.1796875" style="87" customWidth="1"/>
    <col min="5" max="5" width="14.81640625" customWidth="1"/>
    <col min="6" max="21" width="15.7265625" bestFit="1" customWidth="1"/>
    <col min="22" max="29" width="17.453125" bestFit="1" customWidth="1"/>
    <col min="30" max="31" width="17.726562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6" spans="1:31" s="60" customFormat="1" x14ac:dyDescent="0.3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13</v>
      </c>
      <c r="C18" s="87" t="s">
        <v>107</v>
      </c>
      <c r="D18" s="61">
        <v>49722.950000000521</v>
      </c>
      <c r="E18" s="61">
        <v>50479.400000000147</v>
      </c>
      <c r="F18" s="61">
        <v>51032.951923077046</v>
      </c>
      <c r="G18" s="61">
        <v>51586.503846153944</v>
      </c>
      <c r="H18" s="61">
        <v>52140.055769230843</v>
      </c>
      <c r="I18" s="61">
        <v>52693.607692307742</v>
      </c>
      <c r="J18" s="61">
        <v>53247.15961538464</v>
      </c>
      <c r="K18" s="61">
        <v>53800.711538461539</v>
      </c>
      <c r="L18" s="61">
        <v>54354.263461538438</v>
      </c>
      <c r="M18" s="61">
        <v>54907.815384615336</v>
      </c>
      <c r="N18" s="61">
        <v>55461.367307692235</v>
      </c>
      <c r="O18" s="61">
        <v>56014.919230769134</v>
      </c>
      <c r="P18" s="61">
        <v>56568.471153846032</v>
      </c>
      <c r="Q18" s="61">
        <v>57122.023076922931</v>
      </c>
      <c r="R18" s="61">
        <v>57675.57499999983</v>
      </c>
      <c r="S18" s="61">
        <v>58220.332280219591</v>
      </c>
      <c r="T18" s="61">
        <v>58765.089560439344</v>
      </c>
      <c r="U18" s="61">
        <v>59309.846840659098</v>
      </c>
      <c r="V18" s="61">
        <v>59854.604120878852</v>
      </c>
      <c r="W18" s="61">
        <v>60399.361401098606</v>
      </c>
      <c r="X18" s="61">
        <v>60944.118681318359</v>
      </c>
      <c r="Y18" s="61">
        <v>61488.875961538113</v>
      </c>
      <c r="Z18" s="61">
        <v>62033.633241757867</v>
      </c>
      <c r="AA18" s="61">
        <v>62578.390521977621</v>
      </c>
      <c r="AB18" s="61">
        <v>63123.147802197374</v>
      </c>
      <c r="AC18" s="61">
        <v>63667.905082417128</v>
      </c>
      <c r="AD18" s="61">
        <v>64212.662362636882</v>
      </c>
      <c r="AE18" s="61">
        <v>64748.624999999534</v>
      </c>
    </row>
    <row r="19" spans="1:31" x14ac:dyDescent="0.35">
      <c r="A19" s="87" t="s">
        <v>30</v>
      </c>
      <c r="B19" s="167"/>
      <c r="C19" s="87" t="s">
        <v>31</v>
      </c>
      <c r="D19" s="61">
        <v>12.400000000000006</v>
      </c>
      <c r="E19" s="61">
        <v>31.900000000000006</v>
      </c>
      <c r="F19" s="61">
        <v>62.63333333333334</v>
      </c>
      <c r="G19" s="61">
        <v>93.366666666666674</v>
      </c>
      <c r="H19" s="61">
        <v>124.10000000000001</v>
      </c>
      <c r="I19" s="61">
        <v>154.83333333333334</v>
      </c>
      <c r="J19" s="61">
        <v>185.56666666666669</v>
      </c>
      <c r="K19" s="61">
        <v>216.30000000000004</v>
      </c>
      <c r="L19" s="61">
        <v>328.58</v>
      </c>
      <c r="M19" s="61">
        <v>440.8599999999999</v>
      </c>
      <c r="N19" s="61">
        <v>553.13999999999987</v>
      </c>
      <c r="O19" s="61">
        <v>665.41999999999985</v>
      </c>
      <c r="P19" s="61">
        <v>777.69999999999982</v>
      </c>
      <c r="Q19" s="61">
        <v>985.25999999999976</v>
      </c>
      <c r="R19" s="61">
        <v>1192.8199999999997</v>
      </c>
      <c r="S19" s="61">
        <v>1400.3799999999997</v>
      </c>
      <c r="T19" s="61">
        <v>1607.9399999999996</v>
      </c>
      <c r="U19" s="61">
        <v>1815.4999999999998</v>
      </c>
      <c r="V19" s="61">
        <v>2189.6399999999994</v>
      </c>
      <c r="W19" s="61">
        <v>2563.7799999999993</v>
      </c>
      <c r="X19" s="61">
        <v>2937.9199999999992</v>
      </c>
      <c r="Y19" s="61">
        <v>3312.059999999999</v>
      </c>
      <c r="Z19" s="61">
        <v>3686.1999999999989</v>
      </c>
      <c r="AA19" s="61">
        <v>4151.3599999999988</v>
      </c>
      <c r="AB19" s="61">
        <v>4616.5199999999986</v>
      </c>
      <c r="AC19" s="61">
        <v>5081.6799999999985</v>
      </c>
      <c r="AD19" s="61">
        <v>5546.8399999999983</v>
      </c>
      <c r="AE19" s="61">
        <v>6011.9999999999991</v>
      </c>
    </row>
    <row r="20" spans="1:31" x14ac:dyDescent="0.35">
      <c r="A20" s="87" t="s">
        <v>30</v>
      </c>
      <c r="B20" s="167"/>
      <c r="C20" s="87" t="s">
        <v>32</v>
      </c>
      <c r="D20" s="61">
        <v>5.9000000000000057</v>
      </c>
      <c r="E20" s="61">
        <v>10.300000000000011</v>
      </c>
      <c r="F20" s="61">
        <v>13.300000000000011</v>
      </c>
      <c r="G20" s="61">
        <v>16.300000000000011</v>
      </c>
      <c r="H20" s="61">
        <v>19.300000000000011</v>
      </c>
      <c r="I20" s="61">
        <v>22.300000000000011</v>
      </c>
      <c r="J20" s="61">
        <v>25.300000000000011</v>
      </c>
      <c r="K20" s="61">
        <v>28.300000000000011</v>
      </c>
      <c r="L20" s="61">
        <v>31.04000000000001</v>
      </c>
      <c r="M20" s="61">
        <v>33.780000000000008</v>
      </c>
      <c r="N20" s="61">
        <v>36.520000000000003</v>
      </c>
      <c r="O20" s="61">
        <v>39.26</v>
      </c>
      <c r="P20" s="61">
        <v>42</v>
      </c>
      <c r="Q20" s="61">
        <v>49.5</v>
      </c>
      <c r="R20" s="61">
        <v>57</v>
      </c>
      <c r="S20" s="61">
        <v>64.5</v>
      </c>
      <c r="T20" s="61">
        <v>72</v>
      </c>
      <c r="U20" s="61">
        <v>79.5</v>
      </c>
      <c r="V20" s="61">
        <v>79.040000000000006</v>
      </c>
      <c r="W20" s="61">
        <v>78.580000000000013</v>
      </c>
      <c r="X20" s="61">
        <v>78.120000000000019</v>
      </c>
      <c r="Y20" s="61">
        <v>77.660000000000025</v>
      </c>
      <c r="Z20" s="61">
        <v>77.200000000000045</v>
      </c>
      <c r="AA20" s="61">
        <v>88.760000000000034</v>
      </c>
      <c r="AB20" s="61">
        <v>100.32000000000002</v>
      </c>
      <c r="AC20" s="61">
        <v>111.88000000000001</v>
      </c>
      <c r="AD20" s="61">
        <v>123.44</v>
      </c>
      <c r="AE20" s="61">
        <v>135</v>
      </c>
    </row>
    <row r="21" spans="1:31" x14ac:dyDescent="0.35">
      <c r="A21" s="87" t="s">
        <v>30</v>
      </c>
      <c r="B21" s="167"/>
      <c r="C21" s="87" t="s">
        <v>33</v>
      </c>
      <c r="D21" s="61">
        <v>4.5307405466112567E-2</v>
      </c>
      <c r="E21" s="61">
        <v>0.14569619298074499</v>
      </c>
      <c r="F21" s="61">
        <v>0.86574350096853603</v>
      </c>
      <c r="G21" s="61">
        <v>1.5857908089563271</v>
      </c>
      <c r="H21" s="61">
        <v>2.305838116944118</v>
      </c>
      <c r="I21" s="61">
        <v>3.0258854249319089</v>
      </c>
      <c r="J21" s="61">
        <v>3.7459327329196999</v>
      </c>
      <c r="K21" s="61">
        <v>4.4659800409074917</v>
      </c>
      <c r="L21" s="61">
        <v>9.460193065372609</v>
      </c>
      <c r="M21" s="61">
        <v>14.454406089837725</v>
      </c>
      <c r="N21" s="61">
        <v>19.448619114302844</v>
      </c>
      <c r="O21" s="61">
        <v>24.442832138767962</v>
      </c>
      <c r="P21" s="61">
        <v>29.43704516323308</v>
      </c>
      <c r="Q21" s="61">
        <v>50.80276100815793</v>
      </c>
      <c r="R21" s="61">
        <v>72.16847685308278</v>
      </c>
      <c r="S21" s="61">
        <v>93.534192698007629</v>
      </c>
      <c r="T21" s="61">
        <v>114.89990854293248</v>
      </c>
      <c r="U21" s="61">
        <v>136.26562438785732</v>
      </c>
      <c r="V21" s="61">
        <v>195.20289041061019</v>
      </c>
      <c r="W21" s="61">
        <v>254.14015643336307</v>
      </c>
      <c r="X21" s="61">
        <v>313.07742245611593</v>
      </c>
      <c r="Y21" s="61">
        <v>372.01468847886878</v>
      </c>
      <c r="Z21" s="61">
        <v>430.95195450162169</v>
      </c>
      <c r="AA21" s="61">
        <v>534.63201447474103</v>
      </c>
      <c r="AB21" s="61">
        <v>638.31207444786037</v>
      </c>
      <c r="AC21" s="61">
        <v>741.99213442097971</v>
      </c>
      <c r="AD21" s="61">
        <v>845.67219439409905</v>
      </c>
      <c r="AE21" s="61">
        <v>949.35225436721862</v>
      </c>
    </row>
    <row r="22" spans="1:31" x14ac:dyDescent="0.35">
      <c r="A22" s="87" t="s">
        <v>30</v>
      </c>
      <c r="B22" s="167"/>
      <c r="C22" s="87" t="s">
        <v>34</v>
      </c>
      <c r="D22" s="61">
        <v>1.1326851366528142E-2</v>
      </c>
      <c r="E22" s="61">
        <v>2.9139238596149E-2</v>
      </c>
      <c r="F22" s="61">
        <v>5.7235907484224954E-2</v>
      </c>
      <c r="G22" s="61">
        <v>8.5332576372300906E-2</v>
      </c>
      <c r="H22" s="61">
        <v>0.11342924526037686</v>
      </c>
      <c r="I22" s="61">
        <v>0.14152591414845281</v>
      </c>
      <c r="J22" s="61">
        <v>0.16962258303652877</v>
      </c>
      <c r="K22" s="61">
        <v>0.19771925192460471</v>
      </c>
      <c r="L22" s="61">
        <v>0.30223201187473303</v>
      </c>
      <c r="M22" s="61">
        <v>0.40674477182486135</v>
      </c>
      <c r="N22" s="61">
        <v>0.51125753177498967</v>
      </c>
      <c r="O22" s="61">
        <v>0.61577029172511799</v>
      </c>
      <c r="P22" s="61">
        <v>0.72028305167524642</v>
      </c>
      <c r="Q22" s="61">
        <v>0.91292715808352354</v>
      </c>
      <c r="R22" s="61">
        <v>1.1055712644918008</v>
      </c>
      <c r="S22" s="61">
        <v>1.2982153709000779</v>
      </c>
      <c r="T22" s="61">
        <v>1.490859477308355</v>
      </c>
      <c r="U22" s="61">
        <v>1.6835035837166321</v>
      </c>
      <c r="V22" s="61">
        <v>2.034507026693877</v>
      </c>
      <c r="W22" s="61">
        <v>2.385510469671122</v>
      </c>
      <c r="X22" s="61">
        <v>2.7365139126483671</v>
      </c>
      <c r="Y22" s="61">
        <v>3.0875173556256121</v>
      </c>
      <c r="Z22" s="61">
        <v>3.4385207986028572</v>
      </c>
      <c r="AA22" s="61">
        <v>3.8737655662442658</v>
      </c>
      <c r="AB22" s="61">
        <v>4.3090103338856744</v>
      </c>
      <c r="AC22" s="61">
        <v>4.7442551015270835</v>
      </c>
      <c r="AD22" s="61">
        <v>5.1794998691684926</v>
      </c>
      <c r="AE22" s="61">
        <v>5.6147446368099008</v>
      </c>
    </row>
    <row r="23" spans="1:31" x14ac:dyDescent="0.35">
      <c r="A23" s="87" t="s">
        <v>30</v>
      </c>
      <c r="B23" s="167"/>
      <c r="C23" s="87" t="s">
        <v>35</v>
      </c>
      <c r="D23" s="61">
        <v>4</v>
      </c>
      <c r="E23" s="61">
        <v>5</v>
      </c>
      <c r="F23" s="61">
        <v>8</v>
      </c>
      <c r="G23" s="61">
        <v>11</v>
      </c>
      <c r="H23" s="61">
        <v>14</v>
      </c>
      <c r="I23" s="61">
        <v>17</v>
      </c>
      <c r="J23" s="61">
        <v>20</v>
      </c>
      <c r="K23" s="61">
        <v>23</v>
      </c>
      <c r="L23" s="61">
        <v>27.2</v>
      </c>
      <c r="M23" s="61">
        <v>31.4</v>
      </c>
      <c r="N23" s="61">
        <v>35.6</v>
      </c>
      <c r="O23" s="61">
        <v>39.800000000000004</v>
      </c>
      <c r="P23" s="61">
        <v>44</v>
      </c>
      <c r="Q23" s="61">
        <v>52.2</v>
      </c>
      <c r="R23" s="61">
        <v>60.400000000000006</v>
      </c>
      <c r="S23" s="61">
        <v>68.600000000000009</v>
      </c>
      <c r="T23" s="61">
        <v>76.800000000000011</v>
      </c>
      <c r="U23" s="61">
        <v>85</v>
      </c>
      <c r="V23" s="61">
        <v>93.6</v>
      </c>
      <c r="W23" s="61">
        <v>102.19999999999999</v>
      </c>
      <c r="X23" s="61">
        <v>110.79999999999998</v>
      </c>
      <c r="Y23" s="61">
        <v>119.39999999999998</v>
      </c>
      <c r="Z23" s="61">
        <v>128</v>
      </c>
      <c r="AA23" s="61">
        <v>137.6</v>
      </c>
      <c r="AB23" s="61">
        <v>147.19999999999999</v>
      </c>
      <c r="AC23" s="61">
        <v>156.79999999999998</v>
      </c>
      <c r="AD23" s="61">
        <v>166.39999999999998</v>
      </c>
      <c r="AE23" s="61">
        <v>176</v>
      </c>
    </row>
    <row r="24" spans="1:31" x14ac:dyDescent="0.35">
      <c r="A24" s="87" t="s">
        <v>30</v>
      </c>
      <c r="B24" s="167"/>
      <c r="C24" s="87" t="s">
        <v>108</v>
      </c>
      <c r="D24" s="61">
        <v>4238.9824318989613</v>
      </c>
      <c r="E24" s="61">
        <v>6425.4824330612555</v>
      </c>
      <c r="F24" s="61">
        <v>8611.9824342235497</v>
      </c>
      <c r="G24" s="61">
        <v>10798.482435385844</v>
      </c>
      <c r="H24" s="61">
        <v>12984.982436548136</v>
      </c>
      <c r="I24" s="61">
        <v>15171.482437710431</v>
      </c>
      <c r="J24" s="61">
        <v>17357.982438872725</v>
      </c>
      <c r="K24" s="61">
        <v>19544.482440035019</v>
      </c>
      <c r="L24" s="61">
        <v>21730.982441197313</v>
      </c>
      <c r="M24" s="61">
        <v>23917.482442359604</v>
      </c>
      <c r="N24" s="61">
        <v>26103.982443521894</v>
      </c>
      <c r="O24" s="61">
        <v>28290.482444684185</v>
      </c>
      <c r="P24" s="61">
        <v>30476.982445846475</v>
      </c>
      <c r="Q24" s="61">
        <v>32663.482447008766</v>
      </c>
      <c r="R24" s="61">
        <v>34005.549806192765</v>
      </c>
      <c r="S24" s="61">
        <v>35347.617165376767</v>
      </c>
      <c r="T24" s="61">
        <v>36689.684524560769</v>
      </c>
      <c r="U24" s="61">
        <v>38031.751883744771</v>
      </c>
      <c r="V24" s="61">
        <v>39373.819242928774</v>
      </c>
      <c r="W24" s="61">
        <v>40715.886602112776</v>
      </c>
      <c r="X24" s="61">
        <v>42057.953961296793</v>
      </c>
      <c r="Y24" s="61">
        <v>43400.021320480795</v>
      </c>
      <c r="Z24" s="61">
        <v>44742.088679664805</v>
      </c>
      <c r="AA24" s="61">
        <v>46084.156038848814</v>
      </c>
      <c r="AB24" s="61">
        <v>47426.223398032824</v>
      </c>
      <c r="AC24" s="61">
        <v>48768.290757216833</v>
      </c>
      <c r="AD24" s="61">
        <v>50110.358116400843</v>
      </c>
      <c r="AE24" s="61">
        <v>51452.425475584838</v>
      </c>
    </row>
    <row r="25" spans="1:31" x14ac:dyDescent="0.35">
      <c r="A25" s="87" t="s">
        <v>30</v>
      </c>
      <c r="B25" s="16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54844.343854525418</v>
      </c>
      <c r="T26" s="61">
        <v>58041.288177258051</v>
      </c>
      <c r="U26" s="61">
        <v>60818.499031107713</v>
      </c>
      <c r="V26" s="61">
        <v>64000.885300951166</v>
      </c>
      <c r="W26" s="61">
        <v>67013.268833520313</v>
      </c>
      <c r="X26" s="61">
        <v>70120.49099181639</v>
      </c>
      <c r="Y26" s="61">
        <v>73268.95147530442</v>
      </c>
      <c r="Z26" s="61">
        <v>76136.812939843803</v>
      </c>
      <c r="AA26" s="61">
        <v>79027.701489298517</v>
      </c>
      <c r="AB26" s="61">
        <v>81953.987783635443</v>
      </c>
      <c r="AC26" s="61">
        <v>84693.435092958593</v>
      </c>
      <c r="AD26" s="61">
        <v>86996.769838002132</v>
      </c>
      <c r="AE26" s="61">
        <v>89856.683251971685</v>
      </c>
    </row>
    <row r="27" spans="1:31" s="80" customFormat="1" x14ac:dyDescent="0.35">
      <c r="A27" s="87" t="s">
        <v>39</v>
      </c>
      <c r="B27" s="167"/>
      <c r="C27" s="87" t="s">
        <v>153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2">
        <v>1.4000000000000099</v>
      </c>
      <c r="V27" s="61">
        <f t="shared" ref="V27" si="0">U27+($Z27-$T27)/(COLUMN($Z27)-COLUMN($T27))</f>
        <v>16.850000000000012</v>
      </c>
      <c r="W27" s="61">
        <f t="shared" ref="W27" si="1">V27+($Z27-$T27)/(COLUMN($Z27)-COLUMN($T27))</f>
        <v>32.300000000000011</v>
      </c>
      <c r="X27" s="61">
        <f t="shared" ref="X27" si="2">W27+($Z27-$T27)/(COLUMN($Z27)-COLUMN($T27))</f>
        <v>47.750000000000014</v>
      </c>
      <c r="Y27" s="61">
        <f t="shared" ref="Y27" si="3">X27+($Z27-$T27)/(COLUMN($Z27)-COLUMN($T27))</f>
        <v>63.200000000000017</v>
      </c>
      <c r="Z27" s="61">
        <v>92.7</v>
      </c>
      <c r="AA27" s="61">
        <f t="shared" ref="AA27:AD27" si="4">Z27+($AE27-$T27)/(COLUMN($AE27)-COLUMN($T27))</f>
        <v>125.47272727272727</v>
      </c>
      <c r="AB27" s="61">
        <f t="shared" si="4"/>
        <v>158.24545454545455</v>
      </c>
      <c r="AC27" s="61">
        <f t="shared" si="4"/>
        <v>191.01818181818183</v>
      </c>
      <c r="AD27" s="61">
        <f t="shared" si="4"/>
        <v>223.79090909090911</v>
      </c>
      <c r="AE27" s="61">
        <v>360.5</v>
      </c>
    </row>
    <row r="28" spans="1:31" x14ac:dyDescent="0.35">
      <c r="A28" s="87" t="s">
        <v>39</v>
      </c>
      <c r="B28" s="167"/>
      <c r="C28" s="87" t="s">
        <v>154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f>L28+($P28-$L28)/(COLUMN($P28)-COLUMN($L28))</f>
        <v>76.150000000000006</v>
      </c>
      <c r="N28" s="61">
        <f t="shared" ref="N28:O28" si="5">M28+($P28-$L28)/(COLUMN($P28)-COLUMN($L28))</f>
        <v>152.30000000000001</v>
      </c>
      <c r="O28" s="61">
        <f t="shared" si="5"/>
        <v>228.45000000000002</v>
      </c>
      <c r="P28" s="61">
        <v>304.60000000000002</v>
      </c>
      <c r="Q28" s="61">
        <f>P28+($U28-$P28)/(COLUMN($U28)-COLUMN($P28))</f>
        <v>721.28</v>
      </c>
      <c r="R28" s="61">
        <f t="shared" ref="R28:T28" si="6">Q28+($U28-$P28)/(COLUMN($U28)-COLUMN($P28))</f>
        <v>1137.96</v>
      </c>
      <c r="S28" s="61">
        <f t="shared" si="6"/>
        <v>1554.64</v>
      </c>
      <c r="T28" s="61">
        <f t="shared" si="6"/>
        <v>1971.3200000000002</v>
      </c>
      <c r="U28" s="62">
        <v>2388</v>
      </c>
      <c r="V28" s="61">
        <f t="shared" ref="V28:Y28" si="7">U28+($Z28-$T28)/(COLUMN($Z28)-COLUMN($T28))</f>
        <v>3345.9466666666667</v>
      </c>
      <c r="W28" s="61">
        <f t="shared" si="7"/>
        <v>4303.8933333333334</v>
      </c>
      <c r="X28" s="61">
        <f t="shared" si="7"/>
        <v>5261.84</v>
      </c>
      <c r="Y28" s="61">
        <f t="shared" si="7"/>
        <v>6219.7866666666669</v>
      </c>
      <c r="Z28" s="62">
        <v>7719</v>
      </c>
      <c r="AA28" s="61">
        <f t="shared" ref="AA28:AD28" si="8">Z28+($AE28-$T28)/(COLUMN($AE28)-COLUMN($T28))</f>
        <v>8977.5163636363632</v>
      </c>
      <c r="AB28" s="61">
        <f t="shared" si="8"/>
        <v>10236.032727272726</v>
      </c>
      <c r="AC28" s="61">
        <f t="shared" si="8"/>
        <v>11494.54909090909</v>
      </c>
      <c r="AD28" s="61">
        <f t="shared" si="8"/>
        <v>12753.065454545453</v>
      </c>
      <c r="AE28" s="62">
        <f>15815</f>
        <v>15815</v>
      </c>
    </row>
    <row r="29" spans="1:31" x14ac:dyDescent="0.35">
      <c r="A29" s="87" t="s">
        <v>39</v>
      </c>
      <c r="B29" s="167"/>
      <c r="C29" s="87" t="s">
        <v>32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13.899999999999977</v>
      </c>
      <c r="N29" s="61">
        <v>27.799999999999955</v>
      </c>
      <c r="O29" s="61">
        <v>41.699999999999932</v>
      </c>
      <c r="P29" s="61">
        <v>55.599999999999909</v>
      </c>
      <c r="Q29" s="61">
        <v>73.159999999999926</v>
      </c>
      <c r="R29" s="61">
        <v>90.719999999999942</v>
      </c>
      <c r="S29" s="61">
        <v>108.27999999999996</v>
      </c>
      <c r="T29" s="61">
        <v>125.83999999999997</v>
      </c>
      <c r="U29" s="62">
        <v>143.4</v>
      </c>
      <c r="V29" s="62">
        <v>164.56</v>
      </c>
      <c r="W29" s="62">
        <v>185.72</v>
      </c>
      <c r="X29" s="62">
        <v>206.88</v>
      </c>
      <c r="Y29" s="62">
        <v>228.04</v>
      </c>
      <c r="Z29" s="62">
        <v>252.8</v>
      </c>
      <c r="AA29" s="62">
        <v>275.10545454545456</v>
      </c>
      <c r="AB29" s="62">
        <v>297.41090909090912</v>
      </c>
      <c r="AC29" s="62">
        <v>319.71636363636367</v>
      </c>
      <c r="AD29" s="62">
        <v>342.02181818181822</v>
      </c>
      <c r="AE29" s="62">
        <v>371.2</v>
      </c>
    </row>
    <row r="30" spans="1:31" x14ac:dyDescent="0.35">
      <c r="A30" s="87" t="s">
        <v>39</v>
      </c>
      <c r="B30" s="167"/>
      <c r="C30" s="87" t="s">
        <v>33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1.1630628763457589</v>
      </c>
      <c r="N30" s="61">
        <v>2.3261257526915178</v>
      </c>
      <c r="O30" s="61">
        <v>3.4891886290372769</v>
      </c>
      <c r="P30" s="61">
        <v>4.6522515053830356</v>
      </c>
      <c r="Q30" s="61">
        <v>31.778187940805687</v>
      </c>
      <c r="R30" s="61">
        <v>58.904124376228339</v>
      </c>
      <c r="S30" s="61">
        <v>86.030060811650998</v>
      </c>
      <c r="T30" s="61">
        <v>113.15599724707366</v>
      </c>
      <c r="U30" s="62">
        <v>140.28193368249632</v>
      </c>
      <c r="V30" s="62">
        <v>266.65705459810681</v>
      </c>
      <c r="W30" s="62">
        <v>393.03217551371728</v>
      </c>
      <c r="X30" s="62">
        <v>519.40729642932774</v>
      </c>
      <c r="Y30" s="62">
        <v>645.78241734493827</v>
      </c>
      <c r="Z30" s="62">
        <v>871.40672274073654</v>
      </c>
      <c r="AA30" s="62">
        <v>1113.2864250422533</v>
      </c>
      <c r="AB30" s="62">
        <v>1355.1661273437701</v>
      </c>
      <c r="AC30" s="62">
        <v>1597.0458296452869</v>
      </c>
      <c r="AD30" s="62">
        <v>1838.9255319468036</v>
      </c>
      <c r="AE30" s="62">
        <v>2773.8327225637581</v>
      </c>
    </row>
    <row r="31" spans="1:31" x14ac:dyDescent="0.35">
      <c r="A31" s="87" t="s">
        <v>39</v>
      </c>
      <c r="B31" s="167"/>
      <c r="C31" s="87" t="s">
        <v>34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0.15173275</v>
      </c>
      <c r="N31" s="61">
        <v>0.3034655</v>
      </c>
      <c r="O31" s="61">
        <v>0.45519825000000003</v>
      </c>
      <c r="P31" s="61">
        <v>0.606931</v>
      </c>
      <c r="Q31" s="61">
        <v>1.0469041682496292</v>
      </c>
      <c r="R31" s="61">
        <v>1.4868773364992585</v>
      </c>
      <c r="S31" s="61">
        <v>1.9268505047488875</v>
      </c>
      <c r="T31" s="61">
        <v>2.3668236729985166</v>
      </c>
      <c r="U31" s="62">
        <v>2.8067968412481457</v>
      </c>
      <c r="V31" s="62">
        <v>3.9362289414273359</v>
      </c>
      <c r="W31" s="62">
        <v>5.0656610416065257</v>
      </c>
      <c r="X31" s="62">
        <v>6.1950931417857156</v>
      </c>
      <c r="Y31" s="62">
        <v>7.3245252419649054</v>
      </c>
      <c r="Z31" s="62">
        <v>9.1434162740736564</v>
      </c>
      <c r="AA31" s="62">
        <v>10.132332905746296</v>
      </c>
      <c r="AB31" s="62">
        <v>11.121249537418935</v>
      </c>
      <c r="AC31" s="62">
        <v>12.110166169091574</v>
      </c>
      <c r="AD31" s="62">
        <v>13.099082800764213</v>
      </c>
      <c r="AE31" s="62">
        <v>13.244906621397551</v>
      </c>
    </row>
    <row r="32" spans="1:31" x14ac:dyDescent="0.35">
      <c r="A32" s="87" t="s">
        <v>39</v>
      </c>
      <c r="B32" s="167"/>
      <c r="C32" s="87" t="s">
        <v>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3.25</v>
      </c>
      <c r="N32" s="61">
        <v>6.5</v>
      </c>
      <c r="O32" s="61">
        <v>9.75</v>
      </c>
      <c r="P32" s="61">
        <v>13</v>
      </c>
      <c r="Q32" s="61">
        <v>20.6</v>
      </c>
      <c r="R32" s="61">
        <v>28.200000000000003</v>
      </c>
      <c r="S32" s="61">
        <v>35.800000000000004</v>
      </c>
      <c r="T32" s="61">
        <v>43.400000000000006</v>
      </c>
      <c r="U32" s="62">
        <v>51</v>
      </c>
      <c r="V32" s="62">
        <v>60.766666666666666</v>
      </c>
      <c r="W32" s="62">
        <v>70.533333333333331</v>
      </c>
      <c r="X32" s="62">
        <v>80.3</v>
      </c>
      <c r="Y32" s="62">
        <v>90.066666666666663</v>
      </c>
      <c r="Z32" s="62">
        <v>102</v>
      </c>
      <c r="AA32" s="62">
        <v>112.5090909090909</v>
      </c>
      <c r="AB32" s="62">
        <v>123.0181818181818</v>
      </c>
      <c r="AC32" s="62">
        <v>133.5272727272727</v>
      </c>
      <c r="AD32" s="62">
        <v>144.0363636363636</v>
      </c>
      <c r="AE32" s="62">
        <v>159</v>
      </c>
    </row>
    <row r="33" spans="1:31" x14ac:dyDescent="0.35">
      <c r="A33" s="87" t="s">
        <v>130</v>
      </c>
      <c r="B33" s="87" t="s">
        <v>111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121943.83442853339</v>
      </c>
      <c r="N33" s="61">
        <v>557395.44274705369</v>
      </c>
      <c r="O33" s="61">
        <v>1230664.83752293</v>
      </c>
      <c r="P33" s="61">
        <v>2104893.3349523866</v>
      </c>
      <c r="Q33" s="61">
        <v>3208711.8359935149</v>
      </c>
      <c r="R33" s="61">
        <v>5074358.4431536924</v>
      </c>
      <c r="S33" s="61">
        <v>7294231.1079454487</v>
      </c>
      <c r="T33" s="61">
        <v>10621351.098279541</v>
      </c>
      <c r="U33" s="61">
        <v>15163062.894760499</v>
      </c>
      <c r="V33" s="61">
        <v>20401738.615491655</v>
      </c>
      <c r="W33" s="61">
        <v>25584139.46257012</v>
      </c>
      <c r="X33" s="62">
        <v>32828440.909922663</v>
      </c>
      <c r="Y33" s="62">
        <v>40824564.510874376</v>
      </c>
      <c r="Z33" s="62">
        <v>49073877.303974643</v>
      </c>
      <c r="AA33" s="62">
        <v>59455154.473589607</v>
      </c>
      <c r="AB33" s="62">
        <v>70544240.618131399</v>
      </c>
      <c r="AC33" s="62">
        <v>82573459.21803847</v>
      </c>
      <c r="AD33" s="62">
        <v>93886167.692248136</v>
      </c>
      <c r="AE33" s="62">
        <v>106217109.69120726</v>
      </c>
    </row>
    <row r="34" spans="1:31" x14ac:dyDescent="0.35">
      <c r="A34" s="87" t="s">
        <v>130</v>
      </c>
      <c r="B34" s="87" t="s">
        <v>132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729516.86376182805</v>
      </c>
      <c r="N34" s="61">
        <v>3180050.453262188</v>
      </c>
      <c r="O34" s="61">
        <v>6467576.6035457356</v>
      </c>
      <c r="P34" s="61">
        <v>9571528.7893473189</v>
      </c>
      <c r="Q34" s="61">
        <v>13952844.538153317</v>
      </c>
      <c r="R34" s="61">
        <v>22407387.649255473</v>
      </c>
      <c r="S34" s="61">
        <v>31401817.297868237</v>
      </c>
      <c r="T34" s="61">
        <v>46733580.876084223</v>
      </c>
      <c r="U34" s="61">
        <v>67174413.003348544</v>
      </c>
      <c r="V34" s="61">
        <v>89726211.054832757</v>
      </c>
      <c r="W34" s="61">
        <v>108641376.86295491</v>
      </c>
      <c r="X34" s="62">
        <v>139289538.0635671</v>
      </c>
      <c r="Y34" s="62">
        <v>173823253.62402341</v>
      </c>
      <c r="Z34" s="62">
        <v>205957531.82580149</v>
      </c>
      <c r="AA34" s="62">
        <v>249996426.63284996</v>
      </c>
      <c r="AB34" s="62">
        <v>296972112.5989725</v>
      </c>
      <c r="AC34" s="62">
        <v>347542804.73652619</v>
      </c>
      <c r="AD34" s="62">
        <v>390421188.61825824</v>
      </c>
      <c r="AE34" s="62">
        <v>440013691.47654182</v>
      </c>
    </row>
    <row r="35" spans="1:31" x14ac:dyDescent="0.35">
      <c r="A35" s="87" t="s">
        <v>133</v>
      </c>
      <c r="B35" s="87" t="s">
        <v>111</v>
      </c>
      <c r="C35" s="87" t="s">
        <v>131</v>
      </c>
      <c r="D35" s="61">
        <v>2647.9025931542601</v>
      </c>
      <c r="E35" s="61">
        <v>6982.2415354565755</v>
      </c>
      <c r="F35" s="61">
        <v>14894.86271913362</v>
      </c>
      <c r="G35" s="61">
        <v>22807.483902810665</v>
      </c>
      <c r="H35" s="61">
        <v>30720.105086487711</v>
      </c>
      <c r="I35" s="61">
        <v>38632.726270164756</v>
      </c>
      <c r="J35" s="61">
        <v>46545.347453841801</v>
      </c>
      <c r="K35" s="61">
        <v>54457.968637518839</v>
      </c>
      <c r="L35" s="61">
        <v>49788.34054358671</v>
      </c>
      <c r="M35" s="61">
        <v>45118.71244965458</v>
      </c>
      <c r="N35" s="61">
        <v>40449.084355722451</v>
      </c>
      <c r="O35" s="61">
        <v>35779.456261790328</v>
      </c>
      <c r="P35" s="61">
        <v>257477.53143315934</v>
      </c>
      <c r="Q35" s="61">
        <v>365660.97051089769</v>
      </c>
      <c r="R35" s="61">
        <v>473844.40958863607</v>
      </c>
      <c r="S35" s="61">
        <v>582027.84866637446</v>
      </c>
      <c r="T35" s="61">
        <v>690211.28774411278</v>
      </c>
      <c r="U35" s="61">
        <v>684880.09072822053</v>
      </c>
      <c r="V35" s="61">
        <v>881770.232983283</v>
      </c>
      <c r="W35" s="61">
        <v>1078660.3752383455</v>
      </c>
      <c r="X35" s="61">
        <v>1275550.5174934079</v>
      </c>
      <c r="Y35" s="61">
        <v>1472440.6597484704</v>
      </c>
      <c r="Z35" s="61">
        <v>1669330.8020035329</v>
      </c>
      <c r="AA35" s="61">
        <v>1960393.6239777859</v>
      </c>
      <c r="AB35" s="61">
        <v>2251456.4459520392</v>
      </c>
      <c r="AC35" s="61">
        <v>2542519.2679262925</v>
      </c>
      <c r="AD35" s="61">
        <v>2833582.0899005458</v>
      </c>
      <c r="AE35" s="61">
        <v>3124644.9118747981</v>
      </c>
    </row>
    <row r="36" spans="1:31" x14ac:dyDescent="0.35">
      <c r="A36" s="87" t="s">
        <v>133</v>
      </c>
      <c r="B36" s="87" t="s">
        <v>132</v>
      </c>
      <c r="C36" s="87" t="s">
        <v>131</v>
      </c>
      <c r="D36" s="61">
        <v>10987.434286717866</v>
      </c>
      <c r="E36" s="61">
        <v>28972.712305641722</v>
      </c>
      <c r="F36" s="61">
        <v>61806.021777112241</v>
      </c>
      <c r="G36" s="61">
        <v>94639.331248582763</v>
      </c>
      <c r="H36" s="61">
        <v>127472.64072005328</v>
      </c>
      <c r="I36" s="61">
        <v>160305.95019152382</v>
      </c>
      <c r="J36" s="61">
        <v>193139.25966299436</v>
      </c>
      <c r="K36" s="61">
        <v>225972.56913446487</v>
      </c>
      <c r="L36" s="61">
        <v>206596.01353225441</v>
      </c>
      <c r="M36" s="61">
        <v>187219.45793004395</v>
      </c>
      <c r="N36" s="61">
        <v>167842.90232783349</v>
      </c>
      <c r="O36" s="61">
        <v>148466.34672562304</v>
      </c>
      <c r="P36" s="61">
        <v>1068399.367953395</v>
      </c>
      <c r="Q36" s="61">
        <v>1517305.0153329039</v>
      </c>
      <c r="R36" s="61">
        <v>1966210.6627124129</v>
      </c>
      <c r="S36" s="61">
        <v>2415116.3100919221</v>
      </c>
      <c r="T36" s="61">
        <v>2864021.9574714312</v>
      </c>
      <c r="U36" s="61">
        <v>2841900.2310026772</v>
      </c>
      <c r="V36" s="61">
        <v>3658893.0861488399</v>
      </c>
      <c r="W36" s="61">
        <v>4475885.9412950026</v>
      </c>
      <c r="X36" s="61">
        <v>5292878.7964411657</v>
      </c>
      <c r="Y36" s="61">
        <v>6109871.6515873289</v>
      </c>
      <c r="Z36" s="61">
        <v>6926864.5067334911</v>
      </c>
      <c r="AA36" s="61">
        <v>8134625.5618481245</v>
      </c>
      <c r="AB36" s="61">
        <v>9342386.616962757</v>
      </c>
      <c r="AC36" s="61">
        <v>10550147.672077391</v>
      </c>
      <c r="AD36" s="61">
        <v>11757908.727192026</v>
      </c>
      <c r="AE36" s="61">
        <v>12965669.782306658</v>
      </c>
    </row>
    <row r="37" spans="1:31" ht="29" x14ac:dyDescent="0.35">
      <c r="A37" s="3" t="s">
        <v>134</v>
      </c>
      <c r="B37" s="3" t="s">
        <v>135</v>
      </c>
      <c r="C37" s="87" t="s">
        <v>131</v>
      </c>
      <c r="D37" s="61">
        <v>5110374.2213796834</v>
      </c>
      <c r="E37" s="61">
        <v>6015097.5811416227</v>
      </c>
      <c r="F37" s="61">
        <v>6967510.592113046</v>
      </c>
      <c r="G37" s="61">
        <v>7745187.9968061158</v>
      </c>
      <c r="H37" s="61">
        <v>8491036.71368628</v>
      </c>
      <c r="I37" s="61">
        <v>9233048.74636738</v>
      </c>
      <c r="J37" s="61">
        <v>10172667.817321118</v>
      </c>
      <c r="K37" s="61">
        <v>11216525.058557451</v>
      </c>
      <c r="L37" s="61">
        <v>12260160.059538106</v>
      </c>
      <c r="M37" s="61">
        <v>13330830.006865343</v>
      </c>
      <c r="N37" s="61">
        <v>14604368.715492908</v>
      </c>
      <c r="O37" s="61">
        <v>15898045.990351547</v>
      </c>
      <c r="P37" s="61">
        <v>17328004.734673198</v>
      </c>
      <c r="Q37" s="61">
        <v>18766389.698252752</v>
      </c>
      <c r="R37" s="61">
        <v>20232001.086540084</v>
      </c>
      <c r="S37" s="61">
        <v>21637239.375315927</v>
      </c>
      <c r="T37" s="61">
        <v>23415873.168346021</v>
      </c>
      <c r="U37" s="61">
        <v>25127984.34041908</v>
      </c>
      <c r="V37" s="61">
        <v>27049783.880359836</v>
      </c>
      <c r="W37" s="61">
        <v>28952045.903277494</v>
      </c>
      <c r="X37" s="61">
        <v>30960752.547056068</v>
      </c>
      <c r="Y37" s="61">
        <v>33118259.987420727</v>
      </c>
      <c r="Z37" s="61">
        <v>35150034.75359945</v>
      </c>
      <c r="AA37" s="61">
        <v>37379953.314076424</v>
      </c>
      <c r="AB37" s="61">
        <v>39694609.581601761</v>
      </c>
      <c r="AC37" s="61">
        <v>41939674.803570539</v>
      </c>
      <c r="AD37" s="61">
        <v>43745512.939464778</v>
      </c>
      <c r="AE37" s="61">
        <v>46284092.675812736</v>
      </c>
    </row>
    <row r="39" spans="1:31" x14ac:dyDescent="0.35">
      <c r="A39" s="87"/>
      <c r="B39" s="87"/>
      <c r="C39" s="87" t="s">
        <v>136</v>
      </c>
      <c r="D39" s="87">
        <f>'Cost Assumptions'!$B$4</f>
        <v>40</v>
      </c>
      <c r="E39" s="61">
        <f>D39*'Cost Assumptions'!$B$5</f>
        <v>41</v>
      </c>
      <c r="F39" s="61">
        <f>E39*'Cost Assumptions'!$B$5</f>
        <v>42.024999999999999</v>
      </c>
      <c r="G39" s="61">
        <f>F39*'Cost Assumptions'!$B$5</f>
        <v>43.075624999999995</v>
      </c>
      <c r="H39" s="61">
        <f>G39*'Cost Assumptions'!$B$5</f>
        <v>44.152515624999992</v>
      </c>
      <c r="I39" s="8">
        <f>H39*'Cost Assumptions'!$B$5</f>
        <v>45.256328515624986</v>
      </c>
      <c r="J39" s="8">
        <f>I39*'Cost Assumptions'!$B$5</f>
        <v>46.387736728515605</v>
      </c>
      <c r="K39" s="8">
        <f>J39*'Cost Assumptions'!$B$5</f>
        <v>47.547430146728495</v>
      </c>
      <c r="L39" s="8">
        <f>K39*'Cost Assumptions'!$B$5</f>
        <v>48.736115900396705</v>
      </c>
      <c r="M39" s="8">
        <f>L39*'Cost Assumptions'!$B$5</f>
        <v>49.954518797906616</v>
      </c>
      <c r="N39" s="8">
        <f>M39*'Cost Assumptions'!$B$5</f>
        <v>51.203381767854275</v>
      </c>
      <c r="O39" s="8">
        <f>N39*'Cost Assumptions'!$B$5</f>
        <v>52.483466312050624</v>
      </c>
      <c r="P39" s="8">
        <f>O39*'Cost Assumptions'!$B$5</f>
        <v>53.795552969851883</v>
      </c>
      <c r="Q39" s="8">
        <f>P39*'Cost Assumptions'!$B$5</f>
        <v>55.140441794098173</v>
      </c>
      <c r="R39" s="8">
        <f>Q39*'Cost Assumptions'!$B$5</f>
        <v>56.518952838950625</v>
      </c>
      <c r="S39" s="8">
        <f>R39*'Cost Assumptions'!$B$5</f>
        <v>57.931926659924386</v>
      </c>
      <c r="T39" s="8">
        <f>S39*'Cost Assumptions'!$B$5</f>
        <v>59.380224826422491</v>
      </c>
      <c r="U39" s="8">
        <f>T39*'Cost Assumptions'!$B$5</f>
        <v>60.864730447083048</v>
      </c>
      <c r="V39" s="8">
        <f>U39*'Cost Assumptions'!$B$5</f>
        <v>62.386348708260115</v>
      </c>
      <c r="W39" s="8">
        <f>V39*'Cost Assumptions'!$B$5</f>
        <v>63.946007425966613</v>
      </c>
      <c r="X39" s="8">
        <f>W39*'Cost Assumptions'!$B$5</f>
        <v>65.544657611615776</v>
      </c>
      <c r="Y39" s="8">
        <f>X39*'Cost Assumptions'!$B$5</f>
        <v>67.183274051906167</v>
      </c>
      <c r="Z39" s="8">
        <f>Y39*'Cost Assumptions'!$B$5</f>
        <v>68.862855903203823</v>
      </c>
      <c r="AA39" s="8">
        <f>Z39*'Cost Assumptions'!$B$5</f>
        <v>70.584427300783915</v>
      </c>
      <c r="AB39" s="8">
        <f>AA39*'Cost Assumptions'!$B$5</f>
        <v>72.349037983303504</v>
      </c>
      <c r="AC39" s="8">
        <f>AB39*'Cost Assumptions'!$B$5</f>
        <v>74.157763932886084</v>
      </c>
      <c r="AD39" s="8">
        <f>AC39*'Cost Assumptions'!$B$5</f>
        <v>76.011708031208229</v>
      </c>
      <c r="AE39" s="8">
        <f>AD39*'Cost Assumptions'!$B$5</f>
        <v>77.912000731988428</v>
      </c>
    </row>
    <row r="40" spans="1:31" x14ac:dyDescent="0.35">
      <c r="A40" s="87"/>
      <c r="B40" s="87"/>
      <c r="C40" s="8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23.5" x14ac:dyDescent="0.55000000000000004">
      <c r="A41" s="87"/>
      <c r="B41" s="165" t="s">
        <v>137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</row>
    <row r="42" spans="1:31" ht="20" thickBot="1" x14ac:dyDescent="0.5">
      <c r="A42" s="120"/>
      <c r="B42" s="125" t="s">
        <v>138</v>
      </c>
      <c r="C42" s="120" t="s">
        <v>105</v>
      </c>
      <c r="D42" s="120"/>
      <c r="E42" s="120">
        <v>2022</v>
      </c>
      <c r="F42" s="120">
        <v>2023</v>
      </c>
      <c r="G42" s="120">
        <v>2024</v>
      </c>
      <c r="H42" s="120">
        <v>2025</v>
      </c>
      <c r="I42" s="120">
        <v>2026</v>
      </c>
      <c r="J42" s="120">
        <v>2027</v>
      </c>
      <c r="K42" s="120">
        <v>2028</v>
      </c>
      <c r="L42" s="120">
        <v>2029</v>
      </c>
      <c r="M42" s="120">
        <v>2030</v>
      </c>
      <c r="N42" s="120">
        <v>2031</v>
      </c>
      <c r="O42" s="120">
        <v>2032</v>
      </c>
      <c r="P42" s="120">
        <v>2033</v>
      </c>
      <c r="Q42" s="120">
        <v>2034</v>
      </c>
      <c r="R42" s="120">
        <v>2035</v>
      </c>
      <c r="S42" s="120">
        <v>2036</v>
      </c>
      <c r="T42" s="120">
        <v>2037</v>
      </c>
      <c r="U42" s="120">
        <v>2038</v>
      </c>
      <c r="V42" s="120">
        <v>2039</v>
      </c>
      <c r="W42" s="120">
        <v>2040</v>
      </c>
      <c r="X42" s="120">
        <v>2041</v>
      </c>
      <c r="Y42" s="120">
        <v>2042</v>
      </c>
      <c r="Z42" s="120">
        <v>2043</v>
      </c>
      <c r="AA42" s="120">
        <v>2044</v>
      </c>
      <c r="AB42" s="120">
        <v>2045</v>
      </c>
      <c r="AC42" s="120">
        <v>2046</v>
      </c>
      <c r="AD42" s="120">
        <v>2047</v>
      </c>
      <c r="AE42" s="120">
        <v>2048</v>
      </c>
    </row>
    <row r="43" spans="1:31" ht="15" thickTop="1" x14ac:dyDescent="0.35">
      <c r="A43" s="87"/>
      <c r="B43" s="9">
        <f>NPV('Cost Assumptions'!$B$3,'VS to VN &amp; Distributed BESS VS'!D43:'VS to VN &amp; Distributed BESS VS'!AE43)</f>
        <v>6646.3476063115804</v>
      </c>
      <c r="C43" s="87" t="s">
        <v>107</v>
      </c>
      <c r="D43" s="61">
        <f t="shared" ref="D43" si="9">D2-D18</f>
        <v>358.79999999895517</v>
      </c>
      <c r="E43" s="61">
        <f t="shared" ref="E43:AE43" si="10">E2-E18</f>
        <v>408.64999999964493</v>
      </c>
      <c r="F43" s="61">
        <f t="shared" si="10"/>
        <v>451.60192307660327</v>
      </c>
      <c r="G43" s="61">
        <f t="shared" si="10"/>
        <v>494.55384615356161</v>
      </c>
      <c r="H43" s="61">
        <f t="shared" si="10"/>
        <v>537.50576923051995</v>
      </c>
      <c r="I43" s="61">
        <f t="shared" si="10"/>
        <v>580.45769230747828</v>
      </c>
      <c r="J43" s="61">
        <f t="shared" si="10"/>
        <v>623.40961538443662</v>
      </c>
      <c r="K43" s="61">
        <f t="shared" si="10"/>
        <v>666.36153846139496</v>
      </c>
      <c r="L43" s="61">
        <f t="shared" si="10"/>
        <v>709.31346153835329</v>
      </c>
      <c r="M43" s="61">
        <f t="shared" si="10"/>
        <v>752.26538461531163</v>
      </c>
      <c r="N43" s="61">
        <f t="shared" si="10"/>
        <v>795.21730769226997</v>
      </c>
      <c r="O43" s="61">
        <f t="shared" si="10"/>
        <v>838.16923076922831</v>
      </c>
      <c r="P43" s="61">
        <f t="shared" si="10"/>
        <v>881.12115384618664</v>
      </c>
      <c r="Q43" s="61">
        <f t="shared" si="10"/>
        <v>924.07307692314498</v>
      </c>
      <c r="R43" s="61">
        <f t="shared" si="10"/>
        <v>967.02500000010332</v>
      </c>
      <c r="S43" s="61">
        <f t="shared" si="10"/>
        <v>1018.7715659341993</v>
      </c>
      <c r="T43" s="61">
        <f t="shared" si="10"/>
        <v>1070.5181318683026</v>
      </c>
      <c r="U43" s="61">
        <f t="shared" si="10"/>
        <v>1122.2646978024059</v>
      </c>
      <c r="V43" s="61">
        <f t="shared" si="10"/>
        <v>1174.0112637365091</v>
      </c>
      <c r="W43" s="61">
        <f t="shared" si="10"/>
        <v>1225.7578296706124</v>
      </c>
      <c r="X43" s="61">
        <f t="shared" si="10"/>
        <v>1277.5043956047157</v>
      </c>
      <c r="Y43" s="61">
        <f t="shared" si="10"/>
        <v>1329.250961538819</v>
      </c>
      <c r="Z43" s="61">
        <f t="shared" si="10"/>
        <v>1380.9975274729222</v>
      </c>
      <c r="AA43" s="61">
        <f t="shared" si="10"/>
        <v>1432.7440934070255</v>
      </c>
      <c r="AB43" s="61">
        <f t="shared" si="10"/>
        <v>1484.4906593411288</v>
      </c>
      <c r="AC43" s="61">
        <f t="shared" si="10"/>
        <v>1536.237225275232</v>
      </c>
      <c r="AD43" s="61">
        <f t="shared" si="10"/>
        <v>1587.9837912093353</v>
      </c>
      <c r="AE43" s="61">
        <f t="shared" si="10"/>
        <v>1648.5250000004598</v>
      </c>
    </row>
    <row r="44" spans="1:31" x14ac:dyDescent="0.35">
      <c r="A44" s="87"/>
      <c r="B44" s="9">
        <f>NPV('Cost Assumptions'!$B$3,'VS to VN &amp; Distributed BESS VS'!D44:'VS to VN &amp; Distributed BESS VS'!AE44)</f>
        <v>354648.55535543314</v>
      </c>
      <c r="C44" s="87" t="s">
        <v>139</v>
      </c>
      <c r="D44" s="61">
        <f t="shared" ref="D44" si="11">D43*D39</f>
        <v>14351.999999958207</v>
      </c>
      <c r="E44" s="61">
        <f t="shared" ref="E44:AE44" si="12">E43*E39</f>
        <v>16754.649999985442</v>
      </c>
      <c r="F44" s="61">
        <f t="shared" si="12"/>
        <v>18978.57081729425</v>
      </c>
      <c r="G44" s="61">
        <f t="shared" si="12"/>
        <v>21303.216019218511</v>
      </c>
      <c r="H44" s="61">
        <f t="shared" si="12"/>
        <v>23732.231874478173</v>
      </c>
      <c r="I44" s="61">
        <f t="shared" si="12"/>
        <v>26269.384012488805</v>
      </c>
      <c r="J44" s="61">
        <f t="shared" si="12"/>
        <v>28918.561112478419</v>
      </c>
      <c r="K44" s="61">
        <f t="shared" si="12"/>
        <v>31683.778702459709</v>
      </c>
      <c r="L44" s="61">
        <f t="shared" si="12"/>
        <v>34569.18307124477</v>
      </c>
      <c r="M44" s="61">
        <f t="shared" si="12"/>
        <v>37579.055296780032</v>
      </c>
      <c r="N44" s="61">
        <f t="shared" si="12"/>
        <v>40717.81539417254</v>
      </c>
      <c r="O44" s="61">
        <f t="shared" si="12"/>
        <v>43990.026586874177</v>
      </c>
      <c r="P44" s="61">
        <f t="shared" si="12"/>
        <v>47400.399704589545</v>
      </c>
      <c r="Q44" s="61">
        <f t="shared" si="12"/>
        <v>50953.797711573883</v>
      </c>
      <c r="R44" s="61">
        <f t="shared" si="12"/>
        <v>54655.240369092069</v>
      </c>
      <c r="S44" s="61">
        <f t="shared" si="12"/>
        <v>59019.399640916359</v>
      </c>
      <c r="T44" s="61">
        <f t="shared" si="12"/>
        <v>63567.607351101607</v>
      </c>
      <c r="U44" s="61">
        <f t="shared" si="12"/>
        <v>68306.338322020543</v>
      </c>
      <c r="V44" s="61">
        <f t="shared" si="12"/>
        <v>73242.276086890997</v>
      </c>
      <c r="W44" s="61">
        <f t="shared" si="12"/>
        <v>78382.319278553696</v>
      </c>
      <c r="X44" s="61">
        <f t="shared" si="12"/>
        <v>83733.588207245237</v>
      </c>
      <c r="Y44" s="61">
        <f t="shared" si="12"/>
        <v>89303.431632822263</v>
      </c>
      <c r="Z44" s="61">
        <f t="shared" si="12"/>
        <v>95099.433737048603</v>
      </c>
      <c r="AA44" s="61">
        <f t="shared" si="12"/>
        <v>101129.42130171575</v>
      </c>
      <c r="AB44" s="61">
        <f t="shared" si="12"/>
        <v>107401.47109853059</v>
      </c>
      <c r="AC44" s="61">
        <f t="shared" si="12"/>
        <v>113923.9174968726</v>
      </c>
      <c r="AD44" s="61">
        <f t="shared" si="12"/>
        <v>120705.36029569512</v>
      </c>
      <c r="AE44" s="61">
        <f t="shared" si="12"/>
        <v>128439.88100673705</v>
      </c>
    </row>
    <row r="45" spans="1:31" x14ac:dyDescent="0.35">
      <c r="A45" s="87" t="s">
        <v>30</v>
      </c>
      <c r="B45" s="9">
        <f>NPV('Cost Assumptions'!$B$3,'VS to VN &amp; Distributed BESS VS'!D45:'VS to VN &amp; Distributed BESS VS'!AE45)</f>
        <v>2641.0478715307408</v>
      </c>
      <c r="C45" s="87" t="s">
        <v>31</v>
      </c>
      <c r="D45" s="61">
        <f t="shared" ref="D45" si="13">D3-D19</f>
        <v>5.5999999999999943</v>
      </c>
      <c r="E45" s="61">
        <f t="shared" ref="E45:AE45" si="14">E3-E19</f>
        <v>8.0999999999999943</v>
      </c>
      <c r="F45" s="61">
        <f t="shared" si="14"/>
        <v>9.2000000000000028</v>
      </c>
      <c r="G45" s="61">
        <f t="shared" si="14"/>
        <v>10.300000000000011</v>
      </c>
      <c r="H45" s="61">
        <f t="shared" si="14"/>
        <v>11.40000000000002</v>
      </c>
      <c r="I45" s="61">
        <f t="shared" si="14"/>
        <v>12.500000000000028</v>
      </c>
      <c r="J45" s="61">
        <f t="shared" si="14"/>
        <v>13.600000000000023</v>
      </c>
      <c r="K45" s="61">
        <f t="shared" si="14"/>
        <v>14.699999999999989</v>
      </c>
      <c r="L45" s="61">
        <f t="shared" si="14"/>
        <v>19.520000000000039</v>
      </c>
      <c r="M45" s="61">
        <f t="shared" si="14"/>
        <v>24.340000000000146</v>
      </c>
      <c r="N45" s="61">
        <f t="shared" si="14"/>
        <v>29.160000000000196</v>
      </c>
      <c r="O45" s="61">
        <f t="shared" si="14"/>
        <v>33.980000000000132</v>
      </c>
      <c r="P45" s="61">
        <f t="shared" si="14"/>
        <v>210.95000000000016</v>
      </c>
      <c r="Q45" s="61">
        <f t="shared" si="14"/>
        <v>292.64000000000033</v>
      </c>
      <c r="R45" s="61">
        <f t="shared" si="14"/>
        <v>374.33000000000038</v>
      </c>
      <c r="S45" s="61">
        <f t="shared" si="14"/>
        <v>456.02000000000044</v>
      </c>
      <c r="T45" s="61">
        <f t="shared" si="14"/>
        <v>537.71000000000049</v>
      </c>
      <c r="U45" s="61">
        <f t="shared" si="14"/>
        <v>619.40000000000032</v>
      </c>
      <c r="V45" s="61">
        <f t="shared" si="14"/>
        <v>925.33000000000084</v>
      </c>
      <c r="W45" s="61">
        <f t="shared" si="14"/>
        <v>1231.2600000000007</v>
      </c>
      <c r="X45" s="61">
        <f t="shared" si="14"/>
        <v>1537.1900000000005</v>
      </c>
      <c r="Y45" s="61">
        <f t="shared" si="14"/>
        <v>1843.1200000000003</v>
      </c>
      <c r="Z45" s="61">
        <f t="shared" si="14"/>
        <v>1576.5000000000018</v>
      </c>
      <c r="AA45" s="61">
        <f t="shared" si="14"/>
        <v>1905.9200000000019</v>
      </c>
      <c r="AB45" s="61">
        <f t="shared" si="14"/>
        <v>2235.340000000002</v>
      </c>
      <c r="AC45" s="61">
        <f t="shared" si="14"/>
        <v>2564.760000000002</v>
      </c>
      <c r="AD45" s="61">
        <f t="shared" si="14"/>
        <v>2894.1800000000021</v>
      </c>
      <c r="AE45" s="61">
        <f t="shared" si="14"/>
        <v>3223.5999999999995</v>
      </c>
    </row>
    <row r="46" spans="1:31" x14ac:dyDescent="0.35">
      <c r="A46" s="87" t="s">
        <v>30</v>
      </c>
      <c r="B46" s="9">
        <f>NPV('Cost Assumptions'!$B$3,'VS to VN &amp; Distributed BESS VS'!D46:'VS to VN &amp; Distributed BESS VS'!AE46)</f>
        <v>-52.499179029326328</v>
      </c>
      <c r="C46" s="87" t="s">
        <v>32</v>
      </c>
      <c r="D46" s="61">
        <f t="shared" ref="D46" si="15">D4-D20</f>
        <v>-2.4000000000000057</v>
      </c>
      <c r="E46" s="61">
        <f t="shared" ref="E46:AE46" si="16">E4-E20</f>
        <v>-4.3000000000000114</v>
      </c>
      <c r="F46" s="61">
        <f t="shared" si="16"/>
        <v>-4.4166666666666767</v>
      </c>
      <c r="G46" s="61">
        <f t="shared" si="16"/>
        <v>-4.5333333333333421</v>
      </c>
      <c r="H46" s="61">
        <f t="shared" si="16"/>
        <v>-4.6500000000000075</v>
      </c>
      <c r="I46" s="61">
        <f t="shared" si="16"/>
        <v>-4.7666666666666728</v>
      </c>
      <c r="J46" s="61">
        <f t="shared" si="16"/>
        <v>-4.8833333333333364</v>
      </c>
      <c r="K46" s="61">
        <f t="shared" si="16"/>
        <v>-5</v>
      </c>
      <c r="L46" s="61">
        <f t="shared" si="16"/>
        <v>-4.7899999999999956</v>
      </c>
      <c r="M46" s="61">
        <f t="shared" si="16"/>
        <v>-4.5799999999999912</v>
      </c>
      <c r="N46" s="61">
        <f t="shared" si="16"/>
        <v>-4.3699999999999832</v>
      </c>
      <c r="O46" s="61">
        <f t="shared" si="16"/>
        <v>-4.1599999999999753</v>
      </c>
      <c r="P46" s="61">
        <f t="shared" si="16"/>
        <v>-2.4999999999999787</v>
      </c>
      <c r="Q46" s="61">
        <f t="shared" si="16"/>
        <v>-5.5999999999999801</v>
      </c>
      <c r="R46" s="61">
        <f t="shared" si="16"/>
        <v>-8.6999999999999815</v>
      </c>
      <c r="S46" s="61">
        <f t="shared" si="16"/>
        <v>-11.799999999999983</v>
      </c>
      <c r="T46" s="61">
        <f t="shared" si="16"/>
        <v>-14.899999999999984</v>
      </c>
      <c r="U46" s="61">
        <f t="shared" si="16"/>
        <v>-18</v>
      </c>
      <c r="V46" s="61">
        <f t="shared" si="16"/>
        <v>-15.560000000000009</v>
      </c>
      <c r="W46" s="61">
        <f t="shared" si="16"/>
        <v>-13.120000000000019</v>
      </c>
      <c r="X46" s="61">
        <f t="shared" si="16"/>
        <v>-10.680000000000035</v>
      </c>
      <c r="Y46" s="61">
        <f t="shared" si="16"/>
        <v>-8.2400000000000517</v>
      </c>
      <c r="Z46" s="61">
        <f t="shared" si="16"/>
        <v>-5.8000000000000682</v>
      </c>
      <c r="AA46" s="61">
        <f t="shared" si="16"/>
        <v>-5.9600000000000506</v>
      </c>
      <c r="AB46" s="61">
        <f t="shared" si="16"/>
        <v>-6.120000000000033</v>
      </c>
      <c r="AC46" s="61">
        <f t="shared" si="16"/>
        <v>-6.2800000000000153</v>
      </c>
      <c r="AD46" s="61">
        <f t="shared" si="16"/>
        <v>-6.4399999999999977</v>
      </c>
      <c r="AE46" s="61">
        <f t="shared" si="16"/>
        <v>-6.5999999999999659</v>
      </c>
    </row>
    <row r="47" spans="1:31" x14ac:dyDescent="0.35">
      <c r="A47" s="87" t="s">
        <v>30</v>
      </c>
      <c r="B47" s="9">
        <f>NPV('Cost Assumptions'!$B$3,'VS to VN &amp; Distributed BESS VS'!D47:'VS to VN &amp; Distributed BESS VS'!AE47)</f>
        <v>486.02274251545867</v>
      </c>
      <c r="C47" s="87" t="s">
        <v>33</v>
      </c>
      <c r="D47" s="61">
        <f t="shared" ref="D47" si="17">D5-D21</f>
        <v>0.15808760115486706</v>
      </c>
      <c r="E47" s="61">
        <f t="shared" ref="E47:AE47" si="18">E5-E21</f>
        <v>0.31034737877346674</v>
      </c>
      <c r="F47" s="61">
        <f t="shared" si="18"/>
        <v>0.26665200351692253</v>
      </c>
      <c r="G47" s="61">
        <f t="shared" si="18"/>
        <v>0.22295662826037832</v>
      </c>
      <c r="H47" s="61">
        <f t="shared" si="18"/>
        <v>0.17926125300383422</v>
      </c>
      <c r="I47" s="61">
        <f t="shared" si="18"/>
        <v>0.13556587774729012</v>
      </c>
      <c r="J47" s="61">
        <f t="shared" si="18"/>
        <v>9.187050249074602E-2</v>
      </c>
      <c r="K47" s="61">
        <f t="shared" si="18"/>
        <v>4.8175127234201476E-2</v>
      </c>
      <c r="L47" s="61">
        <f t="shared" si="18"/>
        <v>0.29325318039438386</v>
      </c>
      <c r="M47" s="61">
        <f t="shared" si="18"/>
        <v>0.53833123355456713</v>
      </c>
      <c r="N47" s="61">
        <f t="shared" si="18"/>
        <v>0.78340928671475041</v>
      </c>
      <c r="O47" s="61">
        <f t="shared" si="18"/>
        <v>1.0284873398749284</v>
      </c>
      <c r="P47" s="61">
        <f t="shared" si="18"/>
        <v>24.699725106405772</v>
      </c>
      <c r="Q47" s="61">
        <f t="shared" si="18"/>
        <v>31.999460052476891</v>
      </c>
      <c r="R47" s="61">
        <f t="shared" si="18"/>
        <v>39.299194998548003</v>
      </c>
      <c r="S47" s="61">
        <f t="shared" si="18"/>
        <v>46.598929944619115</v>
      </c>
      <c r="T47" s="61">
        <f t="shared" si="18"/>
        <v>53.898664890690242</v>
      </c>
      <c r="U47" s="61">
        <f t="shared" si="18"/>
        <v>61.198399836761354</v>
      </c>
      <c r="V47" s="61">
        <f t="shared" si="18"/>
        <v>110.39623789436163</v>
      </c>
      <c r="W47" s="61">
        <f t="shared" si="18"/>
        <v>159.59407595196188</v>
      </c>
      <c r="X47" s="61">
        <f t="shared" si="18"/>
        <v>208.79191400956216</v>
      </c>
      <c r="Y47" s="61">
        <f t="shared" si="18"/>
        <v>257.98975206716244</v>
      </c>
      <c r="Z47" s="61">
        <f t="shared" si="18"/>
        <v>307.18759012476278</v>
      </c>
      <c r="AA47" s="61">
        <f t="shared" si="18"/>
        <v>442.72483929709858</v>
      </c>
      <c r="AB47" s="61">
        <f t="shared" si="18"/>
        <v>578.2620884694345</v>
      </c>
      <c r="AC47" s="61">
        <f t="shared" si="18"/>
        <v>713.79933764177031</v>
      </c>
      <c r="AD47" s="61">
        <f t="shared" si="18"/>
        <v>849.33658681410611</v>
      </c>
      <c r="AE47" s="61">
        <f t="shared" si="18"/>
        <v>984.87383598644146</v>
      </c>
    </row>
    <row r="48" spans="1:31" x14ac:dyDescent="0.35">
      <c r="A48" s="87" t="s">
        <v>30</v>
      </c>
      <c r="B48" s="9">
        <f>NPV('Cost Assumptions'!$B$3,'VS to VN &amp; Distributed BESS VS'!D48:'VS to VN &amp; Distributed BESS VS'!AE48)</f>
        <v>1.9947604361456992</v>
      </c>
      <c r="C48" s="87" t="s">
        <v>34</v>
      </c>
      <c r="D48" s="61">
        <f t="shared" ref="D48" si="19">D6-D22</f>
        <v>2.6788994289051338E-3</v>
      </c>
      <c r="E48" s="61">
        <f t="shared" ref="E48:AE48" si="20">E6-E22</f>
        <v>1.7838539855266032E-3</v>
      </c>
      <c r="F48" s="61">
        <f t="shared" si="20"/>
        <v>3.5493332371698549E-4</v>
      </c>
      <c r="G48" s="61">
        <f t="shared" si="20"/>
        <v>-1.0739873380926357E-3</v>
      </c>
      <c r="H48" s="61">
        <f t="shared" si="20"/>
        <v>-2.5029079999022569E-3</v>
      </c>
      <c r="I48" s="61">
        <f t="shared" si="20"/>
        <v>-3.9318286617118781E-3</v>
      </c>
      <c r="J48" s="61">
        <f t="shared" si="20"/>
        <v>-5.3607493235215131E-3</v>
      </c>
      <c r="K48" s="61">
        <f t="shared" si="20"/>
        <v>-6.7896699853310927E-3</v>
      </c>
      <c r="L48" s="61">
        <f t="shared" si="20"/>
        <v>-6.3576296383344166E-3</v>
      </c>
      <c r="M48" s="61">
        <f t="shared" si="20"/>
        <v>-5.9255892913377406E-3</v>
      </c>
      <c r="N48" s="61">
        <f t="shared" si="20"/>
        <v>-5.4935489443410646E-3</v>
      </c>
      <c r="O48" s="61">
        <f t="shared" si="20"/>
        <v>-5.061508597344444E-3</v>
      </c>
      <c r="P48" s="61">
        <f t="shared" si="20"/>
        <v>0.15211363068350059</v>
      </c>
      <c r="Q48" s="61">
        <f t="shared" si="20"/>
        <v>0.22115742350619694</v>
      </c>
      <c r="R48" s="61">
        <f t="shared" si="20"/>
        <v>0.29020121632889317</v>
      </c>
      <c r="S48" s="61">
        <f t="shared" si="20"/>
        <v>0.35924500915158952</v>
      </c>
      <c r="T48" s="61">
        <f t="shared" si="20"/>
        <v>0.42828880197428587</v>
      </c>
      <c r="U48" s="61">
        <f t="shared" si="20"/>
        <v>0.49733259479698178</v>
      </c>
      <c r="V48" s="61">
        <f t="shared" si="20"/>
        <v>0.66615769738581854</v>
      </c>
      <c r="W48" s="61">
        <f t="shared" si="20"/>
        <v>0.83498279997465508</v>
      </c>
      <c r="X48" s="61">
        <f t="shared" si="20"/>
        <v>1.0038079025634916</v>
      </c>
      <c r="Y48" s="61">
        <f t="shared" si="20"/>
        <v>1.1726330051523282</v>
      </c>
      <c r="Z48" s="61">
        <f t="shared" si="20"/>
        <v>1.3414581077411638</v>
      </c>
      <c r="AA48" s="61">
        <f t="shared" si="20"/>
        <v>1.6398119393143191</v>
      </c>
      <c r="AB48" s="61">
        <f t="shared" si="20"/>
        <v>1.9381657708874744</v>
      </c>
      <c r="AC48" s="61">
        <f t="shared" si="20"/>
        <v>2.2365196024606293</v>
      </c>
      <c r="AD48" s="61">
        <f t="shared" si="20"/>
        <v>2.5348734340337842</v>
      </c>
      <c r="AE48" s="61">
        <f t="shared" si="20"/>
        <v>2.8332272656069417</v>
      </c>
    </row>
    <row r="49" spans="1:31" x14ac:dyDescent="0.35">
      <c r="A49" s="87" t="s">
        <v>30</v>
      </c>
      <c r="B49" s="9">
        <f>NPV('Cost Assumptions'!$B$3,'VS to VN &amp; Distributed BESS VS'!D49:'VS to VN &amp; Distributed BESS VS'!AE49)</f>
        <v>367.86650096991497</v>
      </c>
      <c r="C49" s="87" t="s">
        <v>35</v>
      </c>
      <c r="D49" s="61">
        <f t="shared" ref="D49" si="21">D7-D23</f>
        <v>14</v>
      </c>
      <c r="E49" s="61">
        <f t="shared" ref="E49:AE49" si="22">E7-E23</f>
        <v>23</v>
      </c>
      <c r="F49" s="61">
        <f t="shared" si="22"/>
        <v>25.333333333333336</v>
      </c>
      <c r="G49" s="61">
        <f t="shared" si="22"/>
        <v>27.666666666666671</v>
      </c>
      <c r="H49" s="61">
        <f t="shared" si="22"/>
        <v>30.000000000000007</v>
      </c>
      <c r="I49" s="61">
        <f t="shared" si="22"/>
        <v>32.333333333333343</v>
      </c>
      <c r="J49" s="61">
        <f t="shared" si="22"/>
        <v>34.666666666666679</v>
      </c>
      <c r="K49" s="61">
        <f t="shared" si="22"/>
        <v>37</v>
      </c>
      <c r="L49" s="61">
        <f t="shared" si="22"/>
        <v>39.799999999999997</v>
      </c>
      <c r="M49" s="61">
        <f t="shared" si="22"/>
        <v>42.6</v>
      </c>
      <c r="N49" s="61">
        <f t="shared" si="22"/>
        <v>45.4</v>
      </c>
      <c r="O49" s="61">
        <f t="shared" si="22"/>
        <v>48.199999999999996</v>
      </c>
      <c r="P49" s="61">
        <f t="shared" si="22"/>
        <v>53.833333333333329</v>
      </c>
      <c r="Q49" s="61">
        <f t="shared" si="22"/>
        <v>55.466666666666654</v>
      </c>
      <c r="R49" s="61">
        <f t="shared" si="22"/>
        <v>57.09999999999998</v>
      </c>
      <c r="S49" s="61">
        <f t="shared" si="22"/>
        <v>58.733333333333306</v>
      </c>
      <c r="T49" s="61">
        <f t="shared" si="22"/>
        <v>60.366666666666646</v>
      </c>
      <c r="U49" s="61">
        <f t="shared" si="22"/>
        <v>62</v>
      </c>
      <c r="V49" s="61">
        <f t="shared" si="22"/>
        <v>64.800000000000011</v>
      </c>
      <c r="W49" s="61">
        <f t="shared" si="22"/>
        <v>67.600000000000023</v>
      </c>
      <c r="X49" s="61">
        <f t="shared" si="22"/>
        <v>70.400000000000034</v>
      </c>
      <c r="Y49" s="61">
        <f t="shared" si="22"/>
        <v>73.200000000000045</v>
      </c>
      <c r="Z49" s="61">
        <f t="shared" si="22"/>
        <v>76</v>
      </c>
      <c r="AA49" s="61">
        <f t="shared" si="22"/>
        <v>77.800000000000011</v>
      </c>
      <c r="AB49" s="61">
        <f t="shared" si="22"/>
        <v>79.600000000000023</v>
      </c>
      <c r="AC49" s="61">
        <f t="shared" si="22"/>
        <v>81.400000000000034</v>
      </c>
      <c r="AD49" s="61">
        <f t="shared" si="22"/>
        <v>83.200000000000045</v>
      </c>
      <c r="AE49" s="61">
        <f t="shared" si="22"/>
        <v>85</v>
      </c>
    </row>
    <row r="50" spans="1:31" s="60" customFormat="1" x14ac:dyDescent="0.35">
      <c r="A50" s="87" t="s">
        <v>30</v>
      </c>
      <c r="B50" s="9">
        <f>NPV('Cost Assumptions'!$B$3,'VS to VN &amp; Distributed BESS VS'!D50:'VS to VN &amp; Distributed BESS VS'!AE50)</f>
        <v>108576.83307791257</v>
      </c>
      <c r="C50" s="85" t="s">
        <v>140</v>
      </c>
      <c r="D50" s="61">
        <f t="shared" ref="D50:E52" si="23">D13-D24</f>
        <v>2088.0515373598791</v>
      </c>
      <c r="E50" s="61">
        <f t="shared" si="23"/>
        <v>3165.0847079878258</v>
      </c>
      <c r="F50" s="61">
        <f t="shared" ref="F50:AE50" si="24">F13-F24</f>
        <v>4242.1178786157725</v>
      </c>
      <c r="G50" s="61">
        <f t="shared" si="24"/>
        <v>5319.1510492437192</v>
      </c>
      <c r="H50" s="61">
        <f t="shared" si="24"/>
        <v>6396.1842198716658</v>
      </c>
      <c r="I50" s="61">
        <f t="shared" si="24"/>
        <v>7473.2173904996125</v>
      </c>
      <c r="J50" s="61">
        <f t="shared" si="24"/>
        <v>8550.2505611275592</v>
      </c>
      <c r="K50" s="61">
        <f t="shared" si="24"/>
        <v>9627.2837317555059</v>
      </c>
      <c r="L50" s="61">
        <f t="shared" si="24"/>
        <v>10704.316902383453</v>
      </c>
      <c r="M50" s="61">
        <f t="shared" si="24"/>
        <v>11781.350073011399</v>
      </c>
      <c r="N50" s="61">
        <f t="shared" si="24"/>
        <v>12858.383243639346</v>
      </c>
      <c r="O50" s="61">
        <f t="shared" si="24"/>
        <v>13935.416414267293</v>
      </c>
      <c r="P50" s="61">
        <f t="shared" si="24"/>
        <v>15012.449584895239</v>
      </c>
      <c r="Q50" s="61">
        <f t="shared" si="24"/>
        <v>16089.482755523186</v>
      </c>
      <c r="R50" s="61">
        <f t="shared" si="24"/>
        <v>18010.948568129425</v>
      </c>
      <c r="S50" s="61">
        <f t="shared" si="24"/>
        <v>19932.41438073566</v>
      </c>
      <c r="T50" s="61">
        <f t="shared" si="24"/>
        <v>21853.880193341894</v>
      </c>
      <c r="U50" s="61">
        <f t="shared" si="24"/>
        <v>23775.346005948129</v>
      </c>
      <c r="V50" s="61">
        <f t="shared" si="24"/>
        <v>25696.811818554364</v>
      </c>
      <c r="W50" s="61">
        <f t="shared" si="24"/>
        <v>27618.277631160599</v>
      </c>
      <c r="X50" s="61">
        <f t="shared" si="24"/>
        <v>29539.743443766827</v>
      </c>
      <c r="Y50" s="61">
        <f t="shared" si="24"/>
        <v>31461.209256373069</v>
      </c>
      <c r="Z50" s="61">
        <f t="shared" si="24"/>
        <v>33382.675068979304</v>
      </c>
      <c r="AA50" s="61">
        <f t="shared" si="24"/>
        <v>35304.140881585539</v>
      </c>
      <c r="AB50" s="61">
        <f t="shared" si="24"/>
        <v>37225.606694191774</v>
      </c>
      <c r="AC50" s="61">
        <f t="shared" si="24"/>
        <v>39147.072506798009</v>
      </c>
      <c r="AD50" s="61">
        <f t="shared" si="24"/>
        <v>41068.538319404244</v>
      </c>
      <c r="AE50" s="61">
        <f t="shared" si="24"/>
        <v>42990.004132010494</v>
      </c>
    </row>
    <row r="51" spans="1:31" s="60" customFormat="1" x14ac:dyDescent="0.35">
      <c r="A51" s="87" t="s">
        <v>30</v>
      </c>
      <c r="B51" s="9">
        <f>NPV('Cost Assumptions'!$B$3,'VS to VN &amp; Distributed BESS VS'!D51:'VS to VN &amp; Distributed BESS VS'!AE51)</f>
        <v>0</v>
      </c>
      <c r="C51" s="85" t="s">
        <v>141</v>
      </c>
      <c r="D51" s="61">
        <f t="shared" si="23"/>
        <v>0</v>
      </c>
      <c r="E51" s="61">
        <f t="shared" si="23"/>
        <v>0</v>
      </c>
      <c r="F51" s="61">
        <f t="shared" ref="F51:AE51" si="25">F14-F25</f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5"/>
        <v>0</v>
      </c>
      <c r="K51" s="61">
        <f t="shared" si="25"/>
        <v>0</v>
      </c>
      <c r="L51" s="61">
        <f t="shared" si="25"/>
        <v>0</v>
      </c>
      <c r="M51" s="61">
        <f t="shared" si="25"/>
        <v>0</v>
      </c>
      <c r="N51" s="61">
        <f t="shared" si="25"/>
        <v>0</v>
      </c>
      <c r="O51" s="61">
        <f t="shared" si="25"/>
        <v>0</v>
      </c>
      <c r="P51" s="61">
        <f t="shared" si="25"/>
        <v>0</v>
      </c>
      <c r="Q51" s="61">
        <f t="shared" si="25"/>
        <v>0</v>
      </c>
      <c r="R51" s="61">
        <f t="shared" si="25"/>
        <v>0</v>
      </c>
      <c r="S51" s="61">
        <f t="shared" si="25"/>
        <v>0</v>
      </c>
      <c r="T51" s="61">
        <f t="shared" si="25"/>
        <v>0</v>
      </c>
      <c r="U51" s="61">
        <f t="shared" si="25"/>
        <v>0</v>
      </c>
      <c r="V51" s="61">
        <f t="shared" si="25"/>
        <v>0</v>
      </c>
      <c r="W51" s="61">
        <f t="shared" si="25"/>
        <v>0</v>
      </c>
      <c r="X51" s="61">
        <f t="shared" si="25"/>
        <v>0</v>
      </c>
      <c r="Y51" s="61">
        <f t="shared" si="25"/>
        <v>0</v>
      </c>
      <c r="Z51" s="61">
        <f t="shared" si="25"/>
        <v>0</v>
      </c>
      <c r="AA51" s="61">
        <f t="shared" si="25"/>
        <v>0</v>
      </c>
      <c r="AB51" s="61">
        <f t="shared" si="25"/>
        <v>0</v>
      </c>
      <c r="AC51" s="61">
        <f t="shared" si="25"/>
        <v>0</v>
      </c>
      <c r="AD51" s="61">
        <f t="shared" si="25"/>
        <v>0</v>
      </c>
      <c r="AE51" s="61">
        <f t="shared" si="25"/>
        <v>0</v>
      </c>
    </row>
    <row r="52" spans="1:31" s="80" customFormat="1" x14ac:dyDescent="0.35">
      <c r="A52" s="87" t="s">
        <v>30</v>
      </c>
      <c r="B52" s="9">
        <f>NPV('Cost Assumptions'!$B$3,'VS to VN &amp; Distributed BESS VS'!D52:'VS to VN &amp; Distributed BESS VS'!AE52)</f>
        <v>628140.42847795226</v>
      </c>
      <c r="C52" s="85" t="s">
        <v>142</v>
      </c>
      <c r="D52" s="61">
        <f t="shared" si="23"/>
        <v>43849.644101295453</v>
      </c>
      <c r="E52" s="61">
        <f t="shared" si="23"/>
        <v>47666.191216959465</v>
      </c>
      <c r="F52" s="61">
        <f t="shared" ref="F52:AE52" si="26">F15-F26</f>
        <v>51623.047330972418</v>
      </c>
      <c r="G52" s="61">
        <f t="shared" si="26"/>
        <v>54016.982557012248</v>
      </c>
      <c r="H52" s="61">
        <f t="shared" si="26"/>
        <v>56464.471123255622</v>
      </c>
      <c r="I52" s="61">
        <f t="shared" si="26"/>
        <v>58848.308518997277</v>
      </c>
      <c r="J52" s="61">
        <f t="shared" si="26"/>
        <v>61506.880850817244</v>
      </c>
      <c r="K52" s="61">
        <f t="shared" si="26"/>
        <v>64212.311152410475</v>
      </c>
      <c r="L52" s="61">
        <f t="shared" si="26"/>
        <v>66996.404432384094</v>
      </c>
      <c r="M52" s="61">
        <f t="shared" si="26"/>
        <v>69825.280426255733</v>
      </c>
      <c r="N52" s="61">
        <f t="shared" si="26"/>
        <v>72773.518005164369</v>
      </c>
      <c r="O52" s="61">
        <f t="shared" si="26"/>
        <v>75714.333022317209</v>
      </c>
      <c r="P52" s="61">
        <f t="shared" si="26"/>
        <v>78717.374136003491</v>
      </c>
      <c r="Q52" s="61">
        <f t="shared" si="26"/>
        <v>81702.717287077568</v>
      </c>
      <c r="R52" s="61">
        <f t="shared" si="26"/>
        <v>84628.656557176175</v>
      </c>
      <c r="S52" s="61">
        <f t="shared" si="26"/>
        <v>88084.125320247287</v>
      </c>
      <c r="T52" s="61">
        <f t="shared" si="26"/>
        <v>91054.941621017875</v>
      </c>
      <c r="U52" s="61">
        <f t="shared" si="26"/>
        <v>94537.384412501167</v>
      </c>
      <c r="V52" s="61">
        <f t="shared" si="26"/>
        <v>97286.835372085596</v>
      </c>
      <c r="W52" s="61">
        <f t="shared" si="26"/>
        <v>100317.28252711661</v>
      </c>
      <c r="X52" s="61">
        <f t="shared" si="26"/>
        <v>103364.94049500194</v>
      </c>
      <c r="Y52" s="61">
        <f t="shared" si="26"/>
        <v>106468.61397808693</v>
      </c>
      <c r="Z52" s="61">
        <f t="shared" si="26"/>
        <v>109261.11870562425</v>
      </c>
      <c r="AA52" s="61">
        <f t="shared" si="26"/>
        <v>112033.18807011578</v>
      </c>
      <c r="AB52" s="61">
        <f t="shared" si="26"/>
        <v>114851.2473948297</v>
      </c>
      <c r="AC52" s="61">
        <f t="shared" si="26"/>
        <v>117993.19579819695</v>
      </c>
      <c r="AD52" s="61">
        <f t="shared" si="26"/>
        <v>120730.06917588247</v>
      </c>
      <c r="AE52" s="61">
        <f t="shared" si="26"/>
        <v>122966.04502315809</v>
      </c>
    </row>
    <row r="53" spans="1:31" x14ac:dyDescent="0.35">
      <c r="A53" s="87" t="s">
        <v>39</v>
      </c>
      <c r="B53" s="9">
        <f>NPV('Cost Assumptions'!$B$3,'VS to VN &amp; Distributed BESS VS'!D53:'VS to VN &amp; Distributed BESS VS'!AE53)</f>
        <v>10787.943574439434</v>
      </c>
      <c r="C53" s="87" t="s">
        <v>31</v>
      </c>
      <c r="D53" s="61">
        <f>D8-SUM(D28,D27)</f>
        <v>49.800000000000182</v>
      </c>
      <c r="E53" s="61">
        <f>E8-SUM(E28,E27)</f>
        <v>129.00000000000023</v>
      </c>
      <c r="F53" s="61">
        <f t="shared" ref="F53:AE53" si="27">F8-SUM(F28,F27)</f>
        <v>258.75000000000023</v>
      </c>
      <c r="G53" s="61">
        <f t="shared" si="27"/>
        <v>388.50000000000023</v>
      </c>
      <c r="H53" s="61">
        <f t="shared" si="27"/>
        <v>518.25000000000023</v>
      </c>
      <c r="I53" s="61">
        <f t="shared" si="27"/>
        <v>648.00000000000023</v>
      </c>
      <c r="J53" s="61">
        <f t="shared" si="27"/>
        <v>777.75000000000023</v>
      </c>
      <c r="K53" s="61">
        <f t="shared" si="27"/>
        <v>907.5</v>
      </c>
      <c r="L53" s="61">
        <f t="shared" si="27"/>
        <v>1246.7</v>
      </c>
      <c r="M53" s="61">
        <f t="shared" si="27"/>
        <v>1509.75</v>
      </c>
      <c r="N53" s="61">
        <f t="shared" si="27"/>
        <v>1772.8000000000002</v>
      </c>
      <c r="O53" s="61">
        <f t="shared" si="27"/>
        <v>2035.8500000000001</v>
      </c>
      <c r="P53" s="61">
        <f t="shared" si="27"/>
        <v>2539.0833333333335</v>
      </c>
      <c r="Q53" s="61">
        <f t="shared" si="27"/>
        <v>2701.7866666666669</v>
      </c>
      <c r="R53" s="61">
        <f t="shared" si="27"/>
        <v>2864.49</v>
      </c>
      <c r="S53" s="61">
        <f t="shared" si="27"/>
        <v>3027.1933333333327</v>
      </c>
      <c r="T53" s="61">
        <f t="shared" si="27"/>
        <v>3189.8966666666661</v>
      </c>
      <c r="U53" s="61">
        <f t="shared" si="27"/>
        <v>3351.1999999999994</v>
      </c>
      <c r="V53" s="61">
        <f t="shared" si="27"/>
        <v>3207.2033333333325</v>
      </c>
      <c r="W53" s="61">
        <f t="shared" si="27"/>
        <v>3063.2066666666651</v>
      </c>
      <c r="X53" s="61">
        <f t="shared" si="27"/>
        <v>2919.2099999999991</v>
      </c>
      <c r="Y53" s="61">
        <f t="shared" si="27"/>
        <v>2775.2133333333322</v>
      </c>
      <c r="Z53" s="61">
        <f t="shared" si="27"/>
        <v>2075.8999999999987</v>
      </c>
      <c r="AA53" s="61">
        <f t="shared" si="27"/>
        <v>1711.5709090909095</v>
      </c>
      <c r="AB53" s="61">
        <f t="shared" si="27"/>
        <v>1347.2418181818193</v>
      </c>
      <c r="AC53" s="61">
        <f t="shared" si="27"/>
        <v>982.91272727272917</v>
      </c>
      <c r="AD53" s="61">
        <f t="shared" si="27"/>
        <v>618.58363636364084</v>
      </c>
      <c r="AE53" s="61">
        <f t="shared" si="27"/>
        <v>-1653.0999999999967</v>
      </c>
    </row>
    <row r="54" spans="1:31" x14ac:dyDescent="0.35">
      <c r="A54" s="87" t="s">
        <v>39</v>
      </c>
      <c r="B54" s="9">
        <f>NPV('Cost Assumptions'!$B$3,'VS to VN &amp; Distributed BESS VS'!D54:'VS to VN &amp; Distributed BESS VS'!AE54)</f>
        <v>903.22125952451267</v>
      </c>
      <c r="C54" s="87" t="s">
        <v>32</v>
      </c>
      <c r="D54" s="61">
        <f t="shared" ref="D54" si="28">D9-D29</f>
        <v>22.400000000000091</v>
      </c>
      <c r="E54" s="61">
        <f t="shared" ref="E54:AE54" si="29">E9-E29</f>
        <v>42.200000000000045</v>
      </c>
      <c r="F54" s="61">
        <f t="shared" si="29"/>
        <v>57.06666666666672</v>
      </c>
      <c r="G54" s="61">
        <f t="shared" si="29"/>
        <v>71.933333333333394</v>
      </c>
      <c r="H54" s="61">
        <f t="shared" si="29"/>
        <v>86.800000000000068</v>
      </c>
      <c r="I54" s="61">
        <f t="shared" si="29"/>
        <v>101.66666666666674</v>
      </c>
      <c r="J54" s="61">
        <f t="shared" si="29"/>
        <v>116.53333333333342</v>
      </c>
      <c r="K54" s="61">
        <f t="shared" si="29"/>
        <v>131.40000000000009</v>
      </c>
      <c r="L54" s="61">
        <f t="shared" si="29"/>
        <v>146.05000000000007</v>
      </c>
      <c r="M54" s="61">
        <f t="shared" si="29"/>
        <v>146.80000000000007</v>
      </c>
      <c r="N54" s="61">
        <f t="shared" si="29"/>
        <v>147.55000000000007</v>
      </c>
      <c r="O54" s="61">
        <f t="shared" si="29"/>
        <v>148.30000000000007</v>
      </c>
      <c r="P54" s="61">
        <f t="shared" si="29"/>
        <v>149.40000000000009</v>
      </c>
      <c r="Q54" s="61">
        <f t="shared" si="29"/>
        <v>146.84000000000009</v>
      </c>
      <c r="R54" s="61">
        <f t="shared" si="29"/>
        <v>144.28000000000006</v>
      </c>
      <c r="S54" s="61">
        <f t="shared" si="29"/>
        <v>141.72000000000003</v>
      </c>
      <c r="T54" s="61">
        <f t="shared" si="29"/>
        <v>139.16000000000003</v>
      </c>
      <c r="U54" s="61">
        <f t="shared" si="29"/>
        <v>136.6</v>
      </c>
      <c r="V54" s="61">
        <f t="shared" si="29"/>
        <v>129.12</v>
      </c>
      <c r="W54" s="61">
        <f t="shared" si="29"/>
        <v>121.64000000000001</v>
      </c>
      <c r="X54" s="61">
        <f t="shared" si="29"/>
        <v>114.16000000000003</v>
      </c>
      <c r="Y54" s="61">
        <f t="shared" si="29"/>
        <v>106.68000000000004</v>
      </c>
      <c r="Z54" s="61">
        <f t="shared" si="29"/>
        <v>95.60000000000008</v>
      </c>
      <c r="AA54" s="61">
        <f t="shared" si="29"/>
        <v>85.734545454545469</v>
      </c>
      <c r="AB54" s="61">
        <f t="shared" si="29"/>
        <v>75.869090909090858</v>
      </c>
      <c r="AC54" s="61">
        <f t="shared" si="29"/>
        <v>66.003636363636247</v>
      </c>
      <c r="AD54" s="61">
        <f t="shared" si="29"/>
        <v>56.138181818181636</v>
      </c>
      <c r="AE54" s="61">
        <f t="shared" si="29"/>
        <v>39.39999999999992</v>
      </c>
    </row>
    <row r="55" spans="1:31" x14ac:dyDescent="0.35">
      <c r="A55" s="87" t="s">
        <v>39</v>
      </c>
      <c r="B55" s="9">
        <f>NPV('Cost Assumptions'!$B$3,'VS to VN &amp; Distributed BESS VS'!D55:'VS to VN &amp; Distributed BESS VS'!AE55)</f>
        <v>610.69998807766876</v>
      </c>
      <c r="C55" s="87" t="s">
        <v>33</v>
      </c>
      <c r="D55" s="61">
        <f t="shared" ref="D55" si="30">D10-D30</f>
        <v>0.21200232326290805</v>
      </c>
      <c r="E55" s="61">
        <f t="shared" ref="E55:AE55" si="31">E10-E30</f>
        <v>0.68645330574586072</v>
      </c>
      <c r="F55" s="61">
        <f t="shared" si="31"/>
        <v>3.6304865724427344</v>
      </c>
      <c r="G55" s="61">
        <f t="shared" si="31"/>
        <v>6.574519839139608</v>
      </c>
      <c r="H55" s="61">
        <f t="shared" si="31"/>
        <v>9.5185531058364816</v>
      </c>
      <c r="I55" s="61">
        <f t="shared" si="31"/>
        <v>12.462586372533355</v>
      </c>
      <c r="J55" s="61">
        <f t="shared" si="31"/>
        <v>15.406619639230229</v>
      </c>
      <c r="K55" s="61">
        <f t="shared" si="31"/>
        <v>18.350652905927102</v>
      </c>
      <c r="L55" s="61">
        <f t="shared" si="31"/>
        <v>36.053857953636381</v>
      </c>
      <c r="M55" s="61">
        <f t="shared" si="31"/>
        <v>52.594000124999901</v>
      </c>
      <c r="N55" s="61">
        <f t="shared" si="31"/>
        <v>69.134142296363422</v>
      </c>
      <c r="O55" s="61">
        <f t="shared" si="31"/>
        <v>85.674284467726963</v>
      </c>
      <c r="P55" s="61">
        <f t="shared" si="31"/>
        <v>139.91036249400395</v>
      </c>
      <c r="Q55" s="61">
        <f t="shared" si="31"/>
        <v>168.18356696120406</v>
      </c>
      <c r="R55" s="61">
        <f t="shared" si="31"/>
        <v>196.45677142840415</v>
      </c>
      <c r="S55" s="61">
        <f t="shared" si="31"/>
        <v>224.72997589560427</v>
      </c>
      <c r="T55" s="61">
        <f t="shared" si="31"/>
        <v>253.00318036280439</v>
      </c>
      <c r="U55" s="61">
        <f t="shared" si="31"/>
        <v>281.27638483000442</v>
      </c>
      <c r="V55" s="61">
        <f t="shared" si="31"/>
        <v>285.26008765408335</v>
      </c>
      <c r="W55" s="61">
        <f t="shared" si="31"/>
        <v>289.24379047816234</v>
      </c>
      <c r="X55" s="61">
        <f t="shared" si="31"/>
        <v>293.22749330224133</v>
      </c>
      <c r="Y55" s="61">
        <f t="shared" si="31"/>
        <v>297.21119612632026</v>
      </c>
      <c r="Z55" s="61">
        <f t="shared" si="31"/>
        <v>201.94571447021144</v>
      </c>
      <c r="AA55" s="61">
        <f t="shared" si="31"/>
        <v>184.33841688329312</v>
      </c>
      <c r="AB55" s="61">
        <f t="shared" si="31"/>
        <v>166.7311192963748</v>
      </c>
      <c r="AC55" s="61">
        <f t="shared" si="31"/>
        <v>149.12382170945648</v>
      </c>
      <c r="AD55" s="61">
        <f t="shared" si="31"/>
        <v>131.51652412253816</v>
      </c>
      <c r="AE55" s="61">
        <f t="shared" si="31"/>
        <v>-579.11826177981811</v>
      </c>
    </row>
    <row r="56" spans="1:31" x14ac:dyDescent="0.35">
      <c r="A56" s="87" t="s">
        <v>39</v>
      </c>
      <c r="B56" s="9">
        <f>NPV('Cost Assumptions'!$B$3,'VS to VN &amp; Distributed BESS VS'!D56:'VS to VN &amp; Distributed BESS VS'!AE56)</f>
        <v>10.891997043860341</v>
      </c>
      <c r="C56" s="87" t="s">
        <v>34</v>
      </c>
      <c r="D56" s="61">
        <f t="shared" ref="D56" si="32">D11-D31</f>
        <v>5.3000580815727012E-2</v>
      </c>
      <c r="E56" s="61">
        <f t="shared" ref="E56:AE56" si="33">E11-E31</f>
        <v>0.13729066114917213</v>
      </c>
      <c r="F56" s="61">
        <f t="shared" si="33"/>
        <v>0.27537952381665309</v>
      </c>
      <c r="G56" s="61">
        <f t="shared" si="33"/>
        <v>0.41346838648413409</v>
      </c>
      <c r="H56" s="61">
        <f t="shared" si="33"/>
        <v>0.55155724915161508</v>
      </c>
      <c r="I56" s="61">
        <f t="shared" si="33"/>
        <v>0.68964611181909607</v>
      </c>
      <c r="J56" s="61">
        <f t="shared" si="33"/>
        <v>0.82773497448657707</v>
      </c>
      <c r="K56" s="61">
        <f t="shared" si="33"/>
        <v>0.96582383715405795</v>
      </c>
      <c r="L56" s="61">
        <f t="shared" si="33"/>
        <v>1.3268237771680045</v>
      </c>
      <c r="M56" s="61">
        <f t="shared" si="33"/>
        <v>1.5360909671819509</v>
      </c>
      <c r="N56" s="61">
        <f t="shared" si="33"/>
        <v>1.7453581571958974</v>
      </c>
      <c r="O56" s="61">
        <f t="shared" si="33"/>
        <v>1.954625347209844</v>
      </c>
      <c r="P56" s="61">
        <f t="shared" si="33"/>
        <v>2.4195121390094125</v>
      </c>
      <c r="Q56" s="61">
        <f t="shared" si="33"/>
        <v>2.5961585125593523</v>
      </c>
      <c r="R56" s="61">
        <f t="shared" si="33"/>
        <v>2.7728048861092915</v>
      </c>
      <c r="S56" s="61">
        <f t="shared" si="33"/>
        <v>2.9494512596592313</v>
      </c>
      <c r="T56" s="61">
        <f t="shared" si="33"/>
        <v>3.126097633209171</v>
      </c>
      <c r="U56" s="61">
        <f t="shared" si="33"/>
        <v>3.3027440067591098</v>
      </c>
      <c r="V56" s="61">
        <f t="shared" si="33"/>
        <v>3.0560163589607194</v>
      </c>
      <c r="W56" s="61">
        <f t="shared" si="33"/>
        <v>2.8092887111623295</v>
      </c>
      <c r="X56" s="61">
        <f t="shared" si="33"/>
        <v>2.5625610633639386</v>
      </c>
      <c r="Y56" s="61">
        <f t="shared" si="33"/>
        <v>2.3158334155655487</v>
      </c>
      <c r="Z56" s="61">
        <f t="shared" si="33"/>
        <v>1.3796468358375975</v>
      </c>
      <c r="AA56" s="61">
        <f t="shared" si="33"/>
        <v>1.3772647100474114</v>
      </c>
      <c r="AB56" s="61">
        <f t="shared" si="33"/>
        <v>1.3748825842572252</v>
      </c>
      <c r="AC56" s="61">
        <f t="shared" si="33"/>
        <v>1.3725004584670391</v>
      </c>
      <c r="AD56" s="61">
        <f t="shared" si="33"/>
        <v>1.3701183326768529</v>
      </c>
      <c r="AE56" s="61">
        <f t="shared" si="33"/>
        <v>2.2108290179259704</v>
      </c>
    </row>
    <row r="57" spans="1:31" x14ac:dyDescent="0.35">
      <c r="A57" s="87" t="s">
        <v>39</v>
      </c>
      <c r="B57" s="9">
        <f>NPV('Cost Assumptions'!$B$3,'VS to VN &amp; Distributed BESS VS'!D57:'VS to VN &amp; Distributed BESS VS'!AE57)</f>
        <v>126.52458104801268</v>
      </c>
      <c r="C57" s="87" t="s">
        <v>35</v>
      </c>
      <c r="D57" s="61">
        <f t="shared" ref="D57" si="34">D12-D32</f>
        <v>4</v>
      </c>
      <c r="E57" s="61">
        <f t="shared" ref="E57:AE57" si="35">E12-E32</f>
        <v>5</v>
      </c>
      <c r="F57" s="61">
        <f t="shared" si="35"/>
        <v>7.3333333333333339</v>
      </c>
      <c r="G57" s="61">
        <f t="shared" si="35"/>
        <v>9.6666666666666679</v>
      </c>
      <c r="H57" s="61">
        <f t="shared" si="35"/>
        <v>12.000000000000002</v>
      </c>
      <c r="I57" s="61">
        <f t="shared" si="35"/>
        <v>14.333333333333336</v>
      </c>
      <c r="J57" s="61">
        <f t="shared" si="35"/>
        <v>16.666666666666668</v>
      </c>
      <c r="K57" s="61">
        <f t="shared" si="35"/>
        <v>19</v>
      </c>
      <c r="L57" s="61">
        <f t="shared" si="35"/>
        <v>23.5</v>
      </c>
      <c r="M57" s="61">
        <f t="shared" si="35"/>
        <v>24.75</v>
      </c>
      <c r="N57" s="61">
        <f t="shared" si="35"/>
        <v>26</v>
      </c>
      <c r="O57" s="61">
        <f t="shared" si="35"/>
        <v>27.25</v>
      </c>
      <c r="P57" s="61">
        <f t="shared" si="35"/>
        <v>29.333333333333336</v>
      </c>
      <c r="Q57" s="61">
        <f t="shared" si="35"/>
        <v>27.06666666666667</v>
      </c>
      <c r="R57" s="61">
        <f t="shared" si="35"/>
        <v>24.800000000000004</v>
      </c>
      <c r="S57" s="61">
        <f t="shared" si="35"/>
        <v>22.533333333333339</v>
      </c>
      <c r="T57" s="61">
        <f t="shared" si="35"/>
        <v>20.266666666666673</v>
      </c>
      <c r="U57" s="61">
        <f t="shared" si="35"/>
        <v>18</v>
      </c>
      <c r="V57" s="61">
        <f t="shared" si="35"/>
        <v>14.833333333333329</v>
      </c>
      <c r="W57" s="61">
        <f t="shared" si="35"/>
        <v>11.666666666666657</v>
      </c>
      <c r="X57" s="61">
        <f t="shared" si="35"/>
        <v>8.4999999999999858</v>
      </c>
      <c r="Y57" s="61">
        <f t="shared" si="35"/>
        <v>5.3333333333333144</v>
      </c>
      <c r="Z57" s="61">
        <f t="shared" si="35"/>
        <v>0</v>
      </c>
      <c r="AA57" s="61">
        <f t="shared" si="35"/>
        <v>-2.5090909090909008</v>
      </c>
      <c r="AB57" s="61">
        <f t="shared" si="35"/>
        <v>-5.0181818181818016</v>
      </c>
      <c r="AC57" s="61">
        <f t="shared" si="35"/>
        <v>-7.5272727272727025</v>
      </c>
      <c r="AD57" s="61">
        <f t="shared" si="35"/>
        <v>-10.036363636363603</v>
      </c>
      <c r="AE57" s="61">
        <f t="shared" si="35"/>
        <v>-17</v>
      </c>
    </row>
    <row r="59" spans="1:31" ht="15" thickBot="1" x14ac:dyDescent="0.4">
      <c r="A59" s="164" t="s">
        <v>143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.5" thickTop="1" thickBot="1" x14ac:dyDescent="0.4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</row>
    <row r="61" spans="1:31" ht="15" thickTop="1" x14ac:dyDescent="0.35">
      <c r="A61" s="87" t="str">
        <f>'Baseline System Analysis'!A17</f>
        <v>Residential</v>
      </c>
      <c r="B61" s="87" t="str">
        <f>'Baseline System Analysis'!B17</f>
        <v>Cost of Reliability (N-1)</v>
      </c>
      <c r="C61" s="87" t="str">
        <f>'Baseline System Analysis'!C17</f>
        <v>$/kWh</v>
      </c>
      <c r="D61" s="5">
        <f>'Baseline System Analysis'!D17</f>
        <v>4.3837328124999999</v>
      </c>
      <c r="E61" s="5">
        <f>'Baseline System Analysis'!E17</f>
        <v>4.4933261328124994</v>
      </c>
      <c r="F61" s="5">
        <f>'Baseline System Analysis'!F17</f>
        <v>4.6056592861328118</v>
      </c>
      <c r="G61" s="5">
        <f>'Baseline System Analysis'!G17</f>
        <v>4.7208007682861322</v>
      </c>
      <c r="H61" s="5">
        <f>'Baseline System Analysis'!H17</f>
        <v>4.8388207874932849</v>
      </c>
      <c r="I61" s="5">
        <f>'Baseline System Analysis'!I17</f>
        <v>4.959791307180617</v>
      </c>
      <c r="J61" s="5">
        <f>'Baseline System Analysis'!J17</f>
        <v>5.0837860898601317</v>
      </c>
      <c r="K61" s="5">
        <f>'Baseline System Analysis'!K17</f>
        <v>5.2108807421066343</v>
      </c>
      <c r="L61" s="5">
        <f>'Baseline System Analysis'!L17</f>
        <v>5.3411527606593001</v>
      </c>
      <c r="M61" s="5">
        <f>'Baseline System Analysis'!M17</f>
        <v>5.4746815796757824</v>
      </c>
      <c r="N61" s="5">
        <f>'Baseline System Analysis'!N17</f>
        <v>5.6115486191676762</v>
      </c>
      <c r="O61" s="5">
        <f>'Baseline System Analysis'!O17</f>
        <v>5.7518373346468676</v>
      </c>
      <c r="P61" s="5">
        <f>'Baseline System Analysis'!P17</f>
        <v>5.8956332680130386</v>
      </c>
      <c r="Q61" s="5">
        <f>'Baseline System Analysis'!Q17</f>
        <v>6.0430240997133637</v>
      </c>
      <c r="R61" s="5">
        <f>'Baseline System Analysis'!R17</f>
        <v>6.1940997022061977</v>
      </c>
      <c r="S61" s="5">
        <f>'Baseline System Analysis'!S17</f>
        <v>6.3489521947613516</v>
      </c>
      <c r="T61" s="5">
        <f>'Baseline System Analysis'!T17</f>
        <v>6.5076759996303846</v>
      </c>
      <c r="U61" s="5">
        <f>'Baseline System Analysis'!U17</f>
        <v>6.6703678996211435</v>
      </c>
      <c r="V61" s="5">
        <f>'Baseline System Analysis'!V17</f>
        <v>6.8371270971116713</v>
      </c>
      <c r="W61" s="5">
        <f>'Baseline System Analysis'!W17</f>
        <v>7.0080552745394629</v>
      </c>
      <c r="X61" s="5">
        <f>'Baseline System Analysis'!X17</f>
        <v>7.183256656402949</v>
      </c>
      <c r="Y61" s="5">
        <f>'Baseline System Analysis'!Y17</f>
        <v>7.3628380728130223</v>
      </c>
      <c r="Z61" s="5">
        <f>'Baseline System Analysis'!Z17</f>
        <v>7.5469090246333472</v>
      </c>
      <c r="AA61" s="5">
        <f>'Baseline System Analysis'!AA17</f>
        <v>7.7355817502491799</v>
      </c>
      <c r="AB61" s="5">
        <f>'Baseline System Analysis'!AB17</f>
        <v>7.9289712940054091</v>
      </c>
      <c r="AC61" s="5">
        <f>'Baseline System Analysis'!AC17</f>
        <v>8.1271955763555432</v>
      </c>
      <c r="AD61" s="5">
        <f>'Baseline System Analysis'!AD17</f>
        <v>8.3303754657644316</v>
      </c>
      <c r="AE61" s="5">
        <f>'Baseline System Analysis'!AE17</f>
        <v>8.538634852408542</v>
      </c>
    </row>
    <row r="62" spans="1:31" x14ac:dyDescent="0.35">
      <c r="A62" s="87" t="str">
        <f>'Baseline System Analysis'!A18</f>
        <v>Residential</v>
      </c>
      <c r="B62" s="87" t="str">
        <f>'Baseline System Analysis'!B18</f>
        <v>Cost of Reliability (N-0)</v>
      </c>
      <c r="C62" s="87" t="str">
        <f>'Baseline System Analysis'!C18</f>
        <v>$/kWh</v>
      </c>
      <c r="D62" s="5">
        <f>'Baseline System Analysis'!D18</f>
        <v>3.6995132812499993</v>
      </c>
      <c r="E62" s="5">
        <f>'Baseline System Analysis'!E18</f>
        <v>3.7920011132812488</v>
      </c>
      <c r="F62" s="5">
        <f>'Baseline System Analysis'!F18</f>
        <v>3.8868011411132795</v>
      </c>
      <c r="G62" s="5">
        <f>'Baseline System Analysis'!G18</f>
        <v>3.9839711696411113</v>
      </c>
      <c r="H62" s="5">
        <f>'Baseline System Analysis'!H18</f>
        <v>4.0835704488821385</v>
      </c>
      <c r="I62" s="5">
        <f>'Baseline System Analysis'!I18</f>
        <v>4.1856597101041917</v>
      </c>
      <c r="J62" s="5">
        <f>'Baseline System Analysis'!J18</f>
        <v>4.2903012028567957</v>
      </c>
      <c r="K62" s="5">
        <f>'Baseline System Analysis'!K18</f>
        <v>4.3975587329282151</v>
      </c>
      <c r="L62" s="5">
        <f>'Baseline System Analysis'!L18</f>
        <v>4.5074977012514204</v>
      </c>
      <c r="M62" s="5">
        <f>'Baseline System Analysis'!M18</f>
        <v>4.6201851437827051</v>
      </c>
      <c r="N62" s="5">
        <f>'Baseline System Analysis'!N18</f>
        <v>4.7356897723772722</v>
      </c>
      <c r="O62" s="5">
        <f>'Baseline System Analysis'!O18</f>
        <v>4.8540820166867036</v>
      </c>
      <c r="P62" s="5">
        <f>'Baseline System Analysis'!P18</f>
        <v>4.9754340671038708</v>
      </c>
      <c r="Q62" s="5">
        <f>'Baseline System Analysis'!Q18</f>
        <v>5.099819918781467</v>
      </c>
      <c r="R62" s="5">
        <f>'Baseline System Analysis'!R18</f>
        <v>5.2273154167510034</v>
      </c>
      <c r="S62" s="5">
        <f>'Baseline System Analysis'!S18</f>
        <v>5.3579983021697783</v>
      </c>
      <c r="T62" s="5">
        <f>'Baseline System Analysis'!T18</f>
        <v>5.4919482597240226</v>
      </c>
      <c r="U62" s="5">
        <f>'Baseline System Analysis'!U18</f>
        <v>5.6292469662171225</v>
      </c>
      <c r="V62" s="5">
        <f>'Baseline System Analysis'!V18</f>
        <v>5.7699781403725501</v>
      </c>
      <c r="W62" s="5">
        <f>'Baseline System Analysis'!W18</f>
        <v>5.9142275938818631</v>
      </c>
      <c r="X62" s="5">
        <f>'Baseline System Analysis'!X18</f>
        <v>6.0620832837289091</v>
      </c>
      <c r="Y62" s="5">
        <f>'Baseline System Analysis'!Y18</f>
        <v>6.2136353658221317</v>
      </c>
      <c r="Z62" s="5">
        <f>'Baseline System Analysis'!Z18</f>
        <v>6.3689762499676847</v>
      </c>
      <c r="AA62" s="5">
        <f>'Baseline System Analysis'!AA18</f>
        <v>6.5282006562168764</v>
      </c>
      <c r="AB62" s="5">
        <f>'Baseline System Analysis'!AB18</f>
        <v>6.6914056726222979</v>
      </c>
      <c r="AC62" s="5">
        <f>'Baseline System Analysis'!AC18</f>
        <v>6.8586908144378551</v>
      </c>
      <c r="AD62" s="5">
        <f>'Baseline System Analysis'!AD18</f>
        <v>7.030158084798801</v>
      </c>
      <c r="AE62" s="5">
        <f>'Baseline System Analysis'!AE18</f>
        <v>7.2059120369187708</v>
      </c>
    </row>
    <row r="63" spans="1:31" x14ac:dyDescent="0.35">
      <c r="A63" s="87" t="str">
        <f>'Baseline System Analysis'!A19</f>
        <v>Commerical</v>
      </c>
      <c r="B63" s="87" t="str">
        <f>'Baseline System Analysis'!B19</f>
        <v>Cost of Reliability (N-1)</v>
      </c>
      <c r="C63" s="87" t="str">
        <f>'Baseline System Analysis'!C19</f>
        <v>$/kWh</v>
      </c>
      <c r="D63" s="5">
        <f>'Baseline System Analysis'!D19</f>
        <v>162.53431406249996</v>
      </c>
      <c r="E63" s="5">
        <f>'Baseline System Analysis'!E19</f>
        <v>166.59767191406243</v>
      </c>
      <c r="F63" s="5">
        <f>'Baseline System Analysis'!F19</f>
        <v>170.76261371191399</v>
      </c>
      <c r="G63" s="5">
        <f>'Baseline System Analysis'!G19</f>
        <v>175.03167905471182</v>
      </c>
      <c r="H63" s="5">
        <f>'Baseline System Analysis'!H19</f>
        <v>179.40747103107961</v>
      </c>
      <c r="I63" s="5">
        <f>'Baseline System Analysis'!I19</f>
        <v>183.89265780685659</v>
      </c>
      <c r="J63" s="5">
        <f>'Baseline System Analysis'!J19</f>
        <v>188.48997425202799</v>
      </c>
      <c r="K63" s="5">
        <f>'Baseline System Analysis'!K19</f>
        <v>193.20222360832867</v>
      </c>
      <c r="L63" s="5">
        <f>'Baseline System Analysis'!L19</f>
        <v>198.03227919853686</v>
      </c>
      <c r="M63" s="5">
        <f>'Baseline System Analysis'!M19</f>
        <v>202.98308617850026</v>
      </c>
      <c r="N63" s="5">
        <f>'Baseline System Analysis'!N19</f>
        <v>208.05766333296273</v>
      </c>
      <c r="O63" s="5">
        <f>'Baseline System Analysis'!O19</f>
        <v>213.25910491628679</v>
      </c>
      <c r="P63" s="5">
        <f>'Baseline System Analysis'!P19</f>
        <v>218.59058253919395</v>
      </c>
      <c r="Q63" s="5">
        <f>'Baseline System Analysis'!Q19</f>
        <v>224.05534710267378</v>
      </c>
      <c r="R63" s="5">
        <f>'Baseline System Analysis'!R19</f>
        <v>229.65673078024059</v>
      </c>
      <c r="S63" s="5">
        <f>'Baseline System Analysis'!S19</f>
        <v>235.39814904974659</v>
      </c>
      <c r="T63" s="5">
        <f>'Baseline System Analysis'!T19</f>
        <v>241.28310277599024</v>
      </c>
      <c r="U63" s="5">
        <f>'Baseline System Analysis'!U19</f>
        <v>247.31518034538999</v>
      </c>
      <c r="V63" s="5">
        <f>'Baseline System Analysis'!V19</f>
        <v>253.49805985402472</v>
      </c>
      <c r="W63" s="5">
        <f>'Baseline System Analysis'!W19</f>
        <v>259.83551135037533</v>
      </c>
      <c r="X63" s="5">
        <f>'Baseline System Analysis'!X19</f>
        <v>266.3313991341347</v>
      </c>
      <c r="Y63" s="5">
        <f>'Baseline System Analysis'!Y19</f>
        <v>272.98968411248802</v>
      </c>
      <c r="Z63" s="5">
        <f>'Baseline System Analysis'!Z19</f>
        <v>279.81442621530022</v>
      </c>
      <c r="AA63" s="5">
        <f>'Baseline System Analysis'!AA19</f>
        <v>286.80978687068267</v>
      </c>
      <c r="AB63" s="5">
        <f>'Baseline System Analysis'!AB19</f>
        <v>293.98003154244969</v>
      </c>
      <c r="AC63" s="5">
        <f>'Baseline System Analysis'!AC19</f>
        <v>301.32953233101091</v>
      </c>
      <c r="AD63" s="5">
        <f>'Baseline System Analysis'!AD19</f>
        <v>308.86277063928617</v>
      </c>
      <c r="AE63" s="5">
        <f>'Baseline System Analysis'!AE19</f>
        <v>316.58433990526828</v>
      </c>
    </row>
    <row r="64" spans="1:31" x14ac:dyDescent="0.35">
      <c r="A64" s="87" t="str">
        <f>'Baseline System Analysis'!A20</f>
        <v>Commerical</v>
      </c>
      <c r="B64" s="87" t="str">
        <f>'Baseline System Analysis'!B20</f>
        <v>Cost of Reliability (N-0)</v>
      </c>
      <c r="C64" s="87" t="str">
        <f>'Baseline System Analysis'!C20</f>
        <v>$/kWh</v>
      </c>
      <c r="D64" s="5">
        <f>'Baseline System Analysis'!D20</f>
        <v>150.08506445312503</v>
      </c>
      <c r="E64" s="5">
        <f>'Baseline System Analysis'!E20</f>
        <v>153.83719106445315</v>
      </c>
      <c r="F64" s="5">
        <f>'Baseline System Analysis'!F20</f>
        <v>157.68312084106446</v>
      </c>
      <c r="G64" s="5">
        <f>'Baseline System Analysis'!G20</f>
        <v>161.62519886209105</v>
      </c>
      <c r="H64" s="5">
        <f>'Baseline System Analysis'!H20</f>
        <v>165.6658288336433</v>
      </c>
      <c r="I64" s="5">
        <f>'Baseline System Analysis'!I20</f>
        <v>169.80747455448437</v>
      </c>
      <c r="J64" s="5">
        <f>'Baseline System Analysis'!J20</f>
        <v>174.05266141834647</v>
      </c>
      <c r="K64" s="5">
        <f>'Baseline System Analysis'!K20</f>
        <v>178.40397795380511</v>
      </c>
      <c r="L64" s="5">
        <f>'Baseline System Analysis'!L20</f>
        <v>182.86407740265022</v>
      </c>
      <c r="M64" s="5">
        <f>'Baseline System Analysis'!M20</f>
        <v>187.43567933771646</v>
      </c>
      <c r="N64" s="5">
        <f>'Baseline System Analysis'!N20</f>
        <v>192.12157132115937</v>
      </c>
      <c r="O64" s="5">
        <f>'Baseline System Analysis'!O20</f>
        <v>196.92461060418833</v>
      </c>
      <c r="P64" s="5">
        <f>'Baseline System Analysis'!P20</f>
        <v>201.84772586929301</v>
      </c>
      <c r="Q64" s="5">
        <f>'Baseline System Analysis'!Q20</f>
        <v>206.89391901602534</v>
      </c>
      <c r="R64" s="5">
        <f>'Baseline System Analysis'!R20</f>
        <v>212.06626699142595</v>
      </c>
      <c r="S64" s="5">
        <f>'Baseline System Analysis'!S20</f>
        <v>217.36792366621157</v>
      </c>
      <c r="T64" s="5">
        <f>'Baseline System Analysis'!T20</f>
        <v>222.80212175786684</v>
      </c>
      <c r="U64" s="5">
        <f>'Baseline System Analysis'!U20</f>
        <v>228.37217480181349</v>
      </c>
      <c r="V64" s="5">
        <f>'Baseline System Analysis'!V20</f>
        <v>234.0814791718588</v>
      </c>
      <c r="W64" s="5">
        <f>'Baseline System Analysis'!W20</f>
        <v>239.93351615115526</v>
      </c>
      <c r="X64" s="5">
        <f>'Baseline System Analysis'!X20</f>
        <v>245.93185405493412</v>
      </c>
      <c r="Y64" s="5">
        <f>'Baseline System Analysis'!Y20</f>
        <v>252.08015040630744</v>
      </c>
      <c r="Z64" s="5">
        <f>'Baseline System Analysis'!Z20</f>
        <v>258.38215416646511</v>
      </c>
      <c r="AA64" s="5">
        <f>'Baseline System Analysis'!AA20</f>
        <v>264.8417080206267</v>
      </c>
      <c r="AB64" s="5">
        <f>'Baseline System Analysis'!AB20</f>
        <v>271.46275072114236</v>
      </c>
      <c r="AC64" s="5">
        <f>'Baseline System Analysis'!AC20</f>
        <v>278.24931948917089</v>
      </c>
      <c r="AD64" s="5">
        <f>'Baseline System Analysis'!AD20</f>
        <v>285.20555247640016</v>
      </c>
      <c r="AE64" s="5">
        <f>'Baseline System Analysis'!AE20</f>
        <v>292.33569128831016</v>
      </c>
    </row>
    <row r="66" spans="1:31" x14ac:dyDescent="0.35">
      <c r="A66" s="87" t="s">
        <v>117</v>
      </c>
      <c r="B66" s="87" t="s">
        <v>31</v>
      </c>
      <c r="C66" s="17">
        <f>NPV('Cost Assumptions'!$B$3,D66:AE66)</f>
        <v>1894923.6570287908</v>
      </c>
      <c r="D66" s="5">
        <f>'Baseline System Analysis'!D24-D35</f>
        <v>16.269754796650432</v>
      </c>
      <c r="E66" s="5">
        <f>'Baseline System Analysis'!E24-E35</f>
        <v>-285.58503966489207</v>
      </c>
      <c r="F66" s="5">
        <f>'Baseline System Analysis'!F24-F35</f>
        <v>401.2792335121394</v>
      </c>
      <c r="G66" s="5">
        <f>'Baseline System Analysis'!G24-G35</f>
        <v>1088.1435066891718</v>
      </c>
      <c r="H66" s="5">
        <f>'Baseline System Analysis'!H24-H35</f>
        <v>1775.0077798662023</v>
      </c>
      <c r="I66" s="5">
        <f>'Baseline System Analysis'!I24-I35</f>
        <v>2461.8720530432329</v>
      </c>
      <c r="J66" s="5">
        <f>'Baseline System Analysis'!J24-J35</f>
        <v>3148.7363262202634</v>
      </c>
      <c r="K66" s="5">
        <f>'Baseline System Analysis'!K24-K35</f>
        <v>3835.6005993973013</v>
      </c>
      <c r="L66" s="5">
        <f>'Baseline System Analysis'!L24-L35</f>
        <v>56066.582876810331</v>
      </c>
      <c r="M66" s="5">
        <f>'Baseline System Analysis'!M24-M35</f>
        <v>108297.56515422335</v>
      </c>
      <c r="N66" s="5">
        <f>'Baseline System Analysis'!N24-N35</f>
        <v>160528.5474316364</v>
      </c>
      <c r="O66" s="5">
        <f>'Baseline System Analysis'!O24-O35</f>
        <v>212759.52970904938</v>
      </c>
      <c r="P66" s="5">
        <f>'Baseline System Analysis'!P24-P35</f>
        <v>135060.12405416605</v>
      </c>
      <c r="Q66" s="5">
        <f>'Baseline System Analysis'!Q24-Q35</f>
        <v>170875.35449291347</v>
      </c>
      <c r="R66" s="5">
        <f>'Baseline System Analysis'!R24-R35</f>
        <v>206690.58493166073</v>
      </c>
      <c r="S66" s="5">
        <f>'Baseline System Analysis'!S24-S35</f>
        <v>242505.815370408</v>
      </c>
      <c r="T66" s="5">
        <f>'Baseline System Analysis'!T24-T35</f>
        <v>278321.04580915533</v>
      </c>
      <c r="U66" s="5">
        <f>'Baseline System Analysis'!U24-U35</f>
        <v>427650.91234153346</v>
      </c>
      <c r="V66" s="5">
        <f>'Baseline System Analysis'!V24-V35</f>
        <v>575182.26371906255</v>
      </c>
      <c r="W66" s="5">
        <f>'Baseline System Analysis'!W24-W35</f>
        <v>722713.61509659141</v>
      </c>
      <c r="X66" s="5">
        <f>'Baseline System Analysis'!X24-X35</f>
        <v>870244.96647412027</v>
      </c>
      <c r="Y66" s="5">
        <f>'Baseline System Analysis'!Y24-Y35</f>
        <v>1017776.3178516491</v>
      </c>
      <c r="Z66" s="5">
        <f>'Baseline System Analysis'!Z24-Z35</f>
        <v>1165307.6692291785</v>
      </c>
      <c r="AA66" s="5">
        <f>'Baseline System Analysis'!AA24-AA35</f>
        <v>1428146.6460675327</v>
      </c>
      <c r="AB66" s="5">
        <f>'Baseline System Analysis'!AB24-AB35</f>
        <v>1690985.6229058867</v>
      </c>
      <c r="AC66" s="5">
        <f>'Baseline System Analysis'!AC24-AC35</f>
        <v>1953824.5997442408</v>
      </c>
      <c r="AD66" s="5">
        <f>'Baseline System Analysis'!AD24-AD35</f>
        <v>2216663.5765825948</v>
      </c>
      <c r="AE66" s="5">
        <f>'Baseline System Analysis'!AE24-AE35</f>
        <v>2479502.5534209507</v>
      </c>
    </row>
    <row r="67" spans="1:31" x14ac:dyDescent="0.35">
      <c r="A67" s="87" t="s">
        <v>119</v>
      </c>
      <c r="B67" s="87" t="s">
        <v>31</v>
      </c>
      <c r="C67" s="17">
        <f>NPV('Cost Assumptions'!$B$3,D67:AE67)</f>
        <v>7862958.8617718387</v>
      </c>
      <c r="D67" s="5">
        <f>'Baseline System Analysis'!D25-D36</f>
        <v>67.511116969079012</v>
      </c>
      <c r="E67" s="5">
        <f>'Baseline System Analysis'!E25-E36</f>
        <v>-1185.031075047893</v>
      </c>
      <c r="F67" s="5">
        <f>'Baseline System Analysis'!F25-F36</f>
        <v>1665.1024929081759</v>
      </c>
      <c r="G67" s="5">
        <f>'Baseline System Analysis'!G25-G36</f>
        <v>4515.2360608642484</v>
      </c>
      <c r="H67" s="5">
        <f>'Baseline System Analysis'!H25-H36</f>
        <v>7365.3696288203064</v>
      </c>
      <c r="I67" s="5">
        <f>'Baseline System Analysis'!I25-I36</f>
        <v>10215.50319677635</v>
      </c>
      <c r="J67" s="5">
        <f>'Baseline System Analysis'!J25-J36</f>
        <v>13065.636764732393</v>
      </c>
      <c r="K67" s="5">
        <f>'Baseline System Analysis'!K25-K36</f>
        <v>15915.770332688466</v>
      </c>
      <c r="L67" s="5">
        <f>'Baseline System Analysis'!L25-L36</f>
        <v>232647.49112464252</v>
      </c>
      <c r="M67" s="5">
        <f>'Baseline System Analysis'!M25-M36</f>
        <v>449379.21191659663</v>
      </c>
      <c r="N67" s="5">
        <f>'Baseline System Analysis'!N25-N36</f>
        <v>666110.93270855071</v>
      </c>
      <c r="O67" s="5">
        <f>'Baseline System Analysis'!O25-O36</f>
        <v>882842.65350050479</v>
      </c>
      <c r="P67" s="5">
        <f>'Baseline System Analysis'!P25-P36</f>
        <v>560430.07081819023</v>
      </c>
      <c r="Q67" s="5">
        <f>'Baseline System Analysis'!Q25-Q36</f>
        <v>709044.86198413861</v>
      </c>
      <c r="R67" s="5">
        <f>'Baseline System Analysis'!R25-R36</f>
        <v>857659.65315008722</v>
      </c>
      <c r="S67" s="5">
        <f>'Baseline System Analysis'!S25-S36</f>
        <v>1006274.4443160356</v>
      </c>
      <c r="T67" s="5">
        <f>'Baseline System Analysis'!T25-T36</f>
        <v>1154889.235481984</v>
      </c>
      <c r="U67" s="5">
        <f>'Baseline System Analysis'!U25-U36</f>
        <v>1774531.4004961951</v>
      </c>
      <c r="V67" s="5">
        <f>'Baseline System Analysis'!V25-V36</f>
        <v>2386710.6523622195</v>
      </c>
      <c r="W67" s="5">
        <f>'Baseline System Analysis'!W25-W36</f>
        <v>2998889.904228243</v>
      </c>
      <c r="X67" s="5">
        <f>'Baseline System Analysis'!X25-X36</f>
        <v>3611069.1560942661</v>
      </c>
      <c r="Y67" s="5">
        <f>'Baseline System Analysis'!Y25-Y36</f>
        <v>4223248.4079602892</v>
      </c>
      <c r="Z67" s="5">
        <f>'Baseline System Analysis'!Z25-Z36</f>
        <v>4835427.659826315</v>
      </c>
      <c r="AA67" s="5">
        <f>'Baseline System Analysis'!AA25-AA36</f>
        <v>5926074.2695112266</v>
      </c>
      <c r="AB67" s="5">
        <f>'Baseline System Analysis'!AB25-AB36</f>
        <v>7016720.8791961391</v>
      </c>
      <c r="AC67" s="5">
        <f>'Baseline System Analysis'!AC25-AC36</f>
        <v>8107367.4888810515</v>
      </c>
      <c r="AD67" s="5">
        <f>'Baseline System Analysis'!AD25-AD36</f>
        <v>9198014.0985659622</v>
      </c>
      <c r="AE67" s="5">
        <f>'Baseline System Analysis'!AE25-AE36</f>
        <v>10288660.708250875</v>
      </c>
    </row>
    <row r="68" spans="1:31" x14ac:dyDescent="0.35">
      <c r="A68" s="87" t="s">
        <v>24</v>
      </c>
      <c r="B68" s="87" t="s">
        <v>31</v>
      </c>
      <c r="C68" s="17">
        <f>NPV('Cost Assumptions'!$B$3,D68:AE68)</f>
        <v>9757882.5188006293</v>
      </c>
      <c r="D68" s="5">
        <f>SUM(D66:D67)</f>
        <v>83.780871765729444</v>
      </c>
      <c r="E68" s="5">
        <f>SUM(E66:E67)</f>
        <v>-1470.616114712785</v>
      </c>
      <c r="F68" s="5">
        <f t="shared" ref="F68:AE68" si="36">SUM(F66:F67)</f>
        <v>2066.3817264203153</v>
      </c>
      <c r="G68" s="5">
        <f t="shared" si="36"/>
        <v>5603.3795675534202</v>
      </c>
      <c r="H68" s="5">
        <f t="shared" si="36"/>
        <v>9140.3774086865087</v>
      </c>
      <c r="I68" s="5">
        <f t="shared" si="36"/>
        <v>12677.375249819583</v>
      </c>
      <c r="J68" s="5">
        <f t="shared" si="36"/>
        <v>16214.373090952657</v>
      </c>
      <c r="K68" s="5">
        <f t="shared" si="36"/>
        <v>19751.370932085767</v>
      </c>
      <c r="L68" s="5">
        <f t="shared" si="36"/>
        <v>288714.07400145283</v>
      </c>
      <c r="M68" s="5">
        <f t="shared" si="36"/>
        <v>557676.77707081998</v>
      </c>
      <c r="N68" s="5">
        <f t="shared" si="36"/>
        <v>826639.48014018708</v>
      </c>
      <c r="O68" s="5">
        <f t="shared" si="36"/>
        <v>1095602.1832095543</v>
      </c>
      <c r="P68" s="5">
        <f t="shared" si="36"/>
        <v>695490.19487235625</v>
      </c>
      <c r="Q68" s="5">
        <f t="shared" si="36"/>
        <v>879920.21647705208</v>
      </c>
      <c r="R68" s="5">
        <f t="shared" si="36"/>
        <v>1064350.2380817479</v>
      </c>
      <c r="S68" s="5">
        <f t="shared" si="36"/>
        <v>1248780.2596864435</v>
      </c>
      <c r="T68" s="5">
        <f t="shared" si="36"/>
        <v>1433210.2812911393</v>
      </c>
      <c r="U68" s="5">
        <f t="shared" si="36"/>
        <v>2202182.3128377283</v>
      </c>
      <c r="V68" s="5">
        <f t="shared" si="36"/>
        <v>2961892.9160812823</v>
      </c>
      <c r="W68" s="5">
        <f t="shared" si="36"/>
        <v>3721603.5193248345</v>
      </c>
      <c r="X68" s="5">
        <f t="shared" si="36"/>
        <v>4481314.1225683866</v>
      </c>
      <c r="Y68" s="5">
        <f t="shared" si="36"/>
        <v>5241024.7258119378</v>
      </c>
      <c r="Z68" s="5">
        <f t="shared" si="36"/>
        <v>6000735.3290554937</v>
      </c>
      <c r="AA68" s="5">
        <f t="shared" si="36"/>
        <v>7354220.9155787593</v>
      </c>
      <c r="AB68" s="5">
        <f t="shared" si="36"/>
        <v>8707706.5021020249</v>
      </c>
      <c r="AC68" s="5">
        <f t="shared" si="36"/>
        <v>10061192.088625293</v>
      </c>
      <c r="AD68" s="5">
        <f t="shared" si="36"/>
        <v>11414677.675148558</v>
      </c>
      <c r="AE68" s="5">
        <f t="shared" si="36"/>
        <v>12768163.261671826</v>
      </c>
    </row>
    <row r="69" spans="1:31" x14ac:dyDescent="0.35">
      <c r="A69" s="87"/>
      <c r="B69" s="87"/>
      <c r="C69" s="8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5">
      <c r="A70" s="87" t="s">
        <v>120</v>
      </c>
      <c r="B70" s="87" t="s">
        <v>31</v>
      </c>
      <c r="C70" s="17">
        <f>NPV('Cost Assumptions'!$B$3,D70:AE70)</f>
        <v>56609516.039718814</v>
      </c>
      <c r="D70" s="61">
        <f>'Baseline System Analysis'!D28-D33</f>
        <v>310386.79798866023</v>
      </c>
      <c r="E70" s="61">
        <f>'Baseline System Analysis'!E28-E33</f>
        <v>817408.12222421367</v>
      </c>
      <c r="F70" s="61">
        <f>'Baseline System Analysis'!F28-F33</f>
        <v>1334522.6987350811</v>
      </c>
      <c r="G70" s="61">
        <f>'Baseline System Analysis'!G28-G33</f>
        <v>1839795.5479560234</v>
      </c>
      <c r="H70" s="61">
        <f>'Baseline System Analysis'!H28-H33</f>
        <v>2286697.9912531795</v>
      </c>
      <c r="I70" s="61">
        <f>'Baseline System Analysis'!I28-I33</f>
        <v>2696419.0538857356</v>
      </c>
      <c r="J70" s="61">
        <f>'Baseline System Analysis'!J28-J33</f>
        <v>3587048.7001477713</v>
      </c>
      <c r="K70" s="61">
        <f>'Baseline System Analysis'!K28-K33</f>
        <v>4534084.5657563498</v>
      </c>
      <c r="L70" s="61">
        <f>'Baseline System Analysis'!L28-L33</f>
        <v>5693348.9186131302</v>
      </c>
      <c r="M70" s="61">
        <f>'Baseline System Analysis'!M28-M33</f>
        <v>7427041.2399647292</v>
      </c>
      <c r="N70" s="61">
        <f>'Baseline System Analysis'!N28-N33</f>
        <v>9237296.1549012475</v>
      </c>
      <c r="O70" s="61">
        <f>'Baseline System Analysis'!O28-O33</f>
        <v>11243683.538194358</v>
      </c>
      <c r="P70" s="61">
        <f>'Baseline System Analysis'!P28-P33</f>
        <v>13242127.64900643</v>
      </c>
      <c r="Q70" s="61">
        <f>'Baseline System Analysis'!Q28-Q33</f>
        <v>14657755.120712882</v>
      </c>
      <c r="R70" s="61">
        <f>'Baseline System Analysis'!R28-R33</f>
        <v>15922439.342902085</v>
      </c>
      <c r="S70" s="61">
        <f>'Baseline System Analysis'!S28-S33</f>
        <v>17403867.880282413</v>
      </c>
      <c r="T70" s="61">
        <f>'Baseline System Analysis'!T28-T33</f>
        <v>18218966.243391708</v>
      </c>
      <c r="U70" s="61">
        <f>'Baseline System Analysis'!U28-U33</f>
        <v>18378154.458571248</v>
      </c>
      <c r="V70" s="61">
        <f>'Baseline System Analysis'!V28-V33</f>
        <v>18069335.512424503</v>
      </c>
      <c r="W70" s="61">
        <f>'Baseline System Analysis'!W28-W33</f>
        <v>18953956.034649823</v>
      </c>
      <c r="X70" s="61">
        <f>'Baseline System Analysis'!X28-X33</f>
        <v>17236706.544528965</v>
      </c>
      <c r="Y70" s="61">
        <f>'Baseline System Analysis'!Y28-Y33</f>
        <v>15203046.707608312</v>
      </c>
      <c r="Z70" s="61">
        <f>'Baseline System Analysis'!Z28-Z33</f>
        <v>12879139.622989297</v>
      </c>
      <c r="AA70" s="61">
        <f>'Baseline System Analysis'!AA28-AA33</f>
        <v>8736922.0191608891</v>
      </c>
      <c r="AB70" s="61">
        <f>'Baseline System Analysis'!AB28-AB33</f>
        <v>5209335.4366477728</v>
      </c>
      <c r="AC70" s="61">
        <f>'Baseline System Analysis'!AC28-AC33</f>
        <v>1499437.5571779162</v>
      </c>
      <c r="AD70" s="61">
        <f>'Baseline System Analysis'!AD28-AD33</f>
        <v>-3590012.9570067972</v>
      </c>
      <c r="AE70" s="61">
        <f>'Baseline System Analysis'!AE28-AE33</f>
        <v>-6275787.7656973153</v>
      </c>
    </row>
    <row r="71" spans="1:31" x14ac:dyDescent="0.35">
      <c r="A71" s="87" t="s">
        <v>121</v>
      </c>
      <c r="B71" s="87" t="s">
        <v>31</v>
      </c>
      <c r="C71" s="17">
        <f>NPV('Cost Assumptions'!$B$3,D71:AE71)</f>
        <v>245020687.67680848</v>
      </c>
      <c r="D71" s="61">
        <f>'Baseline System Analysis'!D29-D34</f>
        <v>1628153.2445022203</v>
      </c>
      <c r="E71" s="61">
        <f>'Baseline System Analysis'!E29-E34</f>
        <v>4276437.722523096</v>
      </c>
      <c r="F71" s="61">
        <f>'Baseline System Analysis'!F29-F34</f>
        <v>6406619.8340516584</v>
      </c>
      <c r="G71" s="61">
        <f>'Baseline System Analysis'!G29-G34</f>
        <v>8961966.1784057487</v>
      </c>
      <c r="H71" s="61">
        <f>'Baseline System Analysis'!H29-H34</f>
        <v>10695561.997562293</v>
      </c>
      <c r="I71" s="61">
        <f>'Baseline System Analysis'!I29-I34</f>
        <v>11935292.094424136</v>
      </c>
      <c r="J71" s="61">
        <f>'Baseline System Analysis'!J29-J34</f>
        <v>15941642.32252172</v>
      </c>
      <c r="K71" s="61">
        <f>'Baseline System Analysis'!K29-K34</f>
        <v>19613619.815275714</v>
      </c>
      <c r="L71" s="61">
        <f>'Baseline System Analysis'!L29-L34</f>
        <v>24661704.485005222</v>
      </c>
      <c r="M71" s="61">
        <f>'Baseline System Analysis'!M29-M34</f>
        <v>32066870.860228792</v>
      </c>
      <c r="N71" s="61">
        <f>'Baseline System Analysis'!N29-N34</f>
        <v>39971861.019756831</v>
      </c>
      <c r="O71" s="61">
        <f>'Baseline System Analysis'!O29-O34</f>
        <v>49398898.135298356</v>
      </c>
      <c r="P71" s="61">
        <f>'Baseline System Analysis'!P29-P34</f>
        <v>59065858.254001558</v>
      </c>
      <c r="Q71" s="61">
        <f>'Baseline System Analysis'!Q29-Q34</f>
        <v>63722350.572470695</v>
      </c>
      <c r="R71" s="61">
        <f>'Baseline System Analysis'!R29-R34</f>
        <v>67985155.916849226</v>
      </c>
      <c r="S71" s="61">
        <f>'Baseline System Analysis'!S29-S34</f>
        <v>75293151.457921356</v>
      </c>
      <c r="T71" s="61">
        <f>'Baseline System Analysis'!T29-T34</f>
        <v>77611785.234788358</v>
      </c>
      <c r="U71" s="61">
        <f>'Baseline System Analysis'!U29-U34</f>
        <v>76538018.50861533</v>
      </c>
      <c r="V71" s="61">
        <f>'Baseline System Analysis'!V29-V34</f>
        <v>74832135.374617219</v>
      </c>
      <c r="W71" s="61">
        <f>'Baseline System Analysis'!W29-W34</f>
        <v>82091126.506841093</v>
      </c>
      <c r="X71" s="61">
        <f>'Baseline System Analysis'!X29-X34</f>
        <v>72446957.692623526</v>
      </c>
      <c r="Y71" s="61">
        <f>'Baseline System Analysis'!Y29-Y34</f>
        <v>63817616.666892886</v>
      </c>
      <c r="Z71" s="61">
        <f>'Baseline System Analysis'!Z29-Z34</f>
        <v>55066751.606611103</v>
      </c>
      <c r="AA71" s="61">
        <f>'Baseline System Analysis'!AA29-AA34</f>
        <v>35414402.052307397</v>
      </c>
      <c r="AB71" s="61">
        <f>'Baseline System Analysis'!AB29-AB34</f>
        <v>19417199.752881587</v>
      </c>
      <c r="AC71" s="61">
        <f>'Baseline System Analysis'!AC29-AC34</f>
        <v>3984014.7308532</v>
      </c>
      <c r="AD71" s="61">
        <f>'Baseline System Analysis'!AD29-AD34</f>
        <v>-18385008.251637936</v>
      </c>
      <c r="AE71" s="61">
        <f>'Baseline System Analysis'!AE29-AE34</f>
        <v>-34860705.914502561</v>
      </c>
    </row>
    <row r="72" spans="1:31" x14ac:dyDescent="0.35">
      <c r="A72" s="87" t="s">
        <v>24</v>
      </c>
      <c r="B72" s="87" t="s">
        <v>31</v>
      </c>
      <c r="C72" s="17">
        <f>NPV('Cost Assumptions'!$B$3,D72:AE72)</f>
        <v>301630203.71652728</v>
      </c>
      <c r="D72" s="61">
        <f>SUM(D70:D71)</f>
        <v>1938540.0424908805</v>
      </c>
      <c r="E72" s="61">
        <f>SUM(E70:E71)</f>
        <v>5093845.8447473096</v>
      </c>
      <c r="F72" s="61">
        <f t="shared" ref="F72:AE72" si="37">SUM(F70:F71)</f>
        <v>7741142.53278674</v>
      </c>
      <c r="G72" s="61">
        <f t="shared" si="37"/>
        <v>10801761.726361772</v>
      </c>
      <c r="H72" s="61">
        <f t="shared" si="37"/>
        <v>12982259.988815472</v>
      </c>
      <c r="I72" s="61">
        <f t="shared" si="37"/>
        <v>14631711.148309872</v>
      </c>
      <c r="J72" s="61">
        <f t="shared" si="37"/>
        <v>19528691.02266949</v>
      </c>
      <c r="K72" s="61">
        <f t="shared" si="37"/>
        <v>24147704.381032065</v>
      </c>
      <c r="L72" s="61">
        <f t="shared" si="37"/>
        <v>30355053.403618351</v>
      </c>
      <c r="M72" s="61">
        <f t="shared" si="37"/>
        <v>39493912.100193523</v>
      </c>
      <c r="N72" s="61">
        <f t="shared" si="37"/>
        <v>49209157.174658075</v>
      </c>
      <c r="O72" s="61">
        <f t="shared" si="37"/>
        <v>60642581.673492715</v>
      </c>
      <c r="P72" s="61">
        <f t="shared" si="37"/>
        <v>72307985.903007984</v>
      </c>
      <c r="Q72" s="61">
        <f t="shared" si="37"/>
        <v>78380105.693183571</v>
      </c>
      <c r="R72" s="61">
        <f t="shared" si="37"/>
        <v>83907595.259751305</v>
      </c>
      <c r="S72" s="61">
        <f t="shared" si="37"/>
        <v>92697019.338203773</v>
      </c>
      <c r="T72" s="61">
        <f t="shared" si="37"/>
        <v>95830751.478180066</v>
      </c>
      <c r="U72" s="61">
        <f t="shared" si="37"/>
        <v>94916172.96718657</v>
      </c>
      <c r="V72" s="61">
        <f t="shared" si="37"/>
        <v>92901470.887041718</v>
      </c>
      <c r="W72" s="61">
        <f t="shared" si="37"/>
        <v>101045082.54149091</v>
      </c>
      <c r="X72" s="61">
        <f t="shared" si="37"/>
        <v>89683664.237152487</v>
      </c>
      <c r="Y72" s="61">
        <f t="shared" si="37"/>
        <v>79020663.374501199</v>
      </c>
      <c r="Z72" s="61">
        <f t="shared" si="37"/>
        <v>67945891.2296004</v>
      </c>
      <c r="AA72" s="61">
        <f t="shared" si="37"/>
        <v>44151324.071468286</v>
      </c>
      <c r="AB72" s="61">
        <f t="shared" si="37"/>
        <v>24626535.189529359</v>
      </c>
      <c r="AC72" s="61">
        <f t="shared" si="37"/>
        <v>5483452.2880311161</v>
      </c>
      <c r="AD72" s="61">
        <f t="shared" si="37"/>
        <v>-21975021.208644733</v>
      </c>
      <c r="AE72" s="61">
        <f t="shared" si="37"/>
        <v>-41136493.680199876</v>
      </c>
    </row>
    <row r="74" spans="1:31" x14ac:dyDescent="0.35">
      <c r="A74" s="87" t="s">
        <v>117</v>
      </c>
      <c r="B74" s="87" t="s">
        <v>144</v>
      </c>
      <c r="C74" s="17">
        <f>NPV('Cost Assumptions'!$B$3,D74:AE74)</f>
        <v>608241849.80834126</v>
      </c>
      <c r="D74" s="61">
        <f>ABS((D50*D61*1000*'Cost Assumptions'!$B$6)/'Cost Assumptions'!$B$14)</f>
        <v>8238114.0346640144</v>
      </c>
      <c r="E74" s="61">
        <f>ABS((E50*E61*1000*'Cost Assumptions'!$B$6)/'Cost Assumptions'!$B$14)</f>
        <v>12799582.047870226</v>
      </c>
      <c r="F74" s="61">
        <f>ABS((F50*F61*1000*'Cost Assumptions'!$B$6)/'Cost Assumptions'!$B$14)</f>
        <v>17583974.640465081</v>
      </c>
      <c r="G74" s="61">
        <f>ABS((G50*G61*1000*'Cost Assumptions'!$B$6)/'Cost Assumptions'!$B$14)</f>
        <v>22599587.12390976</v>
      </c>
      <c r="H74" s="61">
        <f>ABS((H50*H61*1000*'Cost Assumptions'!$B$6)/'Cost Assumptions'!$B$14)</f>
        <v>27854990.247376382</v>
      </c>
      <c r="I74" s="61">
        <f>ABS((I50*I61*1000*'Cost Assumptions'!$B$6)/'Cost Assumptions'!$B$14)</f>
        <v>33359038.785063896</v>
      </c>
      <c r="J74" s="61">
        <f>ABS((J50*J61*1000*'Cost Assumptions'!$B$6)/'Cost Assumptions'!$B$14)</f>
        <v>39120880.380731165</v>
      </c>
      <c r="K74" s="61">
        <f>ABS((K50*K61*1000*'Cost Assumptions'!$B$6)/'Cost Assumptions'!$B$14)</f>
        <v>45149964.656941138</v>
      </c>
      <c r="L74" s="61">
        <f>ABS((L50*L61*1000*'Cost Assumptions'!$B$6)/'Cost Assumptions'!$B$14)</f>
        <v>51456052.596723646</v>
      </c>
      <c r="M74" s="61">
        <f>ABS((M50*M61*1000*'Cost Assumptions'!$B$6)/'Cost Assumptions'!$B$14)</f>
        <v>58049226.205584705</v>
      </c>
      <c r="N74" s="61">
        <f>ABS((N50*N61*1000*'Cost Assumptions'!$B$6)/'Cost Assumptions'!$B$14)</f>
        <v>64939898.462015845</v>
      </c>
      <c r="O74" s="61">
        <f>ABS((O50*O61*1000*'Cost Assumptions'!$B$6)/'Cost Assumptions'!$B$14)</f>
        <v>72138823.564890057</v>
      </c>
      <c r="P74" s="61">
        <f>ABS((P50*P61*1000*'Cost Assumptions'!$B$6)/'Cost Assumptions'!$B$14)</f>
        <v>79657107.486369222</v>
      </c>
      <c r="Q74" s="61">
        <f>ABS((Q50*Q61*1000*'Cost Assumptions'!$B$6)/'Cost Assumptions'!$B$14)</f>
        <v>87506218.839194283</v>
      </c>
      <c r="R74" s="61">
        <f>ABS((R50*R61*1000*'Cost Assumptions'!$B$6)/'Cost Assumptions'!$B$14)</f>
        <v>100405450.04607144</v>
      </c>
      <c r="S74" s="61">
        <f>ABS((S50*S61*1000*'Cost Assumptions'!$B$6)/'Cost Assumptions'!$B$14)</f>
        <v>113894951.42651796</v>
      </c>
      <c r="T74" s="61">
        <f>ABS((T50*T61*1000*'Cost Assumptions'!$B$6)/'Cost Assumptions'!$B$14)</f>
        <v>127996174.46970801</v>
      </c>
      <c r="U74" s="61">
        <f>ABS((U50*U61*1000*'Cost Assumptions'!$B$6)/'Cost Assumptions'!$B$14)</f>
        <v>142731274.32041597</v>
      </c>
      <c r="V74" s="61">
        <f>ABS((V50*V61*1000*'Cost Assumptions'!$B$6)/'Cost Assumptions'!$B$14)</f>
        <v>158123131.55461574</v>
      </c>
      <c r="W74" s="61">
        <f>ABS((W50*W61*1000*'Cost Assumptions'!$B$6)/'Cost Assumptions'!$B$14)</f>
        <v>174195374.60407525</v>
      </c>
      <c r="X74" s="61">
        <f>ABS((X50*X61*1000*'Cost Assumptions'!$B$6)/'Cost Assumptions'!$B$14)</f>
        <v>190972402.84878612</v>
      </c>
      <c r="Y74" s="61">
        <f>ABS((Y50*Y61*1000*'Cost Assumptions'!$B$6)/'Cost Assumptions'!$B$14)</f>
        <v>208479410.39660501</v>
      </c>
      <c r="Z74" s="61">
        <f>ABS((Z50*Z61*1000*'Cost Assumptions'!$B$6)/'Cost Assumptions'!$B$14)</f>
        <v>226742410.5700343</v>
      </c>
      <c r="AA74" s="61">
        <f>ABS((AA50*AA61*1000*'Cost Assumptions'!$B$6)/'Cost Assumptions'!$B$14)</f>
        <v>245788261.12063721</v>
      </c>
      <c r="AB74" s="61">
        <f>ABS((AB50*AB61*1000*'Cost Assumptions'!$B$6)/'Cost Assumptions'!$B$14)</f>
        <v>265644690.192164</v>
      </c>
      <c r="AC74" s="61">
        <f>ABS((AC50*AC61*1000*'Cost Assumptions'!$B$6)/'Cost Assumptions'!$B$14)</f>
        <v>286340323.05406666</v>
      </c>
      <c r="AD74" s="61">
        <f>ABS((AD50*AD61*1000*'Cost Assumptions'!$B$6)/'Cost Assumptions'!$B$14)</f>
        <v>307904709.62769437</v>
      </c>
      <c r="AE74" s="61">
        <f>ABS((AE50*AE61*1000*'Cost Assumptions'!$B$6)/'Cost Assumptions'!$B$14)</f>
        <v>330368352.82809484</v>
      </c>
    </row>
    <row r="75" spans="1:31" x14ac:dyDescent="0.35">
      <c r="A75" s="87" t="s">
        <v>119</v>
      </c>
      <c r="B75" s="87" t="s">
        <v>144</v>
      </c>
      <c r="C75" s="17">
        <f>NPV('Cost Assumptions'!$B$3,D75:AE75)</f>
        <v>2505732901.1377363</v>
      </c>
      <c r="D75" s="61">
        <f>ABS((D50*D63*1000*'Cost Assumptions'!$B$7)/'Cost Assumptions'!$B$14)</f>
        <v>33938002.435193636</v>
      </c>
      <c r="E75" s="61">
        <f>ABS((E50*E63*1000*'Cost Assumptions'!$B$7)/'Cost Assumptions'!$B$14)</f>
        <v>52729574.376157179</v>
      </c>
      <c r="F75" s="61">
        <f>ABS((F50*F63*1000*'Cost Assumptions'!$B$7)/'Cost Assumptions'!$B$14)</f>
        <v>72439513.662646905</v>
      </c>
      <c r="G75" s="61">
        <f>ABS((G50*G63*1000*'Cost Assumptions'!$B$7)/'Cost Assumptions'!$B$14)</f>
        <v>93101993.929476008</v>
      </c>
      <c r="H75" s="61">
        <f>ABS((H50*H63*1000*'Cost Assumptions'!$B$7)/'Cost Assumptions'!$B$14)</f>
        <v>114752323.51360743</v>
      </c>
      <c r="I75" s="61">
        <f>ABS((I50*I63*1000*'Cost Assumptions'!$B$7)/'Cost Assumptions'!$B$14)</f>
        <v>137426980.83073947</v>
      </c>
      <c r="J75" s="61">
        <f>ABS((J50*J63*1000*'Cost Assumptions'!$B$7)/'Cost Assumptions'!$B$14)</f>
        <v>161163650.81153214</v>
      </c>
      <c r="K75" s="61">
        <f>ABS((K50*K63*1000*'Cost Assumptions'!$B$7)/'Cost Assumptions'!$B$14)</f>
        <v>186001262.42834517</v>
      </c>
      <c r="L75" s="61">
        <f>ABS((L50*L63*1000*'Cost Assumptions'!$B$7)/'Cost Assumptions'!$B$14)</f>
        <v>211980027.34424165</v>
      </c>
      <c r="M75" s="61">
        <f>ABS((M50*M63*1000*'Cost Assumptions'!$B$7)/'Cost Assumptions'!$B$14)</f>
        <v>239141479.71691528</v>
      </c>
      <c r="N75" s="61">
        <f>ABS((N50*N63*1000*'Cost Assumptions'!$B$7)/'Cost Assumptions'!$B$14)</f>
        <v>267528517.1911324</v>
      </c>
      <c r="O75" s="61">
        <f>ABS((O50*O63*1000*'Cost Assumptions'!$B$7)/'Cost Assumptions'!$B$14)</f>
        <v>297185443.11423731</v>
      </c>
      <c r="P75" s="61">
        <f>ABS((P50*P63*1000*'Cost Assumptions'!$B$7)/'Cost Assumptions'!$B$14)</f>
        <v>328158010.01025301</v>
      </c>
      <c r="Q75" s="61">
        <f>ABS((Q50*Q63*1000*'Cost Assumptions'!$B$7)/'Cost Assumptions'!$B$14)</f>
        <v>360493464.34912306</v>
      </c>
      <c r="R75" s="61">
        <f>ABS((R50*R63*1000*'Cost Assumptions'!$B$7)/'Cost Assumptions'!$B$14)</f>
        <v>413633556.64076579</v>
      </c>
      <c r="S75" s="61">
        <f>ABS((S50*S63*1000*'Cost Assumptions'!$B$7)/'Cost Assumptions'!$B$14)</f>
        <v>469205345.1317724</v>
      </c>
      <c r="T75" s="61">
        <f>ABS((T50*T63*1000*'Cost Assumptions'!$B$7)/'Cost Assumptions'!$B$14)</f>
        <v>527297202.07442892</v>
      </c>
      <c r="U75" s="61">
        <f>ABS((U50*U63*1000*'Cost Assumptions'!$B$7)/'Cost Assumptions'!$B$14)</f>
        <v>588000398.52351081</v>
      </c>
      <c r="V75" s="61">
        <f>ABS((V50*V63*1000*'Cost Assumptions'!$B$7)/'Cost Assumptions'!$B$14)</f>
        <v>651409194.04375029</v>
      </c>
      <c r="W75" s="61">
        <f>ABS((W50*W63*1000*'Cost Assumptions'!$B$7)/'Cost Assumptions'!$B$14)</f>
        <v>717620929.0909245</v>
      </c>
      <c r="X75" s="61">
        <f>ABS((X50*X63*1000*'Cost Assumptions'!$B$7)/'Cost Assumptions'!$B$14)</f>
        <v>786736120.14417994</v>
      </c>
      <c r="Y75" s="61">
        <f>ABS((Y50*Y63*1000*'Cost Assumptions'!$B$7)/'Cost Assumptions'!$B$14)</f>
        <v>858858557.66941667</v>
      </c>
      <c r="Z75" s="61">
        <f>ABS((Z50*Z63*1000*'Cost Assumptions'!$B$7)/'Cost Assumptions'!$B$14)</f>
        <v>934095406.99582481</v>
      </c>
      <c r="AA75" s="61">
        <f>ABS((AA50*AA63*1000*'Cost Assumptions'!$B$7)/'Cost Assumptions'!$B$14)</f>
        <v>1012557312.1900102</v>
      </c>
      <c r="AB75" s="61">
        <f>ABS((AB50*AB63*1000*'Cost Assumptions'!$B$7)/'Cost Assumptions'!$B$14)</f>
        <v>1094358503.0145323</v>
      </c>
      <c r="AC75" s="61">
        <f>ABS((AC50*AC63*1000*'Cost Assumptions'!$B$7)/'Cost Assumptions'!$B$14)</f>
        <v>1179616905.0601616</v>
      </c>
      <c r="AD75" s="61">
        <f>ABS((AD50*AD63*1000*'Cost Assumptions'!$B$7)/'Cost Assumptions'!$B$14)</f>
        <v>1268454253.1436884</v>
      </c>
      <c r="AE75" s="61">
        <f>ABS((AE50*AE63*1000*'Cost Assumptions'!$B$7)/'Cost Assumptions'!$B$14)</f>
        <v>1360996208.0657294</v>
      </c>
    </row>
    <row r="76" spans="1:31" x14ac:dyDescent="0.35">
      <c r="A76" s="87" t="s">
        <v>24</v>
      </c>
      <c r="B76" s="87" t="s">
        <v>144</v>
      </c>
      <c r="C76" s="17">
        <f>NPV('Cost Assumptions'!$B$3,D76:AE76)</f>
        <v>3113974750.9460773</v>
      </c>
      <c r="D76" s="61">
        <f>SUM(D74:D75)</f>
        <v>42176116.469857648</v>
      </c>
      <c r="E76" s="61">
        <f>SUM(E74:E75)</f>
        <v>65529156.424027406</v>
      </c>
      <c r="F76" s="61">
        <f t="shared" ref="F76:AE76" si="38">SUM(F74:F75)</f>
        <v>90023488.303111985</v>
      </c>
      <c r="G76" s="61">
        <f t="shared" si="38"/>
        <v>115701581.05338576</v>
      </c>
      <c r="H76" s="61">
        <f t="shared" si="38"/>
        <v>142607313.76098382</v>
      </c>
      <c r="I76" s="61">
        <f t="shared" si="38"/>
        <v>170786019.61580336</v>
      </c>
      <c r="J76" s="61">
        <f t="shared" si="38"/>
        <v>200284531.19226331</v>
      </c>
      <c r="K76" s="61">
        <f t="shared" si="38"/>
        <v>231151227.08528632</v>
      </c>
      <c r="L76" s="61">
        <f t="shared" si="38"/>
        <v>263436079.94096529</v>
      </c>
      <c r="M76" s="61">
        <f t="shared" si="38"/>
        <v>297190705.92250001</v>
      </c>
      <c r="N76" s="61">
        <f t="shared" si="38"/>
        <v>332468415.65314823</v>
      </c>
      <c r="O76" s="61">
        <f t="shared" si="38"/>
        <v>369324266.67912734</v>
      </c>
      <c r="P76" s="61">
        <f t="shared" si="38"/>
        <v>407815117.4966222</v>
      </c>
      <c r="Q76" s="61">
        <f t="shared" si="38"/>
        <v>447999683.18831736</v>
      </c>
      <c r="R76" s="61">
        <f t="shared" si="38"/>
        <v>514039006.6868372</v>
      </c>
      <c r="S76" s="61">
        <f t="shared" si="38"/>
        <v>583100296.55829036</v>
      </c>
      <c r="T76" s="61">
        <f t="shared" si="38"/>
        <v>655293376.54413688</v>
      </c>
      <c r="U76" s="61">
        <f t="shared" si="38"/>
        <v>730731672.84392679</v>
      </c>
      <c r="V76" s="61">
        <f t="shared" si="38"/>
        <v>809532325.59836602</v>
      </c>
      <c r="W76" s="61">
        <f t="shared" si="38"/>
        <v>891816303.69499969</v>
      </c>
      <c r="X76" s="61">
        <f t="shared" si="38"/>
        <v>977708522.99296606</v>
      </c>
      <c r="Y76" s="61">
        <f t="shared" si="38"/>
        <v>1067337968.0660217</v>
      </c>
      <c r="Z76" s="61">
        <f t="shared" si="38"/>
        <v>1160837817.5658591</v>
      </c>
      <c r="AA76" s="61">
        <f t="shared" si="38"/>
        <v>1258345573.3106475</v>
      </c>
      <c r="AB76" s="61">
        <f t="shared" si="38"/>
        <v>1360003193.2066963</v>
      </c>
      <c r="AC76" s="61">
        <f t="shared" si="38"/>
        <v>1465957228.1142282</v>
      </c>
      <c r="AD76" s="61">
        <f t="shared" si="38"/>
        <v>1576358962.7713828</v>
      </c>
      <c r="AE76" s="61">
        <f t="shared" si="38"/>
        <v>1691364560.8938241</v>
      </c>
    </row>
    <row r="77" spans="1:31" x14ac:dyDescent="0.35">
      <c r="A77" s="87"/>
      <c r="B77" s="87"/>
      <c r="C77" s="1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35">
      <c r="A78" s="87" t="s">
        <v>117</v>
      </c>
      <c r="B78" s="87" t="s">
        <v>152</v>
      </c>
      <c r="C78" s="17">
        <f>NPV('Cost Assumptions'!$B$3,D78:AE78)</f>
        <v>0</v>
      </c>
      <c r="D78" s="61">
        <f>ABS(((MIN(ABS(D51),'Baseline System Analysis'!D14)*D62*1000*'Cost Assumptions'!$B$6)*'Cost Assumptions'!$B$13))</f>
        <v>0</v>
      </c>
      <c r="E78" s="61">
        <f>ABS(((MIN(ABS(E51),'Baseline System Analysis'!E14)*E62*1000*'Cost Assumptions'!$B$6)*'Cost Assumptions'!$B$13))</f>
        <v>0</v>
      </c>
      <c r="F78" s="61">
        <f>ABS(((MIN(ABS(F51),'Baseline System Analysis'!F14)*F62*1000*'Cost Assumptions'!$B$6)*'Cost Assumptions'!$B$13))</f>
        <v>0</v>
      </c>
      <c r="G78" s="61">
        <f>ABS(((MIN(ABS(G51),'Baseline System Analysis'!G14)*G62*1000*'Cost Assumptions'!$B$6)*'Cost Assumptions'!$B$13))</f>
        <v>0</v>
      </c>
      <c r="H78" s="61">
        <f>ABS(((MIN(ABS(H51),'Baseline System Analysis'!H14)*H62*1000*'Cost Assumptions'!$B$6)*'Cost Assumptions'!$B$13))</f>
        <v>0</v>
      </c>
      <c r="I78" s="61">
        <f>ABS(((MIN(ABS(I51),'Baseline System Analysis'!I14)*I62*1000*'Cost Assumptions'!$B$6)*'Cost Assumptions'!$B$13))</f>
        <v>0</v>
      </c>
      <c r="J78" s="61">
        <f>ABS(((MIN(ABS(J51),'Baseline System Analysis'!J14)*J62*1000*'Cost Assumptions'!$B$6)*'Cost Assumptions'!$B$13))</f>
        <v>0</v>
      </c>
      <c r="K78" s="61">
        <f>ABS(((MIN(ABS(K51),'Baseline System Analysis'!K14)*K62*1000*'Cost Assumptions'!$B$6)*'Cost Assumptions'!$B$13))</f>
        <v>0</v>
      </c>
      <c r="L78" s="61">
        <f>ABS(((MIN(ABS(L51),'Baseline System Analysis'!L14)*L62*1000*'Cost Assumptions'!$B$6)*'Cost Assumptions'!$B$13))</f>
        <v>0</v>
      </c>
      <c r="M78" s="61">
        <f>ABS(((MIN(ABS(M51),'Baseline System Analysis'!M14)*M62*1000*'Cost Assumptions'!$B$6)*'Cost Assumptions'!$B$13))</f>
        <v>0</v>
      </c>
      <c r="N78" s="61">
        <f>ABS(((MIN(ABS(N51),'Baseline System Analysis'!N14)*N62*1000*'Cost Assumptions'!$B$6)*'Cost Assumptions'!$B$13))</f>
        <v>0</v>
      </c>
      <c r="O78" s="61">
        <f>ABS(((MIN(ABS(O51),'Baseline System Analysis'!O14)*O62*1000*'Cost Assumptions'!$B$6)*'Cost Assumptions'!$B$13))</f>
        <v>0</v>
      </c>
      <c r="P78" s="61">
        <f>ABS(((MIN(ABS(P51),'Baseline System Analysis'!P14)*P62*1000*'Cost Assumptions'!$B$6)*'Cost Assumptions'!$B$13))</f>
        <v>0</v>
      </c>
      <c r="Q78" s="61">
        <f>ABS(((MIN(ABS(Q51),'Baseline System Analysis'!Q14)*Q62*1000*'Cost Assumptions'!$B$6)*'Cost Assumptions'!$B$13))</f>
        <v>0</v>
      </c>
      <c r="R78" s="61">
        <f>ABS(((MIN(ABS(R51),'Baseline System Analysis'!R14)*R62*1000*'Cost Assumptions'!$B$6)*'Cost Assumptions'!$B$13))</f>
        <v>0</v>
      </c>
      <c r="S78" s="61">
        <f>ABS(((MIN(ABS(S51),'Baseline System Analysis'!S14)*S62*1000*'Cost Assumptions'!$B$6)*'Cost Assumptions'!$B$13))</f>
        <v>0</v>
      </c>
      <c r="T78" s="61">
        <f>ABS(((MIN(ABS(T51),'Baseline System Analysis'!T14)*T62*1000*'Cost Assumptions'!$B$6)*'Cost Assumptions'!$B$13))</f>
        <v>0</v>
      </c>
      <c r="U78" s="61">
        <f>ABS(((MIN(ABS(U51),'Baseline System Analysis'!U14)*U62*1000*'Cost Assumptions'!$B$6)*'Cost Assumptions'!$B$13))</f>
        <v>0</v>
      </c>
      <c r="V78" s="61">
        <f>ABS(((MIN(ABS(V51),'Baseline System Analysis'!V14)*V62*1000*'Cost Assumptions'!$B$6)*'Cost Assumptions'!$B$13))</f>
        <v>0</v>
      </c>
      <c r="W78" s="61">
        <f>ABS(((MIN(ABS(W51),'Baseline System Analysis'!W14)*W62*1000*'Cost Assumptions'!$B$6)*'Cost Assumptions'!$B$13))</f>
        <v>0</v>
      </c>
      <c r="X78" s="61">
        <f>ABS(((MIN(ABS(X51),'Baseline System Analysis'!X14)*X62*1000*'Cost Assumptions'!$B$6)*'Cost Assumptions'!$B$13))</f>
        <v>0</v>
      </c>
      <c r="Y78" s="61">
        <f>ABS(((MIN(ABS(Y51),'Baseline System Analysis'!Y14)*Y62*1000*'Cost Assumptions'!$B$6)*'Cost Assumptions'!$B$13))</f>
        <v>0</v>
      </c>
      <c r="Z78" s="61">
        <f>ABS(((MIN(ABS(Z51),'Baseline System Analysis'!Z14)*Z62*1000*'Cost Assumptions'!$B$6)*'Cost Assumptions'!$B$13))</f>
        <v>0</v>
      </c>
      <c r="AA78" s="61">
        <f>ABS(((MIN(ABS(AA51),'Baseline System Analysis'!AA14)*AA62*1000*'Cost Assumptions'!$B$6)*'Cost Assumptions'!$B$13))</f>
        <v>0</v>
      </c>
      <c r="AB78" s="61">
        <f>ABS(((MIN(ABS(AB51),'Baseline System Analysis'!AB14)*AB62*1000*'Cost Assumptions'!$B$6)*'Cost Assumptions'!$B$13))</f>
        <v>0</v>
      </c>
      <c r="AC78" s="61">
        <f>ABS(((MIN(ABS(AC51),'Baseline System Analysis'!AC14)*AC62*1000*'Cost Assumptions'!$B$6)*'Cost Assumptions'!$B$13))</f>
        <v>0</v>
      </c>
      <c r="AD78" s="61">
        <f>ABS(((MIN(ABS(AD51),'Baseline System Analysis'!AD14)*AD62*1000*'Cost Assumptions'!$B$6)*'Cost Assumptions'!$B$13))</f>
        <v>0</v>
      </c>
      <c r="AE78" s="61">
        <f>ABS(((MIN(ABS(AE51),'Baseline System Analysis'!AE14)*AE62*1000*'Cost Assumptions'!$B$6)*'Cost Assumptions'!$B$13))</f>
        <v>0</v>
      </c>
    </row>
    <row r="79" spans="1:31" x14ac:dyDescent="0.35">
      <c r="A79" s="87" t="s">
        <v>119</v>
      </c>
      <c r="B79" s="87" t="s">
        <v>152</v>
      </c>
      <c r="C79" s="17">
        <f>NPV('Cost Assumptions'!$B$3,D79:AE79)</f>
        <v>0</v>
      </c>
      <c r="D79" s="61">
        <f>ABS(((MIN(ABS(D51),'Baseline System Analysis'!D14)*D64*1000*'Cost Assumptions'!$B$6)*'Cost Assumptions'!$B$13))</f>
        <v>0</v>
      </c>
      <c r="E79" s="61">
        <f>ABS(((MIN(ABS(E51),'Baseline System Analysis'!E14)*E64*1000*'Cost Assumptions'!$B$6)*'Cost Assumptions'!$B$13))</f>
        <v>0</v>
      </c>
      <c r="F79" s="61">
        <f>ABS(((MIN(ABS(F51),'Baseline System Analysis'!F14)*F64*1000*'Cost Assumptions'!$B$6)*'Cost Assumptions'!$B$13))</f>
        <v>0</v>
      </c>
      <c r="G79" s="61">
        <f>ABS(((MIN(ABS(G51),'Baseline System Analysis'!G14)*G64*1000*'Cost Assumptions'!$B$6)*'Cost Assumptions'!$B$13))</f>
        <v>0</v>
      </c>
      <c r="H79" s="61">
        <f>ABS(((MIN(ABS(H51),'Baseline System Analysis'!H14)*H64*1000*'Cost Assumptions'!$B$6)*'Cost Assumptions'!$B$13))</f>
        <v>0</v>
      </c>
      <c r="I79" s="61">
        <f>ABS(((MIN(ABS(I51),'Baseline System Analysis'!I14)*I64*1000*'Cost Assumptions'!$B$6)*'Cost Assumptions'!$B$13))</f>
        <v>0</v>
      </c>
      <c r="J79" s="61">
        <f>ABS(((MIN(ABS(J51),'Baseline System Analysis'!J14)*J64*1000*'Cost Assumptions'!$B$6)*'Cost Assumptions'!$B$13))</f>
        <v>0</v>
      </c>
      <c r="K79" s="61">
        <f>ABS(((MIN(ABS(K51),'Baseline System Analysis'!K14)*K64*1000*'Cost Assumptions'!$B$6)*'Cost Assumptions'!$B$13))</f>
        <v>0</v>
      </c>
      <c r="L79" s="61">
        <f>ABS(((MIN(ABS(L51),'Baseline System Analysis'!L14)*L64*1000*'Cost Assumptions'!$B$6)*'Cost Assumptions'!$B$13))</f>
        <v>0</v>
      </c>
      <c r="M79" s="61">
        <f>ABS(((MIN(ABS(M51),'Baseline System Analysis'!M14)*M64*1000*'Cost Assumptions'!$B$6)*'Cost Assumptions'!$B$13))</f>
        <v>0</v>
      </c>
      <c r="N79" s="61">
        <f>ABS(((MIN(ABS(N51),'Baseline System Analysis'!N14)*N64*1000*'Cost Assumptions'!$B$6)*'Cost Assumptions'!$B$13))</f>
        <v>0</v>
      </c>
      <c r="O79" s="61">
        <f>ABS(((MIN(ABS(O51),'Baseline System Analysis'!O14)*O64*1000*'Cost Assumptions'!$B$6)*'Cost Assumptions'!$B$13))</f>
        <v>0</v>
      </c>
      <c r="P79" s="61">
        <f>ABS(((MIN(ABS(P51),'Baseline System Analysis'!P14)*P64*1000*'Cost Assumptions'!$B$6)*'Cost Assumptions'!$B$13))</f>
        <v>0</v>
      </c>
      <c r="Q79" s="61">
        <f>ABS(((MIN(ABS(Q51),'Baseline System Analysis'!Q14)*Q64*1000*'Cost Assumptions'!$B$6)*'Cost Assumptions'!$B$13))</f>
        <v>0</v>
      </c>
      <c r="R79" s="61">
        <f>ABS(((MIN(ABS(R51),'Baseline System Analysis'!R14)*R64*1000*'Cost Assumptions'!$B$6)*'Cost Assumptions'!$B$13))</f>
        <v>0</v>
      </c>
      <c r="S79" s="61">
        <f>ABS(((MIN(ABS(S51),'Baseline System Analysis'!S14)*S64*1000*'Cost Assumptions'!$B$6)*'Cost Assumptions'!$B$13))</f>
        <v>0</v>
      </c>
      <c r="T79" s="61">
        <f>ABS(((MIN(ABS(T51),'Baseline System Analysis'!T14)*T64*1000*'Cost Assumptions'!$B$6)*'Cost Assumptions'!$B$13))</f>
        <v>0</v>
      </c>
      <c r="U79" s="61">
        <f>ABS(((MIN(ABS(U51),'Baseline System Analysis'!U14)*U64*1000*'Cost Assumptions'!$B$6)*'Cost Assumptions'!$B$13))</f>
        <v>0</v>
      </c>
      <c r="V79" s="61">
        <f>ABS(((MIN(ABS(V51),'Baseline System Analysis'!V14)*V64*1000*'Cost Assumptions'!$B$6)*'Cost Assumptions'!$B$13))</f>
        <v>0</v>
      </c>
      <c r="W79" s="61">
        <f>ABS(((MIN(ABS(W51),'Baseline System Analysis'!W14)*W64*1000*'Cost Assumptions'!$B$6)*'Cost Assumptions'!$B$13))</f>
        <v>0</v>
      </c>
      <c r="X79" s="61">
        <f>ABS(((MIN(ABS(X51),'Baseline System Analysis'!X14)*X64*1000*'Cost Assumptions'!$B$6)*'Cost Assumptions'!$B$13))</f>
        <v>0</v>
      </c>
      <c r="Y79" s="61">
        <f>ABS(((MIN(ABS(Y51),'Baseline System Analysis'!Y14)*Y64*1000*'Cost Assumptions'!$B$6)*'Cost Assumptions'!$B$13))</f>
        <v>0</v>
      </c>
      <c r="Z79" s="61">
        <f>ABS(((MIN(ABS(Z51),'Baseline System Analysis'!Z14)*Z64*1000*'Cost Assumptions'!$B$6)*'Cost Assumptions'!$B$13))</f>
        <v>0</v>
      </c>
      <c r="AA79" s="61">
        <f>ABS(((MIN(ABS(AA51),'Baseline System Analysis'!AA14)*AA64*1000*'Cost Assumptions'!$B$6)*'Cost Assumptions'!$B$13))</f>
        <v>0</v>
      </c>
      <c r="AB79" s="61">
        <f>ABS(((MIN(ABS(AB51),'Baseline System Analysis'!AB14)*AB64*1000*'Cost Assumptions'!$B$6)*'Cost Assumptions'!$B$13))</f>
        <v>0</v>
      </c>
      <c r="AC79" s="61">
        <f>ABS(((MIN(ABS(AC51),'Baseline System Analysis'!AC14)*AC64*1000*'Cost Assumptions'!$B$6)*'Cost Assumptions'!$B$13))</f>
        <v>0</v>
      </c>
      <c r="AD79" s="61">
        <f>ABS(((MIN(ABS(AD51),'Baseline System Analysis'!AD14)*AD64*1000*'Cost Assumptions'!$B$6)*'Cost Assumptions'!$B$13))</f>
        <v>0</v>
      </c>
      <c r="AE79" s="61">
        <f>ABS(((MIN(ABS(AE51),'Baseline System Analysis'!AE14)*AE64*1000*'Cost Assumptions'!$B$6)*'Cost Assumptions'!$B$13))</f>
        <v>0</v>
      </c>
    </row>
    <row r="80" spans="1:31" s="60" customFormat="1" ht="29" x14ac:dyDescent="0.35">
      <c r="A80" s="3" t="s">
        <v>146</v>
      </c>
      <c r="B80" s="87" t="s">
        <v>152</v>
      </c>
      <c r="C80" s="17">
        <f>NPV('Cost Assumptions'!$B$3,D80:AE80)</f>
        <v>0</v>
      </c>
      <c r="D80" s="61">
        <f>SUM(D78:D79)</f>
        <v>0</v>
      </c>
      <c r="E80" s="61">
        <f>SUM(E78:E79)</f>
        <v>0</v>
      </c>
      <c r="F80" s="61">
        <f t="shared" ref="F80:AE80" si="39">SUM(F78:F79)</f>
        <v>0</v>
      </c>
      <c r="G80" s="61">
        <f t="shared" si="39"/>
        <v>0</v>
      </c>
      <c r="H80" s="61">
        <f t="shared" si="39"/>
        <v>0</v>
      </c>
      <c r="I80" s="61">
        <f t="shared" si="39"/>
        <v>0</v>
      </c>
      <c r="J80" s="61">
        <f t="shared" si="39"/>
        <v>0</v>
      </c>
      <c r="K80" s="61">
        <f t="shared" si="39"/>
        <v>0</v>
      </c>
      <c r="L80" s="61">
        <f t="shared" si="39"/>
        <v>0</v>
      </c>
      <c r="M80" s="61">
        <f t="shared" si="39"/>
        <v>0</v>
      </c>
      <c r="N80" s="61">
        <f t="shared" si="39"/>
        <v>0</v>
      </c>
      <c r="O80" s="61">
        <f t="shared" si="39"/>
        <v>0</v>
      </c>
      <c r="P80" s="61">
        <f t="shared" si="39"/>
        <v>0</v>
      </c>
      <c r="Q80" s="61">
        <f t="shared" si="39"/>
        <v>0</v>
      </c>
      <c r="R80" s="61">
        <f t="shared" si="39"/>
        <v>0</v>
      </c>
      <c r="S80" s="61">
        <f t="shared" si="39"/>
        <v>0</v>
      </c>
      <c r="T80" s="61">
        <f t="shared" si="39"/>
        <v>0</v>
      </c>
      <c r="U80" s="61">
        <f t="shared" si="39"/>
        <v>0</v>
      </c>
      <c r="V80" s="61">
        <f t="shared" si="39"/>
        <v>0</v>
      </c>
      <c r="W80" s="61">
        <f t="shared" si="39"/>
        <v>0</v>
      </c>
      <c r="X80" s="61">
        <f t="shared" si="39"/>
        <v>0</v>
      </c>
      <c r="Y80" s="61">
        <f t="shared" si="39"/>
        <v>0</v>
      </c>
      <c r="Z80" s="61">
        <f t="shared" si="39"/>
        <v>0</v>
      </c>
      <c r="AA80" s="61">
        <f t="shared" si="39"/>
        <v>0</v>
      </c>
      <c r="AB80" s="61">
        <f t="shared" si="39"/>
        <v>0</v>
      </c>
      <c r="AC80" s="61">
        <f t="shared" si="39"/>
        <v>0</v>
      </c>
      <c r="AD80" s="61">
        <f t="shared" si="39"/>
        <v>0</v>
      </c>
      <c r="AE80" s="61">
        <f t="shared" si="39"/>
        <v>0</v>
      </c>
    </row>
    <row r="81" spans="1:31" s="60" customFormat="1" x14ac:dyDescent="0.35">
      <c r="A81" s="3"/>
      <c r="B81" s="87"/>
      <c r="C81" s="1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s="60" customFormat="1" ht="29" x14ac:dyDescent="0.35">
      <c r="A82" s="3" t="s">
        <v>147</v>
      </c>
      <c r="B82" s="87" t="s">
        <v>148</v>
      </c>
      <c r="C82" s="17">
        <f>NPV('Cost Assumptions'!$B$3,D82:AE82)</f>
        <v>202521982.95761076</v>
      </c>
      <c r="D82" s="61">
        <f>('Baseline System Analysis'!D42-D37)</f>
        <v>11415404.726474755</v>
      </c>
      <c r="E82" s="61">
        <f>('Baseline System Analysis'!E42-E37)</f>
        <v>12677256.086189514</v>
      </c>
      <c r="F82" s="61">
        <f>('Baseline System Analysis'!F42-F37)</f>
        <v>14005928.33497976</v>
      </c>
      <c r="G82" s="61">
        <f>('Baseline System Analysis'!G42-G37)</f>
        <v>14898443.995636351</v>
      </c>
      <c r="H82" s="61">
        <f>('Baseline System Analysis'!H42-H37)</f>
        <v>16001404.151103705</v>
      </c>
      <c r="I82" s="61">
        <f>('Baseline System Analysis'!I42-I37)</f>
        <v>17079540.657531884</v>
      </c>
      <c r="J82" s="61">
        <f>('Baseline System Analysis'!J42-J37)</f>
        <v>18025564.820723638</v>
      </c>
      <c r="K82" s="61">
        <f>('Baseline System Analysis'!K42-K37)</f>
        <v>19173409.538344882</v>
      </c>
      <c r="L82" s="61">
        <f>('Baseline System Analysis'!L42-L37)</f>
        <v>20408716.377800144</v>
      </c>
      <c r="M82" s="61">
        <f>('Baseline System Analysis'!M42-M37)</f>
        <v>21700257.554819502</v>
      </c>
      <c r="N82" s="61">
        <f>('Baseline System Analysis'!N42-N37)</f>
        <v>23225050.521736037</v>
      </c>
      <c r="O82" s="61">
        <f>('Baseline System Analysis'!O42-O37)</f>
        <v>24562337.309540544</v>
      </c>
      <c r="P82" s="61">
        <f>('Baseline System Analysis'!P42-P37)</f>
        <v>26000278.429442648</v>
      </c>
      <c r="Q82" s="61">
        <f>('Baseline System Analysis'!Q42-Q37)</f>
        <v>27628571.211867087</v>
      </c>
      <c r="R82" s="61">
        <f>('Baseline System Analysis'!R42-R37)</f>
        <v>29216356.105742048</v>
      </c>
      <c r="S82" s="61">
        <f>('Baseline System Analysis'!S42-S37)</f>
        <v>31199874.885009818</v>
      </c>
      <c r="T82" s="61">
        <f>('Baseline System Analysis'!T42-T37)</f>
        <v>32906485.671322141</v>
      </c>
      <c r="U82" s="61">
        <f>('Baseline System Analysis'!U42-U37)</f>
        <v>34874291.269753963</v>
      </c>
      <c r="V82" s="61">
        <f>('Baseline System Analysis'!V42-V37)</f>
        <v>36601811.063934237</v>
      </c>
      <c r="W82" s="61">
        <f>('Baseline System Analysis'!W42-W37)</f>
        <v>38576517.695104815</v>
      </c>
      <c r="X82" s="61">
        <f>('Baseline System Analysis'!X42-X37)</f>
        <v>40434795.651979163</v>
      </c>
      <c r="Y82" s="61">
        <f>('Baseline System Analysis'!Y42-Y37)</f>
        <v>42263154.125473261</v>
      </c>
      <c r="Z82" s="61">
        <f>('Baseline System Analysis'!Z42-Z37)</f>
        <v>44517255.340823725</v>
      </c>
      <c r="AA82" s="61">
        <f>('Baseline System Analysis'!AA42-AA37)</f>
        <v>46652824.31149064</v>
      </c>
      <c r="AB82" s="61">
        <f>('Baseline System Analysis'!AB42-AB37)</f>
        <v>48704628.555276908</v>
      </c>
      <c r="AC82" s="61">
        <f>('Baseline System Analysis'!AC42-AC37)</f>
        <v>51166235.774552315</v>
      </c>
      <c r="AD82" s="61">
        <f>('Baseline System Analysis'!AD42-AD37)</f>
        <v>53632353.05397217</v>
      </c>
      <c r="AE82" s="61">
        <f>('Baseline System Analysis'!AE42-AE37)</f>
        <v>55858329.695997611</v>
      </c>
    </row>
    <row r="84" spans="1:31" s="60" customFormat="1" ht="20" thickBot="1" x14ac:dyDescent="0.5">
      <c r="A84" s="145" t="s">
        <v>61</v>
      </c>
      <c r="B84" s="145"/>
      <c r="C84" s="17">
        <f>NPV('Cost Assumptions'!$B$3,D84:AE84)/1000000</f>
        <v>3627.8848201390156</v>
      </c>
      <c r="D84" s="61">
        <f>SUM(D68,D72,D76,D80,D82)</f>
        <v>55530145.019695051</v>
      </c>
      <c r="E84" s="61">
        <f>SUM(E68,E72,E76,E80,E82)</f>
        <v>83298787.738849506</v>
      </c>
      <c r="F84" s="61">
        <f t="shared" ref="F84:AE84" si="40">SUM(F68,F72,F76,F80,F82)</f>
        <v>111772625.5526049</v>
      </c>
      <c r="G84" s="61">
        <f t="shared" si="40"/>
        <v>141407390.15495145</v>
      </c>
      <c r="H84" s="61">
        <f t="shared" si="40"/>
        <v>171600118.2783117</v>
      </c>
      <c r="I84" s="61">
        <f t="shared" si="40"/>
        <v>202509948.79689494</v>
      </c>
      <c r="J84" s="61">
        <f t="shared" si="40"/>
        <v>237855001.40874738</v>
      </c>
      <c r="K84" s="61">
        <f t="shared" si="40"/>
        <v>274492092.37559533</v>
      </c>
      <c r="L84" s="61">
        <f t="shared" si="40"/>
        <v>314488563.79638529</v>
      </c>
      <c r="M84" s="61">
        <f t="shared" si="40"/>
        <v>358942552.35458386</v>
      </c>
      <c r="N84" s="61">
        <f t="shared" si="40"/>
        <v>405729262.82968253</v>
      </c>
      <c r="O84" s="61">
        <f t="shared" si="40"/>
        <v>455624787.84537017</v>
      </c>
      <c r="P84" s="61">
        <f t="shared" si="40"/>
        <v>506818872.02394521</v>
      </c>
      <c r="Q84" s="61">
        <f t="shared" si="40"/>
        <v>554888280.30984509</v>
      </c>
      <c r="R84" s="61">
        <f t="shared" si="40"/>
        <v>628227308.29041231</v>
      </c>
      <c r="S84" s="61">
        <f t="shared" si="40"/>
        <v>708245971.04119039</v>
      </c>
      <c r="T84" s="61">
        <f t="shared" si="40"/>
        <v>785463823.97493017</v>
      </c>
      <c r="U84" s="61">
        <f t="shared" si="40"/>
        <v>862724319.39370501</v>
      </c>
      <c r="V84" s="61">
        <f t="shared" si="40"/>
        <v>941997500.46542323</v>
      </c>
      <c r="W84" s="61">
        <f t="shared" si="40"/>
        <v>1035159507.4509203</v>
      </c>
      <c r="X84" s="61">
        <f t="shared" si="40"/>
        <v>1112308297.0046661</v>
      </c>
      <c r="Y84" s="61">
        <f t="shared" si="40"/>
        <v>1193862810.2918081</v>
      </c>
      <c r="Z84" s="61">
        <f t="shared" si="40"/>
        <v>1279301699.4653387</v>
      </c>
      <c r="AA84" s="61">
        <f t="shared" si="40"/>
        <v>1356503942.609185</v>
      </c>
      <c r="AB84" s="61">
        <f t="shared" si="40"/>
        <v>1442042063.4536045</v>
      </c>
      <c r="AC84" s="61">
        <f t="shared" si="40"/>
        <v>1532668108.2654369</v>
      </c>
      <c r="AD84" s="61">
        <f t="shared" si="40"/>
        <v>1619430972.2918589</v>
      </c>
      <c r="AE84" s="61">
        <f t="shared" si="40"/>
        <v>1718854560.1712937</v>
      </c>
    </row>
    <row r="85" spans="1:31" s="60" customFormat="1" ht="20.5" thickTop="1" thickBot="1" x14ac:dyDescent="0.5">
      <c r="A85" s="145" t="s">
        <v>149</v>
      </c>
      <c r="B85" s="145"/>
      <c r="C85" s="17">
        <f>NPV('Cost Assumptions'!$B$3,D85:AE85)/1000000</f>
        <v>3628.2394686943717</v>
      </c>
      <c r="D85" s="61">
        <f>D84+D44</f>
        <v>55544497.019695006</v>
      </c>
      <c r="E85" s="61">
        <f t="shared" ref="E85:AE85" si="41">E84+E44</f>
        <v>83315542.388849497</v>
      </c>
      <c r="F85" s="61">
        <f t="shared" si="41"/>
        <v>111791604.12342219</v>
      </c>
      <c r="G85" s="61">
        <f t="shared" si="41"/>
        <v>141428693.37097067</v>
      </c>
      <c r="H85" s="61">
        <f t="shared" si="41"/>
        <v>171623850.51018617</v>
      </c>
      <c r="I85" s="61">
        <f t="shared" si="41"/>
        <v>202536218.18090743</v>
      </c>
      <c r="J85" s="61">
        <f t="shared" si="41"/>
        <v>237883919.96985987</v>
      </c>
      <c r="K85" s="61">
        <f t="shared" si="41"/>
        <v>274523776.15429777</v>
      </c>
      <c r="L85" s="61">
        <f t="shared" si="41"/>
        <v>314523132.97945654</v>
      </c>
      <c r="M85" s="61">
        <f t="shared" si="41"/>
        <v>358980131.40988064</v>
      </c>
      <c r="N85" s="61">
        <f t="shared" si="41"/>
        <v>405769980.64507669</v>
      </c>
      <c r="O85" s="61">
        <f t="shared" si="41"/>
        <v>455668777.87195706</v>
      </c>
      <c r="P85" s="61">
        <f t="shared" si="41"/>
        <v>506866272.42364979</v>
      </c>
      <c r="Q85" s="61">
        <f t="shared" si="41"/>
        <v>554939234.1075567</v>
      </c>
      <c r="R85" s="61">
        <f t="shared" si="41"/>
        <v>628281963.53078139</v>
      </c>
      <c r="S85" s="61">
        <f t="shared" si="41"/>
        <v>708304990.4408313</v>
      </c>
      <c r="T85" s="61">
        <f t="shared" si="41"/>
        <v>785527391.58228123</v>
      </c>
      <c r="U85" s="61">
        <f t="shared" si="41"/>
        <v>862792625.73202705</v>
      </c>
      <c r="V85" s="61">
        <f t="shared" si="41"/>
        <v>942070742.74151015</v>
      </c>
      <c r="W85" s="61">
        <f t="shared" si="41"/>
        <v>1035237889.7701989</v>
      </c>
      <c r="X85" s="61">
        <f t="shared" si="41"/>
        <v>1112392030.5928733</v>
      </c>
      <c r="Y85" s="61">
        <f t="shared" si="41"/>
        <v>1193952113.7234409</v>
      </c>
      <c r="Z85" s="61">
        <f t="shared" si="41"/>
        <v>1279396798.8990757</v>
      </c>
      <c r="AA85" s="61">
        <f t="shared" si="41"/>
        <v>1356605072.0304866</v>
      </c>
      <c r="AB85" s="61">
        <f t="shared" si="41"/>
        <v>1442149464.9247029</v>
      </c>
      <c r="AC85" s="61">
        <f t="shared" si="41"/>
        <v>1532782032.1829338</v>
      </c>
      <c r="AD85" s="61">
        <f t="shared" si="41"/>
        <v>1619551677.6521547</v>
      </c>
      <c r="AE85" s="61">
        <f t="shared" si="41"/>
        <v>1718983000.0523005</v>
      </c>
    </row>
    <row r="86" spans="1:31" ht="15" thickTop="1" x14ac:dyDescent="0.35">
      <c r="A86" s="87"/>
      <c r="B86" s="87"/>
      <c r="C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20" thickBot="1" x14ac:dyDescent="0.5">
      <c r="A87" s="145" t="s">
        <v>150</v>
      </c>
      <c r="B87" s="145"/>
      <c r="C87" s="17">
        <f>Summary!$D$12</f>
        <v>213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15" thickTop="1" x14ac:dyDescent="0.35">
      <c r="A88" s="87"/>
      <c r="B88" s="87"/>
      <c r="C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20" thickBot="1" x14ac:dyDescent="0.5">
      <c r="A89" s="145" t="s">
        <v>7</v>
      </c>
      <c r="B89" s="145"/>
      <c r="C89" s="50">
        <f>C85/C87</f>
        <v>17.033988115936019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15" thickTop="1" x14ac:dyDescent="0.35">
      <c r="A90" s="87"/>
      <c r="B90" s="87"/>
      <c r="C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  <row r="91" spans="1:31" s="60" customFormat="1" ht="42.65" customHeight="1" thickBot="1" x14ac:dyDescent="0.5">
      <c r="A91" s="168" t="s">
        <v>156</v>
      </c>
      <c r="B91" s="168"/>
      <c r="C91" s="87"/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2766.0729084977997</v>
      </c>
      <c r="T91" s="61">
        <v>2798.8720340704131</v>
      </c>
      <c r="U91" s="61">
        <v>2831.6711596430264</v>
      </c>
      <c r="V91" s="61">
        <v>2864.4702852156397</v>
      </c>
      <c r="W91" s="61">
        <v>2897.269410788253</v>
      </c>
      <c r="X91" s="61">
        <v>2930.0685363608654</v>
      </c>
      <c r="Y91" s="61">
        <v>2964.5016177813877</v>
      </c>
      <c r="Z91" s="61">
        <v>2998.93469920191</v>
      </c>
      <c r="AA91" s="61">
        <v>3033.9020030322799</v>
      </c>
      <c r="AB91" s="61">
        <v>3068.8693068626499</v>
      </c>
      <c r="AC91" s="61">
        <v>3103.8366106930198</v>
      </c>
      <c r="AD91" s="61">
        <v>3139.34387809291</v>
      </c>
      <c r="AE91" s="61">
        <v>3174.8511454928002</v>
      </c>
    </row>
    <row r="92" spans="1:31" ht="15" thickTop="1" x14ac:dyDescent="0.35">
      <c r="A92" s="87"/>
      <c r="B92" s="87"/>
      <c r="C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</row>
  </sheetData>
  <mergeCells count="9">
    <mergeCell ref="B18:B32"/>
    <mergeCell ref="B2:B15"/>
    <mergeCell ref="A91:B91"/>
    <mergeCell ref="B41:AE41"/>
    <mergeCell ref="A59:AE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90"/>
  <sheetViews>
    <sheetView zoomScale="78" zoomScaleNormal="78" workbookViewId="0"/>
  </sheetViews>
  <sheetFormatPr defaultRowHeight="14.5" x14ac:dyDescent="0.35"/>
  <cols>
    <col min="1" max="1" width="23.453125" customWidth="1"/>
    <col min="2" max="2" width="31.1796875" customWidth="1"/>
    <col min="3" max="3" width="14.81640625" bestFit="1" customWidth="1"/>
    <col min="4" max="4" width="14.81640625" style="87" customWidth="1"/>
    <col min="5" max="7" width="14.81640625" customWidth="1"/>
    <col min="8" max="8" width="15.7265625" bestFit="1" customWidth="1"/>
    <col min="9" max="9" width="13.54296875" bestFit="1" customWidth="1"/>
    <col min="10" max="13" width="15.7265625" bestFit="1" customWidth="1"/>
    <col min="14" max="14" width="19.26953125" customWidth="1"/>
    <col min="15" max="16" width="14.7265625" bestFit="1" customWidth="1"/>
    <col min="17" max="17" width="16" bestFit="1" customWidth="1"/>
    <col min="18" max="30" width="14.7265625" bestFit="1" customWidth="1"/>
    <col min="31" max="31" width="18.26953125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2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  <c r="AF17" s="87"/>
    </row>
    <row r="18" spans="1:32" ht="15" thickTop="1" x14ac:dyDescent="0.35">
      <c r="A18" s="87"/>
      <c r="B18" s="166" t="s">
        <v>17</v>
      </c>
      <c r="C18" s="87" t="s">
        <v>107</v>
      </c>
      <c r="D18" s="61">
        <v>49286.625000000473</v>
      </c>
      <c r="E18" s="61">
        <v>50035.175000000374</v>
      </c>
      <c r="F18" s="61">
        <v>50580.120192308059</v>
      </c>
      <c r="G18" s="61">
        <v>51125.065384615744</v>
      </c>
      <c r="H18" s="61">
        <v>51670.010576923429</v>
      </c>
      <c r="I18" s="61">
        <v>52214.955769231114</v>
      </c>
      <c r="J18" s="61">
        <v>52759.900961538799</v>
      </c>
      <c r="K18" s="61">
        <v>53304.846153846484</v>
      </c>
      <c r="L18" s="61">
        <v>53849.791346154168</v>
      </c>
      <c r="M18" s="61">
        <v>54394.736538461853</v>
      </c>
      <c r="N18" s="61">
        <v>54939.681730769538</v>
      </c>
      <c r="O18" s="61">
        <v>55484.626923077223</v>
      </c>
      <c r="P18" s="61">
        <v>56029.572115384908</v>
      </c>
      <c r="Q18" s="61">
        <v>56574.517307692593</v>
      </c>
      <c r="R18" s="61">
        <v>57119.462500000278</v>
      </c>
      <c r="S18" s="61">
        <v>57664.407692307963</v>
      </c>
      <c r="T18" s="61">
        <v>58209.352884615648</v>
      </c>
      <c r="U18" s="61">
        <v>58754.298076923333</v>
      </c>
      <c r="V18" s="61">
        <v>59299.243269231018</v>
      </c>
      <c r="W18" s="61">
        <v>59844.188461538703</v>
      </c>
      <c r="X18" s="61">
        <v>60389.133653846387</v>
      </c>
      <c r="Y18" s="61">
        <v>60934.078846154072</v>
      </c>
      <c r="Z18" s="61">
        <v>61479.024038461757</v>
      </c>
      <c r="AA18" s="61">
        <v>62023.969230769442</v>
      </c>
      <c r="AB18" s="61">
        <v>62568.914423077127</v>
      </c>
      <c r="AC18" s="61">
        <v>63113.859615384812</v>
      </c>
      <c r="AD18" s="61">
        <v>63658.804807692497</v>
      </c>
      <c r="AE18" s="61">
        <v>64203.750000000124</v>
      </c>
      <c r="AF18" s="87"/>
    </row>
    <row r="19" spans="1:32" x14ac:dyDescent="0.35">
      <c r="A19" s="87" t="s">
        <v>30</v>
      </c>
      <c r="B19" s="167"/>
      <c r="C19" s="87" t="s">
        <v>31</v>
      </c>
      <c r="D19" s="61">
        <v>15.899999999999977</v>
      </c>
      <c r="E19" s="61">
        <v>35.400000000000006</v>
      </c>
      <c r="F19" s="61">
        <v>67.2</v>
      </c>
      <c r="G19" s="61">
        <v>99</v>
      </c>
      <c r="H19" s="61">
        <v>130.79999999999998</v>
      </c>
      <c r="I19" s="61">
        <v>162.59999999999997</v>
      </c>
      <c r="J19" s="61">
        <v>194.39999999999995</v>
      </c>
      <c r="K19" s="61">
        <v>226.19999999999996</v>
      </c>
      <c r="L19" s="61">
        <v>207.84999999999997</v>
      </c>
      <c r="M19" s="61">
        <v>189.49999999999994</v>
      </c>
      <c r="N19" s="61">
        <v>171.14999999999992</v>
      </c>
      <c r="O19" s="61">
        <v>152.79999999999993</v>
      </c>
      <c r="P19" s="61">
        <v>788.79999999999984</v>
      </c>
      <c r="Q19" s="61">
        <v>1054.3999999999999</v>
      </c>
      <c r="R19" s="61">
        <v>1320</v>
      </c>
      <c r="S19" s="61">
        <v>1585.6</v>
      </c>
      <c r="T19" s="61">
        <v>1851.1999999999998</v>
      </c>
      <c r="U19" s="61">
        <v>2116.7999999999997</v>
      </c>
      <c r="V19" s="61">
        <v>2595.52</v>
      </c>
      <c r="W19" s="61">
        <v>3074.2400000000002</v>
      </c>
      <c r="X19" s="61">
        <v>3552.9600000000005</v>
      </c>
      <c r="Y19" s="61">
        <v>4031.6800000000007</v>
      </c>
      <c r="Z19" s="61">
        <v>4510.4000000000015</v>
      </c>
      <c r="AA19" s="61">
        <v>5157.2400000000016</v>
      </c>
      <c r="AB19" s="61">
        <v>5804.0800000000017</v>
      </c>
      <c r="AC19" s="61">
        <v>6450.9200000000019</v>
      </c>
      <c r="AD19" s="61">
        <v>7097.760000000002</v>
      </c>
      <c r="AE19" s="61">
        <v>7744.6</v>
      </c>
      <c r="AF19" s="87"/>
    </row>
    <row r="20" spans="1:32" x14ac:dyDescent="0.35">
      <c r="A20" s="87" t="s">
        <v>30</v>
      </c>
      <c r="B20" s="167"/>
      <c r="C20" s="87" t="s">
        <v>32</v>
      </c>
      <c r="D20" s="61">
        <v>5.6999999999999886</v>
      </c>
      <c r="E20" s="61">
        <v>11.399999999999977</v>
      </c>
      <c r="F20" s="61">
        <v>14.233333333333311</v>
      </c>
      <c r="G20" s="61">
        <v>17.066666666666645</v>
      </c>
      <c r="H20" s="61">
        <v>19.899999999999977</v>
      </c>
      <c r="I20" s="61">
        <v>22.733333333333309</v>
      </c>
      <c r="J20" s="61">
        <v>25.566666666666642</v>
      </c>
      <c r="K20" s="61">
        <v>28.399999999999977</v>
      </c>
      <c r="L20" s="61">
        <v>27.399999999999977</v>
      </c>
      <c r="M20" s="61">
        <v>26.399999999999977</v>
      </c>
      <c r="N20" s="61">
        <v>25.399999999999977</v>
      </c>
      <c r="O20" s="61">
        <v>24.399999999999977</v>
      </c>
      <c r="P20" s="61">
        <v>42.399999999999977</v>
      </c>
      <c r="Q20" s="61">
        <v>49.999999999999986</v>
      </c>
      <c r="R20" s="61">
        <v>57.599999999999994</v>
      </c>
      <c r="S20" s="61">
        <v>65.2</v>
      </c>
      <c r="T20" s="61">
        <v>72.800000000000011</v>
      </c>
      <c r="U20" s="61">
        <v>80.400000000000034</v>
      </c>
      <c r="V20" s="61">
        <v>79.92000000000003</v>
      </c>
      <c r="W20" s="61">
        <v>79.440000000000026</v>
      </c>
      <c r="X20" s="61">
        <v>78.960000000000022</v>
      </c>
      <c r="Y20" s="61">
        <v>78.480000000000018</v>
      </c>
      <c r="Z20" s="61">
        <v>78</v>
      </c>
      <c r="AA20" s="61">
        <v>91.38000000000001</v>
      </c>
      <c r="AB20" s="61">
        <v>104.76000000000002</v>
      </c>
      <c r="AC20" s="61">
        <v>118.14000000000003</v>
      </c>
      <c r="AD20" s="61">
        <v>131.52000000000004</v>
      </c>
      <c r="AE20" s="61">
        <v>144.90000000000003</v>
      </c>
      <c r="AF20" s="87"/>
    </row>
    <row r="21" spans="1:32" x14ac:dyDescent="0.35">
      <c r="A21" s="87" t="s">
        <v>30</v>
      </c>
      <c r="B21" s="167"/>
      <c r="C21" s="87" t="s">
        <v>33</v>
      </c>
      <c r="D21" s="61">
        <v>7.0195988800639861E-2</v>
      </c>
      <c r="E21" s="61">
        <v>0.19535676128479992</v>
      </c>
      <c r="F21" s="61">
        <v>1.1148205282182322</v>
      </c>
      <c r="G21" s="61">
        <v>2.0342842951516644</v>
      </c>
      <c r="H21" s="61">
        <v>2.9537480620850967</v>
      </c>
      <c r="I21" s="61">
        <v>3.8732118290185289</v>
      </c>
      <c r="J21" s="61">
        <v>4.7926755959519616</v>
      </c>
      <c r="K21" s="61">
        <v>5.7121393628853943</v>
      </c>
      <c r="L21" s="61">
        <v>4.8743689059782316</v>
      </c>
      <c r="M21" s="61">
        <v>4.0365984490710689</v>
      </c>
      <c r="N21" s="61">
        <v>3.1988279921639062</v>
      </c>
      <c r="O21" s="61">
        <v>2.361057535256744</v>
      </c>
      <c r="P21" s="61">
        <v>35.982072689676194</v>
      </c>
      <c r="Q21" s="61">
        <v>63.979846294809562</v>
      </c>
      <c r="R21" s="61">
        <v>91.977619899942937</v>
      </c>
      <c r="S21" s="61">
        <v>119.97539350507631</v>
      </c>
      <c r="T21" s="61">
        <v>147.97316711020969</v>
      </c>
      <c r="U21" s="61">
        <v>175.97094071534303</v>
      </c>
      <c r="V21" s="61">
        <v>252.25101748697506</v>
      </c>
      <c r="W21" s="61">
        <v>328.53109425860708</v>
      </c>
      <c r="X21" s="61">
        <v>404.81117103023911</v>
      </c>
      <c r="Y21" s="61">
        <v>481.09124780187113</v>
      </c>
      <c r="Z21" s="61">
        <v>557.3713245735031</v>
      </c>
      <c r="AA21" s="61">
        <v>452.85202525106513</v>
      </c>
      <c r="AB21" s="61">
        <v>348.33272592862716</v>
      </c>
      <c r="AC21" s="61">
        <v>243.81342660618918</v>
      </c>
      <c r="AD21" s="61">
        <v>139.29412728375121</v>
      </c>
      <c r="AE21" s="61">
        <v>34.774827961313242</v>
      </c>
      <c r="AF21" s="87"/>
    </row>
    <row r="22" spans="1:32" x14ac:dyDescent="0.35">
      <c r="A22" s="87" t="s">
        <v>30</v>
      </c>
      <c r="B22" s="167"/>
      <c r="C22" s="87" t="s">
        <v>34</v>
      </c>
      <c r="D22" s="61">
        <v>1.7548997200159965E-2</v>
      </c>
      <c r="E22" s="61">
        <v>3.9071352256959985E-2</v>
      </c>
      <c r="F22" s="61">
        <v>7.417820755816984E-2</v>
      </c>
      <c r="G22" s="61">
        <v>0.10928506285937969</v>
      </c>
      <c r="H22" s="61">
        <v>0.14439191816058955</v>
      </c>
      <c r="I22" s="61">
        <v>0.1794987734617994</v>
      </c>
      <c r="J22" s="61">
        <v>0.21460562876300926</v>
      </c>
      <c r="K22" s="61">
        <v>0.24971248406421909</v>
      </c>
      <c r="L22" s="61">
        <v>0.22944610474917759</v>
      </c>
      <c r="M22" s="61">
        <v>0.2091797254341361</v>
      </c>
      <c r="N22" s="61">
        <v>0.18891334611909461</v>
      </c>
      <c r="O22" s="61">
        <v>0.16864696680405314</v>
      </c>
      <c r="P22" s="61">
        <v>0.83654442619723424</v>
      </c>
      <c r="Q22" s="61">
        <v>1.1046027142613775</v>
      </c>
      <c r="R22" s="61">
        <v>1.3726610023255206</v>
      </c>
      <c r="S22" s="61">
        <v>1.6407192903896637</v>
      </c>
      <c r="T22" s="61">
        <v>1.9087775784538068</v>
      </c>
      <c r="U22" s="61">
        <v>2.1768358665179504</v>
      </c>
      <c r="V22" s="61">
        <v>2.6493976130365069</v>
      </c>
      <c r="W22" s="61">
        <v>3.1219593595550634</v>
      </c>
      <c r="X22" s="61">
        <v>3.59452110607362</v>
      </c>
      <c r="Y22" s="61">
        <v>4.0670828525921765</v>
      </c>
      <c r="Z22" s="61">
        <v>4.5396445991107335</v>
      </c>
      <c r="AA22" s="61">
        <v>3.8490583540467944</v>
      </c>
      <c r="AB22" s="61">
        <v>3.1584721089828554</v>
      </c>
      <c r="AC22" s="61">
        <v>2.4678858639189163</v>
      </c>
      <c r="AD22" s="61">
        <v>1.7772996188549772</v>
      </c>
      <c r="AE22" s="61">
        <v>1.0867133737910388</v>
      </c>
      <c r="AF22" s="87"/>
    </row>
    <row r="23" spans="1:32" x14ac:dyDescent="0.35">
      <c r="A23" s="87" t="s">
        <v>30</v>
      </c>
      <c r="B23" s="167"/>
      <c r="C23" s="87" t="s">
        <v>35</v>
      </c>
      <c r="D23" s="61">
        <v>4</v>
      </c>
      <c r="E23" s="61">
        <v>5</v>
      </c>
      <c r="F23" s="61">
        <v>8</v>
      </c>
      <c r="G23" s="61">
        <v>11</v>
      </c>
      <c r="H23" s="61">
        <v>14</v>
      </c>
      <c r="I23" s="61">
        <v>17</v>
      </c>
      <c r="J23" s="61">
        <v>20</v>
      </c>
      <c r="K23" s="61">
        <v>23</v>
      </c>
      <c r="L23" s="61">
        <v>20.75</v>
      </c>
      <c r="M23" s="61">
        <v>18.5</v>
      </c>
      <c r="N23" s="61">
        <v>16.25</v>
      </c>
      <c r="O23" s="61">
        <v>14</v>
      </c>
      <c r="P23" s="61">
        <v>44</v>
      </c>
      <c r="Q23" s="61">
        <v>52.4</v>
      </c>
      <c r="R23" s="61">
        <v>60.8</v>
      </c>
      <c r="S23" s="61">
        <v>69.2</v>
      </c>
      <c r="T23" s="61">
        <v>77.600000000000009</v>
      </c>
      <c r="U23" s="61">
        <v>86</v>
      </c>
      <c r="V23" s="61">
        <v>94.6</v>
      </c>
      <c r="W23" s="61">
        <v>103.19999999999999</v>
      </c>
      <c r="X23" s="61">
        <v>111.79999999999998</v>
      </c>
      <c r="Y23" s="61">
        <v>120.39999999999998</v>
      </c>
      <c r="Z23" s="61">
        <v>129</v>
      </c>
      <c r="AA23" s="61">
        <v>138.80000000000001</v>
      </c>
      <c r="AB23" s="61">
        <v>148.60000000000002</v>
      </c>
      <c r="AC23" s="61">
        <v>158.40000000000003</v>
      </c>
      <c r="AD23" s="61">
        <v>168.20000000000005</v>
      </c>
      <c r="AE23" s="61">
        <v>178</v>
      </c>
      <c r="AF23" s="87"/>
    </row>
    <row r="24" spans="1:32" x14ac:dyDescent="0.35">
      <c r="A24" s="87" t="s">
        <v>30</v>
      </c>
      <c r="B24" s="167"/>
      <c r="C24" s="87" t="s">
        <v>108</v>
      </c>
      <c r="D24" s="61">
        <v>4257.2104163428648</v>
      </c>
      <c r="E24" s="61">
        <v>6452.8679550916413</v>
      </c>
      <c r="F24" s="61">
        <v>8648.5254938404178</v>
      </c>
      <c r="G24" s="61">
        <v>10844.183032589193</v>
      </c>
      <c r="H24" s="61">
        <v>13039.840571337969</v>
      </c>
      <c r="I24" s="61">
        <v>15235.498110086744</v>
      </c>
      <c r="J24" s="61">
        <v>17431.15564883552</v>
      </c>
      <c r="K24" s="61">
        <v>19626.813187584299</v>
      </c>
      <c r="L24" s="61">
        <v>21822.470726333075</v>
      </c>
      <c r="M24" s="61">
        <v>24018.128265081847</v>
      </c>
      <c r="N24" s="61">
        <v>26213.785803830619</v>
      </c>
      <c r="O24" s="61">
        <v>28409.44334257939</v>
      </c>
      <c r="P24" s="61">
        <v>30605.100881328162</v>
      </c>
      <c r="Q24" s="61">
        <v>32800.758420076934</v>
      </c>
      <c r="R24" s="61">
        <v>34996.415958825703</v>
      </c>
      <c r="S24" s="61">
        <v>37192.073497574478</v>
      </c>
      <c r="T24" s="61">
        <v>39387.731036323254</v>
      </c>
      <c r="U24" s="61">
        <v>41583.388575072022</v>
      </c>
      <c r="V24" s="61">
        <v>43779.04611382079</v>
      </c>
      <c r="W24" s="61">
        <v>45974.703652569566</v>
      </c>
      <c r="X24" s="61">
        <v>48170.361191318341</v>
      </c>
      <c r="Y24" s="61">
        <v>50366.018730067124</v>
      </c>
      <c r="Z24" s="61">
        <v>52561.676268815907</v>
      </c>
      <c r="AA24" s="61">
        <v>54757.333807564683</v>
      </c>
      <c r="AB24" s="61">
        <v>56952.991346313458</v>
      </c>
      <c r="AC24" s="61">
        <v>59148.648885062241</v>
      </c>
      <c r="AD24" s="61">
        <v>61344.306423811024</v>
      </c>
      <c r="AE24" s="61">
        <v>63539.963962559814</v>
      </c>
      <c r="AF24" s="87"/>
    </row>
    <row r="25" spans="1:32" x14ac:dyDescent="0.35">
      <c r="A25" s="87" t="s">
        <v>30</v>
      </c>
      <c r="B25" s="167"/>
      <c r="C25" s="87" t="s">
        <v>109</v>
      </c>
      <c r="D25" s="61">
        <v>73083.579560220824</v>
      </c>
      <c r="E25" s="61">
        <v>75890.632552634474</v>
      </c>
      <c r="F25" s="61">
        <v>78697.685545048051</v>
      </c>
      <c r="G25" s="61">
        <v>80364.818540542328</v>
      </c>
      <c r="H25" s="61">
        <v>82046.200535998374</v>
      </c>
      <c r="I25" s="61">
        <v>83713.33353149271</v>
      </c>
      <c r="J25" s="61">
        <v>85522.956526602007</v>
      </c>
      <c r="K25" s="61">
        <v>87318.330521749813</v>
      </c>
      <c r="L25" s="61">
        <v>89113.704516897546</v>
      </c>
      <c r="M25" s="61">
        <v>90909.07851204522</v>
      </c>
      <c r="N25" s="61">
        <v>92747.199507077617</v>
      </c>
      <c r="O25" s="61">
        <v>94585.320502109913</v>
      </c>
      <c r="P25" s="61">
        <v>96437.690497103773</v>
      </c>
      <c r="Q25" s="61">
        <v>98275.811492135937</v>
      </c>
      <c r="R25" s="61">
        <v>100056.93648732225</v>
      </c>
      <c r="S25" s="61">
        <v>101838.06148250868</v>
      </c>
      <c r="T25" s="61">
        <v>103633.4354776562</v>
      </c>
      <c r="U25" s="61">
        <v>105414.5604728426</v>
      </c>
      <c r="V25" s="61">
        <v>107067.44446837562</v>
      </c>
      <c r="W25" s="61">
        <v>108720.32846390837</v>
      </c>
      <c r="X25" s="61">
        <v>110373.21245944136</v>
      </c>
      <c r="Y25" s="61">
        <v>112011.84745501268</v>
      </c>
      <c r="Z25" s="61">
        <v>113479.49445104616</v>
      </c>
      <c r="AA25" s="61">
        <v>114932.89244711811</v>
      </c>
      <c r="AB25" s="61">
        <v>116386.29044319027</v>
      </c>
      <c r="AC25" s="61">
        <v>117853.93743922375</v>
      </c>
      <c r="AD25" s="61">
        <v>119093.60043587345</v>
      </c>
      <c r="AE25" s="61">
        <v>120333.26343252316</v>
      </c>
      <c r="AF25" s="61"/>
    </row>
    <row r="26" spans="1:32" s="80" customFormat="1" x14ac:dyDescent="0.35">
      <c r="A26" s="87" t="s">
        <v>30</v>
      </c>
      <c r="B26" s="16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55356.343854525418</v>
      </c>
      <c r="T26" s="61">
        <v>58553.288177258051</v>
      </c>
      <c r="U26" s="61">
        <v>61842.499031107713</v>
      </c>
      <c r="V26" s="61">
        <v>65024.885300951166</v>
      </c>
      <c r="W26" s="61">
        <v>68293.268833520342</v>
      </c>
      <c r="X26" s="61">
        <v>71656.49099181639</v>
      </c>
      <c r="Y26" s="61">
        <v>75060.951475304391</v>
      </c>
      <c r="Z26" s="61">
        <v>78184.812939843832</v>
      </c>
      <c r="AA26" s="61">
        <v>81331.701489298488</v>
      </c>
      <c r="AB26" s="61">
        <v>84513.987783635414</v>
      </c>
      <c r="AC26" s="61">
        <v>87765.435092958593</v>
      </c>
      <c r="AD26" s="61">
        <v>90580.769838002132</v>
      </c>
      <c r="AE26" s="61">
        <v>93440.683251971685</v>
      </c>
      <c r="AF26" s="61"/>
    </row>
    <row r="27" spans="1:32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24.266666666666605</v>
      </c>
      <c r="T27" s="61">
        <v>48.533333333333211</v>
      </c>
      <c r="U27" s="61">
        <v>72.799999999999812</v>
      </c>
      <c r="V27" s="61">
        <v>141.63999999999976</v>
      </c>
      <c r="W27" s="61">
        <v>210.47999999999971</v>
      </c>
      <c r="X27" s="61">
        <v>279.31999999999965</v>
      </c>
      <c r="Y27" s="61">
        <v>348.15999999999963</v>
      </c>
      <c r="Z27" s="61">
        <v>416.99999999999955</v>
      </c>
      <c r="AA27" s="61">
        <v>530.51999999999953</v>
      </c>
      <c r="AB27" s="61">
        <v>644.03999999999951</v>
      </c>
      <c r="AC27" s="61">
        <v>757.55999999999949</v>
      </c>
      <c r="AD27" s="61">
        <v>871.07999999999947</v>
      </c>
      <c r="AE27" s="61">
        <v>984.59999999999945</v>
      </c>
      <c r="AF27" s="61"/>
    </row>
    <row r="28" spans="1:32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9.6666666666666661</v>
      </c>
      <c r="T28" s="61">
        <v>19.333333333333332</v>
      </c>
      <c r="U28" s="61">
        <v>29</v>
      </c>
      <c r="V28" s="61">
        <v>39.759999999999991</v>
      </c>
      <c r="W28" s="61">
        <v>50.519999999999982</v>
      </c>
      <c r="X28" s="61">
        <v>61.279999999999973</v>
      </c>
      <c r="Y28" s="61">
        <v>72.039999999999964</v>
      </c>
      <c r="Z28" s="61">
        <v>82.799999999999955</v>
      </c>
      <c r="AA28" s="61">
        <v>92.239999999999966</v>
      </c>
      <c r="AB28" s="61">
        <v>101.67999999999998</v>
      </c>
      <c r="AC28" s="61">
        <v>111.11999999999999</v>
      </c>
      <c r="AD28" s="61">
        <v>120.56</v>
      </c>
      <c r="AE28" s="61">
        <v>130</v>
      </c>
      <c r="AF28" s="61"/>
    </row>
    <row r="29" spans="1:32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0.16070025109077285</v>
      </c>
      <c r="T29" s="61">
        <v>0.3214005021815457</v>
      </c>
      <c r="U29" s="61">
        <v>0.48210075327231855</v>
      </c>
      <c r="V29" s="61">
        <v>1.9505213718245722</v>
      </c>
      <c r="W29" s="61">
        <v>3.4189419903768261</v>
      </c>
      <c r="X29" s="61">
        <v>4.88736260892908</v>
      </c>
      <c r="Y29" s="61">
        <v>6.355783227481334</v>
      </c>
      <c r="Z29" s="61">
        <v>7.824203846033587</v>
      </c>
      <c r="AA29" s="61">
        <v>13.214328669089518</v>
      </c>
      <c r="AB29" s="61">
        <v>18.604453492145449</v>
      </c>
      <c r="AC29" s="61">
        <v>23.99457831520138</v>
      </c>
      <c r="AD29" s="61">
        <v>29.384703138257311</v>
      </c>
      <c r="AE29" s="61">
        <v>34.774827961313242</v>
      </c>
      <c r="AF29" s="61"/>
    </row>
    <row r="30" spans="1:32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2.6783375181795476E-2</v>
      </c>
      <c r="T30" s="61">
        <v>5.3566750363590952E-2</v>
      </c>
      <c r="U30" s="61">
        <v>8.0350125545386425E-2</v>
      </c>
      <c r="V30" s="61">
        <v>0.15632955744846899</v>
      </c>
      <c r="W30" s="61">
        <v>0.23230898935155156</v>
      </c>
      <c r="X30" s="61">
        <v>0.30828842125463413</v>
      </c>
      <c r="Y30" s="61">
        <v>0.38426785315771672</v>
      </c>
      <c r="Z30" s="61">
        <v>0.4602472850607992</v>
      </c>
      <c r="AA30" s="61">
        <v>0.58554050280684711</v>
      </c>
      <c r="AB30" s="61">
        <v>0.71083372055289495</v>
      </c>
      <c r="AC30" s="61">
        <v>0.83612693829894291</v>
      </c>
      <c r="AD30" s="61">
        <v>0.96142015604499087</v>
      </c>
      <c r="AE30" s="61">
        <v>1.0867133737910388</v>
      </c>
      <c r="AF30" s="61"/>
    </row>
    <row r="31" spans="1:32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1.3333333333333333</v>
      </c>
      <c r="T31" s="61">
        <v>2.6666666666666665</v>
      </c>
      <c r="U31" s="61">
        <v>4</v>
      </c>
      <c r="V31" s="61">
        <v>4.8</v>
      </c>
      <c r="W31" s="61">
        <v>5.6</v>
      </c>
      <c r="X31" s="61">
        <v>6.3999999999999995</v>
      </c>
      <c r="Y31" s="61">
        <v>7.1999999999999993</v>
      </c>
      <c r="Z31" s="61">
        <v>8</v>
      </c>
      <c r="AA31" s="61">
        <v>9.1999999999999993</v>
      </c>
      <c r="AB31" s="61">
        <v>10.399999999999999</v>
      </c>
      <c r="AC31" s="61">
        <v>11.599999999999998</v>
      </c>
      <c r="AD31" s="61">
        <v>12.799999999999997</v>
      </c>
      <c r="AE31" s="61">
        <v>14</v>
      </c>
      <c r="AF31" s="87"/>
    </row>
    <row r="32" spans="1:32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91213.786781168485</v>
      </c>
      <c r="T32" s="61">
        <v>376966.31759256497</v>
      </c>
      <c r="U32" s="61">
        <v>785798.45585021283</v>
      </c>
      <c r="V32" s="61">
        <v>1317282.8299779971</v>
      </c>
      <c r="W32" s="61">
        <v>1885288.5254990961</v>
      </c>
      <c r="X32" s="61">
        <v>2201307.1348600131</v>
      </c>
      <c r="Y32" s="61">
        <v>3051349.4190173559</v>
      </c>
      <c r="Z32" s="61">
        <v>3895785.755846045</v>
      </c>
      <c r="AA32" s="61">
        <v>4575658.7643947285</v>
      </c>
      <c r="AB32" s="61">
        <v>5166780.0228171833</v>
      </c>
      <c r="AC32" s="61">
        <v>6360287.9130691634</v>
      </c>
      <c r="AD32" s="61">
        <v>7438141.0568079976</v>
      </c>
      <c r="AE32" s="61">
        <v>8727913.0098856427</v>
      </c>
      <c r="AF32" s="87"/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513985.54696448869</v>
      </c>
      <c r="T33" s="61">
        <v>2124188.0835387628</v>
      </c>
      <c r="U33" s="61">
        <v>4166493.7974655023</v>
      </c>
      <c r="V33" s="61">
        <v>7009579.1682794141</v>
      </c>
      <c r="W33" s="61">
        <v>9899371.746354904</v>
      </c>
      <c r="X33" s="61">
        <v>10518234.125800444</v>
      </c>
      <c r="Y33" s="61">
        <v>14704076.305017315</v>
      </c>
      <c r="Z33" s="61">
        <v>18976439.354195435</v>
      </c>
      <c r="AA33" s="61">
        <v>21500874.75371711</v>
      </c>
      <c r="AB33" s="61">
        <v>22954815.574946426</v>
      </c>
      <c r="AC33" s="61">
        <v>28543787.983489674</v>
      </c>
      <c r="AD33" s="61">
        <v>32989589.650346529</v>
      </c>
      <c r="AE33" s="61">
        <v>38556566.639568932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3395.29445412522</v>
      </c>
      <c r="E34" s="61">
        <v>11092.468155374741</v>
      </c>
      <c r="F34" s="61">
        <v>18789.641856624265</v>
      </c>
      <c r="G34" s="61">
        <v>26486.815557873786</v>
      </c>
      <c r="H34" s="61">
        <v>34183.989259123307</v>
      </c>
      <c r="I34" s="61">
        <v>41881.162960372829</v>
      </c>
      <c r="J34" s="61">
        <v>49578.33666162235</v>
      </c>
      <c r="K34" s="61">
        <v>57275.510362871872</v>
      </c>
      <c r="L34" s="61">
        <v>92690.494602770981</v>
      </c>
      <c r="M34" s="61">
        <v>128105.47884267008</v>
      </c>
      <c r="N34" s="61">
        <v>163520.46308256919</v>
      </c>
      <c r="O34" s="61">
        <v>198935.44732246827</v>
      </c>
      <c r="P34" s="61">
        <v>309530.52349484165</v>
      </c>
      <c r="Q34" s="61">
        <v>420125.59966721502</v>
      </c>
      <c r="R34" s="61">
        <v>530720.6758395884</v>
      </c>
      <c r="S34" s="61">
        <v>641315.75201196177</v>
      </c>
      <c r="T34" s="61">
        <v>751910.82818433514</v>
      </c>
      <c r="U34" s="61">
        <v>862505.9043567084</v>
      </c>
      <c r="V34" s="61">
        <v>1128286.7009287993</v>
      </c>
      <c r="W34" s="61">
        <v>1394067.4975008904</v>
      </c>
      <c r="X34" s="61">
        <v>1659848.2940729815</v>
      </c>
      <c r="Y34" s="61">
        <v>1925629.0906450725</v>
      </c>
      <c r="Z34" s="61">
        <v>2191409.8872171636</v>
      </c>
      <c r="AA34" s="61">
        <v>2624954.9121498526</v>
      </c>
      <c r="AB34" s="61">
        <v>3058499.9370825416</v>
      </c>
      <c r="AC34" s="61">
        <v>3492044.9620152307</v>
      </c>
      <c r="AD34" s="61">
        <v>3925589.9869479197</v>
      </c>
      <c r="AE34" s="61">
        <v>4359135.0118806083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14088.726222484984</v>
      </c>
      <c r="E35" s="61">
        <v>21785.899923734505</v>
      </c>
      <c r="F35" s="61">
        <v>29483.073624984027</v>
      </c>
      <c r="G35" s="61">
        <v>37180.247326233548</v>
      </c>
      <c r="H35" s="61">
        <v>44877.421027483069</v>
      </c>
      <c r="I35" s="61">
        <v>52574.594728732591</v>
      </c>
      <c r="J35" s="61">
        <v>60271.768429982112</v>
      </c>
      <c r="K35" s="61">
        <v>237663.91859627588</v>
      </c>
      <c r="L35" s="61">
        <v>384617.89383201464</v>
      </c>
      <c r="M35" s="61">
        <v>531571.86906775343</v>
      </c>
      <c r="N35" s="61">
        <v>678525.84430349222</v>
      </c>
      <c r="O35" s="61">
        <v>825479.8195392309</v>
      </c>
      <c r="P35" s="61">
        <v>1284392.5208674839</v>
      </c>
      <c r="Q35" s="61">
        <v>1743305.2221957371</v>
      </c>
      <c r="R35" s="61">
        <v>2202217.92352399</v>
      </c>
      <c r="S35" s="61">
        <v>2661130.6248522429</v>
      </c>
      <c r="T35" s="61">
        <v>3120043.3261804958</v>
      </c>
      <c r="U35" s="61">
        <v>3578956.0275087492</v>
      </c>
      <c r="V35" s="61">
        <v>4681809.6764901066</v>
      </c>
      <c r="W35" s="61">
        <v>5784663.3254714645</v>
      </c>
      <c r="X35" s="61">
        <v>6887516.9744528215</v>
      </c>
      <c r="Y35" s="61">
        <v>7990370.6234341785</v>
      </c>
      <c r="Z35" s="61">
        <v>9093224.2724155355</v>
      </c>
      <c r="AA35" s="61">
        <v>10892213.20958293</v>
      </c>
      <c r="AB35" s="61">
        <v>12691202.146750325</v>
      </c>
      <c r="AC35" s="61">
        <v>14490191.08391772</v>
      </c>
      <c r="AD35" s="61">
        <v>16289180.021085115</v>
      </c>
      <c r="AE35" s="61">
        <v>18088168.958252512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5110374.2213796834</v>
      </c>
      <c r="E36" s="61">
        <v>6015097.5811416227</v>
      </c>
      <c r="F36" s="61">
        <v>6967510.592113046</v>
      </c>
      <c r="G36" s="61">
        <v>7745187.9968061158</v>
      </c>
      <c r="H36" s="61">
        <v>8491036.71368628</v>
      </c>
      <c r="I36" s="61">
        <v>9233048.74636738</v>
      </c>
      <c r="J36" s="61">
        <v>10172667.817321118</v>
      </c>
      <c r="K36" s="61">
        <v>11216525.058557451</v>
      </c>
      <c r="L36" s="61">
        <v>12260160.059538106</v>
      </c>
      <c r="M36" s="61">
        <v>13330830.006865343</v>
      </c>
      <c r="N36" s="61">
        <v>14604368.715492908</v>
      </c>
      <c r="O36" s="61">
        <v>15898045.990351547</v>
      </c>
      <c r="P36" s="61">
        <v>17328004.734673198</v>
      </c>
      <c r="Q36" s="61">
        <v>18766389.698252752</v>
      </c>
      <c r="R36" s="61">
        <v>20232001.086540084</v>
      </c>
      <c r="S36" s="61">
        <v>21817429.49744973</v>
      </c>
      <c r="T36" s="61">
        <v>23600568.043533172</v>
      </c>
      <c r="U36" s="61">
        <v>25503802.072911512</v>
      </c>
      <c r="V36" s="61">
        <v>27434997.056164566</v>
      </c>
      <c r="W36" s="61">
        <v>29443388.644315328</v>
      </c>
      <c r="X36" s="61">
        <v>31566313.148651812</v>
      </c>
      <c r="Y36" s="61">
        <v>33843442.253389135</v>
      </c>
      <c r="Z36" s="61">
        <v>36000441.291783169</v>
      </c>
      <c r="AA36" s="61">
        <v>38358137.116168171</v>
      </c>
      <c r="AB36" s="61">
        <v>40806428.006710529</v>
      </c>
      <c r="AC36" s="61">
        <v>43292848.447085924</v>
      </c>
      <c r="AD36" s="61">
        <v>45372446.239866607</v>
      </c>
      <c r="AE36" s="61">
        <v>47951699.30872459</v>
      </c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61">
        <f>H38*'Cost Assumptions'!$B$5</f>
        <v>45.256328515624986</v>
      </c>
      <c r="J38" s="61">
        <f>I38*'Cost Assumptions'!$B$5</f>
        <v>46.387736728515605</v>
      </c>
      <c r="K38" s="61">
        <f>J38*'Cost Assumptions'!$B$5</f>
        <v>47.547430146728495</v>
      </c>
      <c r="L38" s="61">
        <f>K38*'Cost Assumptions'!$B$5</f>
        <v>48.736115900396705</v>
      </c>
      <c r="M38" s="61">
        <f>L38*'Cost Assumptions'!$B$5</f>
        <v>49.954518797906616</v>
      </c>
      <c r="N38" s="61">
        <f>M38*'Cost Assumptions'!$B$5</f>
        <v>51.203381767854275</v>
      </c>
      <c r="O38" s="61">
        <f>N38*'Cost Assumptions'!$B$5</f>
        <v>52.483466312050624</v>
      </c>
      <c r="P38" s="61">
        <f>O38*'Cost Assumptions'!$B$5</f>
        <v>53.795552969851883</v>
      </c>
      <c r="Q38" s="61">
        <f>P38*'Cost Assumptions'!$B$5</f>
        <v>55.140441794098173</v>
      </c>
      <c r="R38" s="61">
        <f>Q38*'Cost Assumptions'!$B$5</f>
        <v>56.518952838950625</v>
      </c>
      <c r="S38" s="61">
        <f>R38*'Cost Assumptions'!$B$5</f>
        <v>57.931926659924386</v>
      </c>
      <c r="T38" s="61">
        <f>S38*'Cost Assumptions'!$B$5</f>
        <v>59.380224826422491</v>
      </c>
      <c r="U38" s="61">
        <f>T38*'Cost Assumptions'!$B$5</f>
        <v>60.864730447083048</v>
      </c>
      <c r="V38" s="61">
        <f>U38*'Cost Assumptions'!$B$5</f>
        <v>62.386348708260115</v>
      </c>
      <c r="W38" s="61">
        <f>V38*'Cost Assumptions'!$B$5</f>
        <v>63.946007425966613</v>
      </c>
      <c r="X38" s="61">
        <f>W38*'Cost Assumptions'!$B$5</f>
        <v>65.544657611615776</v>
      </c>
      <c r="Y38" s="61">
        <f>X38*'Cost Assumptions'!$B$5</f>
        <v>67.183274051906167</v>
      </c>
      <c r="Z38" s="61">
        <f>Y38*'Cost Assumptions'!$B$5</f>
        <v>68.862855903203823</v>
      </c>
      <c r="AA38" s="61">
        <f>Z38*'Cost Assumptions'!$B$5</f>
        <v>70.584427300783915</v>
      </c>
      <c r="AB38" s="61">
        <f>AA38*'Cost Assumptions'!$B$5</f>
        <v>72.349037983303504</v>
      </c>
      <c r="AC38" s="61">
        <f>AB38*'Cost Assumptions'!$B$5</f>
        <v>74.157763932886084</v>
      </c>
      <c r="AD38" s="61">
        <f>AC38*'Cost Assumptions'!$B$5</f>
        <v>76.011708031208229</v>
      </c>
      <c r="AE38" s="61">
        <f>AD38*'Cost Assumptions'!$B$5</f>
        <v>77.912000731988428</v>
      </c>
    </row>
    <row r="39" spans="1:31" x14ac:dyDescent="0.35">
      <c r="A39" s="87"/>
      <c r="B39" s="87"/>
      <c r="C39" s="8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Assumptions'!$B$3,Menifee!D42:'Menifee'!AE42)</f>
        <v>11249.145848992586</v>
      </c>
      <c r="C42" s="87" t="s">
        <v>107</v>
      </c>
      <c r="D42" s="61">
        <f t="shared" ref="D42" si="0">D2-D18</f>
        <v>795.12499999900319</v>
      </c>
      <c r="E42" s="61">
        <f t="shared" ref="E42:AE42" si="1">E2-E18</f>
        <v>852.87499999941792</v>
      </c>
      <c r="F42" s="61">
        <f t="shared" si="1"/>
        <v>904.43365384559002</v>
      </c>
      <c r="G42" s="61">
        <f t="shared" si="1"/>
        <v>955.99230769176211</v>
      </c>
      <c r="H42" s="61">
        <f t="shared" si="1"/>
        <v>1007.5509615379342</v>
      </c>
      <c r="I42" s="61">
        <f t="shared" si="1"/>
        <v>1059.1096153841063</v>
      </c>
      <c r="J42" s="61">
        <f t="shared" si="1"/>
        <v>1110.6682692302784</v>
      </c>
      <c r="K42" s="61">
        <f t="shared" si="1"/>
        <v>1162.2269230764505</v>
      </c>
      <c r="L42" s="61">
        <f t="shared" si="1"/>
        <v>1213.7855769226226</v>
      </c>
      <c r="M42" s="61">
        <f t="shared" si="1"/>
        <v>1265.3442307687947</v>
      </c>
      <c r="N42" s="61">
        <f t="shared" si="1"/>
        <v>1316.9028846149668</v>
      </c>
      <c r="O42" s="61">
        <f t="shared" si="1"/>
        <v>1368.4615384611388</v>
      </c>
      <c r="P42" s="61">
        <f t="shared" si="1"/>
        <v>1420.0201923073109</v>
      </c>
      <c r="Q42" s="61">
        <f t="shared" si="1"/>
        <v>1471.578846153483</v>
      </c>
      <c r="R42" s="61">
        <f t="shared" si="1"/>
        <v>1523.1374999996551</v>
      </c>
      <c r="S42" s="61">
        <f t="shared" si="1"/>
        <v>1574.6961538458272</v>
      </c>
      <c r="T42" s="61">
        <f t="shared" si="1"/>
        <v>1626.2548076919993</v>
      </c>
      <c r="U42" s="61">
        <f t="shared" si="1"/>
        <v>1677.8134615381714</v>
      </c>
      <c r="V42" s="61">
        <f t="shared" si="1"/>
        <v>1729.3721153843435</v>
      </c>
      <c r="W42" s="61">
        <f t="shared" si="1"/>
        <v>1780.9307692305156</v>
      </c>
      <c r="X42" s="61">
        <f t="shared" si="1"/>
        <v>1832.4894230766877</v>
      </c>
      <c r="Y42" s="61">
        <f t="shared" si="1"/>
        <v>1884.0480769228598</v>
      </c>
      <c r="Z42" s="61">
        <f t="shared" si="1"/>
        <v>1935.6067307690319</v>
      </c>
      <c r="AA42" s="61">
        <f t="shared" si="1"/>
        <v>1987.1653846152039</v>
      </c>
      <c r="AB42" s="61">
        <f t="shared" si="1"/>
        <v>2038.724038461376</v>
      </c>
      <c r="AC42" s="61">
        <f t="shared" si="1"/>
        <v>2090.2826923075481</v>
      </c>
      <c r="AD42" s="61">
        <f t="shared" si="1"/>
        <v>2141.8413461537202</v>
      </c>
      <c r="AE42" s="61">
        <f t="shared" si="1"/>
        <v>2193.3999999998705</v>
      </c>
    </row>
    <row r="43" spans="1:31" x14ac:dyDescent="0.35">
      <c r="A43" s="87"/>
      <c r="B43" s="9">
        <f>NPV('Cost Assumptions'!$B$3,Menifee!D43:'Menifee'!AE43)</f>
        <v>585160.87294775015</v>
      </c>
      <c r="C43" s="87" t="s">
        <v>139</v>
      </c>
      <c r="D43" s="61">
        <f>D42*D38</f>
        <v>31804.999999960128</v>
      </c>
      <c r="E43" s="61">
        <f>E42*E38</f>
        <v>34967.874999976135</v>
      </c>
      <c r="F43" s="61">
        <f>F42*F38</f>
        <v>38008.824302860921</v>
      </c>
      <c r="G43" s="61">
        <f>G42*G38</f>
        <v>41179.966149014952</v>
      </c>
      <c r="H43" s="61">
        <f>H42*H38</f>
        <v>44485.909572287404</v>
      </c>
      <c r="I43" s="61">
        <f t="shared" ref="I43:AE43" si="2">I42*I38</f>
        <v>47931.412687880344</v>
      </c>
      <c r="J43" s="61">
        <f t="shared" si="2"/>
        <v>51521.387265770245</v>
      </c>
      <c r="K43" s="61">
        <f t="shared" si="2"/>
        <v>55260.903439624723</v>
      </c>
      <c r="L43" s="61">
        <f t="shared" si="2"/>
        <v>59155.194555130816</v>
      </c>
      <c r="M43" s="61">
        <f t="shared" si="2"/>
        <v>63209.662161762441</v>
      </c>
      <c r="N43" s="61">
        <f t="shared" si="2"/>
        <v>67429.881152128684</v>
      </c>
      <c r="O43" s="61">
        <f t="shared" si="2"/>
        <v>71821.605053162144</v>
      </c>
      <c r="P43" s="61">
        <f t="shared" si="2"/>
        <v>76390.771473527202</v>
      </c>
      <c r="Q43" s="61">
        <f t="shared" si="2"/>
        <v>81143.507711752274</v>
      </c>
      <c r="R43" s="61">
        <f t="shared" si="2"/>
        <v>86086.136529717667</v>
      </c>
      <c r="S43" s="61">
        <f t="shared" si="2"/>
        <v>91225.182096261473</v>
      </c>
      <c r="T43" s="61">
        <f t="shared" si="2"/>
        <v>96567.376105801392</v>
      </c>
      <c r="U43" s="61">
        <f t="shared" si="2"/>
        <v>102119.66407700814</v>
      </c>
      <c r="V43" s="61">
        <f t="shared" si="2"/>
        <v>107889.2118367091</v>
      </c>
      <c r="W43" s="61">
        <f t="shared" si="2"/>
        <v>113883.41219434698</v>
      </c>
      <c r="X43" s="61">
        <f t="shared" si="2"/>
        <v>120109.89181246882</v>
      </c>
      <c r="Y43" s="61">
        <f t="shared" si="2"/>
        <v>126576.51827887527</v>
      </c>
      <c r="Z43" s="61">
        <f t="shared" si="2"/>
        <v>133291.40738621927</v>
      </c>
      <c r="AA43" s="61">
        <f t="shared" si="2"/>
        <v>140262.93062500618</v>
      </c>
      <c r="AB43" s="61">
        <f t="shared" si="2"/>
        <v>147499.722896116</v>
      </c>
      <c r="AC43" s="61">
        <f t="shared" si="2"/>
        <v>155010.6904491407</v>
      </c>
      <c r="AD43" s="61">
        <f t="shared" si="2"/>
        <v>162805.01905300657</v>
      </c>
      <c r="AE43" s="61">
        <f t="shared" si="2"/>
        <v>170892.18240553333</v>
      </c>
    </row>
    <row r="44" spans="1:31" x14ac:dyDescent="0.35">
      <c r="A44" s="87" t="s">
        <v>30</v>
      </c>
      <c r="B44" s="9">
        <f>NPV('Cost Assumptions'!$B$3,Menifee!D44:'Menifee'!AE44)</f>
        <v>1889.9754445262672</v>
      </c>
      <c r="C44" s="87" t="s">
        <v>31</v>
      </c>
      <c r="D44" s="61">
        <f t="shared" ref="D44" si="3">D3-D19</f>
        <v>2.1000000000000227</v>
      </c>
      <c r="E44" s="61">
        <f t="shared" ref="E44:AE44" si="4">E3-E19</f>
        <v>4.5999999999999943</v>
      </c>
      <c r="F44" s="61">
        <f t="shared" si="4"/>
        <v>4.63333333333334</v>
      </c>
      <c r="G44" s="61">
        <f t="shared" si="4"/>
        <v>4.6666666666666856</v>
      </c>
      <c r="H44" s="61">
        <f t="shared" si="4"/>
        <v>4.7000000000000455</v>
      </c>
      <c r="I44" s="61">
        <f t="shared" si="4"/>
        <v>4.7333333333334053</v>
      </c>
      <c r="J44" s="61">
        <f t="shared" si="4"/>
        <v>4.7666666666667652</v>
      </c>
      <c r="K44" s="61">
        <f t="shared" si="4"/>
        <v>4.8000000000000682</v>
      </c>
      <c r="L44" s="61">
        <f t="shared" si="4"/>
        <v>140.25000000000006</v>
      </c>
      <c r="M44" s="61">
        <f t="shared" si="4"/>
        <v>275.7000000000001</v>
      </c>
      <c r="N44" s="61">
        <f t="shared" si="4"/>
        <v>411.15000000000015</v>
      </c>
      <c r="O44" s="61">
        <f t="shared" si="4"/>
        <v>546.6</v>
      </c>
      <c r="P44" s="61">
        <f t="shared" si="4"/>
        <v>199.85000000000014</v>
      </c>
      <c r="Q44" s="61">
        <f t="shared" si="4"/>
        <v>223.50000000000023</v>
      </c>
      <c r="R44" s="61">
        <f t="shared" si="4"/>
        <v>247.15000000000009</v>
      </c>
      <c r="S44" s="61">
        <f t="shared" si="4"/>
        <v>270.80000000000018</v>
      </c>
      <c r="T44" s="61">
        <f t="shared" si="4"/>
        <v>294.45000000000027</v>
      </c>
      <c r="U44" s="61">
        <f t="shared" si="4"/>
        <v>318.10000000000036</v>
      </c>
      <c r="V44" s="61">
        <f t="shared" si="4"/>
        <v>519.45000000000027</v>
      </c>
      <c r="W44" s="61">
        <f t="shared" si="4"/>
        <v>720.79999999999973</v>
      </c>
      <c r="X44" s="61">
        <f t="shared" si="4"/>
        <v>922.14999999999918</v>
      </c>
      <c r="Y44" s="61">
        <f t="shared" si="4"/>
        <v>1123.4999999999986</v>
      </c>
      <c r="Z44" s="61">
        <f t="shared" si="4"/>
        <v>752.29999999999927</v>
      </c>
      <c r="AA44" s="61">
        <f t="shared" si="4"/>
        <v>900.03999999999905</v>
      </c>
      <c r="AB44" s="61">
        <f t="shared" si="4"/>
        <v>1047.7799999999988</v>
      </c>
      <c r="AC44" s="61">
        <f t="shared" si="4"/>
        <v>1195.5199999999986</v>
      </c>
      <c r="AD44" s="61">
        <f t="shared" si="4"/>
        <v>1343.2599999999984</v>
      </c>
      <c r="AE44" s="61">
        <f t="shared" si="4"/>
        <v>1490.9999999999982</v>
      </c>
    </row>
    <row r="45" spans="1:31" x14ac:dyDescent="0.35">
      <c r="A45" s="87" t="s">
        <v>30</v>
      </c>
      <c r="B45" s="9">
        <f>NPV('Cost Assumptions'!$B$3,Menifee!D45:'Menifee'!AE45)</f>
        <v>-46.173427089324001</v>
      </c>
      <c r="C45" s="87" t="s">
        <v>32</v>
      </c>
      <c r="D45" s="61">
        <f t="shared" ref="D45" si="5">D4-D20</f>
        <v>-2.1999999999999886</v>
      </c>
      <c r="E45" s="61">
        <f t="shared" ref="E45:AE45" si="6">E4-E20</f>
        <v>-5.3999999999999773</v>
      </c>
      <c r="F45" s="61">
        <f t="shared" si="6"/>
        <v>-5.3499999999999766</v>
      </c>
      <c r="G45" s="61">
        <f t="shared" si="6"/>
        <v>-5.2999999999999758</v>
      </c>
      <c r="H45" s="61">
        <f t="shared" si="6"/>
        <v>-5.2499999999999734</v>
      </c>
      <c r="I45" s="61">
        <f t="shared" si="6"/>
        <v>-5.1999999999999709</v>
      </c>
      <c r="J45" s="61">
        <f t="shared" si="6"/>
        <v>-5.1499999999999666</v>
      </c>
      <c r="K45" s="61">
        <f t="shared" si="6"/>
        <v>-5.0999999999999659</v>
      </c>
      <c r="L45" s="61">
        <f t="shared" si="6"/>
        <v>-1.1499999999999631</v>
      </c>
      <c r="M45" s="61">
        <f t="shared" si="6"/>
        <v>2.8000000000000398</v>
      </c>
      <c r="N45" s="61">
        <f t="shared" si="6"/>
        <v>6.7500000000000426</v>
      </c>
      <c r="O45" s="61">
        <f t="shared" si="6"/>
        <v>10.700000000000045</v>
      </c>
      <c r="P45" s="61">
        <f t="shared" si="6"/>
        <v>-2.8999999999999559</v>
      </c>
      <c r="Q45" s="61">
        <f t="shared" si="6"/>
        <v>-6.0999999999999659</v>
      </c>
      <c r="R45" s="61">
        <f t="shared" si="6"/>
        <v>-9.2999999999999758</v>
      </c>
      <c r="S45" s="61">
        <f t="shared" si="6"/>
        <v>-12.499999999999986</v>
      </c>
      <c r="T45" s="61">
        <f t="shared" si="6"/>
        <v>-15.699999999999996</v>
      </c>
      <c r="U45" s="61">
        <f t="shared" si="6"/>
        <v>-18.900000000000034</v>
      </c>
      <c r="V45" s="61">
        <f t="shared" si="6"/>
        <v>-16.440000000000033</v>
      </c>
      <c r="W45" s="61">
        <f t="shared" si="6"/>
        <v>-13.980000000000032</v>
      </c>
      <c r="X45" s="61">
        <f t="shared" si="6"/>
        <v>-11.520000000000039</v>
      </c>
      <c r="Y45" s="61">
        <f t="shared" si="6"/>
        <v>-9.0600000000000449</v>
      </c>
      <c r="Z45" s="61">
        <f t="shared" si="6"/>
        <v>-6.6000000000000227</v>
      </c>
      <c r="AA45" s="61">
        <f t="shared" si="6"/>
        <v>-8.5800000000000267</v>
      </c>
      <c r="AB45" s="61">
        <f t="shared" si="6"/>
        <v>-10.560000000000031</v>
      </c>
      <c r="AC45" s="61">
        <f t="shared" si="6"/>
        <v>-12.540000000000035</v>
      </c>
      <c r="AD45" s="61">
        <f t="shared" si="6"/>
        <v>-14.520000000000039</v>
      </c>
      <c r="AE45" s="61">
        <f t="shared" si="6"/>
        <v>-16.5</v>
      </c>
    </row>
    <row r="46" spans="1:31" x14ac:dyDescent="0.35">
      <c r="A46" s="87" t="s">
        <v>30</v>
      </c>
      <c r="B46" s="9">
        <f>NPV('Cost Assumptions'!$B$3,Menifee!D46:'Menifee'!AE46)</f>
        <v>606.48008061195833</v>
      </c>
      <c r="C46" s="87" t="s">
        <v>33</v>
      </c>
      <c r="D46" s="61">
        <f t="shared" ref="D46" si="7">D5-D21</f>
        <v>0.13319901782033977</v>
      </c>
      <c r="E46" s="61">
        <f t="shared" ref="E46:AE46" si="8">E5-E21</f>
        <v>0.26068681046941178</v>
      </c>
      <c r="F46" s="61">
        <f t="shared" si="8"/>
        <v>1.7574976267226372E-2</v>
      </c>
      <c r="G46" s="61">
        <f t="shared" si="8"/>
        <v>-0.22553685793495903</v>
      </c>
      <c r="H46" s="61">
        <f t="shared" si="8"/>
        <v>-0.46864869213714444</v>
      </c>
      <c r="I46" s="61">
        <f t="shared" si="8"/>
        <v>-0.71176052633932985</v>
      </c>
      <c r="J46" s="61">
        <f t="shared" si="8"/>
        <v>-0.9548723605415157</v>
      </c>
      <c r="K46" s="61">
        <f t="shared" si="8"/>
        <v>-1.1979841947437011</v>
      </c>
      <c r="L46" s="61">
        <f t="shared" si="8"/>
        <v>4.8790773397887612</v>
      </c>
      <c r="M46" s="61">
        <f t="shared" si="8"/>
        <v>10.956138874321223</v>
      </c>
      <c r="N46" s="61">
        <f t="shared" si="8"/>
        <v>17.033200408853688</v>
      </c>
      <c r="O46" s="61">
        <f t="shared" si="8"/>
        <v>23.110261943386146</v>
      </c>
      <c r="P46" s="61">
        <f t="shared" si="8"/>
        <v>18.154697579962658</v>
      </c>
      <c r="Q46" s="61">
        <f t="shared" si="8"/>
        <v>18.822374765825259</v>
      </c>
      <c r="R46" s="61">
        <f t="shared" si="8"/>
        <v>19.490051951687846</v>
      </c>
      <c r="S46" s="61">
        <f t="shared" si="8"/>
        <v>20.157729137550433</v>
      </c>
      <c r="T46" s="61">
        <f t="shared" si="8"/>
        <v>20.825406323413034</v>
      </c>
      <c r="U46" s="61">
        <f t="shared" si="8"/>
        <v>21.493083509275635</v>
      </c>
      <c r="V46" s="61">
        <f t="shared" si="8"/>
        <v>53.348110817996769</v>
      </c>
      <c r="W46" s="61">
        <f t="shared" si="8"/>
        <v>85.203138126717874</v>
      </c>
      <c r="X46" s="61">
        <f t="shared" si="8"/>
        <v>117.05816543543898</v>
      </c>
      <c r="Y46" s="61">
        <f t="shared" si="8"/>
        <v>148.91319274416009</v>
      </c>
      <c r="Z46" s="61">
        <f t="shared" si="8"/>
        <v>180.76822005288136</v>
      </c>
      <c r="AA46" s="61">
        <f t="shared" si="8"/>
        <v>524.50482852077448</v>
      </c>
      <c r="AB46" s="61">
        <f t="shared" si="8"/>
        <v>868.24143698866772</v>
      </c>
      <c r="AC46" s="61">
        <f t="shared" si="8"/>
        <v>1211.9780454565607</v>
      </c>
      <c r="AD46" s="61">
        <f t="shared" si="8"/>
        <v>1555.7146539244541</v>
      </c>
      <c r="AE46" s="61">
        <f t="shared" si="8"/>
        <v>1899.4512623923467</v>
      </c>
    </row>
    <row r="47" spans="1:31" x14ac:dyDescent="0.35">
      <c r="A47" s="87" t="s">
        <v>30</v>
      </c>
      <c r="B47" s="9">
        <f>NPV('Cost Assumptions'!$B$3,Menifee!D47:'Menifee'!AE47)</f>
        <v>2.1361921694577393</v>
      </c>
      <c r="C47" s="87" t="s">
        <v>34</v>
      </c>
      <c r="D47" s="61">
        <f t="shared" ref="D47" si="9">D6-D22</f>
        <v>-3.5432464047266896E-3</v>
      </c>
      <c r="E47" s="61">
        <f t="shared" ref="E47:AE47" si="10">E6-E22</f>
        <v>-8.1482596752843819E-3</v>
      </c>
      <c r="F47" s="61">
        <f t="shared" si="10"/>
        <v>-1.65873667502279E-2</v>
      </c>
      <c r="G47" s="61">
        <f t="shared" si="10"/>
        <v>-2.5026473825171425E-2</v>
      </c>
      <c r="H47" s="61">
        <f t="shared" si="10"/>
        <v>-3.346558090011495E-2</v>
      </c>
      <c r="I47" s="61">
        <f t="shared" si="10"/>
        <v>-4.1904687975058474E-2</v>
      </c>
      <c r="J47" s="61">
        <f t="shared" si="10"/>
        <v>-5.0343795050001999E-2</v>
      </c>
      <c r="K47" s="61">
        <f t="shared" si="10"/>
        <v>-5.8782902124945469E-2</v>
      </c>
      <c r="L47" s="61">
        <f t="shared" si="10"/>
        <v>6.6428277487221021E-2</v>
      </c>
      <c r="M47" s="61">
        <f t="shared" si="10"/>
        <v>0.19163945709938751</v>
      </c>
      <c r="N47" s="61">
        <f t="shared" si="10"/>
        <v>0.316850636711554</v>
      </c>
      <c r="O47" s="61">
        <f t="shared" si="10"/>
        <v>0.44206181632372044</v>
      </c>
      <c r="P47" s="61">
        <f t="shared" si="10"/>
        <v>3.5852256161512774E-2</v>
      </c>
      <c r="Q47" s="61">
        <f t="shared" si="10"/>
        <v>2.9481867328343014E-2</v>
      </c>
      <c r="R47" s="61">
        <f t="shared" si="10"/>
        <v>2.3111478495173365E-2</v>
      </c>
      <c r="S47" s="61">
        <f t="shared" si="10"/>
        <v>1.6741089662003716E-2</v>
      </c>
      <c r="T47" s="61">
        <f t="shared" si="10"/>
        <v>1.0370700828834067E-2</v>
      </c>
      <c r="U47" s="61">
        <f t="shared" si="10"/>
        <v>4.0003119956635302E-3</v>
      </c>
      <c r="V47" s="61">
        <f t="shared" si="10"/>
        <v>5.1267111043188596E-2</v>
      </c>
      <c r="W47" s="61">
        <f t="shared" si="10"/>
        <v>9.8533910090713661E-2</v>
      </c>
      <c r="X47" s="61">
        <f t="shared" si="10"/>
        <v>0.14580070913823873</v>
      </c>
      <c r="Y47" s="61">
        <f t="shared" si="10"/>
        <v>0.19306750818576379</v>
      </c>
      <c r="Z47" s="61">
        <f t="shared" si="10"/>
        <v>0.24033430723328753</v>
      </c>
      <c r="AA47" s="61">
        <f t="shared" si="10"/>
        <v>1.6645191515117905</v>
      </c>
      <c r="AB47" s="61">
        <f t="shared" si="10"/>
        <v>3.0887039957902935</v>
      </c>
      <c r="AC47" s="61">
        <f t="shared" si="10"/>
        <v>4.512888840068797</v>
      </c>
      <c r="AD47" s="61">
        <f t="shared" si="10"/>
        <v>5.9370736843472995</v>
      </c>
      <c r="AE47" s="61">
        <f t="shared" si="10"/>
        <v>7.3612585286258039</v>
      </c>
    </row>
    <row r="48" spans="1:31" x14ac:dyDescent="0.35">
      <c r="A48" s="87" t="s">
        <v>30</v>
      </c>
      <c r="B48" s="9">
        <f>NPV('Cost Assumptions'!$B$3,Menifee!D48:'Menifee'!AE48)</f>
        <v>388.61794932503807</v>
      </c>
      <c r="C48" s="87" t="s">
        <v>35</v>
      </c>
      <c r="D48" s="61">
        <f t="shared" ref="D48" si="11">D7-D23</f>
        <v>14</v>
      </c>
      <c r="E48" s="61">
        <f t="shared" ref="E48:AE48" si="12">E7-E23</f>
        <v>23</v>
      </c>
      <c r="F48" s="61">
        <f t="shared" si="12"/>
        <v>25.333333333333336</v>
      </c>
      <c r="G48" s="61">
        <f t="shared" si="12"/>
        <v>27.666666666666671</v>
      </c>
      <c r="H48" s="61">
        <f t="shared" si="12"/>
        <v>30.000000000000007</v>
      </c>
      <c r="I48" s="61">
        <f t="shared" si="12"/>
        <v>32.333333333333343</v>
      </c>
      <c r="J48" s="61">
        <f t="shared" si="12"/>
        <v>34.666666666666679</v>
      </c>
      <c r="K48" s="61">
        <f t="shared" si="12"/>
        <v>37</v>
      </c>
      <c r="L48" s="61">
        <f t="shared" si="12"/>
        <v>46.25</v>
      </c>
      <c r="M48" s="61">
        <f t="shared" si="12"/>
        <v>55.5</v>
      </c>
      <c r="N48" s="61">
        <f t="shared" si="12"/>
        <v>64.75</v>
      </c>
      <c r="O48" s="61">
        <f t="shared" si="12"/>
        <v>74</v>
      </c>
      <c r="P48" s="61">
        <f t="shared" si="12"/>
        <v>53.833333333333329</v>
      </c>
      <c r="Q48" s="61">
        <f t="shared" si="12"/>
        <v>55.266666666666659</v>
      </c>
      <c r="R48" s="61">
        <f t="shared" si="12"/>
        <v>56.699999999999989</v>
      </c>
      <c r="S48" s="61">
        <f t="shared" si="12"/>
        <v>58.133333333333312</v>
      </c>
      <c r="T48" s="61">
        <f t="shared" si="12"/>
        <v>59.566666666666649</v>
      </c>
      <c r="U48" s="61">
        <f t="shared" si="12"/>
        <v>61</v>
      </c>
      <c r="V48" s="61">
        <f t="shared" si="12"/>
        <v>63.800000000000011</v>
      </c>
      <c r="W48" s="61">
        <f t="shared" si="12"/>
        <v>66.600000000000023</v>
      </c>
      <c r="X48" s="61">
        <f t="shared" si="12"/>
        <v>69.400000000000034</v>
      </c>
      <c r="Y48" s="61">
        <f t="shared" si="12"/>
        <v>72.200000000000045</v>
      </c>
      <c r="Z48" s="61">
        <f t="shared" si="12"/>
        <v>75</v>
      </c>
      <c r="AA48" s="61">
        <f t="shared" si="12"/>
        <v>76.599999999999994</v>
      </c>
      <c r="AB48" s="61">
        <f t="shared" si="12"/>
        <v>78.199999999999989</v>
      </c>
      <c r="AC48" s="61">
        <f t="shared" si="12"/>
        <v>79.799999999999983</v>
      </c>
      <c r="AD48" s="61">
        <f t="shared" si="12"/>
        <v>81.399999999999977</v>
      </c>
      <c r="AE48" s="61">
        <f t="shared" si="12"/>
        <v>83</v>
      </c>
    </row>
    <row r="49" spans="1:31" s="60" customFormat="1" ht="13.9" customHeight="1" x14ac:dyDescent="0.35">
      <c r="A49" s="87" t="s">
        <v>30</v>
      </c>
      <c r="B49" s="9">
        <f>NPV('Cost Assumptions'!$B$3,Menifee!D49:'Menifee'!AE49)</f>
        <v>97911.486022436278</v>
      </c>
      <c r="C49" s="85" t="s">
        <v>140</v>
      </c>
      <c r="D49" s="61">
        <f>D13-D24</f>
        <v>2069.8235529159756</v>
      </c>
      <c r="E49" s="61">
        <f t="shared" ref="D49:E51" si="13">E13-E24</f>
        <v>3137.69918595744</v>
      </c>
      <c r="F49" s="61">
        <f t="shared" ref="F49:AE49" si="14">F13-F24</f>
        <v>4205.5748189989044</v>
      </c>
      <c r="G49" s="61">
        <f t="shared" si="14"/>
        <v>5273.4504520403698</v>
      </c>
      <c r="H49" s="61">
        <f t="shared" si="14"/>
        <v>6341.3260850818333</v>
      </c>
      <c r="I49" s="61">
        <f t="shared" si="14"/>
        <v>7409.2017181232986</v>
      </c>
      <c r="J49" s="61">
        <f t="shared" si="14"/>
        <v>8477.077351164764</v>
      </c>
      <c r="K49" s="61">
        <f t="shared" si="14"/>
        <v>9544.9529842062257</v>
      </c>
      <c r="L49" s="61">
        <f t="shared" si="14"/>
        <v>10612.828617247691</v>
      </c>
      <c r="M49" s="61">
        <f t="shared" si="14"/>
        <v>11680.704250289156</v>
      </c>
      <c r="N49" s="61">
        <f t="shared" si="14"/>
        <v>12748.579883330622</v>
      </c>
      <c r="O49" s="61">
        <f t="shared" si="14"/>
        <v>13816.455516372087</v>
      </c>
      <c r="P49" s="61">
        <f t="shared" si="14"/>
        <v>14884.331149413552</v>
      </c>
      <c r="Q49" s="61">
        <f t="shared" si="14"/>
        <v>15952.206782455018</v>
      </c>
      <c r="R49" s="61">
        <f t="shared" si="14"/>
        <v>17020.082415496487</v>
      </c>
      <c r="S49" s="61">
        <f t="shared" si="14"/>
        <v>18087.958048537948</v>
      </c>
      <c r="T49" s="61">
        <f t="shared" si="14"/>
        <v>19155.83368157941</v>
      </c>
      <c r="U49" s="61">
        <f t="shared" si="14"/>
        <v>20223.709314620879</v>
      </c>
      <c r="V49" s="61">
        <f t="shared" si="14"/>
        <v>21291.584947662348</v>
      </c>
      <c r="W49" s="61">
        <f t="shared" si="14"/>
        <v>22359.46058070381</v>
      </c>
      <c r="X49" s="61">
        <f t="shared" si="14"/>
        <v>23427.336213745279</v>
      </c>
      <c r="Y49" s="61">
        <f t="shared" si="14"/>
        <v>24495.21184678674</v>
      </c>
      <c r="Z49" s="61">
        <f t="shared" si="14"/>
        <v>25563.087479828202</v>
      </c>
      <c r="AA49" s="61">
        <f t="shared" si="14"/>
        <v>26630.963112869671</v>
      </c>
      <c r="AB49" s="61">
        <f t="shared" si="14"/>
        <v>27698.83874591114</v>
      </c>
      <c r="AC49" s="61">
        <f t="shared" si="14"/>
        <v>28766.714378952602</v>
      </c>
      <c r="AD49" s="61">
        <f t="shared" si="14"/>
        <v>29834.590011994063</v>
      </c>
      <c r="AE49" s="61">
        <f t="shared" si="14"/>
        <v>30902.465645035518</v>
      </c>
    </row>
    <row r="50" spans="1:31" s="60" customFormat="1" x14ac:dyDescent="0.35">
      <c r="A50" s="87" t="s">
        <v>30</v>
      </c>
      <c r="B50" s="9">
        <f>NPV('Cost Assumptions'!$B$3,Menifee!D50:'Menifee'!AE50)</f>
        <v>1159523.3929317899</v>
      </c>
      <c r="C50" s="85" t="s">
        <v>141</v>
      </c>
      <c r="D50" s="61">
        <f>D14-D25</f>
        <v>121528.95628040712</v>
      </c>
      <c r="E50" s="61">
        <f t="shared" si="13"/>
        <v>122079.05473813393</v>
      </c>
      <c r="F50" s="61">
        <f t="shared" ref="F50:AE50" si="15">F14-F25</f>
        <v>122629.15319586084</v>
      </c>
      <c r="G50" s="61">
        <f t="shared" si="15"/>
        <v>122955.86141694736</v>
      </c>
      <c r="H50" s="61">
        <f t="shared" si="15"/>
        <v>123285.36201599178</v>
      </c>
      <c r="I50" s="61">
        <f t="shared" si="15"/>
        <v>123612.07023707821</v>
      </c>
      <c r="J50" s="61">
        <f t="shared" si="15"/>
        <v>123966.70223774482</v>
      </c>
      <c r="K50" s="61">
        <f t="shared" si="15"/>
        <v>124318.54186045336</v>
      </c>
      <c r="L50" s="61">
        <f t="shared" si="15"/>
        <v>124670.38148316169</v>
      </c>
      <c r="M50" s="61">
        <f t="shared" si="15"/>
        <v>125022.22110587054</v>
      </c>
      <c r="N50" s="61">
        <f t="shared" si="15"/>
        <v>125382.43786245315</v>
      </c>
      <c r="O50" s="61">
        <f t="shared" si="15"/>
        <v>125742.65461903546</v>
      </c>
      <c r="P50" s="61">
        <f t="shared" si="15"/>
        <v>126105.66375357586</v>
      </c>
      <c r="Q50" s="61">
        <f t="shared" si="15"/>
        <v>126465.88051015847</v>
      </c>
      <c r="R50" s="61">
        <f t="shared" si="15"/>
        <v>126814.92775490928</v>
      </c>
      <c r="S50" s="61">
        <f t="shared" si="15"/>
        <v>127163.97499965951</v>
      </c>
      <c r="T50" s="61">
        <f t="shared" si="15"/>
        <v>127515.81462236831</v>
      </c>
      <c r="U50" s="61">
        <f t="shared" si="15"/>
        <v>127864.86186711869</v>
      </c>
      <c r="V50" s="61">
        <f t="shared" si="15"/>
        <v>128188.77771024723</v>
      </c>
      <c r="W50" s="61">
        <f t="shared" si="15"/>
        <v>128512.69355337569</v>
      </c>
      <c r="X50" s="61">
        <f t="shared" si="15"/>
        <v>128836.60939650424</v>
      </c>
      <c r="Y50" s="61">
        <f t="shared" si="15"/>
        <v>129157.73286167464</v>
      </c>
      <c r="Z50" s="61">
        <f t="shared" si="15"/>
        <v>129445.34779134911</v>
      </c>
      <c r="AA50" s="61">
        <f t="shared" si="15"/>
        <v>129730.17034306553</v>
      </c>
      <c r="AB50" s="61">
        <f t="shared" si="15"/>
        <v>130014.99289478171</v>
      </c>
      <c r="AC50" s="61">
        <f t="shared" si="15"/>
        <v>130302.60782445615</v>
      </c>
      <c r="AD50" s="61">
        <f t="shared" si="15"/>
        <v>130545.54470680239</v>
      </c>
      <c r="AE50" s="61">
        <f t="shared" si="15"/>
        <v>130788.48158914897</v>
      </c>
    </row>
    <row r="51" spans="1:31" s="80" customFormat="1" x14ac:dyDescent="0.35">
      <c r="A51" s="87"/>
      <c r="B51" s="9">
        <f>NPV('Cost Assumptions'!$B$3,Menifee!D51:'Menifee'!AE51)</f>
        <v>625479.5609838292</v>
      </c>
      <c r="C51" s="85" t="s">
        <v>142</v>
      </c>
      <c r="D51" s="61">
        <f t="shared" si="13"/>
        <v>43849.644101295453</v>
      </c>
      <c r="E51" s="61">
        <f t="shared" si="13"/>
        <v>47666.191216959465</v>
      </c>
      <c r="F51" s="61">
        <f t="shared" ref="F51:AE51" si="16">F15-F26</f>
        <v>51623.047330972418</v>
      </c>
      <c r="G51" s="61">
        <f t="shared" si="16"/>
        <v>54016.982557012248</v>
      </c>
      <c r="H51" s="61">
        <f t="shared" si="16"/>
        <v>56464.471123255622</v>
      </c>
      <c r="I51" s="61">
        <f t="shared" si="16"/>
        <v>58848.308518997277</v>
      </c>
      <c r="J51" s="61">
        <f t="shared" si="16"/>
        <v>61506.880850817244</v>
      </c>
      <c r="K51" s="61">
        <f t="shared" si="16"/>
        <v>64212.311152410475</v>
      </c>
      <c r="L51" s="61">
        <f t="shared" si="16"/>
        <v>66996.404432384094</v>
      </c>
      <c r="M51" s="61">
        <f t="shared" si="16"/>
        <v>69825.280426255733</v>
      </c>
      <c r="N51" s="61">
        <f t="shared" si="16"/>
        <v>72773.518005164369</v>
      </c>
      <c r="O51" s="61">
        <f t="shared" si="16"/>
        <v>75714.333022317209</v>
      </c>
      <c r="P51" s="61">
        <f t="shared" si="16"/>
        <v>78717.374136003491</v>
      </c>
      <c r="Q51" s="61">
        <f t="shared" si="16"/>
        <v>81702.717287077568</v>
      </c>
      <c r="R51" s="61">
        <f t="shared" si="16"/>
        <v>84628.656557176175</v>
      </c>
      <c r="S51" s="61">
        <f t="shared" si="16"/>
        <v>87572.125320247287</v>
      </c>
      <c r="T51" s="61">
        <f t="shared" si="16"/>
        <v>90542.941621017875</v>
      </c>
      <c r="U51" s="61">
        <f t="shared" si="16"/>
        <v>93513.384412501167</v>
      </c>
      <c r="V51" s="61">
        <f t="shared" si="16"/>
        <v>96262.835372085596</v>
      </c>
      <c r="W51" s="61">
        <f t="shared" si="16"/>
        <v>99037.282527116578</v>
      </c>
      <c r="X51" s="61">
        <f t="shared" si="16"/>
        <v>101828.94049500194</v>
      </c>
      <c r="Y51" s="61">
        <f t="shared" si="16"/>
        <v>104676.61397808696</v>
      </c>
      <c r="Z51" s="61">
        <f t="shared" si="16"/>
        <v>107213.11870562422</v>
      </c>
      <c r="AA51" s="61">
        <f t="shared" si="16"/>
        <v>109729.18807011581</v>
      </c>
      <c r="AB51" s="61">
        <f t="shared" si="16"/>
        <v>112291.24739482973</v>
      </c>
      <c r="AC51" s="61">
        <f t="shared" si="16"/>
        <v>114921.19579819695</v>
      </c>
      <c r="AD51" s="61">
        <f t="shared" si="16"/>
        <v>117146.06917588247</v>
      </c>
      <c r="AE51" s="61">
        <f t="shared" si="16"/>
        <v>119382.04502315809</v>
      </c>
    </row>
    <row r="52" spans="1:31" x14ac:dyDescent="0.35">
      <c r="A52" s="87" t="s">
        <v>39</v>
      </c>
      <c r="B52" s="9">
        <f>NPV('Cost Assumptions'!$B$3,Menifee!D52:'Menifee'!AE52)</f>
        <v>20662.713866833808</v>
      </c>
      <c r="C52" s="87" t="s">
        <v>31</v>
      </c>
      <c r="D52" s="61">
        <f t="shared" ref="D52" si="17">D8-D27</f>
        <v>49.800000000000182</v>
      </c>
      <c r="E52" s="61">
        <f t="shared" ref="E52:AE52" si="18">E8-E27</f>
        <v>129.00000000000023</v>
      </c>
      <c r="F52" s="61">
        <f t="shared" si="18"/>
        <v>258.75000000000023</v>
      </c>
      <c r="G52" s="61">
        <f t="shared" si="18"/>
        <v>388.50000000000023</v>
      </c>
      <c r="H52" s="61">
        <f t="shared" si="18"/>
        <v>518.25000000000023</v>
      </c>
      <c r="I52" s="61">
        <f t="shared" si="18"/>
        <v>648.00000000000023</v>
      </c>
      <c r="J52" s="61">
        <f t="shared" si="18"/>
        <v>777.75000000000023</v>
      </c>
      <c r="K52" s="61">
        <f t="shared" si="18"/>
        <v>907.5</v>
      </c>
      <c r="L52" s="61">
        <f t="shared" si="18"/>
        <v>1246.7</v>
      </c>
      <c r="M52" s="61">
        <f t="shared" si="18"/>
        <v>1585.9</v>
      </c>
      <c r="N52" s="61">
        <f t="shared" si="18"/>
        <v>1925.1000000000001</v>
      </c>
      <c r="O52" s="61">
        <f t="shared" si="18"/>
        <v>2264.3000000000002</v>
      </c>
      <c r="P52" s="61">
        <f t="shared" si="18"/>
        <v>2843.6833333333334</v>
      </c>
      <c r="Q52" s="61">
        <f t="shared" si="18"/>
        <v>3423.0666666666666</v>
      </c>
      <c r="R52" s="61">
        <f t="shared" si="18"/>
        <v>4002.45</v>
      </c>
      <c r="S52" s="61">
        <f t="shared" si="18"/>
        <v>4557.5666666666666</v>
      </c>
      <c r="T52" s="61">
        <f t="shared" si="18"/>
        <v>5112.6833333333334</v>
      </c>
      <c r="U52" s="61">
        <f t="shared" si="18"/>
        <v>5667.7999999999993</v>
      </c>
      <c r="V52" s="61">
        <f t="shared" si="18"/>
        <v>6428.36</v>
      </c>
      <c r="W52" s="61">
        <f t="shared" si="18"/>
        <v>7188.9199999999992</v>
      </c>
      <c r="X52" s="61">
        <f t="shared" si="18"/>
        <v>7949.48</v>
      </c>
      <c r="Y52" s="61">
        <f t="shared" si="18"/>
        <v>8710.0399999999991</v>
      </c>
      <c r="Z52" s="61">
        <f t="shared" si="18"/>
        <v>9470.5999999999985</v>
      </c>
      <c r="AA52" s="61">
        <f t="shared" si="18"/>
        <v>10284.040000000001</v>
      </c>
      <c r="AB52" s="61">
        <f t="shared" si="18"/>
        <v>11097.480000000001</v>
      </c>
      <c r="AC52" s="61">
        <f t="shared" si="18"/>
        <v>11910.920000000002</v>
      </c>
      <c r="AD52" s="61">
        <f t="shared" si="18"/>
        <v>12724.360000000002</v>
      </c>
      <c r="AE52" s="61">
        <f t="shared" si="18"/>
        <v>13537.800000000003</v>
      </c>
    </row>
    <row r="53" spans="1:31" x14ac:dyDescent="0.35">
      <c r="A53" s="87" t="s">
        <v>39</v>
      </c>
      <c r="B53" s="9">
        <f>NPV('Cost Assumptions'!$B$3,Menifee!D53:'Menifee'!AE53)</f>
        <v>1237.8859766189994</v>
      </c>
      <c r="C53" s="87" t="s">
        <v>32</v>
      </c>
      <c r="D53" s="61">
        <f t="shared" ref="D53" si="19">D9-D28</f>
        <v>22.400000000000091</v>
      </c>
      <c r="E53" s="61">
        <f t="shared" ref="E53:AE53" si="20">E9-E28</f>
        <v>42.200000000000045</v>
      </c>
      <c r="F53" s="61">
        <f t="shared" si="20"/>
        <v>57.06666666666672</v>
      </c>
      <c r="G53" s="61">
        <f t="shared" si="20"/>
        <v>71.933333333333394</v>
      </c>
      <c r="H53" s="61">
        <f t="shared" si="20"/>
        <v>86.800000000000068</v>
      </c>
      <c r="I53" s="61">
        <f t="shared" si="20"/>
        <v>101.66666666666674</v>
      </c>
      <c r="J53" s="61">
        <f t="shared" si="20"/>
        <v>116.53333333333342</v>
      </c>
      <c r="K53" s="61">
        <f t="shared" si="20"/>
        <v>131.40000000000009</v>
      </c>
      <c r="L53" s="61">
        <f t="shared" si="20"/>
        <v>146.05000000000007</v>
      </c>
      <c r="M53" s="61">
        <f t="shared" si="20"/>
        <v>160.70000000000005</v>
      </c>
      <c r="N53" s="61">
        <f t="shared" si="20"/>
        <v>175.35000000000002</v>
      </c>
      <c r="O53" s="61">
        <f t="shared" si="20"/>
        <v>190</v>
      </c>
      <c r="P53" s="61">
        <f t="shared" si="20"/>
        <v>205</v>
      </c>
      <c r="Q53" s="61">
        <f t="shared" si="20"/>
        <v>220</v>
      </c>
      <c r="R53" s="61">
        <f t="shared" si="20"/>
        <v>235</v>
      </c>
      <c r="S53" s="61">
        <f t="shared" si="20"/>
        <v>240.33333333333334</v>
      </c>
      <c r="T53" s="61">
        <f t="shared" si="20"/>
        <v>245.66666666666666</v>
      </c>
      <c r="U53" s="61">
        <f t="shared" si="20"/>
        <v>251</v>
      </c>
      <c r="V53" s="61">
        <f t="shared" si="20"/>
        <v>253.92000000000002</v>
      </c>
      <c r="W53" s="61">
        <f t="shared" si="20"/>
        <v>256.84000000000003</v>
      </c>
      <c r="X53" s="61">
        <f t="shared" si="20"/>
        <v>259.76000000000005</v>
      </c>
      <c r="Y53" s="61">
        <f t="shared" si="20"/>
        <v>262.68000000000006</v>
      </c>
      <c r="Z53" s="61">
        <f t="shared" si="20"/>
        <v>265.60000000000014</v>
      </c>
      <c r="AA53" s="61">
        <f t="shared" si="20"/>
        <v>268.60000000000008</v>
      </c>
      <c r="AB53" s="61">
        <f t="shared" si="20"/>
        <v>271.60000000000002</v>
      </c>
      <c r="AC53" s="61">
        <f t="shared" si="20"/>
        <v>274.59999999999991</v>
      </c>
      <c r="AD53" s="61">
        <f t="shared" si="20"/>
        <v>277.59999999999985</v>
      </c>
      <c r="AE53" s="61">
        <f t="shared" si="20"/>
        <v>280.59999999999991</v>
      </c>
    </row>
    <row r="54" spans="1:31" x14ac:dyDescent="0.35">
      <c r="A54" s="87" t="s">
        <v>39</v>
      </c>
      <c r="B54" s="9">
        <f>NPV('Cost Assumptions'!$B$3,Menifee!D54:'Menifee'!AE54)</f>
        <v>1743.7602473872785</v>
      </c>
      <c r="C54" s="87" t="s">
        <v>33</v>
      </c>
      <c r="D54" s="61">
        <f t="shared" ref="D54" si="21">D10-D29</f>
        <v>0.21200232326290805</v>
      </c>
      <c r="E54" s="61">
        <f t="shared" ref="E54:AE54" si="22">E10-E29</f>
        <v>0.68645330574586072</v>
      </c>
      <c r="F54" s="61">
        <f t="shared" si="22"/>
        <v>3.6304865724427344</v>
      </c>
      <c r="G54" s="61">
        <f t="shared" si="22"/>
        <v>6.574519839139608</v>
      </c>
      <c r="H54" s="61">
        <f t="shared" si="22"/>
        <v>9.5185531058364816</v>
      </c>
      <c r="I54" s="61">
        <f t="shared" si="22"/>
        <v>12.462586372533355</v>
      </c>
      <c r="J54" s="61">
        <f t="shared" si="22"/>
        <v>15.406619639230229</v>
      </c>
      <c r="K54" s="61">
        <f t="shared" si="22"/>
        <v>18.350652905927102</v>
      </c>
      <c r="L54" s="61">
        <f t="shared" si="22"/>
        <v>36.053857953636381</v>
      </c>
      <c r="M54" s="61">
        <f t="shared" si="22"/>
        <v>53.757063001345664</v>
      </c>
      <c r="N54" s="61">
        <f t="shared" si="22"/>
        <v>71.460268049054946</v>
      </c>
      <c r="O54" s="61">
        <f t="shared" si="22"/>
        <v>89.163473096764235</v>
      </c>
      <c r="P54" s="61">
        <f t="shared" si="22"/>
        <v>144.562613999387</v>
      </c>
      <c r="Q54" s="61">
        <f t="shared" si="22"/>
        <v>199.96175490200974</v>
      </c>
      <c r="R54" s="61">
        <f t="shared" si="22"/>
        <v>255.36089580463249</v>
      </c>
      <c r="S54" s="61">
        <f t="shared" si="22"/>
        <v>310.59933645616451</v>
      </c>
      <c r="T54" s="61">
        <f t="shared" si="22"/>
        <v>365.83777710769652</v>
      </c>
      <c r="U54" s="61">
        <f t="shared" si="22"/>
        <v>421.07621775922837</v>
      </c>
      <c r="V54" s="61">
        <f t="shared" si="22"/>
        <v>549.96662088036555</v>
      </c>
      <c r="W54" s="61">
        <f t="shared" si="22"/>
        <v>678.85702400150274</v>
      </c>
      <c r="X54" s="61">
        <f t="shared" si="22"/>
        <v>807.74742712264003</v>
      </c>
      <c r="Y54" s="61">
        <f t="shared" si="22"/>
        <v>936.63783024377722</v>
      </c>
      <c r="Z54" s="61">
        <f t="shared" si="22"/>
        <v>1065.5282333649143</v>
      </c>
      <c r="AA54" s="61">
        <f t="shared" si="22"/>
        <v>1284.4105132564569</v>
      </c>
      <c r="AB54" s="61">
        <f t="shared" si="22"/>
        <v>1503.2927931479994</v>
      </c>
      <c r="AC54" s="61">
        <f t="shared" si="22"/>
        <v>1722.175073039542</v>
      </c>
      <c r="AD54" s="61">
        <f t="shared" si="22"/>
        <v>1941.0573529310846</v>
      </c>
      <c r="AE54" s="61">
        <f t="shared" si="22"/>
        <v>2159.9396328226267</v>
      </c>
    </row>
    <row r="55" spans="1:31" x14ac:dyDescent="0.35">
      <c r="A55" s="87" t="s">
        <v>39</v>
      </c>
      <c r="B55" s="9">
        <f>NPV('Cost Assumptions'!$B$3,Menifee!D55:'Menifee'!AE55)</f>
        <v>21.970126553600732</v>
      </c>
      <c r="C55" s="87" t="s">
        <v>34</v>
      </c>
      <c r="D55" s="61">
        <f t="shared" ref="D55" si="23">D11-D30</f>
        <v>5.3000580815727012E-2</v>
      </c>
      <c r="E55" s="61">
        <f t="shared" ref="E55:AE55" si="24">E11-E30</f>
        <v>0.13729066114917213</v>
      </c>
      <c r="F55" s="61">
        <f t="shared" si="24"/>
        <v>0.27537952381665309</v>
      </c>
      <c r="G55" s="61">
        <f t="shared" si="24"/>
        <v>0.41346838648413409</v>
      </c>
      <c r="H55" s="61">
        <f t="shared" si="24"/>
        <v>0.55155724915161508</v>
      </c>
      <c r="I55" s="61">
        <f t="shared" si="24"/>
        <v>0.68964611181909607</v>
      </c>
      <c r="J55" s="61">
        <f t="shared" si="24"/>
        <v>0.82773497448657707</v>
      </c>
      <c r="K55" s="61">
        <f t="shared" si="24"/>
        <v>0.96582383715405795</v>
      </c>
      <c r="L55" s="61">
        <f t="shared" si="24"/>
        <v>1.3268237771680045</v>
      </c>
      <c r="M55" s="61">
        <f t="shared" si="24"/>
        <v>1.687823717181951</v>
      </c>
      <c r="N55" s="61">
        <f t="shared" si="24"/>
        <v>2.0488236571958973</v>
      </c>
      <c r="O55" s="61">
        <f t="shared" si="24"/>
        <v>2.4098235972098441</v>
      </c>
      <c r="P55" s="61">
        <f t="shared" si="24"/>
        <v>3.0264431390094124</v>
      </c>
      <c r="Q55" s="61">
        <f t="shared" si="24"/>
        <v>3.6430626808089812</v>
      </c>
      <c r="R55" s="61">
        <f t="shared" si="24"/>
        <v>4.25968222260855</v>
      </c>
      <c r="S55" s="61">
        <f t="shared" si="24"/>
        <v>4.8495183892263229</v>
      </c>
      <c r="T55" s="61">
        <f t="shared" si="24"/>
        <v>5.4393545558440968</v>
      </c>
      <c r="U55" s="61">
        <f t="shared" si="24"/>
        <v>6.0291907224618688</v>
      </c>
      <c r="V55" s="61">
        <f t="shared" si="24"/>
        <v>6.8359157429395863</v>
      </c>
      <c r="W55" s="61">
        <f t="shared" si="24"/>
        <v>7.6426407634173037</v>
      </c>
      <c r="X55" s="61">
        <f t="shared" si="24"/>
        <v>8.4493657838950202</v>
      </c>
      <c r="Y55" s="61">
        <f t="shared" si="24"/>
        <v>9.2560908043727377</v>
      </c>
      <c r="Z55" s="61">
        <f t="shared" si="24"/>
        <v>10.062815824850455</v>
      </c>
      <c r="AA55" s="61">
        <f t="shared" si="24"/>
        <v>10.92405711298686</v>
      </c>
      <c r="AB55" s="61">
        <f t="shared" si="24"/>
        <v>11.785298401123265</v>
      </c>
      <c r="AC55" s="61">
        <f t="shared" si="24"/>
        <v>12.64653968925967</v>
      </c>
      <c r="AD55" s="61">
        <f t="shared" si="24"/>
        <v>13.507780977396076</v>
      </c>
      <c r="AE55" s="61">
        <f t="shared" si="24"/>
        <v>14.369022265532482</v>
      </c>
    </row>
    <row r="56" spans="1:31" x14ac:dyDescent="0.35">
      <c r="A56" s="87" t="s">
        <v>39</v>
      </c>
      <c r="B56" s="9">
        <f>NPV('Cost Assumptions'!$B$3,Menifee!D56:'Menifee'!AE56)</f>
        <v>273.76169619613398</v>
      </c>
      <c r="C56" s="87" t="s">
        <v>35</v>
      </c>
      <c r="D56" s="61">
        <f t="shared" ref="D56" si="25">D12-D31</f>
        <v>4</v>
      </c>
      <c r="E56" s="61">
        <f t="shared" ref="E56:AE56" si="26">E12-E31</f>
        <v>5</v>
      </c>
      <c r="F56" s="61">
        <f t="shared" si="26"/>
        <v>7.3333333333333339</v>
      </c>
      <c r="G56" s="61">
        <f t="shared" si="26"/>
        <v>9.6666666666666679</v>
      </c>
      <c r="H56" s="61">
        <f t="shared" si="26"/>
        <v>12.000000000000002</v>
      </c>
      <c r="I56" s="61">
        <f t="shared" si="26"/>
        <v>14.333333333333336</v>
      </c>
      <c r="J56" s="61">
        <f t="shared" si="26"/>
        <v>16.666666666666668</v>
      </c>
      <c r="K56" s="61">
        <f t="shared" si="26"/>
        <v>19</v>
      </c>
      <c r="L56" s="61">
        <f t="shared" si="26"/>
        <v>23.5</v>
      </c>
      <c r="M56" s="61">
        <f t="shared" si="26"/>
        <v>28</v>
      </c>
      <c r="N56" s="61">
        <f t="shared" si="26"/>
        <v>32.5</v>
      </c>
      <c r="O56" s="61">
        <f t="shared" si="26"/>
        <v>37</v>
      </c>
      <c r="P56" s="61">
        <f t="shared" si="26"/>
        <v>42.333333333333336</v>
      </c>
      <c r="Q56" s="61">
        <f t="shared" si="26"/>
        <v>47.666666666666671</v>
      </c>
      <c r="R56" s="61">
        <f t="shared" si="26"/>
        <v>53.000000000000007</v>
      </c>
      <c r="S56" s="61">
        <f t="shared" si="26"/>
        <v>57.000000000000007</v>
      </c>
      <c r="T56" s="61">
        <f t="shared" si="26"/>
        <v>61.000000000000014</v>
      </c>
      <c r="U56" s="61">
        <f t="shared" si="26"/>
        <v>65</v>
      </c>
      <c r="V56" s="61">
        <f t="shared" si="26"/>
        <v>70.8</v>
      </c>
      <c r="W56" s="61">
        <f t="shared" si="26"/>
        <v>76.599999999999994</v>
      </c>
      <c r="X56" s="61">
        <f t="shared" si="26"/>
        <v>82.399999999999977</v>
      </c>
      <c r="Y56" s="61">
        <f t="shared" si="26"/>
        <v>88.199999999999974</v>
      </c>
      <c r="Z56" s="61">
        <f t="shared" si="26"/>
        <v>94</v>
      </c>
      <c r="AA56" s="61">
        <f t="shared" si="26"/>
        <v>100.8</v>
      </c>
      <c r="AB56" s="61">
        <f t="shared" si="26"/>
        <v>107.6</v>
      </c>
      <c r="AC56" s="61">
        <f t="shared" si="26"/>
        <v>114.4</v>
      </c>
      <c r="AD56" s="61">
        <f t="shared" si="26"/>
        <v>121.2</v>
      </c>
      <c r="AE56" s="61">
        <f t="shared" si="26"/>
        <v>128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989522.69610483979</v>
      </c>
      <c r="D65" s="5">
        <f>'Baseline System Analysis'!D24-D34</f>
        <v>-731.12210617430947</v>
      </c>
      <c r="E65" s="5">
        <f>'Baseline System Analysis'!E24-E34</f>
        <v>-4395.8116595830579</v>
      </c>
      <c r="F65" s="5">
        <f>'Baseline System Analysis'!F24-F34</f>
        <v>-3493.4999039785052</v>
      </c>
      <c r="G65" s="5">
        <f>'Baseline System Analysis'!G24-G34</f>
        <v>-2591.1881483739489</v>
      </c>
      <c r="H65" s="5">
        <f>'Baseline System Analysis'!H24-H34</f>
        <v>-1688.8763927693944</v>
      </c>
      <c r="I65" s="5">
        <f>'Baseline System Analysis'!I24-I34</f>
        <v>-786.56463716483995</v>
      </c>
      <c r="J65" s="5">
        <f>'Baseline System Analysis'!J24-J34</f>
        <v>115.74711843971454</v>
      </c>
      <c r="K65" s="5">
        <f>'Baseline System Analysis'!K24-K34</f>
        <v>1018.058874044269</v>
      </c>
      <c r="L65" s="5">
        <f>'Baseline System Analysis'!L24-L34</f>
        <v>13164.42881762606</v>
      </c>
      <c r="M65" s="5">
        <f>'Baseline System Analysis'!M24-M34</f>
        <v>25310.798761207858</v>
      </c>
      <c r="N65" s="5">
        <f>'Baseline System Analysis'!N24-N34</f>
        <v>37457.168704789656</v>
      </c>
      <c r="O65" s="5">
        <f>'Baseline System Analysis'!O24-O34</f>
        <v>49603.538648371439</v>
      </c>
      <c r="P65" s="5">
        <f>'Baseline System Analysis'!P24-P34</f>
        <v>83007.131992483744</v>
      </c>
      <c r="Q65" s="5">
        <f>'Baseline System Analysis'!Q24-Q34</f>
        <v>116410.72533659614</v>
      </c>
      <c r="R65" s="5">
        <f>'Baseline System Analysis'!R24-R34</f>
        <v>149814.31868070841</v>
      </c>
      <c r="S65" s="5">
        <f>'Baseline System Analysis'!S24-S34</f>
        <v>183217.91202482069</v>
      </c>
      <c r="T65" s="5">
        <f>'Baseline System Analysis'!T24-T34</f>
        <v>216621.50536893297</v>
      </c>
      <c r="U65" s="5">
        <f>'Baseline System Analysis'!U24-U34</f>
        <v>250025.09871304559</v>
      </c>
      <c r="V65" s="5">
        <f>'Baseline System Analysis'!V24-V34</f>
        <v>328665.79577354621</v>
      </c>
      <c r="W65" s="5">
        <f>'Baseline System Analysis'!W24-W34</f>
        <v>407306.49283404648</v>
      </c>
      <c r="X65" s="5">
        <f>'Baseline System Analysis'!X24-X34</f>
        <v>485947.18989454675</v>
      </c>
      <c r="Y65" s="5">
        <f>'Baseline System Analysis'!Y24-Y34</f>
        <v>564587.88695504703</v>
      </c>
      <c r="Z65" s="5">
        <f>'Baseline System Analysis'!Z24-Z34</f>
        <v>643228.58401554776</v>
      </c>
      <c r="AA65" s="5">
        <f>'Baseline System Analysis'!AA24-AA34</f>
        <v>763585.35789546603</v>
      </c>
      <c r="AB65" s="5">
        <f>'Baseline System Analysis'!AB24-AB34</f>
        <v>883942.1317753843</v>
      </c>
      <c r="AC65" s="5">
        <f>'Baseline System Analysis'!AC24-AC34</f>
        <v>1004298.9056553026</v>
      </c>
      <c r="AD65" s="5">
        <f>'Baseline System Analysis'!AD24-AD34</f>
        <v>1124655.6795352208</v>
      </c>
      <c r="AE65" s="5">
        <f>'Baseline System Analysis'!AE24-AE34</f>
        <v>1245012.4534151405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4415415.7379317572</v>
      </c>
      <c r="D66" s="5">
        <f>'Baseline System Analysis'!D25-D35</f>
        <v>-3033.780818798039</v>
      </c>
      <c r="E66" s="5">
        <f>'Baseline System Analysis'!E25-E35</f>
        <v>6001.7813068593241</v>
      </c>
      <c r="F66" s="5">
        <f>'Baseline System Analysis'!F25-F35</f>
        <v>33988.05064503639</v>
      </c>
      <c r="G66" s="5">
        <f>'Baseline System Analysis'!G25-G35</f>
        <v>61974.319983213463</v>
      </c>
      <c r="H66" s="5">
        <f>'Baseline System Analysis'!H25-H35</f>
        <v>89960.589321390522</v>
      </c>
      <c r="I66" s="5">
        <f>'Baseline System Analysis'!I25-I35</f>
        <v>117946.85865956757</v>
      </c>
      <c r="J66" s="5">
        <f>'Baseline System Analysis'!J25-J35</f>
        <v>145933.12799774465</v>
      </c>
      <c r="K66" s="5">
        <f>'Baseline System Analysis'!K25-K35</f>
        <v>4224.4208708774531</v>
      </c>
      <c r="L66" s="5">
        <f>'Baseline System Analysis'!L25-L35</f>
        <v>54625.610824882286</v>
      </c>
      <c r="M66" s="5">
        <f>'Baseline System Analysis'!M25-M35</f>
        <v>105026.80077888712</v>
      </c>
      <c r="N66" s="5">
        <f>'Baseline System Analysis'!N25-N35</f>
        <v>155427.99073289195</v>
      </c>
      <c r="O66" s="5">
        <f>'Baseline System Analysis'!O25-O35</f>
        <v>205829.1806868969</v>
      </c>
      <c r="P66" s="5">
        <f>'Baseline System Analysis'!P25-P35</f>
        <v>344436.91790410131</v>
      </c>
      <c r="Q66" s="5">
        <f>'Baseline System Analysis'!Q25-Q35</f>
        <v>483044.65512130549</v>
      </c>
      <c r="R66" s="5">
        <f>'Baseline System Analysis'!R25-R35</f>
        <v>621652.39233851014</v>
      </c>
      <c r="S66" s="5">
        <f>'Baseline System Analysis'!S25-S35</f>
        <v>760260.12955571478</v>
      </c>
      <c r="T66" s="5">
        <f>'Baseline System Analysis'!T25-T35</f>
        <v>898867.86677291943</v>
      </c>
      <c r="U66" s="5">
        <f>'Baseline System Analysis'!U25-U35</f>
        <v>1037475.6039901231</v>
      </c>
      <c r="V66" s="5">
        <f>'Baseline System Analysis'!V25-V35</f>
        <v>1363794.0620209528</v>
      </c>
      <c r="W66" s="5">
        <f>'Baseline System Analysis'!W25-W35</f>
        <v>1690112.5200517811</v>
      </c>
      <c r="X66" s="5">
        <f>'Baseline System Analysis'!X25-X35</f>
        <v>2016430.9780826103</v>
      </c>
      <c r="Y66" s="5">
        <f>'Baseline System Analysis'!Y25-Y35</f>
        <v>2342749.4361134395</v>
      </c>
      <c r="Z66" s="5">
        <f>'Baseline System Analysis'!Z25-Z35</f>
        <v>2669067.8941442706</v>
      </c>
      <c r="AA66" s="5">
        <f>'Baseline System Analysis'!AA25-AA35</f>
        <v>3168486.6217764206</v>
      </c>
      <c r="AB66" s="5">
        <f>'Baseline System Analysis'!AB25-AB35</f>
        <v>3667905.3494085707</v>
      </c>
      <c r="AC66" s="5">
        <f>'Baseline System Analysis'!AC25-AC35</f>
        <v>4167324.0770407226</v>
      </c>
      <c r="AD66" s="5">
        <f>'Baseline System Analysis'!AD25-AD35</f>
        <v>4666742.8046728726</v>
      </c>
      <c r="AE66" s="5">
        <f>'Baseline System Analysis'!AE25-AE35</f>
        <v>5166161.5323050208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5404938.4340365967</v>
      </c>
      <c r="D67" s="5">
        <f>SUM(D65:D66)</f>
        <v>-3764.9029249723485</v>
      </c>
      <c r="E67" s="5">
        <f>SUM(E65:E66)</f>
        <v>1605.9696472762662</v>
      </c>
      <c r="F67" s="5">
        <f t="shared" ref="F67:AE67" si="27">SUM(F65:F66)</f>
        <v>30494.550741057887</v>
      </c>
      <c r="G67" s="5">
        <f t="shared" si="27"/>
        <v>59383.131834839514</v>
      </c>
      <c r="H67" s="5">
        <f t="shared" si="27"/>
        <v>88271.712928621128</v>
      </c>
      <c r="I67" s="5">
        <f t="shared" si="27"/>
        <v>117160.29402240273</v>
      </c>
      <c r="J67" s="5">
        <f t="shared" si="27"/>
        <v>146048.87511618435</v>
      </c>
      <c r="K67" s="5">
        <f t="shared" si="27"/>
        <v>5242.4797449217222</v>
      </c>
      <c r="L67" s="5">
        <f t="shared" si="27"/>
        <v>67790.039642508345</v>
      </c>
      <c r="M67" s="5">
        <f t="shared" si="27"/>
        <v>130337.59954009498</v>
      </c>
      <c r="N67" s="5">
        <f t="shared" si="27"/>
        <v>192885.15943768161</v>
      </c>
      <c r="O67" s="5">
        <f t="shared" si="27"/>
        <v>255432.71933526834</v>
      </c>
      <c r="P67" s="5">
        <f t="shared" si="27"/>
        <v>427444.04989658506</v>
      </c>
      <c r="Q67" s="5">
        <f t="shared" si="27"/>
        <v>599455.38045790163</v>
      </c>
      <c r="R67" s="5">
        <f t="shared" si="27"/>
        <v>771466.71101921855</v>
      </c>
      <c r="S67" s="5">
        <f t="shared" si="27"/>
        <v>943478.04158053547</v>
      </c>
      <c r="T67" s="5">
        <f t="shared" si="27"/>
        <v>1115489.3721418525</v>
      </c>
      <c r="U67" s="5">
        <f t="shared" si="27"/>
        <v>1287500.7027031686</v>
      </c>
      <c r="V67" s="5">
        <f t="shared" si="27"/>
        <v>1692459.857794499</v>
      </c>
      <c r="W67" s="5">
        <f t="shared" si="27"/>
        <v>2097419.0128858276</v>
      </c>
      <c r="X67" s="5">
        <f t="shared" si="27"/>
        <v>2502378.167977157</v>
      </c>
      <c r="Y67" s="5">
        <f t="shared" si="27"/>
        <v>2907337.3230684865</v>
      </c>
      <c r="Z67" s="5">
        <f t="shared" si="27"/>
        <v>3312296.4781598183</v>
      </c>
      <c r="AA67" s="5">
        <f t="shared" si="27"/>
        <v>3932071.9796718867</v>
      </c>
      <c r="AB67" s="5">
        <f t="shared" si="27"/>
        <v>4551847.4811839554</v>
      </c>
      <c r="AC67" s="5">
        <f t="shared" si="27"/>
        <v>5171622.9826960247</v>
      </c>
      <c r="AD67" s="5">
        <f t="shared" si="27"/>
        <v>5791398.484208094</v>
      </c>
      <c r="AE67" s="5">
        <f t="shared" si="27"/>
        <v>6411173.9857201613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117915945.33741844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2696419.0538857356</v>
      </c>
      <c r="J69" s="5">
        <f>'Baseline System Analysis'!J28-J32</f>
        <v>3587048.7001477713</v>
      </c>
      <c r="K69" s="5">
        <f>'Baseline System Analysis'!K28-K32</f>
        <v>4534084.5657563498</v>
      </c>
      <c r="L69" s="5">
        <f>'Baseline System Analysis'!L28-L32</f>
        <v>5693348.9186131302</v>
      </c>
      <c r="M69" s="5">
        <f>'Baseline System Analysis'!M28-M32</f>
        <v>7548985.0743932622</v>
      </c>
      <c r="N69" s="5">
        <f>'Baseline System Analysis'!N28-N32</f>
        <v>9794691.5976483021</v>
      </c>
      <c r="O69" s="5">
        <f>'Baseline System Analysis'!O28-O32</f>
        <v>12474348.375717288</v>
      </c>
      <c r="P69" s="5">
        <f>'Baseline System Analysis'!P28-P32</f>
        <v>15347020.983958816</v>
      </c>
      <c r="Q69" s="5">
        <f>'Baseline System Analysis'!Q28-Q32</f>
        <v>17866466.956706397</v>
      </c>
      <c r="R69" s="5">
        <f>'Baseline System Analysis'!R28-R32</f>
        <v>20996797.786055777</v>
      </c>
      <c r="S69" s="5">
        <f>'Baseline System Analysis'!S28-S32</f>
        <v>24606885.201446693</v>
      </c>
      <c r="T69" s="5">
        <f>'Baseline System Analysis'!T28-T32</f>
        <v>28463351.024078682</v>
      </c>
      <c r="U69" s="5">
        <f>'Baseline System Analysis'!U28-U32</f>
        <v>32755418.897481531</v>
      </c>
      <c r="V69" s="5">
        <f>'Baseline System Analysis'!V28-V32</f>
        <v>37153791.297938161</v>
      </c>
      <c r="W69" s="5">
        <f>'Baseline System Analysis'!W28-W32</f>
        <v>42652806.971720845</v>
      </c>
      <c r="X69" s="5">
        <f>'Baseline System Analysis'!X28-X32</f>
        <v>47863840.319591612</v>
      </c>
      <c r="Y69" s="5">
        <f>'Baseline System Analysis'!Y28-Y32</f>
        <v>52976261.799465328</v>
      </c>
      <c r="Z69" s="5">
        <f>'Baseline System Analysis'!Z28-Z32</f>
        <v>58057231.171117894</v>
      </c>
      <c r="AA69" s="5">
        <f>'Baseline System Analysis'!AA28-AA32</f>
        <v>63616417.728355765</v>
      </c>
      <c r="AB69" s="5">
        <f>'Baseline System Analysis'!AB28-AB32</f>
        <v>70586796.031961992</v>
      </c>
      <c r="AC69" s="5">
        <f>'Baseline System Analysis'!AC28-AC32</f>
        <v>77712608.862147227</v>
      </c>
      <c r="AD69" s="5">
        <f>'Baseline System Analysis'!AD28-AD32</f>
        <v>82858013.678433344</v>
      </c>
      <c r="AE69" s="5">
        <f>'Baseline System Analysis'!AE28-AE32</f>
        <v>91213408.915624306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503557592.82944751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11935292.094424136</v>
      </c>
      <c r="J70" s="5">
        <f>'Baseline System Analysis'!J29-J33</f>
        <v>15941642.32252172</v>
      </c>
      <c r="K70" s="5">
        <f>'Baseline System Analysis'!K29-K33</f>
        <v>19613619.815275714</v>
      </c>
      <c r="L70" s="5">
        <f>'Baseline System Analysis'!L29-L33</f>
        <v>24661704.485005222</v>
      </c>
      <c r="M70" s="5">
        <f>'Baseline System Analysis'!M29-M33</f>
        <v>32796387.723990619</v>
      </c>
      <c r="N70" s="5">
        <f>'Baseline System Analysis'!N29-N33</f>
        <v>43151911.473019019</v>
      </c>
      <c r="O70" s="5">
        <f>'Baseline System Analysis'!O29-O33</f>
        <v>55866474.738844089</v>
      </c>
      <c r="P70" s="5">
        <f>'Baseline System Analysis'!P29-P33</f>
        <v>68637387.043348879</v>
      </c>
      <c r="Q70" s="5">
        <f>'Baseline System Analysis'!Q29-Q33</f>
        <v>77675195.110624015</v>
      </c>
      <c r="R70" s="5">
        <f>'Baseline System Analysis'!R29-R33</f>
        <v>90392543.566104695</v>
      </c>
      <c r="S70" s="5">
        <f>'Baseline System Analysis'!S29-S33</f>
        <v>106180983.20882511</v>
      </c>
      <c r="T70" s="5">
        <f>'Baseline System Analysis'!T29-T33</f>
        <v>122221178.02733383</v>
      </c>
      <c r="U70" s="5">
        <f>'Baseline System Analysis'!U29-U33</f>
        <v>139545937.71449837</v>
      </c>
      <c r="V70" s="5">
        <f>'Baseline System Analysis'!V29-V33</f>
        <v>157548767.26117057</v>
      </c>
      <c r="W70" s="5">
        <f>'Baseline System Analysis'!W29-W33</f>
        <v>180833131.6234411</v>
      </c>
      <c r="X70" s="5">
        <f>'Baseline System Analysis'!X29-X33</f>
        <v>201218261.6303902</v>
      </c>
      <c r="Y70" s="5">
        <f>'Baseline System Analysis'!Y29-Y33</f>
        <v>222936793.98589897</v>
      </c>
      <c r="Z70" s="5">
        <f>'Baseline System Analysis'!Z29-Z33</f>
        <v>242047844.07821715</v>
      </c>
      <c r="AA70" s="5">
        <f>'Baseline System Analysis'!AA29-AA33</f>
        <v>263909953.93144023</v>
      </c>
      <c r="AB70" s="5">
        <f>'Baseline System Analysis'!AB29-AB33</f>
        <v>293434496.77690768</v>
      </c>
      <c r="AC70" s="5">
        <f>'Baseline System Analysis'!AC29-AC33</f>
        <v>322983031.4838897</v>
      </c>
      <c r="AD70" s="5">
        <f>'Baseline System Analysis'!AD29-AD33</f>
        <v>339046590.71627378</v>
      </c>
      <c r="AE70" s="5">
        <f>'Baseline System Analysis'!AE29-AE33</f>
        <v>366596418.92247033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621473538.16686594</v>
      </c>
      <c r="D71" s="5">
        <f>SUM(D69:D70)</f>
        <v>1938540.0424908805</v>
      </c>
      <c r="E71" s="5">
        <f>SUM(E69:E70)</f>
        <v>5093845.8447473096</v>
      </c>
      <c r="F71" s="5">
        <f t="shared" ref="F71:AE71" si="28">SUM(F69:F70)</f>
        <v>7741142.53278674</v>
      </c>
      <c r="G71" s="5">
        <f t="shared" si="28"/>
        <v>10801761.726361772</v>
      </c>
      <c r="H71" s="5">
        <f t="shared" si="28"/>
        <v>12982259.988815472</v>
      </c>
      <c r="I71" s="5">
        <f t="shared" si="28"/>
        <v>14631711.148309872</v>
      </c>
      <c r="J71" s="5">
        <f t="shared" si="28"/>
        <v>19528691.02266949</v>
      </c>
      <c r="K71" s="5">
        <f t="shared" si="28"/>
        <v>24147704.381032065</v>
      </c>
      <c r="L71" s="5">
        <f t="shared" si="28"/>
        <v>30355053.403618351</v>
      </c>
      <c r="M71" s="5">
        <f t="shared" si="28"/>
        <v>40345372.798383884</v>
      </c>
      <c r="N71" s="5">
        <f t="shared" si="28"/>
        <v>52946603.070667319</v>
      </c>
      <c r="O71" s="5">
        <f t="shared" si="28"/>
        <v>68340823.114561379</v>
      </c>
      <c r="P71" s="5">
        <f t="shared" si="28"/>
        <v>83984408.027307689</v>
      </c>
      <c r="Q71" s="5">
        <f t="shared" si="28"/>
        <v>95541662.06733042</v>
      </c>
      <c r="R71" s="5">
        <f t="shared" si="28"/>
        <v>111389341.35216047</v>
      </c>
      <c r="S71" s="5">
        <f t="shared" si="28"/>
        <v>130787868.41027181</v>
      </c>
      <c r="T71" s="5">
        <f t="shared" si="28"/>
        <v>150684529.05141252</v>
      </c>
      <c r="U71" s="5">
        <f t="shared" si="28"/>
        <v>172301356.6119799</v>
      </c>
      <c r="V71" s="5">
        <f t="shared" si="28"/>
        <v>194702558.55910873</v>
      </c>
      <c r="W71" s="5">
        <f t="shared" si="28"/>
        <v>223485938.59516194</v>
      </c>
      <c r="X71" s="5">
        <f t="shared" si="28"/>
        <v>249082101.94998181</v>
      </c>
      <c r="Y71" s="5">
        <f t="shared" si="28"/>
        <v>275913055.78536427</v>
      </c>
      <c r="Z71" s="5">
        <f t="shared" si="28"/>
        <v>300105075.24933505</v>
      </c>
      <c r="AA71" s="5">
        <f t="shared" si="28"/>
        <v>327526371.659796</v>
      </c>
      <c r="AB71" s="5">
        <f t="shared" si="28"/>
        <v>364021292.80886966</v>
      </c>
      <c r="AC71" s="5">
        <f t="shared" si="28"/>
        <v>400695640.34603691</v>
      </c>
      <c r="AD71" s="5">
        <f t="shared" si="28"/>
        <v>421904604.39470714</v>
      </c>
      <c r="AE71" s="5">
        <f t="shared" si="28"/>
        <v>457809827.83809465</v>
      </c>
    </row>
    <row r="73" spans="1:31" x14ac:dyDescent="0.35">
      <c r="A73" s="87" t="s">
        <v>117</v>
      </c>
      <c r="B73" s="87" t="s">
        <v>144</v>
      </c>
      <c r="C73" s="17">
        <f>NPV('Cost Assumptions'!$B$3,D73:AE73)</f>
        <v>537491839.01802492</v>
      </c>
      <c r="D73" s="61">
        <f>ABS((D49*D60*1000*'Cost Assumptions'!$B$6)/'Cost Assumptions'!$B$14)</f>
        <v>8166198.0825027833</v>
      </c>
      <c r="E73" s="61">
        <f>ABS((E49*E60*1000*'Cost Assumptions'!$B$6)/'Cost Assumptions'!$B$14)</f>
        <v>12688835.174250364</v>
      </c>
      <c r="F73" s="61">
        <f>ABS((F49*F60*1000*'Cost Assumptions'!$B$6)/'Cost Assumptions'!$B$14)</f>
        <v>17432500.246783763</v>
      </c>
      <c r="G73" s="61">
        <f>ABS((G49*G60*1000*'Cost Assumptions'!$B$6)/'Cost Assumptions'!$B$14)</f>
        <v>22405418.050959926</v>
      </c>
      <c r="H73" s="61">
        <f>ABS((H49*H60*1000*'Cost Assumptions'!$B$6)/'Cost Assumptions'!$B$14)</f>
        <v>27616086.43269065</v>
      </c>
      <c r="I73" s="61">
        <f>ABS((I49*I60*1000*'Cost Assumptions'!$B$6)/'Cost Assumptions'!$B$14)</f>
        <v>33073284.847226065</v>
      </c>
      <c r="J73" s="61">
        <f>ABS((J49*J60*1000*'Cost Assumptions'!$B$6)/'Cost Assumptions'!$B$14)</f>
        <v>38786083.128467821</v>
      </c>
      <c r="K73" s="61">
        <f>ABS((K49*K60*1000*'Cost Assumptions'!$B$6)/'Cost Assumptions'!$B$14)</f>
        <v>44763850.520742126</v>
      </c>
      <c r="L73" s="61">
        <f>ABS((L49*L60*1000*'Cost Assumptions'!$B$6)/'Cost Assumptions'!$B$14)</f>
        <v>51016264.98067487</v>
      </c>
      <c r="M73" s="61">
        <f>ABS((M49*M60*1000*'Cost Assumptions'!$B$6)/'Cost Assumptions'!$B$14)</f>
        <v>57553322.757028796</v>
      </c>
      <c r="N73" s="61">
        <f>ABS((N49*N60*1000*'Cost Assumptions'!$B$6)/'Cost Assumptions'!$B$14)</f>
        <v>64385348.256587505</v>
      </c>
      <c r="O73" s="61">
        <f>ABS((O49*O60*1000*'Cost Assumptions'!$B$6)/'Cost Assumptions'!$B$14)</f>
        <v>71523004.204400972</v>
      </c>
      <c r="P73" s="61">
        <f>ABS((P49*P60*1000*'Cost Assumptions'!$B$6)/'Cost Assumptions'!$B$14)</f>
        <v>78977302.106944755</v>
      </c>
      <c r="Q73" s="61">
        <f>ABS((Q49*Q60*1000*'Cost Assumptions'!$B$6)/'Cost Assumptions'!$B$14)</f>
        <v>86759613.026987985</v>
      </c>
      <c r="R73" s="61">
        <f>ABS((R49*R60*1000*'Cost Assumptions'!$B$6)/'Cost Assumptions'!$B$14)</f>
        <v>94881678.679216564</v>
      </c>
      <c r="S73" s="61">
        <f>ABS((S49*S60*1000*'Cost Assumptions'!$B$6)/'Cost Assumptions'!$B$14)</f>
        <v>103355622.85591464</v>
      </c>
      <c r="T73" s="61">
        <f>ABS((T49*T60*1000*'Cost Assumptions'!$B$6)/'Cost Assumptions'!$B$14)</f>
        <v>112193963.19227311</v>
      </c>
      <c r="U73" s="61">
        <f>ABS((U49*U60*1000*'Cost Assumptions'!$B$6)/'Cost Assumptions'!$B$14)</f>
        <v>121409623.28116462</v>
      </c>
      <c r="V73" s="61">
        <f>ABS((V49*V60*1000*'Cost Assumptions'!$B$6)/'Cost Assumptions'!$B$14)</f>
        <v>131015945.14750551</v>
      </c>
      <c r="W73" s="61">
        <f>ABS((W49*W60*1000*'Cost Assumptions'!$B$6)/'Cost Assumptions'!$B$14)</f>
        <v>141026702.09261268</v>
      </c>
      <c r="X73" s="61">
        <f>ABS((X49*X60*1000*'Cost Assumptions'!$B$6)/'Cost Assumptions'!$B$14)</f>
        <v>151456111.91925809</v>
      </c>
      <c r="Y73" s="61">
        <f>ABS((Y49*Y60*1000*'Cost Assumptions'!$B$6)/'Cost Assumptions'!$B$14)</f>
        <v>162318850.54842782</v>
      </c>
      <c r="Z73" s="61">
        <f>ABS((Z49*Z60*1000*'Cost Assumptions'!$B$6)/'Cost Assumptions'!$B$14)</f>
        <v>173630066.03910649</v>
      </c>
      <c r="AA73" s="61">
        <f>ABS((AA49*AA60*1000*'Cost Assumptions'!$B$6)/'Cost Assumptions'!$B$14)</f>
        <v>185405393.02272636</v>
      </c>
      <c r="AB73" s="61">
        <f>ABS((AB49*AB60*1000*'Cost Assumptions'!$B$6)/'Cost Assumptions'!$B$14)</f>
        <v>197660967.56425279</v>
      </c>
      <c r="AC73" s="61">
        <f>ABS((AC49*AC60*1000*'Cost Assumptions'!$B$6)/'Cost Assumptions'!$B$14)</f>
        <v>210413442.46221629</v>
      </c>
      <c r="AD73" s="61">
        <f>ABS((AD49*AD60*1000*'Cost Assumptions'!$B$6)/'Cost Assumptions'!$B$14)</f>
        <v>223680003.00035033</v>
      </c>
      <c r="AE73" s="61">
        <f>ABS((AE49*AE60*1000*'Cost Assumptions'!$B$6)/'Cost Assumptions'!$B$14)</f>
        <v>237478383.1638521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2214268856.2861581</v>
      </c>
      <c r="D74" s="61">
        <f>ABS((D49*D62*1000*'Cost Assumptions'!$B$7)/'Cost Assumptions'!$B$14)</f>
        <v>33641735.14036046</v>
      </c>
      <c r="E74" s="61">
        <f>ABS((E49*E62*1000*'Cost Assumptions'!$B$7)/'Cost Assumptions'!$B$14)</f>
        <v>52273337.954715826</v>
      </c>
      <c r="F74" s="61">
        <f>ABS((F49*F62*1000*'Cost Assumptions'!$B$7)/'Cost Assumptions'!$B$14)</f>
        <v>71815494.825326234</v>
      </c>
      <c r="G74" s="61">
        <f>ABS((G49*G62*1000*'Cost Assumptions'!$B$7)/'Cost Assumptions'!$B$14)</f>
        <v>92302088.703245476</v>
      </c>
      <c r="H74" s="61">
        <f>ABS((H49*H62*1000*'Cost Assumptions'!$B$7)/'Cost Assumptions'!$B$14)</f>
        <v>113768127.59079483</v>
      </c>
      <c r="I74" s="61">
        <f>ABS((I49*I62*1000*'Cost Assumptions'!$B$7)/'Cost Assumptions'!$B$14)</f>
        <v>136249779.61728215</v>
      </c>
      <c r="J74" s="61">
        <f>ABS((J49*J62*1000*'Cost Assumptions'!$B$7)/'Cost Assumptions'!$B$14)</f>
        <v>159784409.16534957</v>
      </c>
      <c r="K74" s="61">
        <f>ABS((K49*K62*1000*'Cost Assumptions'!$B$7)/'Cost Assumptions'!$B$14)</f>
        <v>184410614.07855949</v>
      </c>
      <c r="L74" s="61">
        <f>ABS((L49*L62*1000*'Cost Assumptions'!$B$7)/'Cost Assumptions'!$B$14)</f>
        <v>210168263.98170161</v>
      </c>
      <c r="M74" s="61">
        <f>ABS((M49*M62*1000*'Cost Assumptions'!$B$7)/'Cost Assumptions'!$B$14)</f>
        <v>237098539.74620178</v>
      </c>
      <c r="N74" s="61">
        <f>ABS((N49*N62*1000*'Cost Assumptions'!$B$7)/'Cost Assumptions'!$B$14)</f>
        <v>265243974.13393831</v>
      </c>
      <c r="O74" s="61">
        <f>ABS((O49*O62*1000*'Cost Assumptions'!$B$7)/'Cost Assumptions'!$B$14)</f>
        <v>294648493.65372038</v>
      </c>
      <c r="P74" s="61">
        <f>ABS((P49*P62*1000*'Cost Assumptions'!$B$7)/'Cost Assumptions'!$B$14)</f>
        <v>325357461.66565776</v>
      </c>
      <c r="Q74" s="61">
        <f>ABS((Q49*Q62*1000*'Cost Assumptions'!$B$7)/'Cost Assumptions'!$B$14)</f>
        <v>357417722.76965851</v>
      </c>
      <c r="R74" s="61">
        <f>ABS((R49*R62*1000*'Cost Assumptions'!$B$7)/'Cost Assumptions'!$B$14)</f>
        <v>390877648.51531833</v>
      </c>
      <c r="S74" s="61">
        <f>ABS((S49*S62*1000*'Cost Assumptions'!$B$7)/'Cost Assumptions'!$B$14)</f>
        <v>425787184.47152984</v>
      </c>
      <c r="T74" s="61">
        <f>ABS((T49*T62*1000*'Cost Assumptions'!$B$7)/'Cost Assumptions'!$B$14)</f>
        <v>462197898.69522989</v>
      </c>
      <c r="U74" s="61">
        <f>ABS((U49*U62*1000*'Cost Assumptions'!$B$7)/'Cost Assumptions'!$B$14)</f>
        <v>500163031.63982046</v>
      </c>
      <c r="V74" s="61">
        <f>ABS((V49*V62*1000*'Cost Assumptions'!$B$7)/'Cost Assumptions'!$B$14)</f>
        <v>539737547.54495609</v>
      </c>
      <c r="W74" s="61">
        <f>ABS((W49*W62*1000*'Cost Assumptions'!$B$7)/'Cost Assumptions'!$B$14)</f>
        <v>580978187.3505733</v>
      </c>
      <c r="X74" s="61">
        <f>ABS((X49*X62*1000*'Cost Assumptions'!$B$7)/'Cost Assumptions'!$B$14)</f>
        <v>623943523.17925596</v>
      </c>
      <c r="Y74" s="61">
        <f>ABS((Y49*Y62*1000*'Cost Assumptions'!$B$7)/'Cost Assumptions'!$B$14)</f>
        <v>668694014.43227851</v>
      </c>
      <c r="Z74" s="61">
        <f>ABS((Z49*Z62*1000*'Cost Assumptions'!$B$7)/'Cost Assumptions'!$B$14)</f>
        <v>715292065.54596519</v>
      </c>
      <c r="AA74" s="61">
        <f>ABS((AA49*AA62*1000*'Cost Assumptions'!$B$7)/'Cost Assumptions'!$B$14)</f>
        <v>763802085.45631611</v>
      </c>
      <c r="AB74" s="61">
        <f>ABS((AB49*AB62*1000*'Cost Assumptions'!$B$7)/'Cost Assumptions'!$B$14)</f>
        <v>814290548.82121825</v>
      </c>
      <c r="AC74" s="61">
        <f>ABS((AC49*AC62*1000*'Cost Assumptions'!$B$7)/'Cost Assumptions'!$B$14)</f>
        <v>866826059.05095518</v>
      </c>
      <c r="AD74" s="61">
        <f>ABS((AD49*AD62*1000*'Cost Assumptions'!$B$7)/'Cost Assumptions'!$B$14)</f>
        <v>921479413.19916594</v>
      </c>
      <c r="AE74" s="61">
        <f>ABS((AE49*AE62*1000*'Cost Assumptions'!$B$7)/'Cost Assumptions'!$B$14)</f>
        <v>978323668.76787961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2751760695.3041825</v>
      </c>
      <c r="D75" s="61">
        <f>SUM(D73:D74)</f>
        <v>41807933.222863242</v>
      </c>
      <c r="E75" s="61">
        <f>SUM(E73:E74)</f>
        <v>64962173.12896619</v>
      </c>
      <c r="F75" s="61">
        <f t="shared" ref="F75:AE75" si="29">SUM(F73:F74)</f>
        <v>89247995.072109997</v>
      </c>
      <c r="G75" s="61">
        <f t="shared" si="29"/>
        <v>114707506.75420541</v>
      </c>
      <c r="H75" s="61">
        <f t="shared" si="29"/>
        <v>141384214.02348548</v>
      </c>
      <c r="I75" s="61">
        <f t="shared" si="29"/>
        <v>169323064.46450821</v>
      </c>
      <c r="J75" s="61">
        <f t="shared" si="29"/>
        <v>198570492.2938174</v>
      </c>
      <c r="K75" s="61">
        <f t="shared" si="29"/>
        <v>229174464.59930161</v>
      </c>
      <c r="L75" s="61">
        <f t="shared" si="29"/>
        <v>261184528.96237648</v>
      </c>
      <c r="M75" s="61">
        <f t="shared" si="29"/>
        <v>294651862.50323057</v>
      </c>
      <c r="N75" s="61">
        <f t="shared" si="29"/>
        <v>329629322.39052582</v>
      </c>
      <c r="O75" s="61">
        <f t="shared" si="29"/>
        <v>366171497.85812134</v>
      </c>
      <c r="P75" s="61">
        <f t="shared" si="29"/>
        <v>404334763.7726025</v>
      </c>
      <c r="Q75" s="61">
        <f t="shared" si="29"/>
        <v>444177335.79664648</v>
      </c>
      <c r="R75" s="61">
        <f t="shared" si="29"/>
        <v>485759327.1945349</v>
      </c>
      <c r="S75" s="61">
        <f t="shared" si="29"/>
        <v>529142807.32744449</v>
      </c>
      <c r="T75" s="61">
        <f t="shared" si="29"/>
        <v>574391861.88750303</v>
      </c>
      <c r="U75" s="61">
        <f t="shared" si="29"/>
        <v>621572654.9209851</v>
      </c>
      <c r="V75" s="61">
        <f t="shared" si="29"/>
        <v>670753492.69246161</v>
      </c>
      <c r="W75" s="61">
        <f t="shared" si="29"/>
        <v>722004889.44318604</v>
      </c>
      <c r="X75" s="61">
        <f t="shared" si="29"/>
        <v>775399635.09851408</v>
      </c>
      <c r="Y75" s="61">
        <f t="shared" si="29"/>
        <v>831012864.98070633</v>
      </c>
      <c r="Z75" s="61">
        <f t="shared" si="29"/>
        <v>888922131.58507168</v>
      </c>
      <c r="AA75" s="61">
        <f t="shared" si="29"/>
        <v>949207478.47904253</v>
      </c>
      <c r="AB75" s="61">
        <f t="shared" si="29"/>
        <v>1011951516.3854711</v>
      </c>
      <c r="AC75" s="61">
        <f t="shared" si="29"/>
        <v>1077239501.5131714</v>
      </c>
      <c r="AD75" s="61">
        <f t="shared" si="29"/>
        <v>1145159416.1995163</v>
      </c>
      <c r="AE75" s="61">
        <f t="shared" si="29"/>
        <v>1215802051.9317317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47821744.897639044</v>
      </c>
      <c r="D77" s="61">
        <f>ABS(D50)*D61*1000*'Cost Assumptions'!$B$6*'Cost Assumptions'!$B$13</f>
        <v>4046381.8903423501</v>
      </c>
      <c r="E77" s="61">
        <f>ABS(E50)*E61*1000*'Cost Assumptions'!$B$6*'Cost Assumptions'!$B$13</f>
        <v>4166315.2032779371</v>
      </c>
      <c r="F77" s="61">
        <f>ABS(F50)*F61*1000*'Cost Assumptions'!$B$6*'Cost Assumptions'!$B$13</f>
        <v>4289716.1931788437</v>
      </c>
      <c r="G77" s="61">
        <f>ABS(G50)*G61*1000*'Cost Assumptions'!$B$6*'Cost Assumptions'!$B$13</f>
        <v>4408673.463211555</v>
      </c>
      <c r="H77" s="61">
        <f>ABS(H50)*H61*1000*'Cost Assumptions'!$B$6*'Cost Assumptions'!$B$13</f>
        <v>4531000.1499741646</v>
      </c>
      <c r="I77" s="61">
        <f>ABS(I50)*I61*1000*'Cost Assumptions'!$B$6*'Cost Assumptions'!$B$13</f>
        <v>4656582.5586651694</v>
      </c>
      <c r="J77" s="61">
        <f>ABS(J50)*J61*1000*'Cost Assumptions'!$B$6*'Cost Assumptions'!$B$13</f>
        <v>4786690.4255230818</v>
      </c>
      <c r="K77" s="61">
        <f>ABS(K50)*K61*1000*'Cost Assumptions'!$B$6*'Cost Assumptions'!$B$13</f>
        <v>4920282.8048100471</v>
      </c>
      <c r="L77" s="61">
        <f>ABS(L50)*L61*1000*'Cost Assumptions'!$B$6*'Cost Assumptions'!$B$13</f>
        <v>5057563.1215454014</v>
      </c>
      <c r="M77" s="61">
        <f>ABS(M50)*M61*1000*'Cost Assumptions'!$B$6*'Cost Assumptions'!$B$13</f>
        <v>5198632.2773645371</v>
      </c>
      <c r="N77" s="61">
        <f>ABS(N50)*N61*1000*'Cost Assumptions'!$B$6*'Cost Assumptions'!$B$13</f>
        <v>5343950.9575885339</v>
      </c>
      <c r="O77" s="61">
        <f>ABS(O50)*O61*1000*'Cost Assumptions'!$B$6*'Cost Assumptions'!$B$13</f>
        <v>5493286.4266503658</v>
      </c>
      <c r="P77" s="61">
        <f>ABS(P50)*P61*1000*'Cost Assumptions'!$B$6*'Cost Assumptions'!$B$13</f>
        <v>5646873.7394485846</v>
      </c>
      <c r="Q77" s="61">
        <f>ABS(Q50)*Q61*1000*'Cost Assumptions'!$B$6*'Cost Assumptions'!$B$13</f>
        <v>5804578.9482474877</v>
      </c>
      <c r="R77" s="61">
        <f>ABS(R50)*R61*1000*'Cost Assumptions'!$B$6*'Cost Assumptions'!$B$13</f>
        <v>5966114.6423466187</v>
      </c>
      <c r="S77" s="61">
        <f>ABS(S50)*S61*1000*'Cost Assumptions'!$B$6*'Cost Assumptions'!$B$13</f>
        <v>6132099.2593080224</v>
      </c>
      <c r="T77" s="61">
        <f>ABS(T50)*T61*1000*'Cost Assumptions'!$B$6*'Cost Assumptions'!$B$13</f>
        <v>6302792.3058234612</v>
      </c>
      <c r="U77" s="61">
        <f>ABS(U50)*U61*1000*'Cost Assumptions'!$B$6*'Cost Assumptions'!$B$13</f>
        <v>6478045.9717612443</v>
      </c>
      <c r="V77" s="61">
        <f>ABS(V50)*V61*1000*'Cost Assumptions'!$B$6*'Cost Assumptions'!$B$13</f>
        <v>6656818.0070628226</v>
      </c>
      <c r="W77" s="61">
        <f>ABS(W50)*W61*1000*'Cost Assumptions'!$B$6*'Cost Assumptions'!$B$13</f>
        <v>6840479.8653971255</v>
      </c>
      <c r="X77" s="61">
        <f>ABS(X50)*X61*1000*'Cost Assumptions'!$B$6*'Cost Assumptions'!$B$13</f>
        <v>7029164.3053937331</v>
      </c>
      <c r="Y77" s="61">
        <f>ABS(Y50)*Y61*1000*'Cost Assumptions'!$B$6*'Cost Assumptions'!$B$13</f>
        <v>7222851.5101083806</v>
      </c>
      <c r="Z77" s="61">
        <f>ABS(Z50)*Z61*1000*'Cost Assumptions'!$B$6*'Cost Assumptions'!$B$13</f>
        <v>7419909.111767184</v>
      </c>
      <c r="AA77" s="61">
        <f>ABS(AA50)*AA61*1000*'Cost Assumptions'!$B$6*'Cost Assumptions'!$B$13</f>
        <v>7622141.2484825477</v>
      </c>
      <c r="AB77" s="61">
        <f>ABS(AB50)*AB61*1000*'Cost Assumptions'!$B$6*'Cost Assumptions'!$B$13</f>
        <v>7829847.548838811</v>
      </c>
      <c r="AC77" s="61">
        <f>ABS(AC50)*AC61*1000*'Cost Assumptions'!$B$6*'Cost Assumptions'!$B$13</f>
        <v>8043347.6944460608</v>
      </c>
      <c r="AD77" s="61">
        <f>ABS(AD50)*AD61*1000*'Cost Assumptions'!$B$6*'Cost Assumptions'!$B$13</f>
        <v>8259802.3489949116</v>
      </c>
      <c r="AE77" s="61">
        <f>ABS(AE50)*AE61*1000*'Cost Assumptions'!$B$6*'Cost Assumptions'!$B$13</f>
        <v>8482052.6439622007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215563781.85084349</v>
      </c>
      <c r="D78" s="61">
        <f>ABS(D50)*D63*1000*'Cost Assumptions'!$B$7*'Cost Assumptions'!$B$13</f>
        <v>18239681.236265913</v>
      </c>
      <c r="E78" s="61">
        <f>ABS(E50)*E63*1000*'Cost Assumptions'!$B$7*'Cost Assumptions'!$B$13</f>
        <v>18780298.86871814</v>
      </c>
      <c r="F78" s="61">
        <f>ABS(F50)*F63*1000*'Cost Assumptions'!$B$7*'Cost Assumptions'!$B$13</f>
        <v>19336547.582020327</v>
      </c>
      <c r="G78" s="61">
        <f>ABS(G50)*G63*1000*'Cost Assumptions'!$B$7*'Cost Assumptions'!$B$13</f>
        <v>19872765.552773822</v>
      </c>
      <c r="H78" s="61">
        <f>ABS(H50)*H63*1000*'Cost Assumptions'!$B$7*'Cost Assumptions'!$B$13</f>
        <v>20424171.681435041</v>
      </c>
      <c r="I78" s="61">
        <f>ABS(I50)*I63*1000*'Cost Assumptions'!$B$7*'Cost Assumptions'!$B$13</f>
        <v>20990253.47140979</v>
      </c>
      <c r="J78" s="61">
        <f>ABS(J50)*J63*1000*'Cost Assumptions'!$B$7*'Cost Assumptions'!$B$13</f>
        <v>21576734.451735169</v>
      </c>
      <c r="K78" s="61">
        <f>ABS(K50)*K63*1000*'Cost Assumptions'!$B$7*'Cost Assumptions'!$B$13</f>
        <v>22178922.401321512</v>
      </c>
      <c r="L78" s="61">
        <f>ABS(L50)*L63*1000*'Cost Assumptions'!$B$7*'Cost Assumptions'!$B$13</f>
        <v>22797734.289354805</v>
      </c>
      <c r="M78" s="61">
        <f>ABS(M50)*M63*1000*'Cost Assumptions'!$B$7*'Cost Assumptions'!$B$13</f>
        <v>23433624.945289034</v>
      </c>
      <c r="N78" s="61">
        <f>ABS(N50)*N63*1000*'Cost Assumptions'!$B$7*'Cost Assumptions'!$B$13</f>
        <v>24088670.978212118</v>
      </c>
      <c r="O78" s="61">
        <f>ABS(O50)*O63*1000*'Cost Assumptions'!$B$7*'Cost Assumptions'!$B$13</f>
        <v>24761823.297190495</v>
      </c>
      <c r="P78" s="61">
        <f>ABS(P50)*P63*1000*'Cost Assumptions'!$B$7*'Cost Assumptions'!$B$13</f>
        <v>25454141.447897017</v>
      </c>
      <c r="Q78" s="61">
        <f>ABS(Q50)*Q63*1000*'Cost Assumptions'!$B$7*'Cost Assumptions'!$B$13</f>
        <v>26165021.640559059</v>
      </c>
      <c r="R78" s="61">
        <f>ABS(R50)*R63*1000*'Cost Assumptions'!$B$7*'Cost Assumptions'!$B$13</f>
        <v>26893168.327770978</v>
      </c>
      <c r="S78" s="61">
        <f>ABS(S50)*S63*1000*'Cost Assumptions'!$B$7*'Cost Assumptions'!$B$13</f>
        <v>27641369.210818019</v>
      </c>
      <c r="T78" s="61">
        <f>ABS(T50)*T63*1000*'Cost Assumptions'!$B$7*'Cost Assumptions'!$B$13</f>
        <v>28410794.055546474</v>
      </c>
      <c r="U78" s="61">
        <f>ABS(U50)*U63*1000*'Cost Assumptions'!$B$7*'Cost Assumptions'!$B$13</f>
        <v>29200776.585327357</v>
      </c>
      <c r="V78" s="61">
        <f>ABS(V50)*V63*1000*'Cost Assumptions'!$B$7*'Cost Assumptions'!$B$13</f>
        <v>30006618.69964727</v>
      </c>
      <c r="W78" s="61">
        <f>ABS(W50)*W63*1000*'Cost Assumptions'!$B$7*'Cost Assumptions'!$B$13</f>
        <v>30834502.434317328</v>
      </c>
      <c r="X78" s="61">
        <f>ABS(X50)*X63*1000*'Cost Assumptions'!$B$7*'Cost Assumptions'!$B$13</f>
        <v>31685026.219033632</v>
      </c>
      <c r="Y78" s="61">
        <f>ABS(Y50)*Y63*1000*'Cost Assumptions'!$B$7*'Cost Assumptions'!$B$13</f>
        <v>32558100.725908615</v>
      </c>
      <c r="Z78" s="61">
        <f>ABS(Z50)*Z63*1000*'Cost Assumptions'!$B$7*'Cost Assumptions'!$B$13</f>
        <v>33446367.809156053</v>
      </c>
      <c r="AA78" s="61">
        <f>ABS(AA50)*AA63*1000*'Cost Assumptions'!$B$7*'Cost Assumptions'!$B$13</f>
        <v>34357959.895464316</v>
      </c>
      <c r="AB78" s="61">
        <f>ABS(AB50)*AB63*1000*'Cost Assumptions'!$B$7*'Cost Assumptions'!$B$13</f>
        <v>35294227.606207214</v>
      </c>
      <c r="AC78" s="61">
        <f>ABS(AC50)*AC63*1000*'Cost Assumptions'!$B$7*'Cost Assumptions'!$B$13</f>
        <v>36256611.954819232</v>
      </c>
      <c r="AD78" s="61">
        <f>ABS(AD50)*AD63*1000*'Cost Assumptions'!$B$7*'Cost Assumptions'!$B$13</f>
        <v>37232314.201436162</v>
      </c>
      <c r="AE78" s="61">
        <f>ABS(AE50)*AE63*1000*'Cost Assumptions'!$B$7*'Cost Assumptions'!$B$13</f>
        <v>38234141.17791228</v>
      </c>
    </row>
    <row r="79" spans="1:31" s="60" customFormat="1" ht="29" x14ac:dyDescent="0.35">
      <c r="A79" s="3" t="s">
        <v>146</v>
      </c>
      <c r="B79" s="87" t="s">
        <v>152</v>
      </c>
      <c r="C79" s="17">
        <f>NPV('Cost Assumptions'!$B$3,D79:AE79)</f>
        <v>263385526.7484825</v>
      </c>
      <c r="D79" s="61">
        <f>SUM(D77:D78)</f>
        <v>22286063.126608264</v>
      </c>
      <c r="E79" s="61">
        <f>SUM(E77:E78)</f>
        <v>22946614.071996078</v>
      </c>
      <c r="F79" s="61">
        <f t="shared" ref="F79:AE79" si="30">SUM(F77:F78)</f>
        <v>23626263.775199171</v>
      </c>
      <c r="G79" s="61">
        <f t="shared" si="30"/>
        <v>24281439.015985377</v>
      </c>
      <c r="H79" s="61">
        <f t="shared" si="30"/>
        <v>24955171.831409205</v>
      </c>
      <c r="I79" s="61">
        <f t="shared" si="30"/>
        <v>25646836.030074961</v>
      </c>
      <c r="J79" s="61">
        <f t="shared" si="30"/>
        <v>26363424.877258249</v>
      </c>
      <c r="K79" s="61">
        <f t="shared" si="30"/>
        <v>27099205.206131559</v>
      </c>
      <c r="L79" s="61">
        <f t="shared" si="30"/>
        <v>27855297.410900205</v>
      </c>
      <c r="M79" s="61">
        <f t="shared" si="30"/>
        <v>28632257.222653572</v>
      </c>
      <c r="N79" s="61">
        <f t="shared" si="30"/>
        <v>29432621.935800653</v>
      </c>
      <c r="O79" s="61">
        <f t="shared" si="30"/>
        <v>30255109.723840863</v>
      </c>
      <c r="P79" s="61">
        <f t="shared" si="30"/>
        <v>31101015.187345602</v>
      </c>
      <c r="Q79" s="61">
        <f t="shared" si="30"/>
        <v>31969600.588806547</v>
      </c>
      <c r="R79" s="61">
        <f t="shared" si="30"/>
        <v>32859282.970117599</v>
      </c>
      <c r="S79" s="61">
        <f t="shared" si="30"/>
        <v>33773468.47012604</v>
      </c>
      <c r="T79" s="61">
        <f t="shared" si="30"/>
        <v>34713586.361369938</v>
      </c>
      <c r="U79" s="61">
        <f t="shared" si="30"/>
        <v>35678822.557088599</v>
      </c>
      <c r="V79" s="61">
        <f t="shared" si="30"/>
        <v>36663436.706710093</v>
      </c>
      <c r="W79" s="61">
        <f t="shared" si="30"/>
        <v>37674982.299714454</v>
      </c>
      <c r="X79" s="61">
        <f t="shared" si="30"/>
        <v>38714190.524427369</v>
      </c>
      <c r="Y79" s="61">
        <f t="shared" si="30"/>
        <v>39780952.236016996</v>
      </c>
      <c r="Z79" s="61">
        <f t="shared" si="30"/>
        <v>40866276.920923233</v>
      </c>
      <c r="AA79" s="61">
        <f t="shared" si="30"/>
        <v>41980101.143946864</v>
      </c>
      <c r="AB79" s="61">
        <f t="shared" si="30"/>
        <v>43124075.155046023</v>
      </c>
      <c r="AC79" s="61">
        <f t="shared" si="30"/>
        <v>44299959.649265289</v>
      </c>
      <c r="AD79" s="61">
        <f t="shared" si="30"/>
        <v>45492116.550431073</v>
      </c>
      <c r="AE79" s="61">
        <f t="shared" si="30"/>
        <v>46716193.821874484</v>
      </c>
    </row>
    <row r="80" spans="1:31" s="60" customForma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201421523.7424624</v>
      </c>
      <c r="D81" s="61">
        <f>('Baseline System Analysis'!D42-D36)</f>
        <v>11415404.726474755</v>
      </c>
      <c r="E81" s="61">
        <f>('Baseline System Analysis'!E42-E36)</f>
        <v>12677256.086189514</v>
      </c>
      <c r="F81" s="61">
        <f>('Baseline System Analysis'!F42-F36)</f>
        <v>14005928.33497976</v>
      </c>
      <c r="G81" s="61">
        <f>('Baseline System Analysis'!G42-G36)</f>
        <v>14898443.995636351</v>
      </c>
      <c r="H81" s="61">
        <f>('Baseline System Analysis'!H42-H36)</f>
        <v>16001404.151103705</v>
      </c>
      <c r="I81" s="61">
        <f>('Baseline System Analysis'!I42-I36)</f>
        <v>17079540.657531884</v>
      </c>
      <c r="J81" s="61">
        <f>('Baseline System Analysis'!J42-J36)</f>
        <v>18025564.820723638</v>
      </c>
      <c r="K81" s="61">
        <f>('Baseline System Analysis'!K42-K36)</f>
        <v>19173409.538344882</v>
      </c>
      <c r="L81" s="61">
        <f>('Baseline System Analysis'!L42-L36)</f>
        <v>20408716.377800144</v>
      </c>
      <c r="M81" s="61">
        <f>('Baseline System Analysis'!M42-M36)</f>
        <v>21700257.554819502</v>
      </c>
      <c r="N81" s="61">
        <f>('Baseline System Analysis'!N42-N36)</f>
        <v>23225050.521736037</v>
      </c>
      <c r="O81" s="61">
        <f>('Baseline System Analysis'!O42-O36)</f>
        <v>24562337.309540544</v>
      </c>
      <c r="P81" s="61">
        <f>('Baseline System Analysis'!P42-P36)</f>
        <v>26000278.429442648</v>
      </c>
      <c r="Q81" s="61">
        <f>('Baseline System Analysis'!Q42-Q36)</f>
        <v>27628571.211867087</v>
      </c>
      <c r="R81" s="61">
        <f>('Baseline System Analysis'!R42-R36)</f>
        <v>29216356.105742048</v>
      </c>
      <c r="S81" s="61">
        <f>('Baseline System Analysis'!S42-S36)</f>
        <v>31019684.762876015</v>
      </c>
      <c r="T81" s="61">
        <f>('Baseline System Analysis'!T42-T36)</f>
        <v>32721790.79613499</v>
      </c>
      <c r="U81" s="61">
        <f>('Baseline System Analysis'!U42-U36)</f>
        <v>34498473.537261531</v>
      </c>
      <c r="V81" s="61">
        <f>('Baseline System Analysis'!V42-V36)</f>
        <v>36216597.888129503</v>
      </c>
      <c r="W81" s="61">
        <f>('Baseline System Analysis'!W42-W36)</f>
        <v>38085174.954066977</v>
      </c>
      <c r="X81" s="61">
        <f>('Baseline System Analysis'!X42-X36)</f>
        <v>39829235.050383419</v>
      </c>
      <c r="Y81" s="61">
        <f>('Baseline System Analysis'!Y42-Y36)</f>
        <v>41537971.859504849</v>
      </c>
      <c r="Z81" s="61">
        <f>('Baseline System Analysis'!Z42-Z36)</f>
        <v>43666848.802640006</v>
      </c>
      <c r="AA81" s="61">
        <f>('Baseline System Analysis'!AA42-AA36)</f>
        <v>45674640.509398893</v>
      </c>
      <c r="AB81" s="61">
        <f>('Baseline System Analysis'!AB42-AB36)</f>
        <v>47592810.13016814</v>
      </c>
      <c r="AC81" s="61">
        <f>('Baseline System Analysis'!AC42-AC36)</f>
        <v>49813062.13103693</v>
      </c>
      <c r="AD81" s="61">
        <f>('Baseline System Analysis'!AD42-AD36)</f>
        <v>52005419.753570341</v>
      </c>
      <c r="AE81" s="61">
        <f>('Baseline System Analysis'!AE42-AE36)</f>
        <v>54190723.063085757</v>
      </c>
    </row>
    <row r="82" spans="1:31" s="60" customFormat="1" x14ac:dyDescent="0.3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</row>
    <row r="83" spans="1:31" s="60" customFormat="1" ht="20" thickBot="1" x14ac:dyDescent="0.5">
      <c r="A83" s="145" t="s">
        <v>61</v>
      </c>
      <c r="B83" s="169"/>
      <c r="C83" s="17">
        <f>NPV('Cost Assumptions'!$B$3,D83:AE83)/1000000</f>
        <v>3843.4462223960295</v>
      </c>
      <c r="D83" s="61">
        <f>SUM(D67,D71,D75,D79,D81)</f>
        <v>77444176.215512156</v>
      </c>
      <c r="E83" s="61">
        <f>SUM(E67,E71,E75,E79,E81)</f>
        <v>105681495.10154636</v>
      </c>
      <c r="F83" s="61">
        <f t="shared" ref="F83:AE83" si="31">SUM(F67,F71,F75,F79,F81)</f>
        <v>134651824.26581675</v>
      </c>
      <c r="G83" s="61">
        <f t="shared" si="31"/>
        <v>164748534.62402374</v>
      </c>
      <c r="H83" s="61">
        <f t="shared" si="31"/>
        <v>195411321.70774248</v>
      </c>
      <c r="I83" s="61">
        <f t="shared" si="31"/>
        <v>226798312.59444731</v>
      </c>
      <c r="J83" s="61">
        <f t="shared" si="31"/>
        <v>262634221.88958496</v>
      </c>
      <c r="K83" s="61">
        <f t="shared" si="31"/>
        <v>299600026.20455503</v>
      </c>
      <c r="L83" s="61">
        <f t="shared" si="31"/>
        <v>339871386.19433767</v>
      </c>
      <c r="M83" s="61">
        <f t="shared" si="31"/>
        <v>385460087.67862761</v>
      </c>
      <c r="N83" s="61">
        <f t="shared" si="31"/>
        <v>435426483.0781675</v>
      </c>
      <c r="O83" s="61">
        <f t="shared" si="31"/>
        <v>489585200.72539943</v>
      </c>
      <c r="P83" s="61">
        <f t="shared" si="31"/>
        <v>545847909.46659505</v>
      </c>
      <c r="Q83" s="61">
        <f t="shared" si="31"/>
        <v>599916625.04510844</v>
      </c>
      <c r="R83" s="61">
        <f t="shared" si="31"/>
        <v>659995774.3335743</v>
      </c>
      <c r="S83" s="61">
        <f t="shared" si="31"/>
        <v>725667307.01229894</v>
      </c>
      <c r="T83" s="61">
        <f t="shared" si="31"/>
        <v>793627257.46856225</v>
      </c>
      <c r="U83" s="61">
        <f t="shared" si="31"/>
        <v>865338808.33001828</v>
      </c>
      <c r="V83" s="61">
        <f t="shared" si="31"/>
        <v>940028545.70420444</v>
      </c>
      <c r="W83" s="61">
        <f t="shared" si="31"/>
        <v>1023348404.3050152</v>
      </c>
      <c r="X83" s="61">
        <f t="shared" si="31"/>
        <v>1105527540.7912838</v>
      </c>
      <c r="Y83" s="61">
        <f t="shared" si="31"/>
        <v>1191152182.1846609</v>
      </c>
      <c r="Z83" s="61">
        <f t="shared" si="31"/>
        <v>1276872629.0361297</v>
      </c>
      <c r="AA83" s="61">
        <f t="shared" si="31"/>
        <v>1368320663.7718563</v>
      </c>
      <c r="AB83" s="61">
        <f t="shared" si="31"/>
        <v>1471241541.9607389</v>
      </c>
      <c r="AC83" s="61">
        <f t="shared" si="31"/>
        <v>1577219786.6222067</v>
      </c>
      <c r="AD83" s="61">
        <f t="shared" si="31"/>
        <v>1670352955.3824329</v>
      </c>
      <c r="AE83" s="61">
        <f t="shared" si="31"/>
        <v>1780929970.6405067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3844.0313832689772</v>
      </c>
      <c r="D84" s="61">
        <f>D83+D43</f>
        <v>77475981.215512112</v>
      </c>
      <c r="E84" s="61">
        <f t="shared" ref="E84:AE84" si="32">E83+E43</f>
        <v>105716462.97654633</v>
      </c>
      <c r="F84" s="61">
        <f t="shared" si="32"/>
        <v>134689833.0901196</v>
      </c>
      <c r="G84" s="61">
        <f t="shared" si="32"/>
        <v>164789714.59017274</v>
      </c>
      <c r="H84" s="61">
        <f t="shared" si="32"/>
        <v>195455807.61731476</v>
      </c>
      <c r="I84" s="61">
        <f t="shared" si="32"/>
        <v>226846244.00713518</v>
      </c>
      <c r="J84" s="61">
        <f t="shared" si="32"/>
        <v>262685743.27685073</v>
      </c>
      <c r="K84" s="61">
        <f t="shared" si="32"/>
        <v>299655287.10799468</v>
      </c>
      <c r="L84" s="61">
        <f t="shared" si="32"/>
        <v>339930541.38889277</v>
      </c>
      <c r="M84" s="61">
        <f t="shared" si="32"/>
        <v>385523297.34078938</v>
      </c>
      <c r="N84" s="61">
        <f t="shared" si="32"/>
        <v>435493912.95931965</v>
      </c>
      <c r="O84" s="61">
        <f t="shared" si="32"/>
        <v>489657022.33045262</v>
      </c>
      <c r="P84" s="61">
        <f t="shared" si="32"/>
        <v>545924300.23806858</v>
      </c>
      <c r="Q84" s="61">
        <f t="shared" si="32"/>
        <v>599997768.55282021</v>
      </c>
      <c r="R84" s="61">
        <f t="shared" si="32"/>
        <v>660081860.47010398</v>
      </c>
      <c r="S84" s="61">
        <f t="shared" si="32"/>
        <v>725758532.19439518</v>
      </c>
      <c r="T84" s="61">
        <f t="shared" si="32"/>
        <v>793723824.84466803</v>
      </c>
      <c r="U84" s="61">
        <f t="shared" si="32"/>
        <v>865440927.99409533</v>
      </c>
      <c r="V84" s="61">
        <f t="shared" si="32"/>
        <v>940136434.91604114</v>
      </c>
      <c r="W84" s="61">
        <f t="shared" si="32"/>
        <v>1023462287.7172096</v>
      </c>
      <c r="X84" s="61">
        <f t="shared" si="32"/>
        <v>1105647650.6830964</v>
      </c>
      <c r="Y84" s="61">
        <f t="shared" si="32"/>
        <v>1191278758.7029397</v>
      </c>
      <c r="Z84" s="61">
        <f t="shared" si="32"/>
        <v>1277005920.443516</v>
      </c>
      <c r="AA84" s="61">
        <f t="shared" si="32"/>
        <v>1368460926.7024813</v>
      </c>
      <c r="AB84" s="61">
        <f t="shared" si="32"/>
        <v>1471389041.683635</v>
      </c>
      <c r="AC84" s="61">
        <f t="shared" si="32"/>
        <v>1577374797.3126559</v>
      </c>
      <c r="AD84" s="61">
        <f t="shared" si="32"/>
        <v>1670515760.4014859</v>
      </c>
      <c r="AE84" s="61">
        <f t="shared" si="32"/>
        <v>1781100862.8229122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Summary!$D$13</f>
        <v>315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12.203274232599927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s="87" customFormat="1" x14ac:dyDescent="0.35">
      <c r="A90" s="65"/>
      <c r="B90" s="65"/>
    </row>
  </sheetData>
  <mergeCells count="8">
    <mergeCell ref="A86:B86"/>
    <mergeCell ref="A88:B88"/>
    <mergeCell ref="A84:B84"/>
    <mergeCell ref="B2:B15"/>
    <mergeCell ref="B18:B31"/>
    <mergeCell ref="B40:AE40"/>
    <mergeCell ref="A58:AE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89"/>
  <sheetViews>
    <sheetView zoomScale="78" zoomScaleNormal="78" workbookViewId="0"/>
  </sheetViews>
  <sheetFormatPr defaultColWidth="8.81640625" defaultRowHeight="14.5" x14ac:dyDescent="0.35"/>
  <cols>
    <col min="1" max="1" width="17.1796875" style="60" customWidth="1"/>
    <col min="2" max="2" width="28.1796875" style="60" customWidth="1"/>
    <col min="3" max="3" width="14.81640625" style="60" bestFit="1" customWidth="1"/>
    <col min="4" max="4" width="14.81640625" style="87" customWidth="1"/>
    <col min="5" max="15" width="15.7265625" style="60" bestFit="1" customWidth="1"/>
    <col min="16" max="16" width="15.453125" style="60" customWidth="1"/>
    <col min="17" max="20" width="15.7265625" style="60" bestFit="1" customWidth="1"/>
    <col min="21" max="31" width="17.26953125" style="60" bestFit="1" customWidth="1"/>
    <col min="32" max="16384" width="8.81640625" style="60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15" thickTop="1" x14ac:dyDescent="0.35">
      <c r="A18" s="87"/>
      <c r="B18" s="166" t="s">
        <v>15</v>
      </c>
      <c r="C18" s="87" t="s">
        <v>107</v>
      </c>
      <c r="D18" s="61">
        <v>48849.324999999626</v>
      </c>
      <c r="E18" s="61">
        <v>49618.499999999782</v>
      </c>
      <c r="F18" s="61">
        <v>50182.259615384406</v>
      </c>
      <c r="G18" s="61">
        <v>50746.01923076903</v>
      </c>
      <c r="H18" s="61">
        <v>51309.778846153655</v>
      </c>
      <c r="I18" s="61">
        <v>51873.538461538279</v>
      </c>
      <c r="J18" s="61">
        <v>52437.298076922903</v>
      </c>
      <c r="K18" s="61">
        <v>53001.057692307528</v>
      </c>
      <c r="L18" s="61">
        <v>53564.817307692152</v>
      </c>
      <c r="M18" s="61">
        <v>54128.576923076776</v>
      </c>
      <c r="N18" s="61">
        <v>54692.336538461401</v>
      </c>
      <c r="O18" s="61">
        <v>55256.096153846025</v>
      </c>
      <c r="P18" s="61">
        <v>55819.855769230649</v>
      </c>
      <c r="Q18" s="61">
        <v>56383.615384615274</v>
      </c>
      <c r="R18" s="61">
        <v>56947.374999999898</v>
      </c>
      <c r="S18" s="61">
        <v>57511.134615384522</v>
      </c>
      <c r="T18" s="61">
        <v>58074.894230769147</v>
      </c>
      <c r="U18" s="61">
        <v>58638.653846153771</v>
      </c>
      <c r="V18" s="61">
        <v>59202.413461538395</v>
      </c>
      <c r="W18" s="61">
        <v>59766.17307692302</v>
      </c>
      <c r="X18" s="61">
        <v>60329.932692307644</v>
      </c>
      <c r="Y18" s="61">
        <v>60893.692307692269</v>
      </c>
      <c r="Z18" s="61">
        <v>61457.451923076893</v>
      </c>
      <c r="AA18" s="61">
        <v>62021.211538461517</v>
      </c>
      <c r="AB18" s="61">
        <v>62584.971153846142</v>
      </c>
      <c r="AC18" s="61">
        <v>63148.730769230766</v>
      </c>
      <c r="AD18" s="61">
        <v>63712.49038461539</v>
      </c>
      <c r="AE18" s="61">
        <v>64276.250000000109</v>
      </c>
    </row>
    <row r="19" spans="1:31" x14ac:dyDescent="0.35">
      <c r="A19" s="87" t="s">
        <v>30</v>
      </c>
      <c r="B19" s="167"/>
      <c r="C19" s="87" t="s">
        <v>31</v>
      </c>
      <c r="D19" s="61">
        <v>1.2999999999999829</v>
      </c>
      <c r="E19" s="61">
        <v>10.599999999999994</v>
      </c>
      <c r="F19" s="61">
        <f t="shared" ref="F19:J23" si="0">E19+(($K19-$E19)/(COLUMN($K19)-COLUMN($E19)))</f>
        <v>33.166666666666643</v>
      </c>
      <c r="G19" s="61">
        <f t="shared" si="0"/>
        <v>55.733333333333292</v>
      </c>
      <c r="H19" s="61">
        <f t="shared" si="0"/>
        <v>78.29999999999994</v>
      </c>
      <c r="I19" s="61">
        <f t="shared" si="0"/>
        <v>100.86666666666659</v>
      </c>
      <c r="J19" s="61">
        <f>I19+(($K19-$E19)/(COLUMN($K19)-COLUMN($E19)))</f>
        <v>123.43333333333324</v>
      </c>
      <c r="K19" s="61">
        <v>145.99999999999991</v>
      </c>
      <c r="L19" s="61">
        <f>K19+(($O19-$K19)/(COLUMN($O19)-COLUMN($K19)))</f>
        <v>231.94999999999993</v>
      </c>
      <c r="M19" s="61">
        <f t="shared" ref="M19:N19" si="1">L19+(($O19-$K19)/(COLUMN($O19)-COLUMN($K19)))</f>
        <v>317.89999999999998</v>
      </c>
      <c r="N19" s="61">
        <f t="shared" si="1"/>
        <v>403.85</v>
      </c>
      <c r="O19" s="61">
        <v>489.79999999999995</v>
      </c>
      <c r="P19" s="61">
        <f>O19+(($U19-$O19)/(COLUMN($U19)-COLUMN($O19)))</f>
        <v>693.98333333333323</v>
      </c>
      <c r="Q19" s="61">
        <f t="shared" ref="Q19:T19" si="2">P19+(($U19-$O19)/(COLUMN($U19)-COLUMN($O19)))</f>
        <v>898.16666666666652</v>
      </c>
      <c r="R19" s="61">
        <f t="shared" si="2"/>
        <v>1102.3499999999997</v>
      </c>
      <c r="S19" s="61">
        <f t="shared" si="2"/>
        <v>1306.5333333333328</v>
      </c>
      <c r="T19" s="61">
        <f t="shared" si="2"/>
        <v>1510.716666666666</v>
      </c>
      <c r="U19" s="61">
        <v>1714.8999999999994</v>
      </c>
      <c r="V19" s="61">
        <f>U19+(($Z19-$U19)/(COLUMN($Z19)-COLUMN($U19)))</f>
        <v>2202.0199999999995</v>
      </c>
      <c r="W19" s="61">
        <f t="shared" ref="W19:Y19" si="3">V19+(($Z19-$U19)/(COLUMN($Z19)-COLUMN($U19)))</f>
        <v>2689.1399999999994</v>
      </c>
      <c r="X19" s="61">
        <f t="shared" si="3"/>
        <v>3176.2599999999993</v>
      </c>
      <c r="Y19" s="61">
        <f t="shared" si="3"/>
        <v>3663.3799999999992</v>
      </c>
      <c r="Z19" s="61">
        <v>4150.5</v>
      </c>
      <c r="AA19" s="61">
        <f>Z19+(($AE19-$Z19)/(COLUMN($AE19)-COLUMN($Z19)))</f>
        <v>4763.5200000000004</v>
      </c>
      <c r="AB19" s="61">
        <f t="shared" ref="AB19:AD19" si="4">AA19+(($AE19-$Z19)/(COLUMN($AE19)-COLUMN($Z19)))</f>
        <v>5376.5400000000009</v>
      </c>
      <c r="AC19" s="61">
        <f t="shared" si="4"/>
        <v>5989.5600000000013</v>
      </c>
      <c r="AD19" s="61">
        <f t="shared" si="4"/>
        <v>6602.5800000000017</v>
      </c>
      <c r="AE19" s="61">
        <v>7215.6000000000013</v>
      </c>
    </row>
    <row r="20" spans="1:31" x14ac:dyDescent="0.35">
      <c r="A20" s="87" t="s">
        <v>30</v>
      </c>
      <c r="B20" s="167"/>
      <c r="C20" s="87" t="s">
        <v>32</v>
      </c>
      <c r="D20" s="61">
        <v>1.1999999999999886</v>
      </c>
      <c r="E20" s="61">
        <v>4.4000000000000057</v>
      </c>
      <c r="F20" s="61">
        <f t="shared" si="0"/>
        <v>7.3666666666666689</v>
      </c>
      <c r="G20" s="61">
        <f t="shared" si="0"/>
        <v>10.333333333333332</v>
      </c>
      <c r="H20" s="61">
        <f t="shared" si="0"/>
        <v>13.299999999999995</v>
      </c>
      <c r="I20" s="61">
        <f t="shared" si="0"/>
        <v>16.266666666666659</v>
      </c>
      <c r="J20" s="61">
        <f t="shared" si="0"/>
        <v>19.233333333333324</v>
      </c>
      <c r="K20" s="61">
        <v>22.199999999999989</v>
      </c>
      <c r="L20" s="61">
        <f t="shared" ref="L20:N23" si="5">K20+(($O20-$K20)/(COLUMN($O20)-COLUMN($K20)))</f>
        <v>24.949999999999989</v>
      </c>
      <c r="M20" s="61">
        <f t="shared" si="5"/>
        <v>27.699999999999989</v>
      </c>
      <c r="N20" s="61">
        <f t="shared" si="5"/>
        <v>30.449999999999989</v>
      </c>
      <c r="O20" s="61">
        <v>33.199999999999989</v>
      </c>
      <c r="P20" s="61">
        <f t="shared" ref="P20:T23" si="6">O20+(($U20-$O20)/(COLUMN($U20)-COLUMN($O20)))</f>
        <v>35.999999999999993</v>
      </c>
      <c r="Q20" s="61">
        <f t="shared" si="6"/>
        <v>38.799999999999997</v>
      </c>
      <c r="R20" s="61">
        <f t="shared" si="6"/>
        <v>41.6</v>
      </c>
      <c r="S20" s="61">
        <f t="shared" si="6"/>
        <v>44.400000000000006</v>
      </c>
      <c r="T20" s="61">
        <f t="shared" si="6"/>
        <v>47.20000000000001</v>
      </c>
      <c r="U20" s="61">
        <v>50</v>
      </c>
      <c r="V20" s="61">
        <f t="shared" ref="V20:Y23" si="7">U20+(($Z20-$U20)/(COLUMN($Z20)-COLUMN($U20)))</f>
        <v>53.52</v>
      </c>
      <c r="W20" s="61">
        <f t="shared" si="7"/>
        <v>57.040000000000006</v>
      </c>
      <c r="X20" s="61">
        <f t="shared" si="7"/>
        <v>60.560000000000009</v>
      </c>
      <c r="Y20" s="61">
        <f t="shared" si="7"/>
        <v>64.080000000000013</v>
      </c>
      <c r="Z20" s="61">
        <v>67.600000000000023</v>
      </c>
      <c r="AA20" s="61">
        <f t="shared" ref="AA20:AD23" si="8">Z20+(($AE20-$Z20)/(COLUMN($AE20)-COLUMN($Z20)))</f>
        <v>78.140000000000029</v>
      </c>
      <c r="AB20" s="61">
        <f t="shared" si="8"/>
        <v>88.680000000000035</v>
      </c>
      <c r="AC20" s="61">
        <f t="shared" si="8"/>
        <v>99.220000000000041</v>
      </c>
      <c r="AD20" s="61">
        <f t="shared" si="8"/>
        <v>109.76000000000005</v>
      </c>
      <c r="AE20" s="61">
        <v>120.30000000000007</v>
      </c>
    </row>
    <row r="21" spans="1:31" x14ac:dyDescent="0.35">
      <c r="A21" s="87" t="s">
        <v>30</v>
      </c>
      <c r="B21" s="167"/>
      <c r="C21" s="87" t="s">
        <v>33</v>
      </c>
      <c r="D21" s="61">
        <v>2.6788584600682527E-3</v>
      </c>
      <c r="E21" s="61">
        <v>4.3685999502652048E-2</v>
      </c>
      <c r="F21" s="61">
        <f t="shared" si="0"/>
        <v>0.34026448998202047</v>
      </c>
      <c r="G21" s="61">
        <f t="shared" si="0"/>
        <v>0.63684298046138887</v>
      </c>
      <c r="H21" s="61">
        <f t="shared" si="0"/>
        <v>0.93342147094075734</v>
      </c>
      <c r="I21" s="61">
        <f t="shared" si="0"/>
        <v>1.2299999614201258</v>
      </c>
      <c r="J21" s="61">
        <f t="shared" si="0"/>
        <v>1.5265784518994943</v>
      </c>
      <c r="K21" s="61">
        <v>1.8231569423788625</v>
      </c>
      <c r="L21" s="61">
        <f t="shared" si="5"/>
        <v>4.4505576309181425</v>
      </c>
      <c r="M21" s="61">
        <f t="shared" si="5"/>
        <v>7.0779583194574229</v>
      </c>
      <c r="N21" s="61">
        <f t="shared" si="5"/>
        <v>9.7053590079967034</v>
      </c>
      <c r="O21" s="61">
        <v>12.332759696535984</v>
      </c>
      <c r="P21" s="61">
        <f t="shared" si="6"/>
        <v>25.622510801850389</v>
      </c>
      <c r="Q21" s="61">
        <f t="shared" si="6"/>
        <v>38.91226190716479</v>
      </c>
      <c r="R21" s="61">
        <f t="shared" si="6"/>
        <v>52.202013012479192</v>
      </c>
      <c r="S21" s="61">
        <f t="shared" si="6"/>
        <v>65.491764117793593</v>
      </c>
      <c r="T21" s="61">
        <f t="shared" si="6"/>
        <v>78.781515223108002</v>
      </c>
      <c r="U21" s="61">
        <v>92.071266328422411</v>
      </c>
      <c r="V21" s="61">
        <f t="shared" si="7"/>
        <v>140.77572313779481</v>
      </c>
      <c r="W21" s="61">
        <f t="shared" si="7"/>
        <v>189.48017994716722</v>
      </c>
      <c r="X21" s="61">
        <f t="shared" si="7"/>
        <v>238.18463675653962</v>
      </c>
      <c r="Y21" s="61">
        <f t="shared" si="7"/>
        <v>286.88909356591205</v>
      </c>
      <c r="Z21" s="61">
        <v>335.59355037528445</v>
      </c>
      <c r="AA21" s="61">
        <f t="shared" si="8"/>
        <v>439.59956288432841</v>
      </c>
      <c r="AB21" s="61">
        <f t="shared" si="8"/>
        <v>543.60557539337242</v>
      </c>
      <c r="AC21" s="61">
        <f t="shared" si="8"/>
        <v>647.61158790241643</v>
      </c>
      <c r="AD21" s="61">
        <f t="shared" si="8"/>
        <v>751.61760041146044</v>
      </c>
      <c r="AE21" s="61">
        <v>855.62361292050434</v>
      </c>
    </row>
    <row r="22" spans="1:31" x14ac:dyDescent="0.35">
      <c r="A22" s="87" t="s">
        <v>30</v>
      </c>
      <c r="B22" s="167"/>
      <c r="C22" s="87" t="s">
        <v>34</v>
      </c>
      <c r="D22" s="61">
        <v>1.3394292300341263E-3</v>
      </c>
      <c r="E22" s="61">
        <v>1.0921499875663012E-2</v>
      </c>
      <c r="F22" s="61">
        <f t="shared" si="0"/>
        <v>3.417370683107885E-2</v>
      </c>
      <c r="G22" s="61">
        <f t="shared" si="0"/>
        <v>5.7425913786494684E-2</v>
      </c>
      <c r="H22" s="61">
        <f t="shared" si="0"/>
        <v>8.0678120741910525E-2</v>
      </c>
      <c r="I22" s="61">
        <f t="shared" si="0"/>
        <v>0.10393032769732637</v>
      </c>
      <c r="J22" s="61">
        <f t="shared" si="0"/>
        <v>0.12718253465274221</v>
      </c>
      <c r="K22" s="61">
        <v>0.15043474160815803</v>
      </c>
      <c r="L22" s="61">
        <f t="shared" si="5"/>
        <v>0.23674650348631127</v>
      </c>
      <c r="M22" s="61">
        <f t="shared" si="5"/>
        <v>0.32305826536446447</v>
      </c>
      <c r="N22" s="61">
        <f t="shared" si="5"/>
        <v>0.40937002724261773</v>
      </c>
      <c r="O22" s="61">
        <v>0.49568178912077093</v>
      </c>
      <c r="P22" s="61">
        <f t="shared" si="6"/>
        <v>0.68847693241724917</v>
      </c>
      <c r="Q22" s="61">
        <f t="shared" si="6"/>
        <v>0.88127207571372745</v>
      </c>
      <c r="R22" s="61">
        <f t="shared" si="6"/>
        <v>1.0740672190102056</v>
      </c>
      <c r="S22" s="61">
        <f t="shared" si="6"/>
        <v>1.2668623623066839</v>
      </c>
      <c r="T22" s="61">
        <f t="shared" si="6"/>
        <v>1.4596575056031622</v>
      </c>
      <c r="U22" s="61">
        <v>1.6524526488996405</v>
      </c>
      <c r="V22" s="61">
        <f t="shared" si="7"/>
        <v>2.0736231383098271</v>
      </c>
      <c r="W22" s="61">
        <f t="shared" si="7"/>
        <v>2.4947936277200138</v>
      </c>
      <c r="X22" s="61">
        <f t="shared" si="7"/>
        <v>2.9159641171302004</v>
      </c>
      <c r="Y22" s="61">
        <f t="shared" si="7"/>
        <v>3.3371346065403871</v>
      </c>
      <c r="Z22" s="61">
        <v>3.7583050959505733</v>
      </c>
      <c r="AA22" s="61">
        <f t="shared" si="8"/>
        <v>4.291447096838473</v>
      </c>
      <c r="AB22" s="61">
        <f t="shared" si="8"/>
        <v>4.8245890977263723</v>
      </c>
      <c r="AC22" s="61">
        <f t="shared" si="8"/>
        <v>5.3577310986142717</v>
      </c>
      <c r="AD22" s="61">
        <f t="shared" si="8"/>
        <v>5.890873099502171</v>
      </c>
      <c r="AE22" s="61">
        <v>6.4240151003900721</v>
      </c>
    </row>
    <row r="23" spans="1:31" x14ac:dyDescent="0.35">
      <c r="A23" s="87" t="s">
        <v>30</v>
      </c>
      <c r="B23" s="167"/>
      <c r="C23" s="87" t="s">
        <v>35</v>
      </c>
      <c r="D23" s="61">
        <v>2</v>
      </c>
      <c r="E23" s="61">
        <v>4</v>
      </c>
      <c r="F23" s="61">
        <f t="shared" si="0"/>
        <v>5.5</v>
      </c>
      <c r="G23" s="61">
        <f t="shared" si="0"/>
        <v>7</v>
      </c>
      <c r="H23" s="61">
        <f t="shared" si="0"/>
        <v>8.5</v>
      </c>
      <c r="I23" s="61">
        <f t="shared" si="0"/>
        <v>10</v>
      </c>
      <c r="J23" s="61">
        <f t="shared" si="0"/>
        <v>11.5</v>
      </c>
      <c r="K23" s="61">
        <v>13</v>
      </c>
      <c r="L23" s="61">
        <f t="shared" si="5"/>
        <v>17.5</v>
      </c>
      <c r="M23" s="61">
        <f t="shared" si="5"/>
        <v>22</v>
      </c>
      <c r="N23" s="61">
        <f t="shared" si="5"/>
        <v>26.5</v>
      </c>
      <c r="O23" s="61">
        <v>31</v>
      </c>
      <c r="P23" s="61">
        <f t="shared" si="6"/>
        <v>37</v>
      </c>
      <c r="Q23" s="61">
        <f t="shared" si="6"/>
        <v>43</v>
      </c>
      <c r="R23" s="61">
        <f t="shared" si="6"/>
        <v>49</v>
      </c>
      <c r="S23" s="61">
        <f t="shared" si="6"/>
        <v>55</v>
      </c>
      <c r="T23" s="61">
        <f t="shared" si="6"/>
        <v>61</v>
      </c>
      <c r="U23" s="61">
        <v>67</v>
      </c>
      <c r="V23" s="61">
        <f t="shared" si="7"/>
        <v>75</v>
      </c>
      <c r="W23" s="61">
        <f t="shared" si="7"/>
        <v>83</v>
      </c>
      <c r="X23" s="61">
        <f t="shared" si="7"/>
        <v>91</v>
      </c>
      <c r="Y23" s="61">
        <f t="shared" si="7"/>
        <v>99</v>
      </c>
      <c r="Z23" s="61">
        <v>107</v>
      </c>
      <c r="AA23" s="61">
        <f t="shared" si="8"/>
        <v>116.2</v>
      </c>
      <c r="AB23" s="61">
        <f t="shared" si="8"/>
        <v>125.4</v>
      </c>
      <c r="AC23" s="61">
        <f t="shared" si="8"/>
        <v>134.6</v>
      </c>
      <c r="AD23" s="61">
        <f t="shared" si="8"/>
        <v>143.79999999999998</v>
      </c>
      <c r="AE23" s="61">
        <v>153</v>
      </c>
    </row>
    <row r="24" spans="1:31" x14ac:dyDescent="0.35">
      <c r="A24" s="87" t="s">
        <v>30</v>
      </c>
      <c r="B24" s="167"/>
      <c r="C24" s="87" t="s">
        <v>108</v>
      </c>
      <c r="D24" s="61">
        <v>3291.5995720630585</v>
      </c>
      <c r="E24" s="61">
        <v>4989.5231358774308</v>
      </c>
      <c r="F24" s="61">
        <v>6687.4466996918027</v>
      </c>
      <c r="G24" s="61">
        <v>8385.3702635061745</v>
      </c>
      <c r="H24" s="61">
        <v>10083.293827320544</v>
      </c>
      <c r="I24" s="61">
        <v>11781.217391134916</v>
      </c>
      <c r="J24" s="61">
        <v>13479.140954949289</v>
      </c>
      <c r="K24" s="61">
        <v>15177.064518763662</v>
      </c>
      <c r="L24" s="61">
        <v>16874.988082578035</v>
      </c>
      <c r="M24" s="61">
        <v>18572.911646392404</v>
      </c>
      <c r="N24" s="61">
        <v>20270.835210206773</v>
      </c>
      <c r="O24" s="61">
        <v>21968.758774021142</v>
      </c>
      <c r="P24" s="61">
        <v>23666.682337835511</v>
      </c>
      <c r="Q24" s="61">
        <v>25364.60590164988</v>
      </c>
      <c r="R24" s="61">
        <v>27062.529465464249</v>
      </c>
      <c r="S24" s="61">
        <v>28760.453029278618</v>
      </c>
      <c r="T24" s="61">
        <v>30458.376593092988</v>
      </c>
      <c r="U24" s="61">
        <v>32156.300156907357</v>
      </c>
      <c r="V24" s="61">
        <v>33854.223720721726</v>
      </c>
      <c r="W24" s="61">
        <v>35552.147284536091</v>
      </c>
      <c r="X24" s="61">
        <v>37250.070848350464</v>
      </c>
      <c r="Y24" s="61">
        <v>38947.994412164837</v>
      </c>
      <c r="Z24" s="61">
        <v>40645.91797597921</v>
      </c>
      <c r="AA24" s="61">
        <v>42343.841539793582</v>
      </c>
      <c r="AB24" s="61">
        <v>44041.765103607955</v>
      </c>
      <c r="AC24" s="61">
        <v>45739.688667422328</v>
      </c>
      <c r="AD24" s="61">
        <v>47437.612231236701</v>
      </c>
      <c r="AE24" s="61">
        <v>49135.535795051088</v>
      </c>
    </row>
    <row r="25" spans="1:31" x14ac:dyDescent="0.35">
      <c r="A25" s="87" t="s">
        <v>30</v>
      </c>
      <c r="B25" s="167"/>
      <c r="C25" s="87" t="s">
        <v>109</v>
      </c>
      <c r="D25" s="61">
        <v>141086.1702904517</v>
      </c>
      <c r="E25" s="61">
        <v>144165.82489178426</v>
      </c>
      <c r="F25" s="61">
        <v>147245.47949311711</v>
      </c>
      <c r="G25" s="61">
        <v>149074.51293654789</v>
      </c>
      <c r="H25" s="61">
        <v>150919.179144453</v>
      </c>
      <c r="I25" s="61">
        <v>152748.21258788393</v>
      </c>
      <c r="J25" s="61">
        <v>154733.57367605288</v>
      </c>
      <c r="K25" s="61">
        <v>156703.30199974778</v>
      </c>
      <c r="L25" s="61">
        <v>158673.03032344286</v>
      </c>
      <c r="M25" s="61">
        <v>160642.75864713761</v>
      </c>
      <c r="N25" s="61">
        <v>162659.38526425409</v>
      </c>
      <c r="O25" s="61">
        <v>164676.01188137045</v>
      </c>
      <c r="P25" s="61">
        <v>166708.27126296054</v>
      </c>
      <c r="Q25" s="61">
        <v>168724.89788007684</v>
      </c>
      <c r="R25" s="61">
        <v>170678.99343929789</v>
      </c>
      <c r="S25" s="61">
        <v>172633.08899851915</v>
      </c>
      <c r="T25" s="61">
        <v>174602.81732221428</v>
      </c>
      <c r="U25" s="61">
        <v>176556.91288143542</v>
      </c>
      <c r="V25" s="61">
        <v>178370.31356039262</v>
      </c>
      <c r="W25" s="61">
        <v>180183.71423935014</v>
      </c>
      <c r="X25" s="61">
        <v>181997.1149183074</v>
      </c>
      <c r="Y25" s="61">
        <v>183794.88283279102</v>
      </c>
      <c r="Z25" s="61">
        <v>185405.05757358941</v>
      </c>
      <c r="AA25" s="61">
        <v>186999.5995499136</v>
      </c>
      <c r="AB25" s="61">
        <v>188594.14152623827</v>
      </c>
      <c r="AC25" s="61">
        <v>190204.31626703651</v>
      </c>
      <c r="AD25" s="61">
        <v>191564.36677625446</v>
      </c>
      <c r="AE25" s="61">
        <v>192924.41728547239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19646.611636077985</v>
      </c>
      <c r="E26" s="61">
        <v>22588.997695976221</v>
      </c>
      <c r="F26" s="61">
        <v>25771.727449706639</v>
      </c>
      <c r="G26" s="61">
        <v>27776.21689041119</v>
      </c>
      <c r="H26" s="61">
        <v>29895.442276135811</v>
      </c>
      <c r="I26" s="61">
        <v>32061.702679361944</v>
      </c>
      <c r="J26" s="61">
        <v>34501.465671379687</v>
      </c>
      <c r="K26" s="61">
        <v>37006.142650254194</v>
      </c>
      <c r="L26" s="61">
        <v>39617.237786424215</v>
      </c>
      <c r="M26" s="61">
        <v>42313.533536448529</v>
      </c>
      <c r="N26" s="61">
        <v>45181.157242540532</v>
      </c>
      <c r="O26" s="61">
        <v>48158.57127577909</v>
      </c>
      <c r="P26" s="61">
        <v>51239.604444725264</v>
      </c>
      <c r="Q26" s="61">
        <v>54403.94202536274</v>
      </c>
      <c r="R26" s="61">
        <v>57586.597369047864</v>
      </c>
      <c r="S26" s="61">
        <v>60893.482954055209</v>
      </c>
      <c r="T26" s="61">
        <v>64371.635473084134</v>
      </c>
      <c r="U26" s="61">
        <v>67934.954314997114</v>
      </c>
      <c r="V26" s="61">
        <v>71344.498655411735</v>
      </c>
      <c r="W26" s="61">
        <v>74826.817647723467</v>
      </c>
      <c r="X26" s="61">
        <v>78401.271186752405</v>
      </c>
      <c r="Y26" s="61">
        <v>82012.132486686067</v>
      </c>
      <c r="Z26" s="61">
        <v>85283.886819938576</v>
      </c>
      <c r="AA26" s="61">
        <v>88583.255438053122</v>
      </c>
      <c r="AB26" s="61">
        <v>91951.205062073888</v>
      </c>
      <c r="AC26" s="61">
        <v>95425.761803303598</v>
      </c>
      <c r="AD26" s="61">
        <v>98417.950058680857</v>
      </c>
      <c r="AE26" s="61">
        <v>101462.78036021457</v>
      </c>
    </row>
    <row r="27" spans="1:31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35.466666666666619</v>
      </c>
      <c r="J27" s="61">
        <v>70.933333333333238</v>
      </c>
      <c r="K27" s="61">
        <v>106.39999999999986</v>
      </c>
      <c r="L27" s="61">
        <v>189.44999999999993</v>
      </c>
      <c r="M27" s="61">
        <v>272.5</v>
      </c>
      <c r="N27" s="61">
        <v>355.55000000000007</v>
      </c>
      <c r="O27" s="61">
        <v>438.60000000000014</v>
      </c>
      <c r="P27" s="61">
        <v>606.96666666666681</v>
      </c>
      <c r="Q27" s="61">
        <v>775.33333333333348</v>
      </c>
      <c r="R27" s="61">
        <v>943.70000000000016</v>
      </c>
      <c r="S27" s="61">
        <v>1112.0666666666668</v>
      </c>
      <c r="T27" s="61">
        <v>1280.4333333333334</v>
      </c>
      <c r="U27" s="61">
        <v>1448.8000000000002</v>
      </c>
      <c r="V27" s="61">
        <v>1835.3600000000001</v>
      </c>
      <c r="W27" s="61">
        <v>2221.92</v>
      </c>
      <c r="X27" s="61">
        <v>2608.48</v>
      </c>
      <c r="Y27" s="61">
        <v>2995.04</v>
      </c>
      <c r="Z27" s="61">
        <v>3381.6000000000004</v>
      </c>
      <c r="AA27" s="61">
        <v>3704.08</v>
      </c>
      <c r="AB27" s="61">
        <v>4026.5599999999995</v>
      </c>
      <c r="AC27" s="61">
        <v>4349.0399999999991</v>
      </c>
      <c r="AD27" s="61">
        <v>4671.5199999999986</v>
      </c>
      <c r="AE27" s="61">
        <v>4993.9999999999991</v>
      </c>
    </row>
    <row r="28" spans="1:31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12.533333333333303</v>
      </c>
      <c r="J28" s="61">
        <v>25.066666666666606</v>
      </c>
      <c r="K28" s="61">
        <v>37.599999999999909</v>
      </c>
      <c r="L28" s="61">
        <v>50.89999999999992</v>
      </c>
      <c r="M28" s="61">
        <v>64.199999999999932</v>
      </c>
      <c r="N28" s="61">
        <v>77.499999999999943</v>
      </c>
      <c r="O28" s="61">
        <v>90.799999999999955</v>
      </c>
      <c r="P28" s="61">
        <v>104.36666666666663</v>
      </c>
      <c r="Q28" s="61">
        <v>117.93333333333331</v>
      </c>
      <c r="R28" s="61">
        <v>131.5</v>
      </c>
      <c r="S28" s="61">
        <v>145.06666666666669</v>
      </c>
      <c r="T28" s="61">
        <v>158.63333333333338</v>
      </c>
      <c r="U28" s="61">
        <v>172.20000000000005</v>
      </c>
      <c r="V28" s="61">
        <v>185.44000000000005</v>
      </c>
      <c r="W28" s="61">
        <v>198.68000000000006</v>
      </c>
      <c r="X28" s="61">
        <v>211.92000000000007</v>
      </c>
      <c r="Y28" s="61">
        <v>225.16000000000008</v>
      </c>
      <c r="Z28" s="61">
        <v>238.40000000000009</v>
      </c>
      <c r="AA28" s="61">
        <v>249.60000000000008</v>
      </c>
      <c r="AB28" s="61">
        <v>260.80000000000007</v>
      </c>
      <c r="AC28" s="61">
        <v>272.00000000000006</v>
      </c>
      <c r="AD28" s="61">
        <v>283.20000000000005</v>
      </c>
      <c r="AE28" s="61">
        <v>294.40000000000009</v>
      </c>
    </row>
    <row r="29" spans="1:31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0.14094691490595418</v>
      </c>
      <c r="J29" s="61">
        <v>0.28189382981190836</v>
      </c>
      <c r="K29" s="61">
        <v>0.42284074471786254</v>
      </c>
      <c r="L29" s="61">
        <v>1.2975826001850681</v>
      </c>
      <c r="M29" s="61">
        <v>2.1723244556522738</v>
      </c>
      <c r="N29" s="61">
        <v>3.0470663111194796</v>
      </c>
      <c r="O29" s="61">
        <v>3.9218081665866849</v>
      </c>
      <c r="P29" s="61">
        <v>10.225307893157279</v>
      </c>
      <c r="Q29" s="61">
        <v>16.528807619727871</v>
      </c>
      <c r="R29" s="61">
        <v>22.832307346298464</v>
      </c>
      <c r="S29" s="61">
        <v>29.135807072869056</v>
      </c>
      <c r="T29" s="61">
        <v>35.439306799439649</v>
      </c>
      <c r="U29" s="61">
        <v>41.742806526010249</v>
      </c>
      <c r="V29" s="61">
        <v>66.319073629905176</v>
      </c>
      <c r="W29" s="61">
        <v>90.895340733800111</v>
      </c>
      <c r="X29" s="61">
        <v>115.47160783769505</v>
      </c>
      <c r="Y29" s="61">
        <v>140.04787494158998</v>
      </c>
      <c r="Z29" s="61">
        <v>164.62414204548489</v>
      </c>
      <c r="AA29" s="61">
        <v>220.01620012218191</v>
      </c>
      <c r="AB29" s="61">
        <v>275.40825819887891</v>
      </c>
      <c r="AC29" s="61">
        <v>330.80031627557594</v>
      </c>
      <c r="AD29" s="61">
        <v>386.19237435227296</v>
      </c>
      <c r="AE29" s="61">
        <v>441.58443242897005</v>
      </c>
    </row>
    <row r="30" spans="1:31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3.5236728726488545E-2</v>
      </c>
      <c r="J30" s="61">
        <v>7.047345745297709E-2</v>
      </c>
      <c r="K30" s="61">
        <v>0.10571018617946563</v>
      </c>
      <c r="L30" s="61">
        <v>0.18822175537311825</v>
      </c>
      <c r="M30" s="61">
        <v>0.27073332456677085</v>
      </c>
      <c r="N30" s="61">
        <v>0.35324489376042345</v>
      </c>
      <c r="O30" s="61">
        <v>0.43575646295407611</v>
      </c>
      <c r="P30" s="61">
        <v>0.60303157272615682</v>
      </c>
      <c r="Q30" s="61">
        <v>0.77030668249823753</v>
      </c>
      <c r="R30" s="61">
        <v>0.93758179227031824</v>
      </c>
      <c r="S30" s="61">
        <v>1.1048569020423988</v>
      </c>
      <c r="T30" s="61">
        <v>1.2721320118144794</v>
      </c>
      <c r="U30" s="61">
        <v>1.4394071215865603</v>
      </c>
      <c r="V30" s="61">
        <v>1.8234609709242884</v>
      </c>
      <c r="W30" s="61">
        <v>2.2075148202620167</v>
      </c>
      <c r="X30" s="61">
        <v>2.5915686695997451</v>
      </c>
      <c r="Y30" s="61">
        <v>2.9756225189374734</v>
      </c>
      <c r="Z30" s="61">
        <v>3.3596763682752013</v>
      </c>
      <c r="AA30" s="61">
        <v>3.6800656618762737</v>
      </c>
      <c r="AB30" s="61">
        <v>4.0004549554773465</v>
      </c>
      <c r="AC30" s="61">
        <v>4.3208442490784194</v>
      </c>
      <c r="AD30" s="61">
        <v>4.6412335426794922</v>
      </c>
      <c r="AE30" s="61">
        <v>4.9616228362805632</v>
      </c>
    </row>
    <row r="31" spans="1:31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1.3333333333333333</v>
      </c>
      <c r="J31" s="61">
        <v>2.6666666666666665</v>
      </c>
      <c r="K31" s="61">
        <v>4</v>
      </c>
      <c r="L31" s="61">
        <v>5.25</v>
      </c>
      <c r="M31" s="61">
        <v>6.5</v>
      </c>
      <c r="N31" s="61">
        <v>7.75</v>
      </c>
      <c r="O31" s="61">
        <v>9</v>
      </c>
      <c r="P31" s="61">
        <v>12.333333333333334</v>
      </c>
      <c r="Q31" s="61">
        <v>15.666666666666668</v>
      </c>
      <c r="R31" s="61">
        <v>19</v>
      </c>
      <c r="S31" s="61">
        <v>22.333333333333332</v>
      </c>
      <c r="T31" s="61">
        <v>25.666666666666664</v>
      </c>
      <c r="U31" s="61">
        <v>29</v>
      </c>
      <c r="V31" s="61">
        <v>32.200000000000003</v>
      </c>
      <c r="W31" s="61">
        <v>35.400000000000006</v>
      </c>
      <c r="X31" s="61">
        <v>38.600000000000009</v>
      </c>
      <c r="Y31" s="61">
        <v>41.800000000000011</v>
      </c>
      <c r="Z31" s="61">
        <v>45</v>
      </c>
      <c r="AA31" s="61">
        <v>49.8</v>
      </c>
      <c r="AB31" s="61">
        <v>54.599999999999994</v>
      </c>
      <c r="AC31" s="61">
        <v>59.399999999999991</v>
      </c>
      <c r="AD31" s="61">
        <v>64.199999999999989</v>
      </c>
      <c r="AE31" s="61">
        <v>69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155244.87631361454</v>
      </c>
      <c r="J32" s="61">
        <v>373501.19325294916</v>
      </c>
      <c r="K32" s="61">
        <v>772686.73370674241</v>
      </c>
      <c r="L32" s="61">
        <v>1181656.6322065888</v>
      </c>
      <c r="M32" s="61">
        <v>1457630.9743117944</v>
      </c>
      <c r="N32" s="61">
        <v>2096309.9730611849</v>
      </c>
      <c r="O32" s="61">
        <v>2658667.1583989933</v>
      </c>
      <c r="P32" s="61">
        <v>3202186.4319856339</v>
      </c>
      <c r="Q32" s="61">
        <v>4124056.932644424</v>
      </c>
      <c r="R32" s="61">
        <v>5158728.3963862499</v>
      </c>
      <c r="S32" s="61">
        <v>6679651.5666675167</v>
      </c>
      <c r="T32" s="61">
        <v>8344615.2824547701</v>
      </c>
      <c r="U32" s="61">
        <v>10723281.651817134</v>
      </c>
      <c r="V32" s="61">
        <v>13320875.858513437</v>
      </c>
      <c r="W32" s="61">
        <v>16346046.876312708</v>
      </c>
      <c r="X32" s="61">
        <v>20018970.738883294</v>
      </c>
      <c r="Y32" s="61">
        <v>22101600.87846737</v>
      </c>
      <c r="Z32" s="61">
        <v>25698955.927816965</v>
      </c>
      <c r="AA32" s="61">
        <v>29122131.300959703</v>
      </c>
      <c r="AB32" s="61">
        <v>33099323.791972686</v>
      </c>
      <c r="AC32" s="61">
        <v>37512392.559687458</v>
      </c>
      <c r="AD32" s="61">
        <v>42221990.267896205</v>
      </c>
      <c r="AE32" s="61">
        <v>46965775.473662131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874797.82915844605</v>
      </c>
      <c r="J33" s="61">
        <v>1957090.9642223783</v>
      </c>
      <c r="K33" s="61">
        <v>4109890.3921990576</v>
      </c>
      <c r="L33" s="61">
        <v>6196927.7148972321</v>
      </c>
      <c r="M33" s="61">
        <v>6925526.0451294929</v>
      </c>
      <c r="N33" s="61">
        <v>10174783.589940188</v>
      </c>
      <c r="O33" s="61">
        <v>12390790.238578159</v>
      </c>
      <c r="P33" s="61">
        <v>14100054.15677081</v>
      </c>
      <c r="Q33" s="61">
        <v>18126611.83014334</v>
      </c>
      <c r="R33" s="61">
        <v>22205223.047545809</v>
      </c>
      <c r="S33" s="61">
        <v>28653538.789629225</v>
      </c>
      <c r="T33" s="61">
        <v>36255343.133254737</v>
      </c>
      <c r="U33" s="61">
        <v>46800330.692612626</v>
      </c>
      <c r="V33" s="61">
        <v>58871468.858950086</v>
      </c>
      <c r="W33" s="61">
        <v>73215327.236053988</v>
      </c>
      <c r="X33" s="61">
        <v>91004698.914793834</v>
      </c>
      <c r="Y33" s="61">
        <v>95792356.627295807</v>
      </c>
      <c r="Z33" s="61">
        <v>112187663.05357715</v>
      </c>
      <c r="AA33" s="61">
        <v>125832754.14113137</v>
      </c>
      <c r="AB33" s="61">
        <v>143171093.51952413</v>
      </c>
      <c r="AC33" s="61">
        <v>161726450.04248476</v>
      </c>
      <c r="AD33" s="61">
        <v>181975313.78873011</v>
      </c>
      <c r="AE33" s="61">
        <v>201986788.24405149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277.60269121778202</v>
      </c>
      <c r="E34" s="61">
        <v>6735.5413876743141</v>
      </c>
      <c r="F34" s="61">
        <v>13193.480084130846</v>
      </c>
      <c r="G34" s="61">
        <v>19651.418780587377</v>
      </c>
      <c r="H34" s="61">
        <v>26109.357477043908</v>
      </c>
      <c r="I34" s="61">
        <v>32567.296173500439</v>
      </c>
      <c r="J34" s="61">
        <v>39025.23486995697</v>
      </c>
      <c r="K34" s="61">
        <v>45483.173566413505</v>
      </c>
      <c r="L34" s="61">
        <v>95935.916369417551</v>
      </c>
      <c r="M34" s="61">
        <v>146388.65917242161</v>
      </c>
      <c r="N34" s="61">
        <v>196841.40197542566</v>
      </c>
      <c r="O34" s="61">
        <v>180982.70729405811</v>
      </c>
      <c r="P34" s="61">
        <v>297746.88758143375</v>
      </c>
      <c r="Q34" s="61">
        <v>414511.06786880939</v>
      </c>
      <c r="R34" s="61">
        <v>531275.24815618503</v>
      </c>
      <c r="S34" s="61">
        <v>648039.42844356073</v>
      </c>
      <c r="T34" s="61">
        <v>764803.60873093642</v>
      </c>
      <c r="U34" s="61">
        <v>881567.789018312</v>
      </c>
      <c r="V34" s="61">
        <v>1189910.7691566017</v>
      </c>
      <c r="W34" s="61">
        <v>1498253.7492948915</v>
      </c>
      <c r="X34" s="61">
        <v>1806596.7294331812</v>
      </c>
      <c r="Y34" s="61">
        <v>2114939.709571471</v>
      </c>
      <c r="Z34" s="61">
        <v>2423282.6897097602</v>
      </c>
      <c r="AA34" s="61">
        <v>2888666.1913237441</v>
      </c>
      <c r="AB34" s="61">
        <v>3354049.692937728</v>
      </c>
      <c r="AC34" s="61">
        <v>3819433.1945517119</v>
      </c>
      <c r="AD34" s="61">
        <v>4284816.6961656958</v>
      </c>
      <c r="AE34" s="61">
        <v>4750200.1977796797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1151.908433284922</v>
      </c>
      <c r="E35" s="61">
        <v>27949.033538420819</v>
      </c>
      <c r="F35" s="61">
        <v>54746.158643556715</v>
      </c>
      <c r="G35" s="61">
        <v>81543.283748692615</v>
      </c>
      <c r="H35" s="61">
        <v>108340.40885382851</v>
      </c>
      <c r="I35" s="61">
        <v>135137.5339589644</v>
      </c>
      <c r="J35" s="61">
        <v>161934.6590641003</v>
      </c>
      <c r="K35" s="61">
        <v>188731.7841692362</v>
      </c>
      <c r="L35" s="61">
        <v>398084.72546166135</v>
      </c>
      <c r="M35" s="61">
        <v>607437.6667540865</v>
      </c>
      <c r="N35" s="61">
        <v>816790.60804651165</v>
      </c>
      <c r="O35" s="61">
        <v>750985.17920062621</v>
      </c>
      <c r="P35" s="61">
        <v>1235496.490631362</v>
      </c>
      <c r="Q35" s="61">
        <v>1720007.8020620977</v>
      </c>
      <c r="R35" s="61">
        <v>2204519.1134928335</v>
      </c>
      <c r="S35" s="61">
        <v>2689030.424923569</v>
      </c>
      <c r="T35" s="61">
        <v>3173541.7363543045</v>
      </c>
      <c r="U35" s="61">
        <v>3658053.0477850405</v>
      </c>
      <c r="V35" s="61">
        <v>4937517.8743232545</v>
      </c>
      <c r="W35" s="61">
        <v>6216982.7008614689</v>
      </c>
      <c r="X35" s="61">
        <v>7496447.5273996834</v>
      </c>
      <c r="Y35" s="61">
        <v>8775912.3539378978</v>
      </c>
      <c r="Z35" s="61">
        <v>10055377.180476112</v>
      </c>
      <c r="AA35" s="61">
        <v>11986479.425447706</v>
      </c>
      <c r="AB35" s="61">
        <v>13917581.6704193</v>
      </c>
      <c r="AC35" s="61">
        <v>15848683.915390894</v>
      </c>
      <c r="AD35" s="61">
        <v>17779786.16036249</v>
      </c>
      <c r="AE35" s="61">
        <v>19710888.405334085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5799348.3160595065</v>
      </c>
      <c r="E36" s="61">
        <v>6749515.6314640911</v>
      </c>
      <c r="F36" s="61">
        <v>7911536.0081147701</v>
      </c>
      <c r="G36" s="61">
        <v>8597773.9763068873</v>
      </c>
      <c r="H36" s="61">
        <v>9445306.7754648943</v>
      </c>
      <c r="I36" s="61">
        <v>10346308.021242941</v>
      </c>
      <c r="J36" s="61">
        <v>11371463.484165553</v>
      </c>
      <c r="K36" s="61">
        <v>12358291.355340805</v>
      </c>
      <c r="L36" s="61">
        <v>13547148.55829086</v>
      </c>
      <c r="M36" s="61">
        <v>14761620.398175588</v>
      </c>
      <c r="N36" s="61">
        <v>16103849.337009409</v>
      </c>
      <c r="O36" s="61">
        <v>17426439.139376301</v>
      </c>
      <c r="P36" s="61">
        <v>18990300.675412636</v>
      </c>
      <c r="Q36" s="61">
        <v>20403201.750921343</v>
      </c>
      <c r="R36" s="61">
        <v>22108987.952529829</v>
      </c>
      <c r="S36" s="61">
        <v>23881494.243380304</v>
      </c>
      <c r="T36" s="61">
        <v>25840240.936100066</v>
      </c>
      <c r="U36" s="61">
        <v>27857739.047567505</v>
      </c>
      <c r="V36" s="61">
        <v>29974240.083451957</v>
      </c>
      <c r="W36" s="61">
        <v>32101550.684298325</v>
      </c>
      <c r="X36" s="61">
        <v>34350839.99351608</v>
      </c>
      <c r="Y36" s="61">
        <v>36790442.644022122</v>
      </c>
      <c r="Z36" s="61">
        <v>39204453.327179454</v>
      </c>
      <c r="AA36" s="61">
        <v>41511855.653185479</v>
      </c>
      <c r="AB36" s="61">
        <v>43789887.292911045</v>
      </c>
      <c r="AC36" s="61">
        <v>46537906.501297385</v>
      </c>
      <c r="AD36" s="61">
        <v>49160795.508379728</v>
      </c>
      <c r="AE36" s="61">
        <v>51784924.696918741</v>
      </c>
    </row>
    <row r="38" spans="1:31" x14ac:dyDescent="0.35">
      <c r="A38" s="87"/>
      <c r="B38" s="87"/>
      <c r="C38" s="87" t="s">
        <v>136</v>
      </c>
      <c r="D38" s="61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61">
        <f>H38*'Cost Assumptions'!$B$5</f>
        <v>45.256328515624986</v>
      </c>
      <c r="J38" s="61">
        <f>I38*'Cost Assumptions'!$B$5</f>
        <v>46.387736728515605</v>
      </c>
      <c r="K38" s="61">
        <f>J38*'Cost Assumptions'!$B$5</f>
        <v>47.547430146728495</v>
      </c>
      <c r="L38" s="61">
        <f>K38*'Cost Assumptions'!$B$5</f>
        <v>48.736115900396705</v>
      </c>
      <c r="M38" s="61">
        <f>L38*'Cost Assumptions'!$B$5</f>
        <v>49.954518797906616</v>
      </c>
      <c r="N38" s="61">
        <f>M38*'Cost Assumptions'!$B$5</f>
        <v>51.203381767854275</v>
      </c>
      <c r="O38" s="61">
        <f>N38*'Cost Assumptions'!$B$5</f>
        <v>52.483466312050624</v>
      </c>
      <c r="P38" s="61">
        <f>O38*'Cost Assumptions'!$B$5</f>
        <v>53.795552969851883</v>
      </c>
      <c r="Q38" s="61">
        <f>P38*'Cost Assumptions'!$B$5</f>
        <v>55.140441794098173</v>
      </c>
      <c r="R38" s="61">
        <f>Q38*'Cost Assumptions'!$B$5</f>
        <v>56.518952838950625</v>
      </c>
      <c r="S38" s="61">
        <f>R38*'Cost Assumptions'!$B$5</f>
        <v>57.931926659924386</v>
      </c>
      <c r="T38" s="61">
        <f>S38*'Cost Assumptions'!$B$5</f>
        <v>59.380224826422491</v>
      </c>
      <c r="U38" s="61">
        <f>T38*'Cost Assumptions'!$B$5</f>
        <v>60.864730447083048</v>
      </c>
      <c r="V38" s="61">
        <f>U38*'Cost Assumptions'!$B$5</f>
        <v>62.386348708260115</v>
      </c>
      <c r="W38" s="61">
        <f>V38*'Cost Assumptions'!$B$5</f>
        <v>63.946007425966613</v>
      </c>
      <c r="X38" s="61">
        <f>W38*'Cost Assumptions'!$B$5</f>
        <v>65.544657611615776</v>
      </c>
      <c r="Y38" s="61">
        <f>X38*'Cost Assumptions'!$B$5</f>
        <v>67.183274051906167</v>
      </c>
      <c r="Z38" s="61">
        <f>Y38*'Cost Assumptions'!$B$5</f>
        <v>68.862855903203823</v>
      </c>
      <c r="AA38" s="61">
        <f>Z38*'Cost Assumptions'!$B$5</f>
        <v>70.584427300783915</v>
      </c>
      <c r="AB38" s="61">
        <f>AA38*'Cost Assumptions'!$B$5</f>
        <v>72.349037983303504</v>
      </c>
      <c r="AC38" s="61">
        <f>AB38*'Cost Assumptions'!$B$5</f>
        <v>74.157763932886084</v>
      </c>
      <c r="AD38" s="61">
        <f>AC38*'Cost Assumptions'!$B$5</f>
        <v>76.011708031208229</v>
      </c>
      <c r="AE38" s="61">
        <f>AD38*'Cost Assumptions'!$B$5</f>
        <v>77.912000731988428</v>
      </c>
    </row>
    <row r="39" spans="1:31" x14ac:dyDescent="0.35">
      <c r="A39" s="87"/>
      <c r="B39" s="87"/>
      <c r="C39" s="8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Assumptions'!$B$3,'Mira Loma'!D42:'Mira Loma'!AE42)</f>
        <v>13918.029742124068</v>
      </c>
      <c r="C42" s="87" t="s">
        <v>107</v>
      </c>
      <c r="D42" s="61">
        <f t="shared" ref="D42" si="9">D2-D18</f>
        <v>1232.4249999998501</v>
      </c>
      <c r="E42" s="61">
        <f t="shared" ref="E42:AE42" si="10">E2-E18</f>
        <v>1269.5500000000102</v>
      </c>
      <c r="F42" s="61">
        <f t="shared" si="10"/>
        <v>1302.2942307692429</v>
      </c>
      <c r="G42" s="61">
        <f t="shared" si="10"/>
        <v>1335.0384615384755</v>
      </c>
      <c r="H42" s="61">
        <f t="shared" si="10"/>
        <v>1367.7826923077082</v>
      </c>
      <c r="I42" s="61">
        <f t="shared" si="10"/>
        <v>1400.5269230769409</v>
      </c>
      <c r="J42" s="61">
        <f t="shared" si="10"/>
        <v>1433.2711538461735</v>
      </c>
      <c r="K42" s="61">
        <f t="shared" si="10"/>
        <v>1466.0153846154062</v>
      </c>
      <c r="L42" s="61">
        <f t="shared" si="10"/>
        <v>1498.7596153846389</v>
      </c>
      <c r="M42" s="61">
        <f t="shared" si="10"/>
        <v>1531.5038461538716</v>
      </c>
      <c r="N42" s="61">
        <f t="shared" si="10"/>
        <v>1564.2480769231042</v>
      </c>
      <c r="O42" s="61">
        <f t="shared" si="10"/>
        <v>1596.9923076923369</v>
      </c>
      <c r="P42" s="61">
        <f t="shared" si="10"/>
        <v>1629.7365384615696</v>
      </c>
      <c r="Q42" s="61">
        <f t="shared" si="10"/>
        <v>1662.4807692308023</v>
      </c>
      <c r="R42" s="61">
        <f t="shared" si="10"/>
        <v>1695.2250000000349</v>
      </c>
      <c r="S42" s="61">
        <f t="shared" si="10"/>
        <v>1727.9692307692676</v>
      </c>
      <c r="T42" s="61">
        <f t="shared" si="10"/>
        <v>1760.7134615385003</v>
      </c>
      <c r="U42" s="61">
        <f t="shared" si="10"/>
        <v>1793.4576923077329</v>
      </c>
      <c r="V42" s="61">
        <f t="shared" si="10"/>
        <v>1826.2019230769656</v>
      </c>
      <c r="W42" s="61">
        <f t="shared" si="10"/>
        <v>1858.9461538461983</v>
      </c>
      <c r="X42" s="61">
        <f t="shared" si="10"/>
        <v>1891.690384615431</v>
      </c>
      <c r="Y42" s="61">
        <f t="shared" si="10"/>
        <v>1924.4346153846636</v>
      </c>
      <c r="Z42" s="61">
        <f t="shared" si="10"/>
        <v>1957.1788461538963</v>
      </c>
      <c r="AA42" s="61">
        <f t="shared" si="10"/>
        <v>1989.923076923129</v>
      </c>
      <c r="AB42" s="61">
        <f t="shared" si="10"/>
        <v>2022.6673076923616</v>
      </c>
      <c r="AC42" s="61">
        <f t="shared" si="10"/>
        <v>2055.4115384615943</v>
      </c>
      <c r="AD42" s="61">
        <f t="shared" si="10"/>
        <v>2088.155769230827</v>
      </c>
      <c r="AE42" s="61">
        <f t="shared" si="10"/>
        <v>2120.899999999885</v>
      </c>
    </row>
    <row r="43" spans="1:31" x14ac:dyDescent="0.35">
      <c r="A43" s="87"/>
      <c r="B43" s="9">
        <f>NPV('Cost Assumptions'!$B$3,'Mira Loma'!D43:'Mira Loma'!AE43)</f>
        <v>706079.48804400756</v>
      </c>
      <c r="C43" s="87" t="s">
        <v>139</v>
      </c>
      <c r="D43" s="61">
        <f>D42*D38</f>
        <v>49296.999999994005</v>
      </c>
      <c r="E43" s="61">
        <f>E42*E38</f>
        <v>52051.550000000418</v>
      </c>
      <c r="F43" s="61">
        <f>F42*F38</f>
        <v>54728.915048077426</v>
      </c>
      <c r="G43" s="61">
        <f>G42*G38</f>
        <v>57507.616129808288</v>
      </c>
      <c r="H43" s="61">
        <f>H42*H38</f>
        <v>60391.046693720644</v>
      </c>
      <c r="I43" s="61">
        <f t="shared" ref="I43:AE43" si="11">I42*I38</f>
        <v>63382.706525747482</v>
      </c>
      <c r="J43" s="61">
        <f t="shared" si="11"/>
        <v>66486.20494519209</v>
      </c>
      <c r="K43" s="61">
        <f t="shared" si="11"/>
        <v>69705.264094030339</v>
      </c>
      <c r="L43" s="61">
        <f t="shared" si="11"/>
        <v>73043.72232221975</v>
      </c>
      <c r="M43" s="61">
        <f t="shared" si="11"/>
        <v>76505.537671759856</v>
      </c>
      <c r="N43" s="61">
        <f t="shared" si="11"/>
        <v>80094.791462325593</v>
      </c>
      <c r="O43" s="61">
        <f t="shared" si="11"/>
        <v>83815.691981374752</v>
      </c>
      <c r="P43" s="61">
        <f t="shared" si="11"/>
        <v>87672.578281712413</v>
      </c>
      <c r="Q43" s="61">
        <f t="shared" si="11"/>
        <v>91669.924089578606</v>
      </c>
      <c r="R43" s="61">
        <f t="shared" si="11"/>
        <v>95812.341826412041</v>
      </c>
      <c r="S43" s="61">
        <f t="shared" si="11"/>
        <v>100104.58674753117</v>
      </c>
      <c r="T43" s="61">
        <f t="shared" si="11"/>
        <v>104551.56120106473</v>
      </c>
      <c r="U43" s="61">
        <f t="shared" si="11"/>
        <v>109158.31901055777</v>
      </c>
      <c r="V43" s="61">
        <f t="shared" si="11"/>
        <v>113930.06998477479</v>
      </c>
      <c r="W43" s="61">
        <f t="shared" si="11"/>
        <v>118872.18455832107</v>
      </c>
      <c r="X43" s="61">
        <f t="shared" si="11"/>
        <v>123990.19856680417</v>
      </c>
      <c r="Y43" s="61">
        <f t="shared" si="11"/>
        <v>129289.8181603625</v>
      </c>
      <c r="Z43" s="61">
        <f t="shared" si="11"/>
        <v>134776.92485949449</v>
      </c>
      <c r="AA43" s="61">
        <f t="shared" si="11"/>
        <v>140457.58075723285</v>
      </c>
      <c r="AB43" s="61">
        <f t="shared" si="11"/>
        <v>146338.0338718209</v>
      </c>
      <c r="AC43" s="61">
        <f t="shared" si="11"/>
        <v>152424.72365416511</v>
      </c>
      <c r="AD43" s="61">
        <f t="shared" si="11"/>
        <v>158724.28665445666</v>
      </c>
      <c r="AE43" s="61">
        <f t="shared" si="11"/>
        <v>165243.56235246529</v>
      </c>
    </row>
    <row r="44" spans="1:31" x14ac:dyDescent="0.35">
      <c r="A44" s="87" t="s">
        <v>30</v>
      </c>
      <c r="B44" s="9">
        <f>NPV('Cost Assumptions'!$B$3,'Mira Loma'!D44:'Mira Loma'!AE44)</f>
        <v>2643.0908301488644</v>
      </c>
      <c r="C44" s="87" t="s">
        <v>31</v>
      </c>
      <c r="D44" s="61">
        <f t="shared" ref="D44" si="12">D3-D19</f>
        <v>16.700000000000017</v>
      </c>
      <c r="E44" s="61">
        <f t="shared" ref="E44:AE44" si="13">E3-E19</f>
        <v>29.400000000000006</v>
      </c>
      <c r="F44" s="61">
        <f t="shared" si="13"/>
        <v>38.6666666666667</v>
      </c>
      <c r="G44" s="61">
        <f t="shared" si="13"/>
        <v>47.933333333333394</v>
      </c>
      <c r="H44" s="61">
        <f t="shared" si="13"/>
        <v>57.200000000000088</v>
      </c>
      <c r="I44" s="61">
        <f t="shared" si="13"/>
        <v>66.466666666666782</v>
      </c>
      <c r="J44" s="61">
        <f t="shared" si="13"/>
        <v>75.733333333333476</v>
      </c>
      <c r="K44" s="61">
        <f t="shared" si="13"/>
        <v>85.000000000000114</v>
      </c>
      <c r="L44" s="61">
        <f t="shared" si="13"/>
        <v>116.15000000000009</v>
      </c>
      <c r="M44" s="61">
        <f t="shared" si="13"/>
        <v>147.30000000000007</v>
      </c>
      <c r="N44" s="61">
        <f t="shared" si="13"/>
        <v>178.45000000000005</v>
      </c>
      <c r="O44" s="61">
        <f t="shared" si="13"/>
        <v>209.60000000000002</v>
      </c>
      <c r="P44" s="61">
        <f t="shared" si="13"/>
        <v>294.66666666666674</v>
      </c>
      <c r="Q44" s="61">
        <f t="shared" si="13"/>
        <v>379.73333333333358</v>
      </c>
      <c r="R44" s="61">
        <f t="shared" si="13"/>
        <v>464.80000000000041</v>
      </c>
      <c r="S44" s="61">
        <f t="shared" si="13"/>
        <v>549.86666666666724</v>
      </c>
      <c r="T44" s="61">
        <f t="shared" si="13"/>
        <v>634.93333333333408</v>
      </c>
      <c r="U44" s="61">
        <f t="shared" si="13"/>
        <v>720.00000000000068</v>
      </c>
      <c r="V44" s="61">
        <f t="shared" si="13"/>
        <v>912.95000000000073</v>
      </c>
      <c r="W44" s="61">
        <f t="shared" si="13"/>
        <v>1105.9000000000005</v>
      </c>
      <c r="X44" s="61">
        <f t="shared" si="13"/>
        <v>1298.8500000000004</v>
      </c>
      <c r="Y44" s="61">
        <f t="shared" si="13"/>
        <v>1491.8000000000002</v>
      </c>
      <c r="Z44" s="61">
        <f t="shared" si="13"/>
        <v>1112.2000000000007</v>
      </c>
      <c r="AA44" s="61">
        <f t="shared" si="13"/>
        <v>1293.7600000000002</v>
      </c>
      <c r="AB44" s="61">
        <f t="shared" si="13"/>
        <v>1475.3199999999997</v>
      </c>
      <c r="AC44" s="61">
        <f t="shared" si="13"/>
        <v>1656.8799999999992</v>
      </c>
      <c r="AD44" s="61">
        <f t="shared" si="13"/>
        <v>1838.4399999999987</v>
      </c>
      <c r="AE44" s="61">
        <f t="shared" si="13"/>
        <v>2019.9999999999973</v>
      </c>
    </row>
    <row r="45" spans="1:31" x14ac:dyDescent="0.35">
      <c r="A45" s="87" t="s">
        <v>30</v>
      </c>
      <c r="B45" s="9">
        <f>NPV('Cost Assumptions'!$B$3,'Mira Loma'!D45:'Mira Loma'!AE45)</f>
        <v>27.852347456357673</v>
      </c>
      <c r="C45" s="87" t="s">
        <v>32</v>
      </c>
      <c r="D45" s="61">
        <f t="shared" ref="D45" si="14">D4-D20</f>
        <v>2.3000000000000114</v>
      </c>
      <c r="E45" s="61">
        <f t="shared" ref="E45:AE45" si="15">E4-E20</f>
        <v>1.5999999999999943</v>
      </c>
      <c r="F45" s="61">
        <f t="shared" si="15"/>
        <v>1.5166666666666657</v>
      </c>
      <c r="G45" s="61">
        <f t="shared" si="15"/>
        <v>1.4333333333333371</v>
      </c>
      <c r="H45" s="61">
        <f t="shared" si="15"/>
        <v>1.3500000000000085</v>
      </c>
      <c r="I45" s="61">
        <f t="shared" si="15"/>
        <v>1.2666666666666799</v>
      </c>
      <c r="J45" s="61">
        <f t="shared" si="15"/>
        <v>1.1833333333333513</v>
      </c>
      <c r="K45" s="61">
        <f t="shared" si="15"/>
        <v>1.1000000000000227</v>
      </c>
      <c r="L45" s="61">
        <f t="shared" si="15"/>
        <v>1.3000000000000256</v>
      </c>
      <c r="M45" s="61">
        <f t="shared" si="15"/>
        <v>1.5000000000000284</v>
      </c>
      <c r="N45" s="61">
        <f t="shared" si="15"/>
        <v>1.7000000000000313</v>
      </c>
      <c r="O45" s="61">
        <f t="shared" si="15"/>
        <v>1.9000000000000341</v>
      </c>
      <c r="P45" s="61">
        <f t="shared" si="15"/>
        <v>3.5000000000000284</v>
      </c>
      <c r="Q45" s="61">
        <f t="shared" si="15"/>
        <v>5.1000000000000227</v>
      </c>
      <c r="R45" s="61">
        <f t="shared" si="15"/>
        <v>6.7000000000000171</v>
      </c>
      <c r="S45" s="61">
        <f t="shared" si="15"/>
        <v>8.3000000000000114</v>
      </c>
      <c r="T45" s="61">
        <f t="shared" si="15"/>
        <v>9.9000000000000057</v>
      </c>
      <c r="U45" s="61">
        <f t="shared" si="15"/>
        <v>11.5</v>
      </c>
      <c r="V45" s="61">
        <f t="shared" si="15"/>
        <v>9.9599999999999937</v>
      </c>
      <c r="W45" s="61">
        <f t="shared" si="15"/>
        <v>8.4199999999999875</v>
      </c>
      <c r="X45" s="61">
        <f t="shared" si="15"/>
        <v>6.8799999999999741</v>
      </c>
      <c r="Y45" s="61">
        <f t="shared" si="15"/>
        <v>5.3399999999999608</v>
      </c>
      <c r="Z45" s="61">
        <f t="shared" si="15"/>
        <v>3.7999999999999545</v>
      </c>
      <c r="AA45" s="61">
        <f t="shared" si="15"/>
        <v>4.659999999999954</v>
      </c>
      <c r="AB45" s="61">
        <f t="shared" si="15"/>
        <v>5.5199999999999534</v>
      </c>
      <c r="AC45" s="61">
        <f t="shared" si="15"/>
        <v>6.3799999999999528</v>
      </c>
      <c r="AD45" s="61">
        <f t="shared" si="15"/>
        <v>7.2399999999999523</v>
      </c>
      <c r="AE45" s="61">
        <f t="shared" si="15"/>
        <v>8.0999999999999659</v>
      </c>
    </row>
    <row r="46" spans="1:31" x14ac:dyDescent="0.35">
      <c r="A46" s="87" t="s">
        <v>30</v>
      </c>
      <c r="B46" s="9">
        <f>NPV('Cost Assumptions'!$B$3,'Mira Loma'!D46:'Mira Loma'!AE46)</f>
        <v>623.60152467254932</v>
      </c>
      <c r="C46" s="87" t="s">
        <v>33</v>
      </c>
      <c r="D46" s="61">
        <f t="shared" ref="D46" si="16">D5-D21</f>
        <v>0.20071614816091138</v>
      </c>
      <c r="E46" s="61">
        <f t="shared" ref="E46:AE46" si="17">E5-E21</f>
        <v>0.41235757225155967</v>
      </c>
      <c r="F46" s="61">
        <f t="shared" si="17"/>
        <v>0.79213101450343815</v>
      </c>
      <c r="G46" s="61">
        <f t="shared" si="17"/>
        <v>1.1719044567553165</v>
      </c>
      <c r="H46" s="61">
        <f t="shared" si="17"/>
        <v>1.5516778990071949</v>
      </c>
      <c r="I46" s="61">
        <f t="shared" si="17"/>
        <v>1.9314513412590733</v>
      </c>
      <c r="J46" s="61">
        <f t="shared" si="17"/>
        <v>2.3112247835109514</v>
      </c>
      <c r="K46" s="61">
        <f t="shared" si="17"/>
        <v>2.6909982257628307</v>
      </c>
      <c r="L46" s="61">
        <f t="shared" si="17"/>
        <v>5.3028886148488503</v>
      </c>
      <c r="M46" s="61">
        <f t="shared" si="17"/>
        <v>7.9147790039348696</v>
      </c>
      <c r="N46" s="61">
        <f t="shared" si="17"/>
        <v>10.526669393020891</v>
      </c>
      <c r="O46" s="61">
        <f t="shared" si="17"/>
        <v>13.138559782106906</v>
      </c>
      <c r="P46" s="61">
        <f t="shared" si="17"/>
        <v>28.514259467788463</v>
      </c>
      <c r="Q46" s="61">
        <f t="shared" si="17"/>
        <v>43.889959153470031</v>
      </c>
      <c r="R46" s="61">
        <f t="shared" si="17"/>
        <v>59.265658839151591</v>
      </c>
      <c r="S46" s="61">
        <f t="shared" si="17"/>
        <v>74.641358524833151</v>
      </c>
      <c r="T46" s="61">
        <f t="shared" si="17"/>
        <v>90.017058210514719</v>
      </c>
      <c r="U46" s="61">
        <f t="shared" si="17"/>
        <v>105.39275789619626</v>
      </c>
      <c r="V46" s="61">
        <f t="shared" si="17"/>
        <v>164.82340516717701</v>
      </c>
      <c r="W46" s="61">
        <f t="shared" si="17"/>
        <v>224.25405243815774</v>
      </c>
      <c r="X46" s="61">
        <f t="shared" si="17"/>
        <v>283.6846997091385</v>
      </c>
      <c r="Y46" s="61">
        <f t="shared" si="17"/>
        <v>343.11534698011917</v>
      </c>
      <c r="Z46" s="61">
        <f t="shared" si="17"/>
        <v>402.54599425110001</v>
      </c>
      <c r="AA46" s="61">
        <f t="shared" si="17"/>
        <v>537.7572908875112</v>
      </c>
      <c r="AB46" s="61">
        <f t="shared" si="17"/>
        <v>672.96858752392245</v>
      </c>
      <c r="AC46" s="61">
        <f t="shared" si="17"/>
        <v>808.17988416033359</v>
      </c>
      <c r="AD46" s="61">
        <f t="shared" si="17"/>
        <v>943.39118079674472</v>
      </c>
      <c r="AE46" s="61">
        <f t="shared" si="17"/>
        <v>1078.6024774331559</v>
      </c>
    </row>
    <row r="47" spans="1:31" x14ac:dyDescent="0.35">
      <c r="A47" s="87" t="s">
        <v>30</v>
      </c>
      <c r="B47" s="9">
        <f>NPV('Cost Assumptions'!$B$3,'Mira Loma'!D47:'Mira Loma'!AE47)</f>
        <v>1.9532506534080925</v>
      </c>
      <c r="C47" s="87" t="s">
        <v>34</v>
      </c>
      <c r="D47" s="61">
        <f t="shared" ref="D47" si="18">D6-D22</f>
        <v>1.2666321565399149E-2</v>
      </c>
      <c r="E47" s="61">
        <f t="shared" ref="E47:AE47" si="19">E6-E22</f>
        <v>2.0001592706012591E-2</v>
      </c>
      <c r="F47" s="61">
        <f t="shared" si="19"/>
        <v>2.341713397686309E-2</v>
      </c>
      <c r="G47" s="61">
        <f t="shared" si="19"/>
        <v>2.6832675247713586E-2</v>
      </c>
      <c r="H47" s="61">
        <f t="shared" si="19"/>
        <v>3.0248216518564075E-2</v>
      </c>
      <c r="I47" s="61">
        <f t="shared" si="19"/>
        <v>3.3663757789414564E-2</v>
      </c>
      <c r="J47" s="61">
        <f t="shared" si="19"/>
        <v>3.7079299060265053E-2</v>
      </c>
      <c r="K47" s="61">
        <f t="shared" si="19"/>
        <v>4.0494840331115584E-2</v>
      </c>
      <c r="L47" s="61">
        <f t="shared" si="19"/>
        <v>5.9127878750087348E-2</v>
      </c>
      <c r="M47" s="61">
        <f t="shared" si="19"/>
        <v>7.7760917169059141E-2</v>
      </c>
      <c r="N47" s="61">
        <f t="shared" si="19"/>
        <v>9.6393955588030877E-2</v>
      </c>
      <c r="O47" s="61">
        <f t="shared" si="19"/>
        <v>0.11502699400700261</v>
      </c>
      <c r="P47" s="61">
        <f t="shared" si="19"/>
        <v>0.18391974994149785</v>
      </c>
      <c r="Q47" s="61">
        <f t="shared" si="19"/>
        <v>0.25281250587599302</v>
      </c>
      <c r="R47" s="61">
        <f t="shared" si="19"/>
        <v>0.32170526181048831</v>
      </c>
      <c r="S47" s="61">
        <f t="shared" si="19"/>
        <v>0.39059801774498348</v>
      </c>
      <c r="T47" s="61">
        <f t="shared" si="19"/>
        <v>0.45949077367947866</v>
      </c>
      <c r="U47" s="61">
        <f t="shared" si="19"/>
        <v>0.52838352961397339</v>
      </c>
      <c r="V47" s="61">
        <f t="shared" si="19"/>
        <v>0.62704158576986835</v>
      </c>
      <c r="W47" s="61">
        <f t="shared" si="19"/>
        <v>0.72569964192576331</v>
      </c>
      <c r="X47" s="61">
        <f t="shared" si="19"/>
        <v>0.82435769808165826</v>
      </c>
      <c r="Y47" s="61">
        <f t="shared" si="19"/>
        <v>0.92301575423755322</v>
      </c>
      <c r="Z47" s="61">
        <f t="shared" si="19"/>
        <v>1.0216738103934477</v>
      </c>
      <c r="AA47" s="61">
        <f t="shared" si="19"/>
        <v>1.2221304087201119</v>
      </c>
      <c r="AB47" s="61">
        <f t="shared" si="19"/>
        <v>1.4225870070467765</v>
      </c>
      <c r="AC47" s="61">
        <f t="shared" si="19"/>
        <v>1.6230436053734412</v>
      </c>
      <c r="AD47" s="61">
        <f t="shared" si="19"/>
        <v>1.8235002037001058</v>
      </c>
      <c r="AE47" s="61">
        <f t="shared" si="19"/>
        <v>2.0239568020267704</v>
      </c>
    </row>
    <row r="48" spans="1:31" x14ac:dyDescent="0.35">
      <c r="A48" s="87" t="s">
        <v>30</v>
      </c>
      <c r="B48" s="9">
        <f>NPV('Cost Assumptions'!$B$3,'Mira Loma'!D48:'Mira Loma'!AE48)</f>
        <v>444.53686486608456</v>
      </c>
      <c r="C48" s="87" t="s">
        <v>35</v>
      </c>
      <c r="D48" s="61">
        <f t="shared" ref="D48" si="20">D7-D23</f>
        <v>16</v>
      </c>
      <c r="E48" s="61">
        <f t="shared" ref="E48:AE48" si="21">E7-E23</f>
        <v>24</v>
      </c>
      <c r="F48" s="61">
        <f t="shared" si="21"/>
        <v>27.833333333333336</v>
      </c>
      <c r="G48" s="61">
        <f t="shared" si="21"/>
        <v>31.666666666666671</v>
      </c>
      <c r="H48" s="61">
        <f t="shared" si="21"/>
        <v>35.500000000000007</v>
      </c>
      <c r="I48" s="61">
        <f t="shared" si="21"/>
        <v>39.333333333333343</v>
      </c>
      <c r="J48" s="61">
        <f t="shared" si="21"/>
        <v>43.166666666666679</v>
      </c>
      <c r="K48" s="61">
        <f t="shared" si="21"/>
        <v>47</v>
      </c>
      <c r="L48" s="61">
        <f t="shared" si="21"/>
        <v>49.5</v>
      </c>
      <c r="M48" s="61">
        <f t="shared" si="21"/>
        <v>52</v>
      </c>
      <c r="N48" s="61">
        <f t="shared" si="21"/>
        <v>54.5</v>
      </c>
      <c r="O48" s="61">
        <f t="shared" si="21"/>
        <v>57</v>
      </c>
      <c r="P48" s="61">
        <f t="shared" si="21"/>
        <v>60.833333333333329</v>
      </c>
      <c r="Q48" s="61">
        <f t="shared" si="21"/>
        <v>64.666666666666657</v>
      </c>
      <c r="R48" s="61">
        <f t="shared" si="21"/>
        <v>68.499999999999986</v>
      </c>
      <c r="S48" s="61">
        <f t="shared" si="21"/>
        <v>72.333333333333314</v>
      </c>
      <c r="T48" s="61">
        <f t="shared" si="21"/>
        <v>76.166666666666657</v>
      </c>
      <c r="U48" s="61">
        <f t="shared" si="21"/>
        <v>80</v>
      </c>
      <c r="V48" s="61">
        <f t="shared" si="21"/>
        <v>83.4</v>
      </c>
      <c r="W48" s="61">
        <f t="shared" si="21"/>
        <v>86.800000000000011</v>
      </c>
      <c r="X48" s="61">
        <f t="shared" si="21"/>
        <v>90.200000000000017</v>
      </c>
      <c r="Y48" s="61">
        <f t="shared" si="21"/>
        <v>93.600000000000023</v>
      </c>
      <c r="Z48" s="61">
        <f t="shared" si="21"/>
        <v>97</v>
      </c>
      <c r="AA48" s="61">
        <f t="shared" si="21"/>
        <v>99.2</v>
      </c>
      <c r="AB48" s="61">
        <f t="shared" si="21"/>
        <v>101.4</v>
      </c>
      <c r="AC48" s="61">
        <f t="shared" si="21"/>
        <v>103.60000000000002</v>
      </c>
      <c r="AD48" s="61">
        <f t="shared" si="21"/>
        <v>105.80000000000004</v>
      </c>
      <c r="AE48" s="61">
        <f t="shared" si="21"/>
        <v>108</v>
      </c>
    </row>
    <row r="49" spans="1:31" ht="13.9" customHeight="1" x14ac:dyDescent="0.35">
      <c r="A49" s="87" t="s">
        <v>30</v>
      </c>
      <c r="B49" s="9">
        <f>NPV('Cost Assumptions'!$B$3,'Mira Loma'!D49:'Mira Loma'!AE49)</f>
        <v>143555.87948410417</v>
      </c>
      <c r="C49" s="85" t="s">
        <v>140</v>
      </c>
      <c r="D49" s="61">
        <f t="shared" ref="D49:E51" si="22">D13-D24</f>
        <v>3035.4343971957819</v>
      </c>
      <c r="E49" s="61">
        <f t="shared" si="22"/>
        <v>4601.0440051716505</v>
      </c>
      <c r="F49" s="61">
        <f t="shared" ref="F49:AE49" si="23">F13-F24</f>
        <v>6166.6536131475195</v>
      </c>
      <c r="G49" s="61">
        <f t="shared" si="23"/>
        <v>7732.2632211233886</v>
      </c>
      <c r="H49" s="61">
        <f t="shared" si="23"/>
        <v>9297.8728290992585</v>
      </c>
      <c r="I49" s="61">
        <f t="shared" si="23"/>
        <v>10863.482437075127</v>
      </c>
      <c r="J49" s="61">
        <f t="shared" si="23"/>
        <v>12429.092045050995</v>
      </c>
      <c r="K49" s="61">
        <f t="shared" si="23"/>
        <v>13994.701653026863</v>
      </c>
      <c r="L49" s="61">
        <f t="shared" si="23"/>
        <v>15560.311261002731</v>
      </c>
      <c r="M49" s="61">
        <f t="shared" si="23"/>
        <v>17125.920868978599</v>
      </c>
      <c r="N49" s="61">
        <f t="shared" si="23"/>
        <v>18691.530476954467</v>
      </c>
      <c r="O49" s="61">
        <f t="shared" si="23"/>
        <v>20257.140084930335</v>
      </c>
      <c r="P49" s="61">
        <f t="shared" si="23"/>
        <v>21822.749692906204</v>
      </c>
      <c r="Q49" s="61">
        <f t="shared" si="23"/>
        <v>23388.359300882072</v>
      </c>
      <c r="R49" s="61">
        <f t="shared" si="23"/>
        <v>24953.96890885794</v>
      </c>
      <c r="S49" s="61">
        <f t="shared" si="23"/>
        <v>26519.578516833808</v>
      </c>
      <c r="T49" s="61">
        <f t="shared" si="23"/>
        <v>28085.188124809676</v>
      </c>
      <c r="U49" s="61">
        <f t="shared" si="23"/>
        <v>29650.797732785544</v>
      </c>
      <c r="V49" s="61">
        <f t="shared" si="23"/>
        <v>31216.407340761412</v>
      </c>
      <c r="W49" s="61">
        <f t="shared" si="23"/>
        <v>32782.016948737284</v>
      </c>
      <c r="X49" s="61">
        <f t="shared" si="23"/>
        <v>34347.626556713156</v>
      </c>
      <c r="Y49" s="61">
        <f t="shared" si="23"/>
        <v>35913.236164689028</v>
      </c>
      <c r="Z49" s="61">
        <f t="shared" si="23"/>
        <v>37478.845772664899</v>
      </c>
      <c r="AA49" s="61">
        <f t="shared" si="23"/>
        <v>39044.455380640771</v>
      </c>
      <c r="AB49" s="61">
        <f t="shared" si="23"/>
        <v>40610.064988616643</v>
      </c>
      <c r="AC49" s="61">
        <f t="shared" si="23"/>
        <v>42175.674596592515</v>
      </c>
      <c r="AD49" s="61">
        <f t="shared" si="23"/>
        <v>43741.284204568386</v>
      </c>
      <c r="AE49" s="61">
        <f t="shared" si="23"/>
        <v>45306.893812544244</v>
      </c>
    </row>
    <row r="50" spans="1:31" x14ac:dyDescent="0.35">
      <c r="A50" s="87" t="s">
        <v>30</v>
      </c>
      <c r="B50" s="9">
        <f>NPV('Cost Assumptions'!$B$3,'Mira Loma'!D50:'Mira Loma'!AE50)</f>
        <v>512526.55583863205</v>
      </c>
      <c r="C50" s="85" t="s">
        <v>141</v>
      </c>
      <c r="D50" s="61">
        <f t="shared" si="22"/>
        <v>53526.365550176241</v>
      </c>
      <c r="E50" s="61">
        <f t="shared" si="22"/>
        <v>53803.862398984144</v>
      </c>
      <c r="F50" s="61">
        <f t="shared" ref="F50:AE50" si="24">F14-F25</f>
        <v>54081.359247791785</v>
      </c>
      <c r="G50" s="61">
        <f t="shared" si="24"/>
        <v>54246.167020941793</v>
      </c>
      <c r="H50" s="61">
        <f t="shared" si="24"/>
        <v>54412.383407537156</v>
      </c>
      <c r="I50" s="61">
        <f t="shared" si="24"/>
        <v>54577.19118068699</v>
      </c>
      <c r="J50" s="61">
        <f t="shared" si="24"/>
        <v>54756.085088293941</v>
      </c>
      <c r="K50" s="61">
        <f t="shared" si="24"/>
        <v>54933.570382455393</v>
      </c>
      <c r="L50" s="61">
        <f t="shared" si="24"/>
        <v>55111.055676616379</v>
      </c>
      <c r="M50" s="61">
        <f t="shared" si="24"/>
        <v>55288.540970778151</v>
      </c>
      <c r="N50" s="61">
        <f t="shared" si="24"/>
        <v>55470.252105276682</v>
      </c>
      <c r="O50" s="61">
        <f t="shared" si="24"/>
        <v>55651.963239774923</v>
      </c>
      <c r="P50" s="61">
        <f t="shared" si="24"/>
        <v>55835.082987719099</v>
      </c>
      <c r="Q50" s="61">
        <f t="shared" si="24"/>
        <v>56016.794122217572</v>
      </c>
      <c r="R50" s="61">
        <f t="shared" si="24"/>
        <v>56192.870802933641</v>
      </c>
      <c r="S50" s="61">
        <f t="shared" si="24"/>
        <v>56368.947483649041</v>
      </c>
      <c r="T50" s="61">
        <f t="shared" si="24"/>
        <v>56546.432777810231</v>
      </c>
      <c r="U50" s="61">
        <f t="shared" si="24"/>
        <v>56722.509458525863</v>
      </c>
      <c r="V50" s="61">
        <f t="shared" si="24"/>
        <v>56885.908618230227</v>
      </c>
      <c r="W50" s="61">
        <f t="shared" si="24"/>
        <v>57049.307777933922</v>
      </c>
      <c r="X50" s="61">
        <f t="shared" si="24"/>
        <v>57212.706937638199</v>
      </c>
      <c r="Y50" s="61">
        <f t="shared" si="24"/>
        <v>57374.697483896307</v>
      </c>
      <c r="Z50" s="61">
        <f t="shared" si="24"/>
        <v>57519.784668805863</v>
      </c>
      <c r="AA50" s="61">
        <f t="shared" si="24"/>
        <v>57663.463240270037</v>
      </c>
      <c r="AB50" s="61">
        <f t="shared" si="24"/>
        <v>57807.141811733716</v>
      </c>
      <c r="AC50" s="61">
        <f t="shared" si="24"/>
        <v>57952.228996643389</v>
      </c>
      <c r="AD50" s="61">
        <f t="shared" si="24"/>
        <v>58074.778366421378</v>
      </c>
      <c r="AE50" s="61">
        <f t="shared" si="24"/>
        <v>58197.327736199746</v>
      </c>
    </row>
    <row r="51" spans="1:31" s="80" customFormat="1" x14ac:dyDescent="0.35">
      <c r="A51" s="87" t="s">
        <v>30</v>
      </c>
      <c r="B51" s="9">
        <f>NPV('Cost Assumptions'!$B$3,'Mira Loma'!D51:'Mira Loma'!AE51)</f>
        <v>587117.82529934624</v>
      </c>
      <c r="C51" s="85" t="s">
        <v>142</v>
      </c>
      <c r="D51" s="61">
        <f t="shared" si="22"/>
        <v>41367.35325362649</v>
      </c>
      <c r="E51" s="61">
        <f t="shared" si="22"/>
        <v>44921.282206971468</v>
      </c>
      <c r="F51" s="61">
        <f t="shared" ref="F51:AE51" si="25">F15-F26</f>
        <v>48605.847260212409</v>
      </c>
      <c r="G51" s="61">
        <f t="shared" si="25"/>
        <v>50842.009138842201</v>
      </c>
      <c r="H51" s="61">
        <f t="shared" si="25"/>
        <v>53093.539245370848</v>
      </c>
      <c r="I51" s="61">
        <f t="shared" si="25"/>
        <v>55327.700597813673</v>
      </c>
      <c r="J51" s="61">
        <f t="shared" si="25"/>
        <v>57819.849968039314</v>
      </c>
      <c r="K51" s="61">
        <f t="shared" si="25"/>
        <v>60354.38556661801</v>
      </c>
      <c r="L51" s="61">
        <f t="shared" si="25"/>
        <v>62941.116487744614</v>
      </c>
      <c r="M51" s="61">
        <f t="shared" si="25"/>
        <v>65589.465575388109</v>
      </c>
      <c r="N51" s="61">
        <f t="shared" si="25"/>
        <v>68329.125041342675</v>
      </c>
      <c r="O51" s="61">
        <f t="shared" si="25"/>
        <v>71056.973323523183</v>
      </c>
      <c r="P51" s="61">
        <f t="shared" si="25"/>
        <v>73863.714090903784</v>
      </c>
      <c r="Q51" s="61">
        <f t="shared" si="25"/>
        <v>76657.711177549209</v>
      </c>
      <c r="R51" s="61">
        <f t="shared" si="25"/>
        <v>79340.780761509726</v>
      </c>
      <c r="S51" s="61">
        <f t="shared" si="25"/>
        <v>82034.986220717488</v>
      </c>
      <c r="T51" s="61">
        <f t="shared" si="25"/>
        <v>84724.594325191778</v>
      </c>
      <c r="U51" s="61">
        <f t="shared" si="25"/>
        <v>87420.929128611766</v>
      </c>
      <c r="V51" s="61">
        <f t="shared" si="25"/>
        <v>89943.222017625027</v>
      </c>
      <c r="W51" s="61">
        <f t="shared" si="25"/>
        <v>92503.733712913454</v>
      </c>
      <c r="X51" s="61">
        <f t="shared" si="25"/>
        <v>95084.160300065923</v>
      </c>
      <c r="Y51" s="61">
        <f t="shared" si="25"/>
        <v>97725.432966705281</v>
      </c>
      <c r="Z51" s="61">
        <f t="shared" si="25"/>
        <v>100114.04482552948</v>
      </c>
      <c r="AA51" s="61">
        <f t="shared" si="25"/>
        <v>102477.63412136117</v>
      </c>
      <c r="AB51" s="61">
        <f t="shared" si="25"/>
        <v>104854.03011639125</v>
      </c>
      <c r="AC51" s="61">
        <f t="shared" si="25"/>
        <v>107260.86908785194</v>
      </c>
      <c r="AD51" s="61">
        <f t="shared" si="25"/>
        <v>109308.88895520374</v>
      </c>
      <c r="AE51" s="61">
        <f t="shared" si="25"/>
        <v>111359.9479149152</v>
      </c>
    </row>
    <row r="52" spans="1:31" x14ac:dyDescent="0.35">
      <c r="A52" s="87" t="s">
        <v>39</v>
      </c>
      <c r="B52" s="9">
        <f>NPV('Cost Assumptions'!$B$3,'Mira Loma'!D52:'Mira Loma'!AE52)</f>
        <v>14173.304998444155</v>
      </c>
      <c r="C52" s="87" t="s">
        <v>31</v>
      </c>
      <c r="D52" s="61">
        <f t="shared" ref="D52" si="26">D8-D19</f>
        <v>48.500000000000199</v>
      </c>
      <c r="E52" s="61">
        <f t="shared" ref="E52:AE52" si="27">E8-E19</f>
        <v>118.40000000000023</v>
      </c>
      <c r="F52" s="61">
        <f t="shared" si="27"/>
        <v>225.5833333333336</v>
      </c>
      <c r="G52" s="61">
        <f t="shared" si="27"/>
        <v>332.76666666666694</v>
      </c>
      <c r="H52" s="61">
        <f t="shared" si="27"/>
        <v>439.95000000000027</v>
      </c>
      <c r="I52" s="61">
        <f t="shared" si="27"/>
        <v>547.13333333333367</v>
      </c>
      <c r="J52" s="61">
        <f t="shared" si="27"/>
        <v>654.31666666666695</v>
      </c>
      <c r="K52" s="61">
        <f t="shared" si="27"/>
        <v>761.50000000000011</v>
      </c>
      <c r="L52" s="61">
        <f t="shared" si="27"/>
        <v>1014.7500000000001</v>
      </c>
      <c r="M52" s="61">
        <f t="shared" si="27"/>
        <v>1268</v>
      </c>
      <c r="N52" s="61">
        <f t="shared" si="27"/>
        <v>1521.25</v>
      </c>
      <c r="O52" s="61">
        <f t="shared" si="27"/>
        <v>1774.5000000000002</v>
      </c>
      <c r="P52" s="61">
        <f t="shared" si="27"/>
        <v>2149.7000000000003</v>
      </c>
      <c r="Q52" s="61">
        <f t="shared" si="27"/>
        <v>2524.9</v>
      </c>
      <c r="R52" s="61">
        <f t="shared" si="27"/>
        <v>2900.1000000000004</v>
      </c>
      <c r="S52" s="61">
        <f t="shared" si="27"/>
        <v>3275.3</v>
      </c>
      <c r="T52" s="61">
        <f t="shared" si="27"/>
        <v>3650.5</v>
      </c>
      <c r="U52" s="61">
        <f t="shared" si="27"/>
        <v>4025.7</v>
      </c>
      <c r="V52" s="61">
        <f t="shared" si="27"/>
        <v>4367.9799999999996</v>
      </c>
      <c r="W52" s="61">
        <f t="shared" si="27"/>
        <v>4710.2599999999993</v>
      </c>
      <c r="X52" s="61">
        <f t="shared" si="27"/>
        <v>5052.54</v>
      </c>
      <c r="Y52" s="61">
        <f t="shared" si="27"/>
        <v>5394.82</v>
      </c>
      <c r="Z52" s="61">
        <f t="shared" si="27"/>
        <v>5737.0999999999985</v>
      </c>
      <c r="AA52" s="61">
        <f t="shared" si="27"/>
        <v>6051.0399999999991</v>
      </c>
      <c r="AB52" s="61">
        <f t="shared" si="27"/>
        <v>6364.98</v>
      </c>
      <c r="AC52" s="61">
        <f t="shared" si="27"/>
        <v>6678.92</v>
      </c>
      <c r="AD52" s="61">
        <f t="shared" si="27"/>
        <v>6992.8600000000006</v>
      </c>
      <c r="AE52" s="61">
        <f t="shared" si="27"/>
        <v>7306.800000000002</v>
      </c>
    </row>
    <row r="53" spans="1:31" x14ac:dyDescent="0.35">
      <c r="A53" s="87" t="s">
        <v>39</v>
      </c>
      <c r="B53" s="9">
        <f>NPV('Cost Assumptions'!$B$3,'Mira Loma'!D53:'Mira Loma'!AE53)</f>
        <v>727.37959274029367</v>
      </c>
      <c r="C53" s="87" t="s">
        <v>32</v>
      </c>
      <c r="D53" s="61">
        <f t="shared" ref="D53" si="28">D9-D20</f>
        <v>21.200000000000102</v>
      </c>
      <c r="E53" s="61">
        <f t="shared" ref="E53:J56" si="29">E9-E20</f>
        <v>37.80000000000004</v>
      </c>
      <c r="F53" s="61">
        <f t="shared" si="29"/>
        <v>49.700000000000053</v>
      </c>
      <c r="G53" s="61">
        <f t="shared" si="29"/>
        <v>61.600000000000065</v>
      </c>
      <c r="H53" s="61">
        <f t="shared" si="29"/>
        <v>73.500000000000071</v>
      </c>
      <c r="I53" s="61">
        <f t="shared" si="29"/>
        <v>85.400000000000091</v>
      </c>
      <c r="J53" s="61">
        <f t="shared" si="29"/>
        <v>97.300000000000097</v>
      </c>
      <c r="K53" s="61">
        <f t="shared" ref="K53:AE53" si="30">K9-K28</f>
        <v>93.800000000000182</v>
      </c>
      <c r="L53" s="61">
        <f t="shared" si="30"/>
        <v>95.150000000000148</v>
      </c>
      <c r="M53" s="61">
        <f t="shared" si="30"/>
        <v>96.500000000000114</v>
      </c>
      <c r="N53" s="61">
        <f t="shared" si="30"/>
        <v>97.85000000000008</v>
      </c>
      <c r="O53" s="61">
        <f t="shared" si="30"/>
        <v>99.200000000000045</v>
      </c>
      <c r="P53" s="61">
        <f t="shared" si="30"/>
        <v>100.63333333333337</v>
      </c>
      <c r="Q53" s="61">
        <f t="shared" si="30"/>
        <v>102.06666666666669</v>
      </c>
      <c r="R53" s="61">
        <f t="shared" si="30"/>
        <v>103.5</v>
      </c>
      <c r="S53" s="61">
        <f t="shared" si="30"/>
        <v>104.93333333333331</v>
      </c>
      <c r="T53" s="61">
        <f t="shared" si="30"/>
        <v>106.36666666666662</v>
      </c>
      <c r="U53" s="61">
        <f t="shared" si="30"/>
        <v>107.79999999999995</v>
      </c>
      <c r="V53" s="61">
        <f t="shared" si="30"/>
        <v>108.23999999999995</v>
      </c>
      <c r="W53" s="61">
        <f t="shared" si="30"/>
        <v>108.67999999999995</v>
      </c>
      <c r="X53" s="61">
        <f t="shared" si="30"/>
        <v>109.11999999999995</v>
      </c>
      <c r="Y53" s="61">
        <f t="shared" si="30"/>
        <v>109.55999999999995</v>
      </c>
      <c r="Z53" s="61">
        <f t="shared" si="30"/>
        <v>110</v>
      </c>
      <c r="AA53" s="61">
        <f t="shared" si="30"/>
        <v>111.23999999999995</v>
      </c>
      <c r="AB53" s="61">
        <f t="shared" si="30"/>
        <v>112.4799999999999</v>
      </c>
      <c r="AC53" s="61">
        <f t="shared" si="30"/>
        <v>113.71999999999986</v>
      </c>
      <c r="AD53" s="61">
        <f t="shared" si="30"/>
        <v>114.95999999999981</v>
      </c>
      <c r="AE53" s="61">
        <f t="shared" si="30"/>
        <v>116.19999999999982</v>
      </c>
    </row>
    <row r="54" spans="1:31" x14ac:dyDescent="0.35">
      <c r="A54" s="87" t="s">
        <v>39</v>
      </c>
      <c r="B54" s="9">
        <f>NPV('Cost Assumptions'!$B$3,'Mira Loma'!D54:'Mira Loma'!AE54)</f>
        <v>1505.3441241140122</v>
      </c>
      <c r="C54" s="87" t="s">
        <v>33</v>
      </c>
      <c r="D54" s="61">
        <f t="shared" ref="D54" si="31">D10-D21</f>
        <v>0.20932346480283981</v>
      </c>
      <c r="E54" s="61">
        <f t="shared" si="29"/>
        <v>0.64276730624320866</v>
      </c>
      <c r="F54" s="61">
        <f t="shared" si="29"/>
        <v>3.2902220824607138</v>
      </c>
      <c r="G54" s="61">
        <f t="shared" si="29"/>
        <v>5.9376768586782189</v>
      </c>
      <c r="H54" s="61">
        <f t="shared" si="29"/>
        <v>8.5851316348957241</v>
      </c>
      <c r="I54" s="61">
        <f t="shared" si="29"/>
        <v>11.23258641111323</v>
      </c>
      <c r="J54" s="61">
        <f t="shared" si="29"/>
        <v>13.880041187330734</v>
      </c>
      <c r="K54" s="61">
        <f t="shared" ref="K54:AE54" si="32">K10-K29</f>
        <v>17.927812161209239</v>
      </c>
      <c r="L54" s="61">
        <f t="shared" si="32"/>
        <v>34.756275353451315</v>
      </c>
      <c r="M54" s="61">
        <f t="shared" si="32"/>
        <v>51.584738545693391</v>
      </c>
      <c r="N54" s="61">
        <f t="shared" si="32"/>
        <v>68.413201737935466</v>
      </c>
      <c r="O54" s="61">
        <f t="shared" si="32"/>
        <v>85.241664930177549</v>
      </c>
      <c r="P54" s="61">
        <f t="shared" si="32"/>
        <v>134.33730610622973</v>
      </c>
      <c r="Q54" s="61">
        <f t="shared" si="32"/>
        <v>183.43294728228187</v>
      </c>
      <c r="R54" s="61">
        <f t="shared" si="32"/>
        <v>232.52858845833401</v>
      </c>
      <c r="S54" s="61">
        <f t="shared" si="32"/>
        <v>281.62422963438621</v>
      </c>
      <c r="T54" s="61">
        <f t="shared" si="32"/>
        <v>330.71987081043841</v>
      </c>
      <c r="U54" s="61">
        <f t="shared" si="32"/>
        <v>379.81551198649043</v>
      </c>
      <c r="V54" s="61">
        <f t="shared" si="32"/>
        <v>485.59806862228498</v>
      </c>
      <c r="W54" s="61">
        <f t="shared" si="32"/>
        <v>591.38062525807948</v>
      </c>
      <c r="X54" s="61">
        <f t="shared" si="32"/>
        <v>697.16318189387403</v>
      </c>
      <c r="Y54" s="61">
        <f t="shared" si="32"/>
        <v>802.94573852966857</v>
      </c>
      <c r="Z54" s="61">
        <f t="shared" si="32"/>
        <v>908.72829516546312</v>
      </c>
      <c r="AA54" s="61">
        <f t="shared" si="32"/>
        <v>1077.6086418033644</v>
      </c>
      <c r="AB54" s="61">
        <f t="shared" si="32"/>
        <v>1246.488988441266</v>
      </c>
      <c r="AC54" s="61">
        <f t="shared" si="32"/>
        <v>1415.3693350791673</v>
      </c>
      <c r="AD54" s="61">
        <f t="shared" si="32"/>
        <v>1584.2496817170688</v>
      </c>
      <c r="AE54" s="61">
        <f t="shared" si="32"/>
        <v>1753.1300283549699</v>
      </c>
    </row>
    <row r="55" spans="1:31" x14ac:dyDescent="0.35">
      <c r="A55" s="87" t="s">
        <v>39</v>
      </c>
      <c r="B55" s="9">
        <f>NPV('Cost Assumptions'!$B$3,'Mira Loma'!D55:'Mira Loma'!AE55)</f>
        <v>16.926229627394275</v>
      </c>
      <c r="C55" s="87" t="s">
        <v>34</v>
      </c>
      <c r="D55" s="61">
        <f t="shared" ref="D55" si="33">D11-D22</f>
        <v>5.1661151585692885E-2</v>
      </c>
      <c r="E55" s="61">
        <f t="shared" si="29"/>
        <v>0.12636916127350911</v>
      </c>
      <c r="F55" s="61">
        <f t="shared" si="29"/>
        <v>0.24120581698557425</v>
      </c>
      <c r="G55" s="61">
        <f t="shared" si="29"/>
        <v>0.35604247269763939</v>
      </c>
      <c r="H55" s="61">
        <f t="shared" si="29"/>
        <v>0.47087912840970458</v>
      </c>
      <c r="I55" s="61">
        <f t="shared" si="29"/>
        <v>0.58571578412176972</v>
      </c>
      <c r="J55" s="61">
        <f t="shared" si="29"/>
        <v>0.70055243983383486</v>
      </c>
      <c r="K55" s="61">
        <f t="shared" ref="K55:AE55" si="34">K11-K30</f>
        <v>0.86011365097459236</v>
      </c>
      <c r="L55" s="61">
        <f t="shared" si="34"/>
        <v>1.1386020217948862</v>
      </c>
      <c r="M55" s="61">
        <f t="shared" si="34"/>
        <v>1.4170903926151801</v>
      </c>
      <c r="N55" s="61">
        <f t="shared" si="34"/>
        <v>1.6955787634354738</v>
      </c>
      <c r="O55" s="61">
        <f t="shared" si="34"/>
        <v>1.9740671342557681</v>
      </c>
      <c r="P55" s="61">
        <f t="shared" si="34"/>
        <v>2.4234115662832556</v>
      </c>
      <c r="Q55" s="61">
        <f t="shared" si="34"/>
        <v>2.8727559983107436</v>
      </c>
      <c r="R55" s="61">
        <f t="shared" si="34"/>
        <v>3.3221004303382315</v>
      </c>
      <c r="S55" s="61">
        <f t="shared" si="34"/>
        <v>3.77144486236572</v>
      </c>
      <c r="T55" s="61">
        <f t="shared" si="34"/>
        <v>4.2207892943932084</v>
      </c>
      <c r="U55" s="61">
        <f t="shared" si="34"/>
        <v>4.670133726420695</v>
      </c>
      <c r="V55" s="61">
        <f t="shared" si="34"/>
        <v>5.168784329463767</v>
      </c>
      <c r="W55" s="61">
        <f t="shared" si="34"/>
        <v>5.6674349325068381</v>
      </c>
      <c r="X55" s="61">
        <f t="shared" si="34"/>
        <v>6.1660855355499091</v>
      </c>
      <c r="Y55" s="61">
        <f t="shared" si="34"/>
        <v>6.6647361385929802</v>
      </c>
      <c r="Z55" s="61">
        <f t="shared" si="34"/>
        <v>7.163386741636053</v>
      </c>
      <c r="AA55" s="61">
        <f t="shared" si="34"/>
        <v>7.8295319539174333</v>
      </c>
      <c r="AB55" s="61">
        <f t="shared" si="34"/>
        <v>8.4956771661988135</v>
      </c>
      <c r="AC55" s="61">
        <f t="shared" si="34"/>
        <v>9.1618223784801938</v>
      </c>
      <c r="AD55" s="61">
        <f t="shared" si="34"/>
        <v>9.827967590761574</v>
      </c>
      <c r="AE55" s="61">
        <f t="shared" si="34"/>
        <v>10.494112803042958</v>
      </c>
    </row>
    <row r="56" spans="1:31" x14ac:dyDescent="0.35">
      <c r="A56" s="87" t="s">
        <v>39</v>
      </c>
      <c r="B56" s="9">
        <f>NPV('Cost Assumptions'!$B$3,'Mira Loma'!D56:'Mira Loma'!AE56)</f>
        <v>163.26420179960036</v>
      </c>
      <c r="C56" s="87" t="s">
        <v>35</v>
      </c>
      <c r="D56" s="61">
        <f t="shared" ref="D56" si="35">D12-D23</f>
        <v>2</v>
      </c>
      <c r="E56" s="61">
        <f t="shared" si="29"/>
        <v>1</v>
      </c>
      <c r="F56" s="61">
        <f t="shared" si="29"/>
        <v>1.8333333333333339</v>
      </c>
      <c r="G56" s="61">
        <f t="shared" si="29"/>
        <v>2.6666666666666679</v>
      </c>
      <c r="H56" s="61">
        <f t="shared" si="29"/>
        <v>3.5000000000000018</v>
      </c>
      <c r="I56" s="61">
        <f t="shared" si="29"/>
        <v>4.3333333333333357</v>
      </c>
      <c r="J56" s="61">
        <f t="shared" si="29"/>
        <v>5.1666666666666679</v>
      </c>
      <c r="K56" s="61">
        <f t="shared" ref="K56:AE56" si="36">K12-K31</f>
        <v>15</v>
      </c>
      <c r="L56" s="61">
        <f t="shared" si="36"/>
        <v>18.25</v>
      </c>
      <c r="M56" s="61">
        <f t="shared" si="36"/>
        <v>21.5</v>
      </c>
      <c r="N56" s="61">
        <f t="shared" si="36"/>
        <v>24.75</v>
      </c>
      <c r="O56" s="61">
        <f t="shared" si="36"/>
        <v>28</v>
      </c>
      <c r="P56" s="61">
        <f t="shared" si="36"/>
        <v>30</v>
      </c>
      <c r="Q56" s="61">
        <f t="shared" si="36"/>
        <v>32</v>
      </c>
      <c r="R56" s="61">
        <f t="shared" si="36"/>
        <v>34.000000000000007</v>
      </c>
      <c r="S56" s="61">
        <f t="shared" si="36"/>
        <v>36.000000000000014</v>
      </c>
      <c r="T56" s="61">
        <f t="shared" si="36"/>
        <v>38.000000000000014</v>
      </c>
      <c r="U56" s="61">
        <f t="shared" si="36"/>
        <v>40</v>
      </c>
      <c r="V56" s="61">
        <f t="shared" si="36"/>
        <v>43.399999999999991</v>
      </c>
      <c r="W56" s="61">
        <f t="shared" si="36"/>
        <v>46.799999999999983</v>
      </c>
      <c r="X56" s="61">
        <f t="shared" si="36"/>
        <v>50.199999999999974</v>
      </c>
      <c r="Y56" s="61">
        <f t="shared" si="36"/>
        <v>53.599999999999966</v>
      </c>
      <c r="Z56" s="61">
        <f t="shared" si="36"/>
        <v>57</v>
      </c>
      <c r="AA56" s="61">
        <f t="shared" si="36"/>
        <v>60.2</v>
      </c>
      <c r="AB56" s="61">
        <f t="shared" si="36"/>
        <v>63.400000000000006</v>
      </c>
      <c r="AC56" s="61">
        <f t="shared" si="36"/>
        <v>66.600000000000009</v>
      </c>
      <c r="AD56" s="61">
        <f t="shared" si="36"/>
        <v>69.800000000000011</v>
      </c>
      <c r="AE56" s="61">
        <f t="shared" si="36"/>
        <v>73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s="87" customFormat="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s="87" customFormat="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s="87" customFormat="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s="87" customFormat="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s="87" customFormat="1" x14ac:dyDescent="0.35">
      <c r="A65" s="87" t="s">
        <v>117</v>
      </c>
      <c r="B65" s="87" t="s">
        <v>31</v>
      </c>
      <c r="C65" s="17">
        <f>NPV('Cost Assumptions'!$B$3,D65:AE65)</f>
        <v>778367.41853311867</v>
      </c>
      <c r="D65" s="5">
        <f>'Baseline System Analysis'!D24-D34</f>
        <v>2386.5696567331283</v>
      </c>
      <c r="E65" s="5">
        <f>'Baseline System Analysis'!E24-E34</f>
        <v>-38.884891882630654</v>
      </c>
      <c r="F65" s="5">
        <f>'Baseline System Analysis'!F24-F34</f>
        <v>2102.6618685149133</v>
      </c>
      <c r="G65" s="5">
        <f>'Baseline System Analysis'!G24-G34</f>
        <v>4244.20862891246</v>
      </c>
      <c r="H65" s="5">
        <f>'Baseline System Analysis'!H24-H34</f>
        <v>6385.7553893100048</v>
      </c>
      <c r="I65" s="5">
        <f>'Baseline System Analysis'!I24-I34</f>
        <v>8527.3021497075497</v>
      </c>
      <c r="J65" s="5">
        <f>'Baseline System Analysis'!J24-J34</f>
        <v>10668.848910105095</v>
      </c>
      <c r="K65" s="5">
        <f>'Baseline System Analysis'!K24-K34</f>
        <v>12810.395670502636</v>
      </c>
      <c r="L65" s="5">
        <f>'Baseline System Analysis'!L24-L34</f>
        <v>9919.0070509794896</v>
      </c>
      <c r="M65" s="5">
        <f>'Baseline System Analysis'!M24-M34</f>
        <v>7027.6184314563288</v>
      </c>
      <c r="N65" s="5">
        <f>'Baseline System Analysis'!N24-N34</f>
        <v>4136.2298119331826</v>
      </c>
      <c r="O65" s="5">
        <f>'Baseline System Analysis'!O24-O34</f>
        <v>67556.2786767816</v>
      </c>
      <c r="P65" s="5">
        <f>'Baseline System Analysis'!P24-P34</f>
        <v>94790.76790589164</v>
      </c>
      <c r="Q65" s="5">
        <f>'Baseline System Analysis'!Q24-Q34</f>
        <v>122025.25713500177</v>
      </c>
      <c r="R65" s="5">
        <f>'Baseline System Analysis'!R24-R34</f>
        <v>149259.74636411178</v>
      </c>
      <c r="S65" s="5">
        <f>'Baseline System Analysis'!S24-S34</f>
        <v>176494.23559322173</v>
      </c>
      <c r="T65" s="5">
        <f>'Baseline System Analysis'!T24-T34</f>
        <v>203728.72482233169</v>
      </c>
      <c r="U65" s="5">
        <f>'Baseline System Analysis'!U24-U34</f>
        <v>230963.21405144199</v>
      </c>
      <c r="V65" s="5">
        <f>'Baseline System Analysis'!V24-V34</f>
        <v>267041.72754574381</v>
      </c>
      <c r="W65" s="5">
        <f>'Baseline System Analysis'!W24-W34</f>
        <v>303120.2410400454</v>
      </c>
      <c r="X65" s="5">
        <f>'Baseline System Analysis'!X24-X34</f>
        <v>339198.75453434698</v>
      </c>
      <c r="Y65" s="5">
        <f>'Baseline System Analysis'!Y24-Y34</f>
        <v>375277.26802864857</v>
      </c>
      <c r="Z65" s="5">
        <f>'Baseline System Analysis'!Z24-Z34</f>
        <v>411355.78152295109</v>
      </c>
      <c r="AA65" s="5">
        <f>'Baseline System Analysis'!AA24-AA34</f>
        <v>499874.07872157451</v>
      </c>
      <c r="AB65" s="5">
        <f>'Baseline System Analysis'!AB24-AB34</f>
        <v>588392.37592019793</v>
      </c>
      <c r="AC65" s="5">
        <f>'Baseline System Analysis'!AC24-AC34</f>
        <v>676910.67311882135</v>
      </c>
      <c r="AD65" s="5">
        <f>'Baseline System Analysis'!AD24-AD34</f>
        <v>765428.97031744476</v>
      </c>
      <c r="AE65" s="5">
        <f>'Baseline System Analysis'!AE24-AE34</f>
        <v>853947.26751606911</v>
      </c>
    </row>
    <row r="66" spans="1:31" s="87" customFormat="1" x14ac:dyDescent="0.35">
      <c r="A66" s="87" t="s">
        <v>119</v>
      </c>
      <c r="B66" s="87" t="s">
        <v>31</v>
      </c>
      <c r="C66" s="17">
        <f>NPV('Cost Assumptions'!$B$3,D66:AE66)</f>
        <v>3229824.5729149524</v>
      </c>
      <c r="D66" s="5">
        <f>'Baseline System Analysis'!D25-D35</f>
        <v>9903.0369704020231</v>
      </c>
      <c r="E66" s="5">
        <f>'Baseline System Analysis'!E25-E35</f>
        <v>-161.35230782699</v>
      </c>
      <c r="F66" s="5">
        <f>'Baseline System Analysis'!F25-F35</f>
        <v>8724.9656264637015</v>
      </c>
      <c r="G66" s="5">
        <f>'Baseline System Analysis'!G25-G35</f>
        <v>17611.283560754397</v>
      </c>
      <c r="H66" s="5">
        <f>'Baseline System Analysis'!H25-H35</f>
        <v>26497.601495045077</v>
      </c>
      <c r="I66" s="5">
        <f>'Baseline System Analysis'!I25-I35</f>
        <v>35383.919429335772</v>
      </c>
      <c r="J66" s="5">
        <f>'Baseline System Analysis'!J25-J35</f>
        <v>44270.237363626453</v>
      </c>
      <c r="K66" s="5">
        <f>'Baseline System Analysis'!K25-K35</f>
        <v>53156.555297917133</v>
      </c>
      <c r="L66" s="5">
        <f>'Baseline System Analysis'!L25-L35</f>
        <v>41158.779195235576</v>
      </c>
      <c r="M66" s="5">
        <f>'Baseline System Analysis'!M25-M35</f>
        <v>29161.003092554049</v>
      </c>
      <c r="N66" s="5">
        <f>'Baseline System Analysis'!N25-N35</f>
        <v>17163.226989872521</v>
      </c>
      <c r="O66" s="5">
        <f>'Baseline System Analysis'!O25-O35</f>
        <v>280323.82102550159</v>
      </c>
      <c r="P66" s="5">
        <f>'Baseline System Analysis'!P25-P35</f>
        <v>393332.94814022328</v>
      </c>
      <c r="Q66" s="5">
        <f>'Baseline System Analysis'!Q25-Q35</f>
        <v>506342.07525494485</v>
      </c>
      <c r="R66" s="5">
        <f>'Baseline System Analysis'!R25-R35</f>
        <v>619351.20236966666</v>
      </c>
      <c r="S66" s="5">
        <f>'Baseline System Analysis'!S25-S35</f>
        <v>732360.3294843887</v>
      </c>
      <c r="T66" s="5">
        <f>'Baseline System Analysis'!T25-T35</f>
        <v>845369.45659911074</v>
      </c>
      <c r="U66" s="5">
        <f>'Baseline System Analysis'!U25-U35</f>
        <v>958378.58371383185</v>
      </c>
      <c r="V66" s="5">
        <f>'Baseline System Analysis'!V25-V35</f>
        <v>1108085.864187805</v>
      </c>
      <c r="W66" s="5">
        <f>'Baseline System Analysis'!W25-W35</f>
        <v>1257793.1446617767</v>
      </c>
      <c r="X66" s="5">
        <f>'Baseline System Analysis'!X25-X35</f>
        <v>1407500.4251357485</v>
      </c>
      <c r="Y66" s="5">
        <f>'Baseline System Analysis'!Y25-Y35</f>
        <v>1557207.7056097202</v>
      </c>
      <c r="Z66" s="5">
        <f>'Baseline System Analysis'!Z25-Z35</f>
        <v>1706914.9860836938</v>
      </c>
      <c r="AA66" s="5">
        <f>'Baseline System Analysis'!AA25-AA35</f>
        <v>2074220.4059116449</v>
      </c>
      <c r="AB66" s="5">
        <f>'Baseline System Analysis'!AB25-AB35</f>
        <v>2441525.825739596</v>
      </c>
      <c r="AC66" s="5">
        <f>'Baseline System Analysis'!AC25-AC35</f>
        <v>2808831.245567549</v>
      </c>
      <c r="AD66" s="5">
        <f>'Baseline System Analysis'!AD25-AD35</f>
        <v>3176136.6653954983</v>
      </c>
      <c r="AE66" s="5">
        <f>'Baseline System Analysis'!AE25-AE35</f>
        <v>3543442.0852234475</v>
      </c>
    </row>
    <row r="67" spans="1:31" s="87" customFormat="1" x14ac:dyDescent="0.35">
      <c r="A67" s="87" t="s">
        <v>24</v>
      </c>
      <c r="B67" s="87" t="s">
        <v>31</v>
      </c>
      <c r="C67" s="17">
        <f>NPV('Cost Assumptions'!$B$3,D67:AE67)</f>
        <v>4008191.9914480709</v>
      </c>
      <c r="D67" s="5">
        <f>SUM(D65:D66)</f>
        <v>12289.606627135152</v>
      </c>
      <c r="E67" s="5">
        <f>SUM(E65:E66)</f>
        <v>-200.23719970962065</v>
      </c>
      <c r="F67" s="5">
        <f t="shared" ref="F67:AE67" si="37">SUM(F65:F66)</f>
        <v>10827.627494978615</v>
      </c>
      <c r="G67" s="5">
        <f t="shared" si="37"/>
        <v>21855.492189666857</v>
      </c>
      <c r="H67" s="5">
        <f t="shared" si="37"/>
        <v>32883.356884355082</v>
      </c>
      <c r="I67" s="5">
        <f t="shared" si="37"/>
        <v>43911.221579043326</v>
      </c>
      <c r="J67" s="5">
        <f t="shared" si="37"/>
        <v>54939.086273731547</v>
      </c>
      <c r="K67" s="5">
        <f t="shared" si="37"/>
        <v>65966.950968419769</v>
      </c>
      <c r="L67" s="5">
        <f t="shared" si="37"/>
        <v>51077.786246215066</v>
      </c>
      <c r="M67" s="5">
        <f t="shared" si="37"/>
        <v>36188.621524010377</v>
      </c>
      <c r="N67" s="5">
        <f t="shared" si="37"/>
        <v>21299.456801805703</v>
      </c>
      <c r="O67" s="5">
        <f t="shared" si="37"/>
        <v>347880.09970228316</v>
      </c>
      <c r="P67" s="5">
        <f t="shared" si="37"/>
        <v>488123.71604611492</v>
      </c>
      <c r="Q67" s="5">
        <f t="shared" si="37"/>
        <v>628367.33238994656</v>
      </c>
      <c r="R67" s="5">
        <f t="shared" si="37"/>
        <v>768610.94873377844</v>
      </c>
      <c r="S67" s="5">
        <f t="shared" si="37"/>
        <v>908854.56507761043</v>
      </c>
      <c r="T67" s="5">
        <f t="shared" si="37"/>
        <v>1049098.1814214424</v>
      </c>
      <c r="U67" s="5">
        <f t="shared" si="37"/>
        <v>1189341.7977652738</v>
      </c>
      <c r="V67" s="5">
        <f t="shared" si="37"/>
        <v>1375127.5917335488</v>
      </c>
      <c r="W67" s="5">
        <f t="shared" si="37"/>
        <v>1560913.3857018221</v>
      </c>
      <c r="X67" s="5">
        <f t="shared" si="37"/>
        <v>1746699.1796700954</v>
      </c>
      <c r="Y67" s="5">
        <f t="shared" si="37"/>
        <v>1932484.9736383688</v>
      </c>
      <c r="Z67" s="5">
        <f t="shared" si="37"/>
        <v>2118270.7676066449</v>
      </c>
      <c r="AA67" s="5">
        <f t="shared" si="37"/>
        <v>2574094.4846332194</v>
      </c>
      <c r="AB67" s="5">
        <f t="shared" si="37"/>
        <v>3029918.201659794</v>
      </c>
      <c r="AC67" s="5">
        <f t="shared" si="37"/>
        <v>3485741.9186863704</v>
      </c>
      <c r="AD67" s="5">
        <f t="shared" si="37"/>
        <v>3941565.635712943</v>
      </c>
      <c r="AE67" s="5">
        <f t="shared" si="37"/>
        <v>4397389.3527395166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s="87" customFormat="1" x14ac:dyDescent="0.35">
      <c r="A69" s="87" t="s">
        <v>120</v>
      </c>
      <c r="B69" s="87" t="s">
        <v>31</v>
      </c>
      <c r="C69" s="17">
        <f>NPV('Cost Assumptions'!$B$3,D69:AE69)</f>
        <v>82301301.797523588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2541174.1775721209</v>
      </c>
      <c r="J69" s="5">
        <f>'Baseline System Analysis'!J28-J32</f>
        <v>3213547.5068948222</v>
      </c>
      <c r="K69" s="5">
        <f>'Baseline System Analysis'!K28-K32</f>
        <v>3761397.8320496073</v>
      </c>
      <c r="L69" s="5">
        <f>'Baseline System Analysis'!L28-L32</f>
        <v>4511692.2864065412</v>
      </c>
      <c r="M69" s="5">
        <f>'Baseline System Analysis'!M28-M32</f>
        <v>6091354.100081468</v>
      </c>
      <c r="N69" s="5">
        <f>'Baseline System Analysis'!N28-N32</f>
        <v>7698381.6245871168</v>
      </c>
      <c r="O69" s="5">
        <f>'Baseline System Analysis'!O28-O32</f>
        <v>9815681.2173182946</v>
      </c>
      <c r="P69" s="5">
        <f>'Baseline System Analysis'!P28-P32</f>
        <v>12144834.551973183</v>
      </c>
      <c r="Q69" s="5">
        <f>'Baseline System Analysis'!Q28-Q32</f>
        <v>13742410.024061974</v>
      </c>
      <c r="R69" s="5">
        <f>'Baseline System Analysis'!R28-R32</f>
        <v>15838069.389669526</v>
      </c>
      <c r="S69" s="5">
        <f>'Baseline System Analysis'!S28-S32</f>
        <v>18018447.421560347</v>
      </c>
      <c r="T69" s="5">
        <f>'Baseline System Analysis'!T28-T32</f>
        <v>20495702.059216477</v>
      </c>
      <c r="U69" s="5">
        <f>'Baseline System Analysis'!U28-U32</f>
        <v>22817935.701514609</v>
      </c>
      <c r="V69" s="5">
        <f>'Baseline System Analysis'!V28-V32</f>
        <v>25150198.26940272</v>
      </c>
      <c r="W69" s="5">
        <f>'Baseline System Analysis'!W28-W32</f>
        <v>28192048.620907232</v>
      </c>
      <c r="X69" s="5">
        <f>'Baseline System Analysis'!X28-X32</f>
        <v>30046176.715568334</v>
      </c>
      <c r="Y69" s="5">
        <f>'Baseline System Analysis'!Y28-Y32</f>
        <v>33926010.340015322</v>
      </c>
      <c r="Z69" s="5">
        <f>'Baseline System Analysis'!Z28-Z32</f>
        <v>36254060.999146976</v>
      </c>
      <c r="AA69" s="5">
        <f>'Baseline System Analysis'!AA28-AA32</f>
        <v>39069945.191790789</v>
      </c>
      <c r="AB69" s="5">
        <f>'Baseline System Analysis'!AB28-AB32</f>
        <v>42654252.26280649</v>
      </c>
      <c r="AC69" s="5">
        <f>'Baseline System Analysis'!AC28-AC32</f>
        <v>46560504.215528928</v>
      </c>
      <c r="AD69" s="5">
        <f>'Baseline System Analysis'!AD28-AD32</f>
        <v>48074164.467345133</v>
      </c>
      <c r="AE69" s="5">
        <f>'Baseline System Analysis'!AE28-AE32</f>
        <v>52975546.451847814</v>
      </c>
    </row>
    <row r="70" spans="1:31" s="87" customFormat="1" x14ac:dyDescent="0.35">
      <c r="A70" s="87" t="s">
        <v>121</v>
      </c>
      <c r="B70" s="87" t="s">
        <v>31</v>
      </c>
      <c r="C70" s="17">
        <f>NPV('Cost Assumptions'!$B$3,D70:AE70)</f>
        <v>347913427.03670508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11060494.26526569</v>
      </c>
      <c r="J70" s="5">
        <f>'Baseline System Analysis'!J29-J33</f>
        <v>13984551.358299341</v>
      </c>
      <c r="K70" s="5">
        <f>'Baseline System Analysis'!K29-K33</f>
        <v>15503729.423076656</v>
      </c>
      <c r="L70" s="5">
        <f>'Baseline System Analysis'!L29-L33</f>
        <v>18464776.770107992</v>
      </c>
      <c r="M70" s="5">
        <f>'Baseline System Analysis'!M29-M33</f>
        <v>25870861.678861126</v>
      </c>
      <c r="N70" s="5">
        <f>'Baseline System Analysis'!N29-N33</f>
        <v>32977127.883078828</v>
      </c>
      <c r="O70" s="5">
        <f>'Baseline System Analysis'!O29-O33</f>
        <v>43475684.500265926</v>
      </c>
      <c r="P70" s="5">
        <f>'Baseline System Analysis'!P29-P33</f>
        <v>54537332.886578068</v>
      </c>
      <c r="Q70" s="5">
        <f>'Baseline System Analysis'!Q29-Q33</f>
        <v>59548583.280480675</v>
      </c>
      <c r="R70" s="5">
        <f>'Baseline System Analysis'!R29-R33</f>
        <v>68187320.51855889</v>
      </c>
      <c r="S70" s="5">
        <f>'Baseline System Analysis'!S29-S33</f>
        <v>78041429.966160372</v>
      </c>
      <c r="T70" s="5">
        <f>'Baseline System Analysis'!T29-T33</f>
        <v>88090022.977617845</v>
      </c>
      <c r="U70" s="5">
        <f>'Baseline System Analysis'!U29-U33</f>
        <v>96912100.819351256</v>
      </c>
      <c r="V70" s="5">
        <f>'Baseline System Analysis'!V29-V33</f>
        <v>105686877.5704999</v>
      </c>
      <c r="W70" s="5">
        <f>'Baseline System Analysis'!W29-W33</f>
        <v>117517176.13374202</v>
      </c>
      <c r="X70" s="5">
        <f>'Baseline System Analysis'!X29-X33</f>
        <v>120731796.84139679</v>
      </c>
      <c r="Y70" s="5">
        <f>'Baseline System Analysis'!Y29-Y33</f>
        <v>141848513.66362047</v>
      </c>
      <c r="Z70" s="5">
        <f>'Baseline System Analysis'!Z29-Z33</f>
        <v>148836620.37883544</v>
      </c>
      <c r="AA70" s="5">
        <f>'Baseline System Analysis'!AA29-AA33</f>
        <v>159578074.54402599</v>
      </c>
      <c r="AB70" s="5">
        <f>'Baseline System Analysis'!AB29-AB33</f>
        <v>173218218.83232996</v>
      </c>
      <c r="AC70" s="5">
        <f>'Baseline System Analysis'!AC29-AC33</f>
        <v>189800369.42489463</v>
      </c>
      <c r="AD70" s="5">
        <f>'Baseline System Analysis'!AD29-AD33</f>
        <v>190060866.57789019</v>
      </c>
      <c r="AE70" s="5">
        <f>'Baseline System Analysis'!AE29-AE33</f>
        <v>203166197.31798777</v>
      </c>
    </row>
    <row r="71" spans="1:31" s="87" customFormat="1" x14ac:dyDescent="0.35">
      <c r="A71" s="87" t="s">
        <v>24</v>
      </c>
      <c r="B71" s="87" t="s">
        <v>31</v>
      </c>
      <c r="C71" s="17">
        <f>NPV('Cost Assumptions'!$B$3,D71:AE71)</f>
        <v>430214728.83422869</v>
      </c>
      <c r="D71" s="5">
        <f>SUM(D69:D70)</f>
        <v>1938540.0424908805</v>
      </c>
      <c r="E71" s="5">
        <f>SUM(E69:E70)</f>
        <v>5093845.8447473096</v>
      </c>
      <c r="F71" s="5">
        <f t="shared" ref="F71:AE71" si="38">SUM(F69:F70)</f>
        <v>7741142.53278674</v>
      </c>
      <c r="G71" s="5">
        <f t="shared" si="38"/>
        <v>10801761.726361772</v>
      </c>
      <c r="H71" s="5">
        <f t="shared" si="38"/>
        <v>12982259.988815472</v>
      </c>
      <c r="I71" s="5">
        <f t="shared" si="38"/>
        <v>13601668.442837812</v>
      </c>
      <c r="J71" s="5">
        <f t="shared" si="38"/>
        <v>17198098.865194164</v>
      </c>
      <c r="K71" s="5">
        <f t="shared" si="38"/>
        <v>19265127.255126264</v>
      </c>
      <c r="L71" s="5">
        <f t="shared" si="38"/>
        <v>22976469.056514531</v>
      </c>
      <c r="M71" s="5">
        <f t="shared" si="38"/>
        <v>31962215.778942592</v>
      </c>
      <c r="N71" s="5">
        <f t="shared" si="38"/>
        <v>40675509.507665947</v>
      </c>
      <c r="O71" s="5">
        <f t="shared" si="38"/>
        <v>53291365.717584223</v>
      </c>
      <c r="P71" s="5">
        <f t="shared" si="38"/>
        <v>66682167.438551247</v>
      </c>
      <c r="Q71" s="5">
        <f t="shared" si="38"/>
        <v>73290993.304542646</v>
      </c>
      <c r="R71" s="5">
        <f t="shared" si="38"/>
        <v>84025389.908228412</v>
      </c>
      <c r="S71" s="5">
        <f t="shared" si="38"/>
        <v>96059877.387720719</v>
      </c>
      <c r="T71" s="5">
        <f t="shared" si="38"/>
        <v>108585725.03683433</v>
      </c>
      <c r="U71" s="5">
        <f t="shared" si="38"/>
        <v>119730036.52086586</v>
      </c>
      <c r="V71" s="5">
        <f t="shared" si="38"/>
        <v>130837075.83990261</v>
      </c>
      <c r="W71" s="5">
        <f t="shared" si="38"/>
        <v>145709224.75464925</v>
      </c>
      <c r="X71" s="5">
        <f t="shared" si="38"/>
        <v>150777973.55696511</v>
      </c>
      <c r="Y71" s="5">
        <f t="shared" si="38"/>
        <v>175774524.00363579</v>
      </c>
      <c r="Z71" s="5">
        <f t="shared" si="38"/>
        <v>185090681.37798241</v>
      </c>
      <c r="AA71" s="5">
        <f t="shared" si="38"/>
        <v>198648019.73581678</v>
      </c>
      <c r="AB71" s="5">
        <f t="shared" si="38"/>
        <v>215872471.09513646</v>
      </c>
      <c r="AC71" s="5">
        <f t="shared" si="38"/>
        <v>236360873.64042357</v>
      </c>
      <c r="AD71" s="5">
        <f t="shared" si="38"/>
        <v>238135031.04523534</v>
      </c>
      <c r="AE71" s="5">
        <f t="shared" si="38"/>
        <v>256141743.76983559</v>
      </c>
    </row>
    <row r="73" spans="1:31" s="87" customFormat="1" x14ac:dyDescent="0.35">
      <c r="A73" s="87" t="s">
        <v>117</v>
      </c>
      <c r="B73" s="87" t="s">
        <v>144</v>
      </c>
      <c r="C73" s="17">
        <f>NPV('Cost Assumptions'!$B$3,D73:AE73)</f>
        <v>788054850.64805508</v>
      </c>
      <c r="D73" s="61">
        <f>ABS((D49*D60*1000*'Cost Assumptions'!$B$6)/'Cost Assumptions'!$B$14)</f>
        <v>11975880.030460475</v>
      </c>
      <c r="E73" s="61">
        <f>ABS((E49*E60*1000*'Cost Assumptions'!$B$6)/'Cost Assumptions'!$B$14)</f>
        <v>18606592.139992259</v>
      </c>
      <c r="F73" s="61">
        <f>ABS((F49*F60*1000*'Cost Assumptions'!$B$6)/'Cost Assumptions'!$B$14)</f>
        <v>25561354.929981597</v>
      </c>
      <c r="G73" s="61">
        <f>ABS((G49*G60*1000*'Cost Assumptions'!$B$6)/'Cost Assumptions'!$B$14)</f>
        <v>32852226.739382904</v>
      </c>
      <c r="H73" s="61">
        <f>ABS((H49*H60*1000*'Cost Assumptions'!$B$6)/'Cost Assumptions'!$B$14)</f>
        <v>40491666.292423047</v>
      </c>
      <c r="I73" s="61">
        <f>ABS((I49*I60*1000*'Cost Assumptions'!$B$6)/'Cost Assumptions'!$B$14)</f>
        <v>48492545.181403063</v>
      </c>
      <c r="J73" s="61">
        <f>ABS((J49*J60*1000*'Cost Assumptions'!$B$6)/'Cost Assumptions'!$B$14)</f>
        <v>56868160.723399319</v>
      </c>
      <c r="K73" s="61">
        <f>ABS((K49*K60*1000*'Cost Assumptions'!$B$6)/'Cost Assumptions'!$B$14)</f>
        <v>65632249.201757006</v>
      </c>
      <c r="L73" s="61">
        <f>ABS((L49*L60*1000*'Cost Assumptions'!$B$6)/'Cost Assumptions'!$B$14)</f>
        <v>74798999.503580466</v>
      </c>
      <c r="M73" s="61">
        <f>ABS((M49*M60*1000*'Cost Assumptions'!$B$6)/'Cost Assumptions'!$B$14)</f>
        <v>84383067.16474399</v>
      </c>
      <c r="N73" s="61">
        <f>ABS((N49*N60*1000*'Cost Assumptions'!$B$6)/'Cost Assumptions'!$B$14)</f>
        <v>94399588.834275931</v>
      </c>
      <c r="O73" s="61">
        <f>ABS((O49*O60*1000*'Cost Assumptions'!$B$6)/'Cost Assumptions'!$B$14)</f>
        <v>104864197.17030653</v>
      </c>
      <c r="P73" s="61">
        <f>ABS((P49*P60*1000*'Cost Assumptions'!$B$6)/'Cost Assumptions'!$B$14)</f>
        <v>115793036.18011722</v>
      </c>
      <c r="Q73" s="61">
        <f>ABS((Q49*Q60*1000*'Cost Assumptions'!$B$6)/'Cost Assumptions'!$B$14)</f>
        <v>127202777.01718701</v>
      </c>
      <c r="R73" s="61">
        <f>ABS((R49*R60*1000*'Cost Assumptions'!$B$6)/'Cost Assumptions'!$B$14)</f>
        <v>139110634.24849769</v>
      </c>
      <c r="S73" s="61">
        <f>ABS((S49*S60*1000*'Cost Assumptions'!$B$6)/'Cost Assumptions'!$B$14)</f>
        <v>151534382.60573819</v>
      </c>
      <c r="T73" s="61">
        <f>ABS((T49*T60*1000*'Cost Assumptions'!$B$6)/'Cost Assumptions'!$B$14)</f>
        <v>164492374.23443541</v>
      </c>
      <c r="U73" s="61">
        <f>ABS((U49*U60*1000*'Cost Assumptions'!$B$6)/'Cost Assumptions'!$B$14)</f>
        <v>178003556.45543885</v>
      </c>
      <c r="V73" s="61">
        <f>ABS((V49*V60*1000*'Cost Assumptions'!$B$6)/'Cost Assumptions'!$B$14)</f>
        <v>192087490.05359599</v>
      </c>
      <c r="W73" s="61">
        <f>ABS((W49*W60*1000*'Cost Assumptions'!$B$6)/'Cost Assumptions'!$B$14)</f>
        <v>206764368.10887635</v>
      </c>
      <c r="X73" s="61">
        <f>ABS((X49*X60*1000*'Cost Assumptions'!$B$6)/'Cost Assumptions'!$B$14)</f>
        <v>222055035.38563722</v>
      </c>
      <c r="Y73" s="61">
        <f>ABS((Y49*Y60*1000*'Cost Assumptions'!$B$6)/'Cost Assumptions'!$B$14)</f>
        <v>237981008.29616812</v>
      </c>
      <c r="Z73" s="61">
        <f>ABS((Z49*Z60*1000*'Cost Assumptions'!$B$6)/'Cost Assumptions'!$B$14)</f>
        <v>254564495.45510951</v>
      </c>
      <c r="AA73" s="61">
        <f>ABS((AA49*AA60*1000*'Cost Assumptions'!$B$6)/'Cost Assumptions'!$B$14)</f>
        <v>271828418.84181285</v>
      </c>
      <c r="AB73" s="61">
        <f>ABS((AB49*AB60*1000*'Cost Assumptions'!$B$6)/'Cost Assumptions'!$B$14)</f>
        <v>289796435.58819187</v>
      </c>
      <c r="AC73" s="61">
        <f>ABS((AC49*AC60*1000*'Cost Assumptions'!$B$6)/'Cost Assumptions'!$B$14)</f>
        <v>308492960.41011375</v>
      </c>
      <c r="AD73" s="61">
        <f>ABS((AD49*AD60*1000*'Cost Assumptions'!$B$6)/'Cost Assumptions'!$B$14)</f>
        <v>327943188.70088923</v>
      </c>
      <c r="AE73" s="61">
        <f>ABS((AE49*AE60*1000*'Cost Assumptions'!$B$6)/'Cost Assumptions'!$B$14)</f>
        <v>348173120.30594689</v>
      </c>
    </row>
    <row r="74" spans="1:31" s="87" customFormat="1" x14ac:dyDescent="0.35">
      <c r="A74" s="87" t="s">
        <v>119</v>
      </c>
      <c r="B74" s="87" t="s">
        <v>144</v>
      </c>
      <c r="C74" s="17">
        <f>NPV('Cost Assumptions'!$B$3,D74:AE74)</f>
        <v>3246496385.923192</v>
      </c>
      <c r="D74" s="61">
        <f>ABS((D49*D62*1000*'Cost Assumptions'!$B$7)/'Cost Assumptions'!$B$14)</f>
        <v>49336224.762993433</v>
      </c>
      <c r="E74" s="61">
        <f>ABS((E49*E62*1000*'Cost Assumptions'!$B$7)/'Cost Assumptions'!$B$14)</f>
        <v>76652321.96357502</v>
      </c>
      <c r="F74" s="61">
        <f>ABS((F49*F62*1000*'Cost Assumptions'!$B$7)/'Cost Assumptions'!$B$14)</f>
        <v>105303388.88370883</v>
      </c>
      <c r="G74" s="61">
        <f>ABS((G49*G62*1000*'Cost Assumptions'!$B$7)/'Cost Assumptions'!$B$14)</f>
        <v>135339101.44862208</v>
      </c>
      <c r="H74" s="61">
        <f>ABS((H49*H62*1000*'Cost Assumptions'!$B$7)/'Cost Assumptions'!$B$14)</f>
        <v>166810785.0237287</v>
      </c>
      <c r="I74" s="61">
        <f>ABS((I49*I62*1000*'Cost Assumptions'!$B$7)/'Cost Assumptions'!$B$14)</f>
        <v>199771465.83918521</v>
      </c>
      <c r="J74" s="61">
        <f>ABS((J49*J62*1000*'Cost Assumptions'!$B$7)/'Cost Assumptions'!$B$14)</f>
        <v>234275923.95477477</v>
      </c>
      <c r="K74" s="61">
        <f>ABS((K49*K62*1000*'Cost Assumptions'!$B$7)/'Cost Assumptions'!$B$14)</f>
        <v>270380747.80999422</v>
      </c>
      <c r="L74" s="61">
        <f>ABS((L49*L62*1000*'Cost Assumptions'!$B$7)/'Cost Assumptions'!$B$14)</f>
        <v>308144390.40550292</v>
      </c>
      <c r="M74" s="61">
        <f>ABS((M49*M62*1000*'Cost Assumptions'!$B$7)/'Cost Assumptions'!$B$14)</f>
        <v>347627227.16340584</v>
      </c>
      <c r="N74" s="61">
        <f>ABS((N49*N62*1000*'Cost Assumptions'!$B$7)/'Cost Assumptions'!$B$14)</f>
        <v>388891615.51520038</v>
      </c>
      <c r="O74" s="61">
        <f>ABS((O49*O62*1000*'Cost Assumptions'!$B$7)/'Cost Assumptions'!$B$14)</f>
        <v>432001956.26760757</v>
      </c>
      <c r="P74" s="61">
        <f>ABS((P49*P62*1000*'Cost Assumptions'!$B$7)/'Cost Assumptions'!$B$14)</f>
        <v>477024756.79793823</v>
      </c>
      <c r="Q74" s="61">
        <f>ABS((Q49*Q62*1000*'Cost Assumptions'!$B$7)/'Cost Assumptions'!$B$14)</f>
        <v>524028696.13211799</v>
      </c>
      <c r="R74" s="61">
        <f>ABS((R49*R62*1000*'Cost Assumptions'!$B$7)/'Cost Assumptions'!$B$14)</f>
        <v>573084691.96000803</v>
      </c>
      <c r="S74" s="61">
        <f>ABS((S49*S62*1000*'Cost Assumptions'!$B$7)/'Cost Assumptions'!$B$14)</f>
        <v>624265969.6442101</v>
      </c>
      <c r="T74" s="61">
        <f>ABS((T49*T62*1000*'Cost Assumptions'!$B$7)/'Cost Assumptions'!$B$14)</f>
        <v>677648133.28014719</v>
      </c>
      <c r="U74" s="61">
        <f>ABS((U49*U62*1000*'Cost Assumptions'!$B$7)/'Cost Assumptions'!$B$14)</f>
        <v>733309238.86685359</v>
      </c>
      <c r="V74" s="61">
        <f>ABS((V49*V62*1000*'Cost Assumptions'!$B$7)/'Cost Assumptions'!$B$14)</f>
        <v>791329869.64959514</v>
      </c>
      <c r="W74" s="61">
        <f>ABS((W49*W62*1000*'Cost Assumptions'!$B$7)/'Cost Assumptions'!$B$14)</f>
        <v>851793213.69718218</v>
      </c>
      <c r="X74" s="61">
        <f>ABS((X49*X62*1000*'Cost Assumptions'!$B$7)/'Cost Assumptions'!$B$14)</f>
        <v>914785143.7786175</v>
      </c>
      <c r="Y74" s="61">
        <f>ABS((Y49*Y62*1000*'Cost Assumptions'!$B$7)/'Cost Assumptions'!$B$14)</f>
        <v>980394299.60556376</v>
      </c>
      <c r="Z74" s="61">
        <f>ABS((Z49*Z62*1000*'Cost Assumptions'!$B$7)/'Cost Assumptions'!$B$14)</f>
        <v>1048712172.5089958</v>
      </c>
      <c r="AA74" s="61">
        <f>ABS((AA49*AA62*1000*'Cost Assumptions'!$B$7)/'Cost Assumptions'!$B$14)</f>
        <v>1119833192.6203456</v>
      </c>
      <c r="AB74" s="61">
        <f>ABS((AB49*AB62*1000*'Cost Assumptions'!$B$7)/'Cost Assumptions'!$B$14)</f>
        <v>1193854818.6294451</v>
      </c>
      <c r="AC74" s="61">
        <f>ABS((AC49*AC62*1000*'Cost Assumptions'!$B$7)/'Cost Assumptions'!$B$14)</f>
        <v>1270877630.1936116</v>
      </c>
      <c r="AD74" s="61">
        <f>ABS((AD49*AD62*1000*'Cost Assumptions'!$B$7)/'Cost Assumptions'!$B$14)</f>
        <v>1351005423.0743434</v>
      </c>
      <c r="AE74" s="61">
        <f>ABS((AE49*AE62*1000*'Cost Assumptions'!$B$7)/'Cost Assumptions'!$B$14)</f>
        <v>1434345307.08024</v>
      </c>
    </row>
    <row r="75" spans="1:31" s="87" customFormat="1" x14ac:dyDescent="0.35">
      <c r="A75" s="87" t="s">
        <v>24</v>
      </c>
      <c r="B75" s="87" t="s">
        <v>144</v>
      </c>
      <c r="C75" s="17">
        <f>NPV('Cost Assumptions'!$B$3,D75:AE75)</f>
        <v>4034551236.5712466</v>
      </c>
      <c r="D75" s="61">
        <f>SUM(D73:D74)</f>
        <v>61312104.793453909</v>
      </c>
      <c r="E75" s="61">
        <f>SUM(E73:E74)</f>
        <v>95258914.103567272</v>
      </c>
      <c r="F75" s="61">
        <f t="shared" ref="F75:AE75" si="39">SUM(F73:F74)</f>
        <v>130864743.81369042</v>
      </c>
      <c r="G75" s="61">
        <f t="shared" si="39"/>
        <v>168191328.18800497</v>
      </c>
      <c r="H75" s="61">
        <f t="shared" si="39"/>
        <v>207302451.31615174</v>
      </c>
      <c r="I75" s="61">
        <f t="shared" si="39"/>
        <v>248264011.02058828</v>
      </c>
      <c r="J75" s="61">
        <f t="shared" si="39"/>
        <v>291144084.67817408</v>
      </c>
      <c r="K75" s="61">
        <f t="shared" si="39"/>
        <v>336012997.01175123</v>
      </c>
      <c r="L75" s="61">
        <f t="shared" si="39"/>
        <v>382943389.90908337</v>
      </c>
      <c r="M75" s="61">
        <f t="shared" si="39"/>
        <v>432010294.3281498</v>
      </c>
      <c r="N75" s="61">
        <f t="shared" si="39"/>
        <v>483291204.34947634</v>
      </c>
      <c r="O75" s="61">
        <f t="shared" si="39"/>
        <v>536866153.43791413</v>
      </c>
      <c r="P75" s="61">
        <f t="shared" si="39"/>
        <v>592817792.97805548</v>
      </c>
      <c r="Q75" s="61">
        <f t="shared" si="39"/>
        <v>651231473.14930499</v>
      </c>
      <c r="R75" s="61">
        <f t="shared" si="39"/>
        <v>712195326.20850575</v>
      </c>
      <c r="S75" s="61">
        <f t="shared" si="39"/>
        <v>775800352.24994826</v>
      </c>
      <c r="T75" s="61">
        <f t="shared" si="39"/>
        <v>842140507.51458263</v>
      </c>
      <c r="U75" s="61">
        <f t="shared" si="39"/>
        <v>911312795.32229245</v>
      </c>
      <c r="V75" s="61">
        <f t="shared" si="39"/>
        <v>983417359.70319116</v>
      </c>
      <c r="W75" s="61">
        <f t="shared" si="39"/>
        <v>1058557581.8060585</v>
      </c>
      <c r="X75" s="61">
        <f t="shared" si="39"/>
        <v>1136840179.1642547</v>
      </c>
      <c r="Y75" s="61">
        <f t="shared" si="39"/>
        <v>1218375307.901732</v>
      </c>
      <c r="Z75" s="61">
        <f t="shared" si="39"/>
        <v>1303276667.9641054</v>
      </c>
      <c r="AA75" s="61">
        <f t="shared" si="39"/>
        <v>1391661611.4621584</v>
      </c>
      <c r="AB75" s="61">
        <f t="shared" si="39"/>
        <v>1483651254.2176371</v>
      </c>
      <c r="AC75" s="61">
        <f t="shared" si="39"/>
        <v>1579370590.6037254</v>
      </c>
      <c r="AD75" s="61">
        <f t="shared" si="39"/>
        <v>1678948611.7752328</v>
      </c>
      <c r="AE75" s="61">
        <f t="shared" si="39"/>
        <v>1782518427.3861868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s="87" customFormat="1" x14ac:dyDescent="0.35">
      <c r="A77" s="87" t="s">
        <v>117</v>
      </c>
      <c r="B77" s="87" t="s">
        <v>152</v>
      </c>
      <c r="C77" s="17">
        <f>NPV('Cost Assumptions'!$B$3,D77:AE77)</f>
        <v>21148393.044836637</v>
      </c>
      <c r="D77" s="61">
        <f>ABS(D50)*D61*1000*'Cost Assumptions'!$B$6*'Cost Assumptions'!$B$13</f>
        <v>1782193.5022492749</v>
      </c>
      <c r="E77" s="61">
        <f>ABS(E50)*E61*1000*'Cost Assumptions'!$B$6*'Cost Assumptions'!$B$13</f>
        <v>1836218.7550420112</v>
      </c>
      <c r="F77" s="61">
        <f>ABS(F50)*F61*1000*'Cost Assumptions'!$B$6*'Cost Assumptions'!$B$13</f>
        <v>1891831.3995354688</v>
      </c>
      <c r="G77" s="61">
        <f>ABS(G50)*G61*1000*'Cost Assumptions'!$B$6*'Cost Assumptions'!$B$13</f>
        <v>1945036.4892747169</v>
      </c>
      <c r="H77" s="61">
        <f>ABS(H50)*H61*1000*'Cost Assumptions'!$B$6*'Cost Assumptions'!$B$13</f>
        <v>1999771.2084263719</v>
      </c>
      <c r="I77" s="61">
        <f>ABS(I50)*I61*1000*'Cost Assumptions'!$B$6*'Cost Assumptions'!$B$13</f>
        <v>2055973.9519408983</v>
      </c>
      <c r="J77" s="61">
        <f>ABS(J50)*J61*1000*'Cost Assumptions'!$B$6*'Cost Assumptions'!$B$13</f>
        <v>2114280.8794623292</v>
      </c>
      <c r="K77" s="61">
        <f>ABS(K50)*K61*1000*'Cost Assumptions'!$B$6*'Cost Assumptions'!$B$13</f>
        <v>2174162.419496641</v>
      </c>
      <c r="L77" s="61">
        <f>ABS(L50)*L61*1000*'Cost Assumptions'!$B$6*'Cost Assumptions'!$B$13</f>
        <v>2235716.6109829866</v>
      </c>
      <c r="M77" s="61">
        <f>ABS(M50)*M61*1000*'Cost Assumptions'!$B$6*'Cost Assumptions'!$B$13</f>
        <v>2298989.6605314957</v>
      </c>
      <c r="N77" s="61">
        <f>ABS(N50)*N61*1000*'Cost Assumptions'!$B$6*'Cost Assumptions'!$B$13</f>
        <v>2364209.1500953292</v>
      </c>
      <c r="O77" s="61">
        <f>ABS(O50)*O61*1000*'Cost Assumptions'!$B$6*'Cost Assumptions'!$B$13</f>
        <v>2431252.7455995088</v>
      </c>
      <c r="P77" s="61">
        <f>ABS(P50)*P61*1000*'Cost Assumptions'!$B$6*'Cost Assumptions'!$B$13</f>
        <v>2500233.9663300249</v>
      </c>
      <c r="Q77" s="61">
        <f>ABS(Q50)*Q61*1000*'Cost Assumptions'!$B$6*'Cost Assumptions'!$B$13</f>
        <v>2571080.0620568921</v>
      </c>
      <c r="R77" s="61">
        <f>ABS(R50)*R61*1000*'Cost Assumptions'!$B$6*'Cost Assumptions'!$B$13</f>
        <v>2643640.7387370514</v>
      </c>
      <c r="S77" s="61">
        <f>ABS(S50)*S61*1000*'Cost Assumptions'!$B$6*'Cost Assumptions'!$B$13</f>
        <v>2718222.5242124004</v>
      </c>
      <c r="T77" s="61">
        <f>ABS(T50)*T61*1000*'Cost Assumptions'!$B$6*'Cost Assumptions'!$B$13</f>
        <v>2794950.7477892675</v>
      </c>
      <c r="U77" s="61">
        <f>ABS(U50)*U61*1000*'Cost Assumptions'!$B$6*'Cost Assumptions'!$B$13</f>
        <v>2873745.1285706586</v>
      </c>
      <c r="V77" s="61">
        <f>ABS(V50)*V61*1000*'Cost Assumptions'!$B$6*'Cost Assumptions'!$B$13</f>
        <v>2954074.0430017705</v>
      </c>
      <c r="W77" s="61">
        <f>ABS(W50)*W61*1000*'Cost Assumptions'!$B$6*'Cost Assumptions'!$B$13</f>
        <v>3036623.3124490441</v>
      </c>
      <c r="X77" s="61">
        <f>ABS(X50)*X61*1000*'Cost Assumptions'!$B$6*'Cost Assumptions'!$B$13</f>
        <v>3121453.7490918376</v>
      </c>
      <c r="Y77" s="61">
        <f>ABS(Y50)*Y61*1000*'Cost Assumptions'!$B$6*'Cost Assumptions'!$B$13</f>
        <v>3208549.044503558</v>
      </c>
      <c r="Z77" s="61">
        <f>ABS(Z50)*Z61*1000*'Cost Assumptions'!$B$6*'Cost Assumptions'!$B$13</f>
        <v>3297079.2821299192</v>
      </c>
      <c r="AA77" s="61">
        <f>ABS(AA50)*AA61*1000*'Cost Assumptions'!$B$6*'Cost Assumptions'!$B$13</f>
        <v>3387947.9270838173</v>
      </c>
      <c r="AB77" s="61">
        <f>ABS(AB50)*AB61*1000*'Cost Assumptions'!$B$6*'Cost Assumptions'!$B$13</f>
        <v>3481299.3297340497</v>
      </c>
      <c r="AC77" s="61">
        <f>ABS(AC50)*AC61*1000*'Cost Assumptions'!$B$6*'Cost Assumptions'!$B$13</f>
        <v>3577287.786259294</v>
      </c>
      <c r="AD77" s="61">
        <f>ABS(AD50)*AD61*1000*'Cost Assumptions'!$B$6*'Cost Assumptions'!$B$13</f>
        <v>3674473.8539003623</v>
      </c>
      <c r="AE77" s="61">
        <f>ABS(AE50)*AE61*1000*'Cost Assumptions'!$B$6*'Cost Assumptions'!$B$13</f>
        <v>3774283.4200570956</v>
      </c>
    </row>
    <row r="78" spans="1:31" s="87" customFormat="1" x14ac:dyDescent="0.35">
      <c r="A78" s="87" t="s">
        <v>119</v>
      </c>
      <c r="B78" s="87" t="s">
        <v>152</v>
      </c>
      <c r="C78" s="17">
        <f>NPV('Cost Assumptions'!$B$3,D78:AE78)</f>
        <v>95329595.241058052</v>
      </c>
      <c r="D78" s="61">
        <f>ABS(D50)*D63*1000*'Cost Assumptions'!$B$7*'Cost Assumptions'!$B$13</f>
        <v>8033508.0235397303</v>
      </c>
      <c r="E78" s="61">
        <f>ABS(E50)*E63*1000*'Cost Assumptions'!$B$7*'Cost Assumptions'!$B$13</f>
        <v>8277035.059878068</v>
      </c>
      <c r="F78" s="61">
        <f>ABS(F50)*F63*1000*'Cost Assumptions'!$B$7*'Cost Assumptions'!$B$13</f>
        <v>8527717.5055185687</v>
      </c>
      <c r="G78" s="61">
        <f>ABS(G50)*G63*1000*'Cost Assumptions'!$B$7*'Cost Assumptions'!$B$13</f>
        <v>8767547.5322659202</v>
      </c>
      <c r="H78" s="61">
        <f>ABS(H50)*H63*1000*'Cost Assumptions'!$B$7*'Cost Assumptions'!$B$13</f>
        <v>9014272.596023621</v>
      </c>
      <c r="I78" s="61">
        <f>ABS(I50)*I63*1000*'Cost Assumptions'!$B$7*'Cost Assumptions'!$B$13</f>
        <v>9267615.002669733</v>
      </c>
      <c r="J78" s="61">
        <f>ABS(J50)*J63*1000*'Cost Assumptions'!$B$7*'Cost Assumptions'!$B$13</f>
        <v>9530442.3384669945</v>
      </c>
      <c r="K78" s="61">
        <f>ABS(K50)*K63*1000*'Cost Assumptions'!$B$7*'Cost Assumptions'!$B$13</f>
        <v>9800367.4794353712</v>
      </c>
      <c r="L78" s="61">
        <f>ABS(L50)*L63*1000*'Cost Assumptions'!$B$7*'Cost Assumptions'!$B$13</f>
        <v>10077832.350990541</v>
      </c>
      <c r="M78" s="61">
        <f>ABS(M50)*M63*1000*'Cost Assumptions'!$B$7*'Cost Assumptions'!$B$13</f>
        <v>10363045.23644897</v>
      </c>
      <c r="N78" s="61">
        <f>ABS(N50)*N63*1000*'Cost Assumptions'!$B$7*'Cost Assumptions'!$B$13</f>
        <v>10657031.996046601</v>
      </c>
      <c r="O78" s="61">
        <f>ABS(O50)*O63*1000*'Cost Assumptions'!$B$7*'Cost Assumptions'!$B$13</f>
        <v>10959241.190351279</v>
      </c>
      <c r="P78" s="61">
        <f>ABS(P50)*P63*1000*'Cost Assumptions'!$B$7*'Cost Assumptions'!$B$13</f>
        <v>11270184.524794349</v>
      </c>
      <c r="Q78" s="61">
        <f>ABS(Q50)*Q63*1000*'Cost Assumptions'!$B$7*'Cost Assumptions'!$B$13</f>
        <v>11589534.066659443</v>
      </c>
      <c r="R78" s="61">
        <f>ABS(R50)*R63*1000*'Cost Assumptions'!$B$7*'Cost Assumptions'!$B$13</f>
        <v>11916612.342709627</v>
      </c>
      <c r="S78" s="61">
        <f>ABS(S50)*S63*1000*'Cost Assumptions'!$B$7*'Cost Assumptions'!$B$13</f>
        <v>12252801.073770512</v>
      </c>
      <c r="T78" s="61">
        <f>ABS(T50)*T63*1000*'Cost Assumptions'!$B$7*'Cost Assumptions'!$B$13</f>
        <v>12598665.200734707</v>
      </c>
      <c r="U78" s="61">
        <f>ABS(U50)*U63*1000*'Cost Assumptions'!$B$7*'Cost Assumptions'!$B$13</f>
        <v>12953842.845259983</v>
      </c>
      <c r="V78" s="61">
        <f>ABS(V50)*V63*1000*'Cost Assumptions'!$B$7*'Cost Assumptions'!$B$13</f>
        <v>13315937.63339052</v>
      </c>
      <c r="W78" s="61">
        <f>ABS(W50)*W63*1000*'Cost Assumptions'!$B$7*'Cost Assumptions'!$B$13</f>
        <v>13688041.009149132</v>
      </c>
      <c r="X78" s="61">
        <f>ABS(X50)*X63*1000*'Cost Assumptions'!$B$7*'Cost Assumptions'!$B$13</f>
        <v>14070427.09267495</v>
      </c>
      <c r="Y78" s="61">
        <f>ABS(Y50)*Y63*1000*'Cost Assumptions'!$B$7*'Cost Assumptions'!$B$13</f>
        <v>14463022.371256966</v>
      </c>
      <c r="Z78" s="61">
        <f>ABS(Z50)*Z63*1000*'Cost Assumptions'!$B$7*'Cost Assumptions'!$B$13</f>
        <v>14862085.869917272</v>
      </c>
      <c r="AA78" s="61">
        <f>ABS(AA50)*AA63*1000*'Cost Assumptions'!$B$7*'Cost Assumptions'!$B$13</f>
        <v>15271690.094937734</v>
      </c>
      <c r="AB78" s="61">
        <f>ABS(AB50)*AB63*1000*'Cost Assumptions'!$B$7*'Cost Assumptions'!$B$13</f>
        <v>15692485.727540392</v>
      </c>
      <c r="AC78" s="61">
        <f>ABS(AC50)*AC63*1000*'Cost Assumptions'!$B$7*'Cost Assumptions'!$B$13</f>
        <v>16125168.281196618</v>
      </c>
      <c r="AD78" s="61">
        <f>ABS(AD50)*AD63*1000*'Cost Assumptions'!$B$7*'Cost Assumptions'!$B$13</f>
        <v>16563249.248939699</v>
      </c>
      <c r="AE78" s="61">
        <f>ABS(AE50)*AE63*1000*'Cost Assumptions'!$B$7*'Cost Assumptions'!$B$13</f>
        <v>17013156.034894295</v>
      </c>
    </row>
    <row r="79" spans="1:31" s="87" customFormat="1" ht="29" x14ac:dyDescent="0.35">
      <c r="A79" s="3" t="s">
        <v>146</v>
      </c>
      <c r="B79" s="87" t="s">
        <v>152</v>
      </c>
      <c r="C79" s="17">
        <f>NPV('Cost Assumptions'!$B$3,D79:AE79)</f>
        <v>116477988.28589465</v>
      </c>
      <c r="D79" s="61">
        <f>SUM(D77:D78)</f>
        <v>9815701.5257890057</v>
      </c>
      <c r="E79" s="61">
        <f>SUM(E77:E78)</f>
        <v>10113253.814920079</v>
      </c>
      <c r="F79" s="61">
        <f t="shared" ref="F79:AE79" si="40">SUM(F77:F78)</f>
        <v>10419548.905054037</v>
      </c>
      <c r="G79" s="61">
        <f t="shared" si="40"/>
        <v>10712584.021540638</v>
      </c>
      <c r="H79" s="61">
        <f t="shared" si="40"/>
        <v>11014043.804449992</v>
      </c>
      <c r="I79" s="61">
        <f t="shared" si="40"/>
        <v>11323588.954610631</v>
      </c>
      <c r="J79" s="61">
        <f t="shared" si="40"/>
        <v>11644723.217929324</v>
      </c>
      <c r="K79" s="61">
        <f t="shared" si="40"/>
        <v>11974529.898932012</v>
      </c>
      <c r="L79" s="61">
        <f t="shared" si="40"/>
        <v>12313548.961973527</v>
      </c>
      <c r="M79" s="61">
        <f t="shared" si="40"/>
        <v>12662034.896980464</v>
      </c>
      <c r="N79" s="61">
        <f t="shared" si="40"/>
        <v>13021241.14614193</v>
      </c>
      <c r="O79" s="61">
        <f t="shared" si="40"/>
        <v>13390493.935950788</v>
      </c>
      <c r="P79" s="61">
        <f t="shared" si="40"/>
        <v>13770418.491124375</v>
      </c>
      <c r="Q79" s="61">
        <f t="shared" si="40"/>
        <v>14160614.128716335</v>
      </c>
      <c r="R79" s="61">
        <f t="shared" si="40"/>
        <v>14560253.081446677</v>
      </c>
      <c r="S79" s="61">
        <f t="shared" si="40"/>
        <v>14971023.597982913</v>
      </c>
      <c r="T79" s="61">
        <f t="shared" si="40"/>
        <v>15393615.948523974</v>
      </c>
      <c r="U79" s="61">
        <f t="shared" si="40"/>
        <v>15827587.973830642</v>
      </c>
      <c r="V79" s="61">
        <f t="shared" si="40"/>
        <v>16270011.676392291</v>
      </c>
      <c r="W79" s="61">
        <f t="shared" si="40"/>
        <v>16724664.321598176</v>
      </c>
      <c r="X79" s="61">
        <f t="shared" si="40"/>
        <v>17191880.84176679</v>
      </c>
      <c r="Y79" s="61">
        <f t="shared" si="40"/>
        <v>17671571.415760525</v>
      </c>
      <c r="Z79" s="61">
        <f t="shared" si="40"/>
        <v>18159165.152047191</v>
      </c>
      <c r="AA79" s="61">
        <f t="shared" si="40"/>
        <v>18659638.022021551</v>
      </c>
      <c r="AB79" s="61">
        <f t="shared" si="40"/>
        <v>19173785.057274442</v>
      </c>
      <c r="AC79" s="61">
        <f t="shared" si="40"/>
        <v>19702456.067455914</v>
      </c>
      <c r="AD79" s="61">
        <f t="shared" si="40"/>
        <v>20237723.102840062</v>
      </c>
      <c r="AE79" s="61">
        <f t="shared" si="40"/>
        <v>20787439.454951391</v>
      </c>
    </row>
    <row r="80" spans="1:3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87" customFormat="1" ht="29" x14ac:dyDescent="0.35">
      <c r="A81" s="3" t="s">
        <v>147</v>
      </c>
      <c r="B81" s="87" t="s">
        <v>148</v>
      </c>
      <c r="C81" s="17">
        <f>NPV('Cost Assumptions'!$B$3,D81:AE81)</f>
        <v>188411324.86812806</v>
      </c>
      <c r="D81" s="61">
        <f>('Baseline System Analysis'!D42-D36)</f>
        <v>10726430.63179493</v>
      </c>
      <c r="E81" s="61">
        <f>('Baseline System Analysis'!E42-E36)</f>
        <v>11942838.035867047</v>
      </c>
      <c r="F81" s="61">
        <f>('Baseline System Analysis'!F42-F36)</f>
        <v>13061902.918978035</v>
      </c>
      <c r="G81" s="61">
        <f>('Baseline System Analysis'!G42-G36)</f>
        <v>14045858.016135579</v>
      </c>
      <c r="H81" s="61">
        <f>('Baseline System Analysis'!H42-H36)</f>
        <v>15047134.089325091</v>
      </c>
      <c r="I81" s="61">
        <f>('Baseline System Analysis'!I42-I36)</f>
        <v>15966281.382656323</v>
      </c>
      <c r="J81" s="61">
        <f>('Baseline System Analysis'!J42-J36)</f>
        <v>16826769.153879203</v>
      </c>
      <c r="K81" s="61">
        <f>('Baseline System Analysis'!K42-K36)</f>
        <v>18031643.241561528</v>
      </c>
      <c r="L81" s="61">
        <f>('Baseline System Analysis'!L42-L36)</f>
        <v>19121727.879047386</v>
      </c>
      <c r="M81" s="61">
        <f>('Baseline System Analysis'!M42-M36)</f>
        <v>20269467.163509257</v>
      </c>
      <c r="N81" s="61">
        <f>('Baseline System Analysis'!N42-N36)</f>
        <v>21725569.900219537</v>
      </c>
      <c r="O81" s="61">
        <f>('Baseline System Analysis'!O42-O36)</f>
        <v>23033944.160515789</v>
      </c>
      <c r="P81" s="61">
        <f>('Baseline System Analysis'!P42-P36)</f>
        <v>24337982.48870321</v>
      </c>
      <c r="Q81" s="61">
        <f>('Baseline System Analysis'!Q42-Q36)</f>
        <v>25991759.159198496</v>
      </c>
      <c r="R81" s="61">
        <f>('Baseline System Analysis'!R42-R36)</f>
        <v>27339369.239752304</v>
      </c>
      <c r="S81" s="61">
        <f>('Baseline System Analysis'!S42-S36)</f>
        <v>28955620.01694544</v>
      </c>
      <c r="T81" s="61">
        <f>('Baseline System Analysis'!T42-T36)</f>
        <v>30482117.903568096</v>
      </c>
      <c r="U81" s="61">
        <f>('Baseline System Analysis'!U42-U36)</f>
        <v>32144536.562605541</v>
      </c>
      <c r="V81" s="61">
        <f>('Baseline System Analysis'!V42-V36)</f>
        <v>33677354.860842116</v>
      </c>
      <c r="W81" s="61">
        <f>('Baseline System Analysis'!W42-W36)</f>
        <v>35427012.914083987</v>
      </c>
      <c r="X81" s="61">
        <f>('Baseline System Analysis'!X42-X36)</f>
        <v>37044708.205519147</v>
      </c>
      <c r="Y81" s="61">
        <f>('Baseline System Analysis'!Y42-Y36)</f>
        <v>38590971.468871862</v>
      </c>
      <c r="Z81" s="61">
        <f>('Baseline System Analysis'!Z42-Z36)</f>
        <v>40462836.767243721</v>
      </c>
      <c r="AA81" s="61">
        <f>('Baseline System Analysis'!AA42-AA36)</f>
        <v>42520921.972381584</v>
      </c>
      <c r="AB81" s="61">
        <f>('Baseline System Analysis'!AB42-AB36)</f>
        <v>44609350.843967624</v>
      </c>
      <c r="AC81" s="61">
        <f>('Baseline System Analysis'!AC42-AC36)</f>
        <v>46568004.07682547</v>
      </c>
      <c r="AD81" s="61">
        <f>('Baseline System Analysis'!AD42-AD36)</f>
        <v>48217070.48505722</v>
      </c>
      <c r="AE81" s="61">
        <f>('Baseline System Analysis'!AE42-AE36)</f>
        <v>50357497.674891606</v>
      </c>
    </row>
    <row r="83" spans="1:31" ht="20" thickBot="1" x14ac:dyDescent="0.5">
      <c r="A83" s="145" t="s">
        <v>61</v>
      </c>
      <c r="B83" s="169"/>
      <c r="C83" s="17">
        <f>NPV('Cost Assumptions'!$B$3,D83:AE83)/1000000</f>
        <v>4773.6634705509477</v>
      </c>
      <c r="D83" s="61">
        <f>SUM(D67,D71,D75,D79,D81)</f>
        <v>83805066.60015586</v>
      </c>
      <c r="E83" s="61">
        <f>SUM(E67,E71,E75,E79,E81)</f>
        <v>122408651.561902</v>
      </c>
      <c r="F83" s="61">
        <f t="shared" ref="F83:AE83" si="41">SUM(F67,F71,F75,F79,F81)</f>
        <v>162098165.79800421</v>
      </c>
      <c r="G83" s="61">
        <f t="shared" si="41"/>
        <v>203773387.44423261</v>
      </c>
      <c r="H83" s="61">
        <f t="shared" si="41"/>
        <v>246378772.55562666</v>
      </c>
      <c r="I83" s="61">
        <f t="shared" si="41"/>
        <v>289199461.02227211</v>
      </c>
      <c r="J83" s="61">
        <f t="shared" si="41"/>
        <v>336868615.00145048</v>
      </c>
      <c r="K83" s="61">
        <f t="shared" si="41"/>
        <v>385350264.35833949</v>
      </c>
      <c r="L83" s="61">
        <f t="shared" si="41"/>
        <v>437406213.59286505</v>
      </c>
      <c r="M83" s="61">
        <f t="shared" si="41"/>
        <v>496940200.78910613</v>
      </c>
      <c r="N83" s="61">
        <f t="shared" si="41"/>
        <v>558734824.36030555</v>
      </c>
      <c r="O83" s="61">
        <f t="shared" si="41"/>
        <v>626929837.35166717</v>
      </c>
      <c r="P83" s="61">
        <f t="shared" si="41"/>
        <v>698096485.11248052</v>
      </c>
      <c r="Q83" s="61">
        <f t="shared" si="41"/>
        <v>765303207.07415247</v>
      </c>
      <c r="R83" s="61">
        <f t="shared" si="41"/>
        <v>838888949.38666689</v>
      </c>
      <c r="S83" s="61">
        <f t="shared" si="41"/>
        <v>916695727.81767499</v>
      </c>
      <c r="T83" s="61">
        <f t="shared" si="41"/>
        <v>997651064.58493054</v>
      </c>
      <c r="U83" s="61">
        <f t="shared" si="41"/>
        <v>1080204298.1773598</v>
      </c>
      <c r="V83" s="61">
        <f t="shared" si="41"/>
        <v>1165576929.6720619</v>
      </c>
      <c r="W83" s="61">
        <f t="shared" si="41"/>
        <v>1257979397.182092</v>
      </c>
      <c r="X83" s="61">
        <f t="shared" si="41"/>
        <v>1343601440.9481759</v>
      </c>
      <c r="Y83" s="61">
        <f t="shared" si="41"/>
        <v>1452344859.7636385</v>
      </c>
      <c r="Z83" s="61">
        <f t="shared" si="41"/>
        <v>1549107622.0289853</v>
      </c>
      <c r="AA83" s="61">
        <f t="shared" si="41"/>
        <v>1654064285.6770115</v>
      </c>
      <c r="AB83" s="61">
        <f t="shared" si="41"/>
        <v>1766336779.4156754</v>
      </c>
      <c r="AC83" s="61">
        <f t="shared" si="41"/>
        <v>1885487666.3071167</v>
      </c>
      <c r="AD83" s="61">
        <f t="shared" si="41"/>
        <v>1989480002.0440781</v>
      </c>
      <c r="AE83" s="61">
        <f t="shared" si="41"/>
        <v>2114202497.6386049</v>
      </c>
    </row>
    <row r="84" spans="1:31" ht="20.5" thickTop="1" thickBot="1" x14ac:dyDescent="0.5">
      <c r="A84" s="145" t="s">
        <v>149</v>
      </c>
      <c r="B84" s="145"/>
      <c r="C84" s="17">
        <f>NPV('Cost Assumptions'!$B$3,D84:AE84)/1000000</f>
        <v>4774.3695500389913</v>
      </c>
      <c r="D84" s="61">
        <f>D83+D43</f>
        <v>83854363.60015586</v>
      </c>
      <c r="E84" s="61">
        <f t="shared" ref="E84:AE84" si="42">E83+E43</f>
        <v>122460703.111902</v>
      </c>
      <c r="F84" s="61">
        <f t="shared" si="42"/>
        <v>162152894.71305227</v>
      </c>
      <c r="G84" s="61">
        <f t="shared" si="42"/>
        <v>203830895.06036243</v>
      </c>
      <c r="H84" s="61">
        <f t="shared" si="42"/>
        <v>246439163.60232037</v>
      </c>
      <c r="I84" s="61">
        <f t="shared" si="42"/>
        <v>289262843.72879785</v>
      </c>
      <c r="J84" s="61">
        <f t="shared" si="42"/>
        <v>336935101.20639569</v>
      </c>
      <c r="K84" s="61">
        <f t="shared" si="42"/>
        <v>385419969.62243354</v>
      </c>
      <c r="L84" s="61">
        <f t="shared" si="42"/>
        <v>437479257.31518728</v>
      </c>
      <c r="M84" s="61">
        <f t="shared" si="42"/>
        <v>497016706.32677788</v>
      </c>
      <c r="N84" s="61">
        <f t="shared" si="42"/>
        <v>558814919.15176785</v>
      </c>
      <c r="O84" s="61">
        <f t="shared" si="42"/>
        <v>627013653.04364848</v>
      </c>
      <c r="P84" s="61">
        <f t="shared" si="42"/>
        <v>698184157.69076228</v>
      </c>
      <c r="Q84" s="61">
        <f t="shared" si="42"/>
        <v>765394876.99824202</v>
      </c>
      <c r="R84" s="61">
        <f t="shared" si="42"/>
        <v>838984761.72849333</v>
      </c>
      <c r="S84" s="61">
        <f t="shared" si="42"/>
        <v>916795832.40442252</v>
      </c>
      <c r="T84" s="61">
        <f t="shared" si="42"/>
        <v>997755616.14613163</v>
      </c>
      <c r="U84" s="61">
        <f t="shared" si="42"/>
        <v>1080313456.4963703</v>
      </c>
      <c r="V84" s="61">
        <f t="shared" si="42"/>
        <v>1165690859.7420466</v>
      </c>
      <c r="W84" s="61">
        <f t="shared" si="42"/>
        <v>1258098269.3666503</v>
      </c>
      <c r="X84" s="61">
        <f t="shared" si="42"/>
        <v>1343725431.1467428</v>
      </c>
      <c r="Y84" s="61">
        <f t="shared" si="42"/>
        <v>1452474149.5817988</v>
      </c>
      <c r="Z84" s="61">
        <f t="shared" si="42"/>
        <v>1549242398.9538448</v>
      </c>
      <c r="AA84" s="61">
        <f t="shared" si="42"/>
        <v>1654204743.2577686</v>
      </c>
      <c r="AB84" s="61">
        <f t="shared" si="42"/>
        <v>1766483117.4495473</v>
      </c>
      <c r="AC84" s="61">
        <f t="shared" si="42"/>
        <v>1885640091.030771</v>
      </c>
      <c r="AD84" s="61">
        <f t="shared" si="42"/>
        <v>1989638726.3307326</v>
      </c>
      <c r="AE84" s="61">
        <f t="shared" si="42"/>
        <v>2114367741.2009573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v>290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C83/C86</f>
        <v>16.460908519141199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</sheetData>
  <mergeCells count="8">
    <mergeCell ref="A86:B86"/>
    <mergeCell ref="A88:B88"/>
    <mergeCell ref="A84:B84"/>
    <mergeCell ref="B2:B15"/>
    <mergeCell ref="B18:B31"/>
    <mergeCell ref="B40:AE40"/>
    <mergeCell ref="A58:AE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89"/>
  <sheetViews>
    <sheetView zoomScale="78" zoomScaleNormal="78" workbookViewId="0"/>
  </sheetViews>
  <sheetFormatPr defaultRowHeight="14.5" x14ac:dyDescent="0.35"/>
  <cols>
    <col min="1" max="1" width="18.26953125" customWidth="1"/>
    <col min="2" max="2" width="29.26953125" customWidth="1"/>
    <col min="3" max="3" width="14.81640625" bestFit="1" customWidth="1"/>
    <col min="4" max="4" width="15.7265625" style="87" bestFit="1" customWidth="1"/>
    <col min="5" max="5" width="15.7265625" bestFit="1" customWidth="1"/>
    <col min="6" max="7" width="14.81640625" customWidth="1"/>
    <col min="8" max="8" width="18" customWidth="1"/>
    <col min="9" max="17" width="13.54296875" bestFit="1" customWidth="1"/>
    <col min="18" max="18" width="14.7265625" bestFit="1" customWidth="1"/>
    <col min="19" max="31" width="17.5429687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15" thickTop="1" x14ac:dyDescent="0.35">
      <c r="A18" s="87"/>
      <c r="B18" s="166" t="s">
        <v>18</v>
      </c>
      <c r="C18" s="87" t="s">
        <v>107</v>
      </c>
      <c r="D18" s="61">
        <v>43573.708333334478</v>
      </c>
      <c r="E18" s="61">
        <v>44329.833333333838</v>
      </c>
      <c r="F18" s="61">
        <v>44869.193269231269</v>
      </c>
      <c r="G18" s="5">
        <v>45408.553205128701</v>
      </c>
      <c r="H18" s="5">
        <v>45947.913141026133</v>
      </c>
      <c r="I18" s="5">
        <v>46487.273076923564</v>
      </c>
      <c r="J18" s="5">
        <v>47026.633012820996</v>
      </c>
      <c r="K18" s="5">
        <v>47565.992948718427</v>
      </c>
      <c r="L18" s="5">
        <v>48105.352884615859</v>
      </c>
      <c r="M18" s="5">
        <v>48644.71282051329</v>
      </c>
      <c r="N18" s="5">
        <v>49184.072756410722</v>
      </c>
      <c r="O18" s="5">
        <v>49723.432692308153</v>
      </c>
      <c r="P18" s="5">
        <v>50262.792628205585</v>
      </c>
      <c r="Q18" s="5">
        <v>50802.152564103017</v>
      </c>
      <c r="R18" s="5">
        <v>51341.512500000448</v>
      </c>
      <c r="S18" s="5">
        <v>51880.87243589788</v>
      </c>
      <c r="T18" s="5">
        <v>52420.232371795311</v>
      </c>
      <c r="U18" s="5">
        <v>52959.592307692743</v>
      </c>
      <c r="V18" s="5">
        <v>53498.952243590174</v>
      </c>
      <c r="W18" s="5">
        <v>54038.312179487606</v>
      </c>
      <c r="X18" s="5">
        <v>54577.672115385038</v>
      </c>
      <c r="Y18" s="5">
        <v>55117.032051282469</v>
      </c>
      <c r="Z18" s="5">
        <v>55656.391987179901</v>
      </c>
      <c r="AA18" s="5">
        <v>56195.751923077332</v>
      </c>
      <c r="AB18" s="5">
        <v>56735.111858974764</v>
      </c>
      <c r="AC18" s="5">
        <v>57274.471794872195</v>
      </c>
      <c r="AD18" s="5">
        <v>57813.831730769627</v>
      </c>
      <c r="AE18" s="61">
        <v>58353.191666667146</v>
      </c>
    </row>
    <row r="19" spans="1:31" x14ac:dyDescent="0.35">
      <c r="A19" s="87" t="s">
        <v>30</v>
      </c>
      <c r="B19" s="167"/>
      <c r="C19" s="87" t="s">
        <v>31</v>
      </c>
      <c r="D19" s="61">
        <v>5</v>
      </c>
      <c r="E19" s="61">
        <f>D19+(($K19-$D19)/(COLUMN($K19)-COLUMN($D19)))</f>
        <v>9.6428571428571423</v>
      </c>
      <c r="F19" s="61">
        <f t="shared" ref="F19:J19" si="0">E19+(($K19-$D19)/(COLUMN($K19)-COLUMN($D19)))</f>
        <v>14.285714285714285</v>
      </c>
      <c r="G19" s="61">
        <f t="shared" si="0"/>
        <v>18.928571428571427</v>
      </c>
      <c r="H19" s="61">
        <f t="shared" si="0"/>
        <v>23.571428571428569</v>
      </c>
      <c r="I19" s="61">
        <f t="shared" si="0"/>
        <v>28.214285714285712</v>
      </c>
      <c r="J19" s="61">
        <f t="shared" si="0"/>
        <v>32.857142857142854</v>
      </c>
      <c r="K19" s="61">
        <v>37.5</v>
      </c>
      <c r="L19" s="61">
        <f>K19+(($P19-$K19)/(COLUMN($P19)-COLUMN($K19)))</f>
        <v>65.099999999999994</v>
      </c>
      <c r="M19" s="61">
        <f t="shared" ref="M19:O19" si="1">L19+(($P19-$K19)/(COLUMN($P19)-COLUMN($K19)))</f>
        <v>92.699999999999989</v>
      </c>
      <c r="N19" s="61">
        <f t="shared" si="1"/>
        <v>120.29999999999998</v>
      </c>
      <c r="O19" s="61">
        <f t="shared" si="1"/>
        <v>147.89999999999998</v>
      </c>
      <c r="P19" s="61">
        <v>175.5</v>
      </c>
      <c r="Q19" s="61">
        <f>P19+(($U19-$P19)/(COLUMN($U19)-COLUMN($P19)))</f>
        <v>239.76</v>
      </c>
      <c r="R19" s="61">
        <f t="shared" ref="R19:S19" si="2">Q19+(($U19-$P19)/(COLUMN($U19)-COLUMN($P19)))</f>
        <v>304.02</v>
      </c>
      <c r="S19" s="61">
        <f t="shared" si="2"/>
        <v>368.28</v>
      </c>
      <c r="T19" s="61">
        <f>S19+(($U19-$P19)/(COLUMN($U19)-COLUMN($P19)))</f>
        <v>432.53999999999996</v>
      </c>
      <c r="U19" s="61">
        <v>496.79999999999995</v>
      </c>
      <c r="V19" s="61">
        <f>U19+(($Z19-$U19)/(COLUMN($Z19)-COLUMN($U19)))</f>
        <v>633.22</v>
      </c>
      <c r="W19" s="61">
        <f t="shared" ref="W19:Y19" si="3">V19+(($Z19-$U19)/(COLUMN($Z19)-COLUMN($U19)))</f>
        <v>769.6400000000001</v>
      </c>
      <c r="X19" s="61">
        <f t="shared" si="3"/>
        <v>906.06000000000017</v>
      </c>
      <c r="Y19" s="61">
        <f t="shared" si="3"/>
        <v>1042.4800000000002</v>
      </c>
      <c r="Z19" s="61">
        <v>1178.9000000000001</v>
      </c>
      <c r="AA19" s="61">
        <f>Z19+(($AE19-$Z19)/(COLUMN($AE19)-COLUMN($Z19)))</f>
        <v>1398.18</v>
      </c>
      <c r="AB19" s="61">
        <f t="shared" ref="AB19:AD19" si="4">AA19+(($AE19-$Z19)/(COLUMN($AE19)-COLUMN($Z19)))</f>
        <v>1617.46</v>
      </c>
      <c r="AC19" s="61">
        <f t="shared" si="4"/>
        <v>1836.74</v>
      </c>
      <c r="AD19" s="61">
        <f t="shared" si="4"/>
        <v>2056.02</v>
      </c>
      <c r="AE19" s="61">
        <v>2275.2999999999997</v>
      </c>
    </row>
    <row r="20" spans="1:31" x14ac:dyDescent="0.35">
      <c r="A20" s="87" t="s">
        <v>30</v>
      </c>
      <c r="B20" s="167"/>
      <c r="C20" s="87" t="s">
        <v>32</v>
      </c>
      <c r="D20" s="61">
        <v>2.5</v>
      </c>
      <c r="E20" s="61">
        <f t="shared" ref="E20:J23" si="5">D20+(($K20-$D20)/(COLUMN($K20)-COLUMN($D20)))</f>
        <v>2.8571428571428572</v>
      </c>
      <c r="F20" s="61">
        <f t="shared" si="5"/>
        <v>3.2142857142857144</v>
      </c>
      <c r="G20" s="61">
        <f t="shared" si="5"/>
        <v>3.5714285714285716</v>
      </c>
      <c r="H20" s="61">
        <f t="shared" si="5"/>
        <v>3.9285714285714288</v>
      </c>
      <c r="I20" s="61">
        <f t="shared" si="5"/>
        <v>4.2857142857142856</v>
      </c>
      <c r="J20" s="61">
        <f t="shared" si="5"/>
        <v>4.6428571428571423</v>
      </c>
      <c r="K20" s="61">
        <v>5</v>
      </c>
      <c r="L20" s="61">
        <f t="shared" ref="L20:O23" si="6">K20+(($P20-$K20)/(COLUMN($P20)-COLUMN($K20)))</f>
        <v>7.4399999999999977</v>
      </c>
      <c r="M20" s="61">
        <f t="shared" si="6"/>
        <v>9.8799999999999955</v>
      </c>
      <c r="N20" s="61">
        <f t="shared" si="6"/>
        <v>12.319999999999993</v>
      </c>
      <c r="O20" s="61">
        <f t="shared" si="6"/>
        <v>14.759999999999991</v>
      </c>
      <c r="P20" s="61">
        <v>17.199999999999989</v>
      </c>
      <c r="Q20" s="61">
        <f t="shared" ref="Q20:T23" si="7">P20+(($U20-$P20)/(COLUMN($U20)-COLUMN($P20)))</f>
        <v>20.079999999999995</v>
      </c>
      <c r="R20" s="61">
        <f t="shared" si="7"/>
        <v>22.96</v>
      </c>
      <c r="S20" s="61">
        <f t="shared" si="7"/>
        <v>25.840000000000007</v>
      </c>
      <c r="T20" s="61">
        <f t="shared" si="7"/>
        <v>28.720000000000013</v>
      </c>
      <c r="U20" s="61">
        <v>31.600000000000023</v>
      </c>
      <c r="V20" s="61">
        <f t="shared" ref="V20:Y23" si="8">U20+(($Z20-$U20)/(COLUMN($Z20)-COLUMN($U20)))</f>
        <v>34.480000000000018</v>
      </c>
      <c r="W20" s="61">
        <f t="shared" si="8"/>
        <v>37.360000000000014</v>
      </c>
      <c r="X20" s="61">
        <f t="shared" si="8"/>
        <v>40.240000000000009</v>
      </c>
      <c r="Y20" s="61">
        <f t="shared" si="8"/>
        <v>43.120000000000005</v>
      </c>
      <c r="Z20" s="61">
        <v>46</v>
      </c>
      <c r="AA20" s="61">
        <f t="shared" ref="AA20:AD23" si="9">Z20+(($AE20-$Z20)/(COLUMN($AE20)-COLUMN($Z20)))</f>
        <v>51.61999999999999</v>
      </c>
      <c r="AB20" s="61">
        <f t="shared" si="9"/>
        <v>57.239999999999981</v>
      </c>
      <c r="AC20" s="61">
        <f t="shared" si="9"/>
        <v>62.859999999999971</v>
      </c>
      <c r="AD20" s="61">
        <f t="shared" si="9"/>
        <v>68.479999999999961</v>
      </c>
      <c r="AE20" s="61">
        <v>74.099999999999966</v>
      </c>
    </row>
    <row r="21" spans="1:31" x14ac:dyDescent="0.35">
      <c r="A21" s="87" t="s">
        <v>30</v>
      </c>
      <c r="B21" s="167"/>
      <c r="C21" s="87" t="s">
        <v>33</v>
      </c>
      <c r="D21" s="61">
        <v>9.1650787355271116E-3</v>
      </c>
      <c r="E21" s="61">
        <f t="shared" si="5"/>
        <v>4.46061120734818E-2</v>
      </c>
      <c r="F21" s="61">
        <f t="shared" si="5"/>
        <v>8.0047145411436482E-2</v>
      </c>
      <c r="G21" s="61">
        <f t="shared" si="5"/>
        <v>0.11548817874939117</v>
      </c>
      <c r="H21" s="61">
        <f t="shared" si="5"/>
        <v>0.15092921208734586</v>
      </c>
      <c r="I21" s="61">
        <f t="shared" si="5"/>
        <v>0.18637024542530056</v>
      </c>
      <c r="J21" s="61">
        <f t="shared" si="5"/>
        <v>0.22181127876325524</v>
      </c>
      <c r="K21" s="61">
        <v>0.25725231210120991</v>
      </c>
      <c r="L21" s="61">
        <f t="shared" si="6"/>
        <v>0.72351947851921272</v>
      </c>
      <c r="M21" s="61">
        <f t="shared" si="6"/>
        <v>1.1897866449372156</v>
      </c>
      <c r="N21" s="61">
        <f t="shared" si="6"/>
        <v>1.6560538113552186</v>
      </c>
      <c r="O21" s="61">
        <f t="shared" si="6"/>
        <v>2.1223209777732213</v>
      </c>
      <c r="P21" s="61">
        <v>2.5885881441912244</v>
      </c>
      <c r="Q21" s="61">
        <f t="shared" si="7"/>
        <v>4.7002368002680726</v>
      </c>
      <c r="R21" s="61">
        <f t="shared" si="7"/>
        <v>6.8118854563449212</v>
      </c>
      <c r="S21" s="61">
        <f t="shared" si="7"/>
        <v>8.9235341124217697</v>
      </c>
      <c r="T21" s="61">
        <f t="shared" si="7"/>
        <v>11.035182768498618</v>
      </c>
      <c r="U21" s="61">
        <v>13.146831424575465</v>
      </c>
      <c r="V21" s="61">
        <f t="shared" si="8"/>
        <v>20.083981733952179</v>
      </c>
      <c r="W21" s="61">
        <f t="shared" si="8"/>
        <v>27.02113204332889</v>
      </c>
      <c r="X21" s="61">
        <f t="shared" si="8"/>
        <v>33.958282352705602</v>
      </c>
      <c r="Y21" s="61">
        <f t="shared" si="8"/>
        <v>40.895432662082314</v>
      </c>
      <c r="Z21" s="61">
        <v>47.832582971459033</v>
      </c>
      <c r="AA21" s="61">
        <f t="shared" si="9"/>
        <v>67.486025650105603</v>
      </c>
      <c r="AB21" s="61">
        <f t="shared" si="9"/>
        <v>87.139468328752173</v>
      </c>
      <c r="AC21" s="61">
        <f t="shared" si="9"/>
        <v>106.79291100739874</v>
      </c>
      <c r="AD21" s="61">
        <f t="shared" si="9"/>
        <v>126.44635368604531</v>
      </c>
      <c r="AE21" s="61">
        <v>146.09979636469188</v>
      </c>
    </row>
    <row r="22" spans="1:31" x14ac:dyDescent="0.35">
      <c r="A22" s="87" t="s">
        <v>30</v>
      </c>
      <c r="B22" s="167"/>
      <c r="C22" s="87" t="s">
        <v>34</v>
      </c>
      <c r="D22" s="61">
        <v>4.5825393677635558E-3</v>
      </c>
      <c r="E22" s="61">
        <f t="shared" si="5"/>
        <v>1.0242562466714952E-2</v>
      </c>
      <c r="F22" s="61">
        <f t="shared" si="5"/>
        <v>1.5902585565666347E-2</v>
      </c>
      <c r="G22" s="61">
        <f t="shared" si="5"/>
        <v>2.1562608664617743E-2</v>
      </c>
      <c r="H22" s="61">
        <f t="shared" si="5"/>
        <v>2.7222631763569139E-2</v>
      </c>
      <c r="I22" s="61">
        <f t="shared" si="5"/>
        <v>3.2882654862520538E-2</v>
      </c>
      <c r="J22" s="61">
        <f t="shared" si="5"/>
        <v>3.8542677961471934E-2</v>
      </c>
      <c r="K22" s="61">
        <v>4.4202701060423337E-2</v>
      </c>
      <c r="L22" s="61">
        <f t="shared" si="6"/>
        <v>7.5363023645516378E-2</v>
      </c>
      <c r="M22" s="61">
        <f t="shared" si="6"/>
        <v>0.10652334623060941</v>
      </c>
      <c r="N22" s="61">
        <f t="shared" si="6"/>
        <v>0.13768366881570246</v>
      </c>
      <c r="O22" s="61">
        <f t="shared" si="6"/>
        <v>0.16884399140079551</v>
      </c>
      <c r="P22" s="61">
        <v>0.20000431398588853</v>
      </c>
      <c r="Q22" s="61">
        <f t="shared" si="7"/>
        <v>0.27838604148554841</v>
      </c>
      <c r="R22" s="61">
        <f t="shared" si="7"/>
        <v>0.35676776898520829</v>
      </c>
      <c r="S22" s="61">
        <f t="shared" si="7"/>
        <v>0.43514949648486817</v>
      </c>
      <c r="T22" s="61">
        <f t="shared" si="7"/>
        <v>0.513531223984528</v>
      </c>
      <c r="U22" s="61">
        <v>0.59191295148418788</v>
      </c>
      <c r="V22" s="61">
        <f t="shared" si="8"/>
        <v>0.74745360385302217</v>
      </c>
      <c r="W22" s="61">
        <f t="shared" si="8"/>
        <v>0.90299425622185647</v>
      </c>
      <c r="X22" s="61">
        <f t="shared" si="8"/>
        <v>1.0585349085906908</v>
      </c>
      <c r="Y22" s="61">
        <f t="shared" si="8"/>
        <v>1.2140755609595251</v>
      </c>
      <c r="Z22" s="61">
        <v>1.3696162133283594</v>
      </c>
      <c r="AA22" s="61">
        <f t="shared" si="9"/>
        <v>1.6214194884859594</v>
      </c>
      <c r="AB22" s="61">
        <f t="shared" si="9"/>
        <v>1.8732227636435594</v>
      </c>
      <c r="AC22" s="61">
        <f t="shared" si="9"/>
        <v>2.1250260388011597</v>
      </c>
      <c r="AD22" s="61">
        <f t="shared" si="9"/>
        <v>2.3768293139587597</v>
      </c>
      <c r="AE22" s="61">
        <v>2.6286325891163598</v>
      </c>
    </row>
    <row r="23" spans="1:31" x14ac:dyDescent="0.35">
      <c r="A23" s="87" t="s">
        <v>30</v>
      </c>
      <c r="B23" s="167"/>
      <c r="C23" s="87" t="s">
        <v>35</v>
      </c>
      <c r="D23" s="61">
        <v>2</v>
      </c>
      <c r="E23" s="61">
        <f t="shared" si="5"/>
        <v>2.2857142857142856</v>
      </c>
      <c r="F23" s="61">
        <f t="shared" si="5"/>
        <v>2.5714285714285712</v>
      </c>
      <c r="G23" s="61">
        <f t="shared" si="5"/>
        <v>2.8571428571428568</v>
      </c>
      <c r="H23" s="61">
        <f t="shared" si="5"/>
        <v>3.1428571428571423</v>
      </c>
      <c r="I23" s="61">
        <f t="shared" si="5"/>
        <v>3.4285714285714279</v>
      </c>
      <c r="J23" s="61">
        <f t="shared" si="5"/>
        <v>3.7142857142857135</v>
      </c>
      <c r="K23" s="61">
        <v>4</v>
      </c>
      <c r="L23" s="61">
        <f t="shared" si="6"/>
        <v>4.8</v>
      </c>
      <c r="M23" s="61">
        <f t="shared" si="6"/>
        <v>5.6</v>
      </c>
      <c r="N23" s="61">
        <f t="shared" si="6"/>
        <v>6.3999999999999995</v>
      </c>
      <c r="O23" s="61">
        <f t="shared" si="6"/>
        <v>7.1999999999999993</v>
      </c>
      <c r="P23" s="61">
        <v>8</v>
      </c>
      <c r="Q23" s="61">
        <f t="shared" si="7"/>
        <v>11.2</v>
      </c>
      <c r="R23" s="61">
        <f t="shared" si="7"/>
        <v>14.399999999999999</v>
      </c>
      <c r="S23" s="61">
        <f t="shared" si="7"/>
        <v>17.599999999999998</v>
      </c>
      <c r="T23" s="61">
        <f t="shared" si="7"/>
        <v>20.799999999999997</v>
      </c>
      <c r="U23" s="61">
        <v>24</v>
      </c>
      <c r="V23" s="61">
        <f t="shared" si="8"/>
        <v>26.6</v>
      </c>
      <c r="W23" s="61">
        <f t="shared" si="8"/>
        <v>29.200000000000003</v>
      </c>
      <c r="X23" s="61">
        <f t="shared" si="8"/>
        <v>31.800000000000004</v>
      </c>
      <c r="Y23" s="61">
        <f t="shared" si="8"/>
        <v>34.400000000000006</v>
      </c>
      <c r="Z23" s="61">
        <v>37</v>
      </c>
      <c r="AA23" s="61">
        <f t="shared" si="9"/>
        <v>40.799999999999997</v>
      </c>
      <c r="AB23" s="61">
        <f t="shared" si="9"/>
        <v>44.599999999999994</v>
      </c>
      <c r="AC23" s="61">
        <f t="shared" si="9"/>
        <v>48.399999999999991</v>
      </c>
      <c r="AD23" s="61">
        <f t="shared" si="9"/>
        <v>52.199999999999989</v>
      </c>
      <c r="AE23" s="61">
        <v>56</v>
      </c>
    </row>
    <row r="24" spans="1:31" x14ac:dyDescent="0.35">
      <c r="A24" s="87" t="s">
        <v>30</v>
      </c>
      <c r="B24" s="167"/>
      <c r="C24" s="87" t="s">
        <v>108</v>
      </c>
      <c r="D24" s="61">
        <v>993.55405574300585</v>
      </c>
      <c r="E24" s="61">
        <v>1506.0369402412325</v>
      </c>
      <c r="F24" s="61">
        <v>2018.5198247394583</v>
      </c>
      <c r="G24" s="61">
        <v>2531.002709237684</v>
      </c>
      <c r="H24" s="61">
        <v>3043.485593735908</v>
      </c>
      <c r="I24" s="61">
        <v>3555.9684782341355</v>
      </c>
      <c r="J24" s="61">
        <v>4068.4513627323613</v>
      </c>
      <c r="K24" s="61">
        <v>4580.9342472305871</v>
      </c>
      <c r="L24" s="61">
        <v>5093.4171317288128</v>
      </c>
      <c r="M24" s="61">
        <v>5605.9000162270349</v>
      </c>
      <c r="N24" s="61">
        <v>6118.3829007252571</v>
      </c>
      <c r="O24" s="61">
        <v>6630.8657852234828</v>
      </c>
      <c r="P24" s="61">
        <v>7143.3486697217086</v>
      </c>
      <c r="Q24" s="61">
        <v>7655.8315542199343</v>
      </c>
      <c r="R24" s="61">
        <v>8168.3144387181601</v>
      </c>
      <c r="S24" s="61">
        <v>8680.7973232163858</v>
      </c>
      <c r="T24" s="61">
        <v>9193.2802077146116</v>
      </c>
      <c r="U24" s="61">
        <v>9705.7630922128374</v>
      </c>
      <c r="V24" s="61">
        <v>10218.245976711063</v>
      </c>
      <c r="W24" s="61">
        <v>10730.728861209289</v>
      </c>
      <c r="X24" s="61">
        <v>11243.211745707522</v>
      </c>
      <c r="Y24" s="61">
        <v>11755.694630205755</v>
      </c>
      <c r="Z24" s="61">
        <v>12268.177514703988</v>
      </c>
      <c r="AA24" s="61">
        <v>12780.660399202214</v>
      </c>
      <c r="AB24" s="61">
        <v>13293.143283700439</v>
      </c>
      <c r="AC24" s="61">
        <v>13805.626168198665</v>
      </c>
      <c r="AD24" s="61">
        <v>14318.109052696891</v>
      </c>
      <c r="AE24" s="61">
        <v>14830.591937195102</v>
      </c>
    </row>
    <row r="25" spans="1:31" x14ac:dyDescent="0.35">
      <c r="A25" s="87" t="s">
        <v>30</v>
      </c>
      <c r="B25" s="167"/>
      <c r="C25" s="87" t="s">
        <v>109</v>
      </c>
      <c r="D25" s="61">
        <v>56008.401677879716</v>
      </c>
      <c r="E25" s="61">
        <v>58426.844872686292</v>
      </c>
      <c r="F25" s="61">
        <v>60902.832318028864</v>
      </c>
      <c r="G25" s="61">
        <v>62391.825563079401</v>
      </c>
      <c r="H25" s="61">
        <v>63910.388089299842</v>
      </c>
      <c r="I25" s="61">
        <v>65432.191992397005</v>
      </c>
      <c r="J25" s="61">
        <v>67096.142126728097</v>
      </c>
      <c r="K25" s="61">
        <v>68769.084362033012</v>
      </c>
      <c r="L25" s="61">
        <v>70464.524149511839</v>
      </c>
      <c r="M25" s="61">
        <v>72182.626453962133</v>
      </c>
      <c r="N25" s="61">
        <v>73960.135604212424</v>
      </c>
      <c r="O25" s="61">
        <v>75757.058018481825</v>
      </c>
      <c r="P25" s="61">
        <v>77581.191620155078</v>
      </c>
      <c r="Q25" s="61">
        <v>79401.762706045003</v>
      </c>
      <c r="R25" s="61">
        <v>81181.459654621838</v>
      </c>
      <c r="S25" s="61">
        <v>82967.507929609405</v>
      </c>
      <c r="T25" s="61">
        <v>84769.759715825858</v>
      </c>
      <c r="U25" s="61">
        <v>86559.513473159823</v>
      </c>
      <c r="V25" s="61">
        <v>88220.404959965788</v>
      </c>
      <c r="W25" s="61">
        <v>89881.296446771623</v>
      </c>
      <c r="X25" s="61">
        <v>91542.18793357769</v>
      </c>
      <c r="Y25" s="61">
        <v>93188.761390324973</v>
      </c>
      <c r="Z25" s="61">
        <v>94663.518486368077</v>
      </c>
      <c r="AA25" s="61">
        <v>96123.957552352644</v>
      </c>
      <c r="AB25" s="61">
        <v>97584.396618337167</v>
      </c>
      <c r="AC25" s="61">
        <v>99059.153714380431</v>
      </c>
      <c r="AD25" s="61">
        <v>100304.82232948492</v>
      </c>
      <c r="AE25" s="61">
        <v>101550.49094458926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10473.003011577777</v>
      </c>
      <c r="E26" s="61">
        <v>12327.618588170437</v>
      </c>
      <c r="F26" s="61">
        <v>14391.879038077963</v>
      </c>
      <c r="G26" s="61">
        <v>15686.43158296428</v>
      </c>
      <c r="H26" s="61">
        <v>17094.077720821155</v>
      </c>
      <c r="I26" s="61">
        <v>18566.643279743337</v>
      </c>
      <c r="J26" s="61">
        <v>20254.018671898921</v>
      </c>
      <c r="K26" s="61">
        <v>22013.370549508498</v>
      </c>
      <c r="L26" s="61">
        <v>23859.869681411488</v>
      </c>
      <c r="M26" s="61">
        <v>25779.482730805539</v>
      </c>
      <c r="N26" s="61">
        <v>27842.359392903865</v>
      </c>
      <c r="O26" s="61">
        <v>30005.407143045668</v>
      </c>
      <c r="P26" s="61">
        <v>32255.874608271475</v>
      </c>
      <c r="Q26" s="61">
        <v>34569.989768015163</v>
      </c>
      <c r="R26" s="61">
        <v>36885.319291826971</v>
      </c>
      <c r="S26" s="61">
        <v>39294.771007526018</v>
      </c>
      <c r="T26" s="61">
        <v>41792.697428933046</v>
      </c>
      <c r="U26" s="61">
        <v>44365.053256464591</v>
      </c>
      <c r="V26" s="61">
        <v>46822.551854544996</v>
      </c>
      <c r="W26" s="61">
        <v>49360.746443345364</v>
      </c>
      <c r="X26" s="61">
        <v>51939.861909832209</v>
      </c>
      <c r="Y26" s="61">
        <v>54588.092967248442</v>
      </c>
      <c r="Z26" s="61">
        <v>57026.817020783114</v>
      </c>
      <c r="AA26" s="61">
        <v>59516.846915519134</v>
      </c>
      <c r="AB26" s="61">
        <v>62078.224841993651</v>
      </c>
      <c r="AC26" s="61">
        <v>64756.018095736632</v>
      </c>
      <c r="AD26" s="61">
        <v>67061.303243502422</v>
      </c>
      <c r="AE26" s="61">
        <v>69421.662697316817</v>
      </c>
    </row>
    <row r="27" spans="1:31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f t="shared" ref="Q27:T31" si="10">P27+(($U27-$P27)/(COLUMN($U27)-COLUMN($P27)))</f>
        <v>36.639999999999965</v>
      </c>
      <c r="R27" s="61">
        <f t="shared" si="10"/>
        <v>73.27999999999993</v>
      </c>
      <c r="S27" s="61">
        <f t="shared" si="10"/>
        <v>109.9199999999999</v>
      </c>
      <c r="T27" s="61">
        <f>S27+(($U27-$P27)/(COLUMN($U27)-COLUMN($P27)))</f>
        <v>146.55999999999986</v>
      </c>
      <c r="U27" s="61">
        <v>183.19999999999982</v>
      </c>
      <c r="V27" s="61">
        <f>U27+(($Z27-$U27)/(COLUMN($Z27)-COLUMN($U27)))</f>
        <v>253.83999999999983</v>
      </c>
      <c r="W27" s="61">
        <f t="shared" ref="W27:Y27" si="11">V27+(($Z27-$U27)/(COLUMN($Z27)-COLUMN($U27)))</f>
        <v>324.47999999999985</v>
      </c>
      <c r="X27" s="61">
        <f t="shared" si="11"/>
        <v>395.11999999999989</v>
      </c>
      <c r="Y27" s="61">
        <f t="shared" si="11"/>
        <v>465.75999999999988</v>
      </c>
      <c r="Z27" s="61">
        <v>536.39999999999986</v>
      </c>
      <c r="AA27" s="61">
        <f>Z27+(($AE27-$Z27)/(COLUMN($AE27)-COLUMN($Z27)))</f>
        <v>714.2399999999999</v>
      </c>
      <c r="AB27" s="61">
        <f t="shared" ref="AB27:AD27" si="12">AA27+(($AE27-$Z27)/(COLUMN($AE27)-COLUMN($Z27)))</f>
        <v>892.07999999999993</v>
      </c>
      <c r="AC27" s="61">
        <f t="shared" si="12"/>
        <v>1069.9199999999998</v>
      </c>
      <c r="AD27" s="61">
        <f t="shared" si="12"/>
        <v>1247.7599999999998</v>
      </c>
      <c r="AE27" s="61">
        <v>1425.6</v>
      </c>
    </row>
    <row r="28" spans="1:31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f t="shared" si="10"/>
        <v>10.919999999999982</v>
      </c>
      <c r="R28" s="61">
        <f t="shared" si="10"/>
        <v>21.839999999999964</v>
      </c>
      <c r="S28" s="61">
        <f t="shared" si="10"/>
        <v>32.759999999999948</v>
      </c>
      <c r="T28" s="61">
        <f t="shared" si="10"/>
        <v>43.679999999999929</v>
      </c>
      <c r="U28" s="61">
        <v>54.599999999999909</v>
      </c>
      <c r="V28" s="61">
        <f t="shared" ref="V28:Y31" si="13">U28+(($Z28-$U28)/(COLUMN($Z28)-COLUMN($U28)))</f>
        <v>65.919999999999931</v>
      </c>
      <c r="W28" s="61">
        <f t="shared" si="13"/>
        <v>77.239999999999952</v>
      </c>
      <c r="X28" s="61">
        <f t="shared" si="13"/>
        <v>88.559999999999974</v>
      </c>
      <c r="Y28" s="61">
        <f t="shared" si="13"/>
        <v>99.88</v>
      </c>
      <c r="Z28" s="61">
        <v>111.20000000000005</v>
      </c>
      <c r="AA28" s="61">
        <f t="shared" ref="AA28:AD31" si="14">Z28+(($AE28-$Z28)/(COLUMN($AE28)-COLUMN($Z28)))</f>
        <v>120.68000000000002</v>
      </c>
      <c r="AB28" s="61">
        <f t="shared" si="14"/>
        <v>130.16</v>
      </c>
      <c r="AC28" s="61">
        <f t="shared" si="14"/>
        <v>139.63999999999996</v>
      </c>
      <c r="AD28" s="61">
        <f t="shared" si="14"/>
        <v>149.11999999999992</v>
      </c>
      <c r="AE28" s="61">
        <v>158.59999999999991</v>
      </c>
    </row>
    <row r="29" spans="1:31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f t="shared" si="10"/>
        <v>0.20253931160570371</v>
      </c>
      <c r="R29" s="61">
        <f t="shared" si="10"/>
        <v>0.40507862321140742</v>
      </c>
      <c r="S29" s="61">
        <f t="shared" si="10"/>
        <v>0.60761793481711113</v>
      </c>
      <c r="T29" s="61">
        <f t="shared" si="10"/>
        <v>0.81015724642281484</v>
      </c>
      <c r="U29" s="61">
        <v>1.0126965580285185</v>
      </c>
      <c r="V29" s="61">
        <f t="shared" si="13"/>
        <v>2.1148111265519578</v>
      </c>
      <c r="W29" s="61">
        <f t="shared" si="13"/>
        <v>3.2169256950753971</v>
      </c>
      <c r="X29" s="61">
        <f t="shared" si="13"/>
        <v>4.3190402635988363</v>
      </c>
      <c r="Y29" s="61">
        <f t="shared" si="13"/>
        <v>5.4211548321222756</v>
      </c>
      <c r="Z29" s="61">
        <v>6.5232694006457148</v>
      </c>
      <c r="AA29" s="61">
        <f t="shared" si="14"/>
        <v>13.729511973439571</v>
      </c>
      <c r="AB29" s="61">
        <f t="shared" si="14"/>
        <v>20.935754546233429</v>
      </c>
      <c r="AC29" s="61">
        <f t="shared" si="14"/>
        <v>28.141997119027288</v>
      </c>
      <c r="AD29" s="61">
        <f t="shared" si="14"/>
        <v>35.348239691821142</v>
      </c>
      <c r="AE29" s="61">
        <v>42.554482264615004</v>
      </c>
    </row>
    <row r="30" spans="1:31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f t="shared" si="10"/>
        <v>4.0507862321140738E-2</v>
      </c>
      <c r="R30" s="61">
        <f t="shared" si="10"/>
        <v>8.1015724642281475E-2</v>
      </c>
      <c r="S30" s="61">
        <f t="shared" si="10"/>
        <v>0.12152358696342222</v>
      </c>
      <c r="T30" s="61">
        <f t="shared" si="10"/>
        <v>0.16203144928456295</v>
      </c>
      <c r="U30" s="61">
        <v>0.20253931160570368</v>
      </c>
      <c r="V30" s="61">
        <f t="shared" si="13"/>
        <v>0.28063634747812138</v>
      </c>
      <c r="W30" s="61">
        <f t="shared" si="13"/>
        <v>0.35873338335053911</v>
      </c>
      <c r="X30" s="61">
        <f t="shared" si="13"/>
        <v>0.43683041922295685</v>
      </c>
      <c r="Y30" s="61">
        <f t="shared" si="13"/>
        <v>0.51492745509537452</v>
      </c>
      <c r="Z30" s="61">
        <v>0.59302449096779231</v>
      </c>
      <c r="AA30" s="61">
        <f t="shared" si="14"/>
        <v>0.78963797991953022</v>
      </c>
      <c r="AB30" s="61">
        <f t="shared" si="14"/>
        <v>0.98625146887126813</v>
      </c>
      <c r="AC30" s="61">
        <f t="shared" si="14"/>
        <v>1.1828649578230059</v>
      </c>
      <c r="AD30" s="61">
        <f t="shared" si="14"/>
        <v>1.3794784467747438</v>
      </c>
      <c r="AE30" s="61">
        <v>1.5760919357264818</v>
      </c>
    </row>
    <row r="31" spans="1:31" ht="15" customHeight="1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f t="shared" si="10"/>
        <v>1</v>
      </c>
      <c r="R31" s="61">
        <f t="shared" si="10"/>
        <v>2</v>
      </c>
      <c r="S31" s="61">
        <f t="shared" si="10"/>
        <v>3</v>
      </c>
      <c r="T31" s="61">
        <f t="shared" si="10"/>
        <v>4</v>
      </c>
      <c r="U31" s="61">
        <v>5</v>
      </c>
      <c r="V31" s="61">
        <f t="shared" si="13"/>
        <v>6.2</v>
      </c>
      <c r="W31" s="61">
        <f t="shared" si="13"/>
        <v>7.4</v>
      </c>
      <c r="X31" s="61">
        <f t="shared" si="13"/>
        <v>8.6</v>
      </c>
      <c r="Y31" s="61">
        <f t="shared" si="13"/>
        <v>9.7999999999999989</v>
      </c>
      <c r="Z31" s="61">
        <v>11</v>
      </c>
      <c r="AA31" s="61">
        <f t="shared" si="14"/>
        <v>14.2</v>
      </c>
      <c r="AB31" s="61">
        <f t="shared" si="14"/>
        <v>17.399999999999999</v>
      </c>
      <c r="AC31" s="61">
        <f t="shared" si="14"/>
        <v>20.599999999999998</v>
      </c>
      <c r="AD31" s="61">
        <f t="shared" si="14"/>
        <v>23.799999999999997</v>
      </c>
      <c r="AE31" s="61">
        <v>27</v>
      </c>
    </row>
    <row r="32" spans="1:31" ht="15" customHeight="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108080.56990981697</v>
      </c>
      <c r="R32" s="61">
        <v>374145.03907528252</v>
      </c>
      <c r="S32" s="61">
        <v>747332.64904774469</v>
      </c>
      <c r="T32" s="61">
        <v>1252882.7096481079</v>
      </c>
      <c r="U32" s="61">
        <v>1799896.6550844435</v>
      </c>
      <c r="V32" s="61">
        <v>2099502.2836016468</v>
      </c>
      <c r="W32" s="61">
        <v>2814778.4968040236</v>
      </c>
      <c r="X32" s="61">
        <v>3398799.5160454963</v>
      </c>
      <c r="Y32" s="61">
        <v>4342375.6756009031</v>
      </c>
      <c r="Z32" s="61">
        <v>4821378.3480226044</v>
      </c>
      <c r="AA32" s="61">
        <v>5850472.8919370109</v>
      </c>
      <c r="AB32" s="61">
        <v>7066227.7113016415</v>
      </c>
      <c r="AC32" s="61">
        <v>8483569.7819732968</v>
      </c>
      <c r="AD32" s="61">
        <v>9954915.2654955778</v>
      </c>
      <c r="AE32" s="61">
        <v>11476252.346636783</v>
      </c>
    </row>
    <row r="33" spans="1:31" ht="15" customHeight="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609029.10406083334</v>
      </c>
      <c r="R33" s="61">
        <v>2109560.0920157782</v>
      </c>
      <c r="S33" s="61">
        <v>3953519.5524810646</v>
      </c>
      <c r="T33" s="61">
        <v>6679805.5677667875</v>
      </c>
      <c r="U33" s="61">
        <v>9458028.0233662259</v>
      </c>
      <c r="V33" s="61">
        <v>10015314.43693497</v>
      </c>
      <c r="W33" s="61">
        <v>13656644.369187614</v>
      </c>
      <c r="X33" s="61">
        <v>15801138.500492338</v>
      </c>
      <c r="Y33" s="61">
        <v>20354736.259186551</v>
      </c>
      <c r="Z33" s="61">
        <v>21344938.912402224</v>
      </c>
      <c r="AA33" s="61">
        <v>25766135.070687797</v>
      </c>
      <c r="AB33" s="61">
        <v>31037346.987974491</v>
      </c>
      <c r="AC33" s="61">
        <v>36784087.402277894</v>
      </c>
      <c r="AD33" s="61">
        <v>42906446.24588307</v>
      </c>
      <c r="AE33" s="61">
        <v>49882217.5522824</v>
      </c>
    </row>
    <row r="34" spans="1:31" s="60" customFormat="1" ht="15" customHeight="1" x14ac:dyDescent="0.35">
      <c r="A34" s="87" t="s">
        <v>133</v>
      </c>
      <c r="B34" s="87" t="s">
        <v>111</v>
      </c>
      <c r="C34" s="87" t="s">
        <v>131</v>
      </c>
      <c r="D34" s="61">
        <v>660.95878861377548</v>
      </c>
      <c r="E34" s="61">
        <f t="shared" ref="E34:J35" si="15">D34+(($K34-$D34)/(COLUMN($K34)-COLUMN($D34)))</f>
        <v>1399.6940885199938</v>
      </c>
      <c r="F34" s="61">
        <f t="shared" si="15"/>
        <v>2138.4293884262124</v>
      </c>
      <c r="G34" s="61">
        <f t="shared" si="15"/>
        <v>2877.1646883324311</v>
      </c>
      <c r="H34" s="61">
        <f t="shared" si="15"/>
        <v>3615.8999882386497</v>
      </c>
      <c r="I34" s="61">
        <f t="shared" si="15"/>
        <v>4354.6352881448684</v>
      </c>
      <c r="J34" s="61">
        <f t="shared" si="15"/>
        <v>5093.370588051087</v>
      </c>
      <c r="K34" s="61">
        <v>5832.1058879573038</v>
      </c>
      <c r="L34" s="61">
        <f>K34+(($P34-$K34)/(COLUMN($P34)-COLUMN($K34)))</f>
        <v>11039.349818321338</v>
      </c>
      <c r="M34" s="61">
        <f t="shared" ref="M34:O35" si="16">L34+(($P34-$K34)/(COLUMN($P34)-COLUMN($K34)))</f>
        <v>16246.593748685371</v>
      </c>
      <c r="N34" s="61">
        <f t="shared" si="16"/>
        <v>21453.837679049404</v>
      </c>
      <c r="O34" s="61">
        <f t="shared" si="16"/>
        <v>26661.081609413435</v>
      </c>
      <c r="P34" s="61">
        <v>31868.325539777466</v>
      </c>
      <c r="Q34" s="61">
        <f>P34+(($U34-$P34)/(COLUMN($U34)-COLUMN($P34)))</f>
        <v>47066.111235429067</v>
      </c>
      <c r="R34" s="61">
        <f t="shared" ref="R34:S35" si="17">Q34+(($U34-$P34)/(COLUMN($U34)-COLUMN($P34)))</f>
        <v>62263.896931080671</v>
      </c>
      <c r="S34" s="61">
        <f t="shared" si="17"/>
        <v>77461.682626732276</v>
      </c>
      <c r="T34" s="61">
        <f>S34+(($U34-$P34)/(COLUMN($U34)-COLUMN($P34)))</f>
        <v>92659.46832238388</v>
      </c>
      <c r="U34" s="61">
        <v>107857.25401803548</v>
      </c>
      <c r="V34" s="61">
        <f>U34+(($Z34-$U34)/(COLUMN($Z34)-COLUMN($U34)))</f>
        <v>146801.21188278447</v>
      </c>
      <c r="W34" s="61">
        <f t="shared" ref="W34:Y35" si="18">V34+(($Z34-$U34)/(COLUMN($Z34)-COLUMN($U34)))</f>
        <v>185745.16974753345</v>
      </c>
      <c r="X34" s="61">
        <f t="shared" si="18"/>
        <v>224689.12761228243</v>
      </c>
      <c r="Y34" s="61">
        <f t="shared" si="18"/>
        <v>263633.08547703142</v>
      </c>
      <c r="Z34" s="61">
        <v>302577.04334178043</v>
      </c>
      <c r="AA34" s="61">
        <f>Z34+(($AE34-$Z34)/(COLUMN($AE34)-COLUMN($Z34)))</f>
        <v>383351.84407270385</v>
      </c>
      <c r="AB34" s="61">
        <f t="shared" ref="AB34:AD35" si="19">AA34+(($AE34-$Z34)/(COLUMN($AE34)-COLUMN($Z34)))</f>
        <v>464126.64480362728</v>
      </c>
      <c r="AC34" s="61">
        <f t="shared" si="19"/>
        <v>544901.4455345507</v>
      </c>
      <c r="AD34" s="61">
        <f t="shared" si="19"/>
        <v>625676.24626547412</v>
      </c>
      <c r="AE34" s="61">
        <v>706451.04699639755</v>
      </c>
    </row>
    <row r="35" spans="1:31" ht="15" customHeight="1" x14ac:dyDescent="0.35">
      <c r="A35" s="87" t="s">
        <v>133</v>
      </c>
      <c r="B35" s="87" t="s">
        <v>132</v>
      </c>
      <c r="C35" s="87" t="s">
        <v>131</v>
      </c>
      <c r="D35" s="61">
        <v>2742.6391268688985</v>
      </c>
      <c r="E35" s="61">
        <f t="shared" si="15"/>
        <v>5808.010785170497</v>
      </c>
      <c r="F35" s="61">
        <f t="shared" si="15"/>
        <v>8873.3824434720955</v>
      </c>
      <c r="G35" s="61">
        <f t="shared" si="15"/>
        <v>11938.754101773695</v>
      </c>
      <c r="H35" s="61">
        <f t="shared" si="15"/>
        <v>15004.125760075294</v>
      </c>
      <c r="I35" s="61">
        <f t="shared" si="15"/>
        <v>18069.497418376894</v>
      </c>
      <c r="J35" s="61">
        <f t="shared" si="15"/>
        <v>21134.869076678493</v>
      </c>
      <c r="K35" s="61">
        <v>24200.240734980089</v>
      </c>
      <c r="L35" s="61">
        <f>K35+(($P35-$K35)/(COLUMN($P35)-COLUMN($K35)))</f>
        <v>45807.625631880641</v>
      </c>
      <c r="M35" s="61">
        <f t="shared" si="16"/>
        <v>67415.010528781189</v>
      </c>
      <c r="N35" s="61">
        <f t="shared" si="16"/>
        <v>89022.395425681752</v>
      </c>
      <c r="O35" s="61">
        <f t="shared" si="16"/>
        <v>110629.78032258232</v>
      </c>
      <c r="P35" s="61">
        <v>132237.16521948288</v>
      </c>
      <c r="Q35" s="61">
        <f>P35+(($U35-$P35)/(COLUMN($U35)-COLUMN($P35)))</f>
        <v>195300.16159491806</v>
      </c>
      <c r="R35" s="61">
        <f t="shared" si="17"/>
        <v>258363.15797035323</v>
      </c>
      <c r="S35" s="61">
        <f t="shared" si="17"/>
        <v>321426.15434578841</v>
      </c>
      <c r="T35" s="61">
        <f>S35+(($U35-$P35)/(COLUMN($U35)-COLUMN($P35)))</f>
        <v>384489.15072122356</v>
      </c>
      <c r="U35" s="61">
        <v>447552.14709665877</v>
      </c>
      <c r="V35" s="61">
        <f>U35+(($Z35-$U35)/(COLUMN($Z35)-COLUMN($U35)))</f>
        <v>609149.54837942962</v>
      </c>
      <c r="W35" s="61">
        <f t="shared" si="18"/>
        <v>770746.94966220041</v>
      </c>
      <c r="X35" s="61">
        <f t="shared" si="18"/>
        <v>932344.3509449712</v>
      </c>
      <c r="Y35" s="61">
        <f t="shared" si="18"/>
        <v>1093941.752227742</v>
      </c>
      <c r="Z35" s="61">
        <v>1255539.1535105128</v>
      </c>
      <c r="AA35" s="61">
        <f t="shared" ref="AA35" si="20">Z35+(($AE35-$Z35)/(COLUMN($AE35)-COLUMN($Z35)))</f>
        <v>1590713.0444792605</v>
      </c>
      <c r="AB35" s="61">
        <f t="shared" si="19"/>
        <v>1925886.9354480081</v>
      </c>
      <c r="AC35" s="61">
        <f t="shared" si="19"/>
        <v>2261060.826416756</v>
      </c>
      <c r="AD35" s="61">
        <f t="shared" si="19"/>
        <v>2596234.7173855039</v>
      </c>
      <c r="AE35" s="61">
        <v>2931408.6083542514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3198990.7073347028</v>
      </c>
      <c r="E36" s="61">
        <v>3871218.4666096685</v>
      </c>
      <c r="F36" s="61">
        <v>4557419.9539814554</v>
      </c>
      <c r="G36" s="61">
        <v>5046322.0111251334</v>
      </c>
      <c r="H36" s="61">
        <v>5613392.7017624984</v>
      </c>
      <c r="I36" s="61">
        <v>6269805.0455665253</v>
      </c>
      <c r="J36" s="61">
        <v>6956187.9969998654</v>
      </c>
      <c r="K36" s="61">
        <v>7743781.1049391432</v>
      </c>
      <c r="L36" s="61">
        <v>8477502.7486846633</v>
      </c>
      <c r="M36" s="61">
        <v>9407600.3958625682</v>
      </c>
      <c r="N36" s="61">
        <v>10247859.306776719</v>
      </c>
      <c r="O36" s="61">
        <v>11253998.346465988</v>
      </c>
      <c r="P36" s="61">
        <v>12368529.062241497</v>
      </c>
      <c r="Q36" s="61">
        <v>13532588.373182399</v>
      </c>
      <c r="R36" s="61">
        <v>14655219.782218438</v>
      </c>
      <c r="S36" s="61">
        <v>15964764.19835096</v>
      </c>
      <c r="T36" s="61">
        <v>17339527.577442843</v>
      </c>
      <c r="U36" s="61">
        <v>18768603.217028964</v>
      </c>
      <c r="V36" s="61">
        <v>20226314.732722897</v>
      </c>
      <c r="W36" s="61">
        <v>21764134.0648195</v>
      </c>
      <c r="X36" s="61">
        <v>23296596.007798772</v>
      </c>
      <c r="Y36" s="61">
        <v>24945796.618941039</v>
      </c>
      <c r="Z36" s="61">
        <v>26717318.653445765</v>
      </c>
      <c r="AA36" s="61">
        <v>28524096.382132642</v>
      </c>
      <c r="AB36" s="61">
        <v>30417221.418125808</v>
      </c>
      <c r="AC36" s="61">
        <v>32491727.040641997</v>
      </c>
      <c r="AD36" s="61">
        <v>34433544.131417908</v>
      </c>
      <c r="AE36" s="61">
        <v>36442341.984186031</v>
      </c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61">
        <f>H38*'Cost Assumptions'!$B$5</f>
        <v>45.256328515624986</v>
      </c>
      <c r="J38" s="61">
        <f>I38*'Cost Assumptions'!$B$5</f>
        <v>46.387736728515605</v>
      </c>
      <c r="K38" s="61">
        <f>J38*'Cost Assumptions'!$B$5</f>
        <v>47.547430146728495</v>
      </c>
      <c r="L38" s="61">
        <f>K38*'Cost Assumptions'!$B$5</f>
        <v>48.736115900396705</v>
      </c>
      <c r="M38" s="61">
        <f>L38*'Cost Assumptions'!$B$5</f>
        <v>49.954518797906616</v>
      </c>
      <c r="N38" s="61">
        <f>M38*'Cost Assumptions'!$B$5</f>
        <v>51.203381767854275</v>
      </c>
      <c r="O38" s="61">
        <f>N38*'Cost Assumptions'!$B$5</f>
        <v>52.483466312050624</v>
      </c>
      <c r="P38" s="61">
        <f>O38*'Cost Assumptions'!$B$5</f>
        <v>53.795552969851883</v>
      </c>
      <c r="Q38" s="61">
        <f>P38*'Cost Assumptions'!$B$5</f>
        <v>55.140441794098173</v>
      </c>
      <c r="R38" s="61">
        <f>Q38*'Cost Assumptions'!$B$5</f>
        <v>56.518952838950625</v>
      </c>
      <c r="S38" s="61">
        <f>R38*'Cost Assumptions'!$B$5</f>
        <v>57.931926659924386</v>
      </c>
      <c r="T38" s="61">
        <f>S38*'Cost Assumptions'!$B$5</f>
        <v>59.380224826422491</v>
      </c>
      <c r="U38" s="61">
        <f>T38*'Cost Assumptions'!$B$5</f>
        <v>60.864730447083048</v>
      </c>
      <c r="V38" s="61">
        <f>U38*'Cost Assumptions'!$B$5</f>
        <v>62.386348708260115</v>
      </c>
      <c r="W38" s="61">
        <f>V38*'Cost Assumptions'!$B$5</f>
        <v>63.946007425966613</v>
      </c>
      <c r="X38" s="61">
        <f>W38*'Cost Assumptions'!$B$5</f>
        <v>65.544657611615776</v>
      </c>
      <c r="Y38" s="61">
        <f>X38*'Cost Assumptions'!$B$5</f>
        <v>67.183274051906167</v>
      </c>
      <c r="Z38" s="61">
        <f>Y38*'Cost Assumptions'!$B$5</f>
        <v>68.862855903203823</v>
      </c>
      <c r="AA38" s="61">
        <f>Z38*'Cost Assumptions'!$B$5</f>
        <v>70.584427300783915</v>
      </c>
      <c r="AB38" s="61">
        <f>AA38*'Cost Assumptions'!$B$5</f>
        <v>72.349037983303504</v>
      </c>
      <c r="AC38" s="61">
        <f>AB38*'Cost Assumptions'!$B$5</f>
        <v>74.157763932886084</v>
      </c>
      <c r="AD38" s="61">
        <f>AC38*'Cost Assumptions'!$B$5</f>
        <v>76.011708031208229</v>
      </c>
      <c r="AE38" s="61">
        <f>AD38*'Cost Assumptions'!$B$5</f>
        <v>77.912000731988428</v>
      </c>
    </row>
    <row r="39" spans="1:31" x14ac:dyDescent="0.35">
      <c r="A39" s="87"/>
      <c r="B39" s="87"/>
      <c r="C39" s="8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Assumptions'!$B$3,'SCE Orange County'!D42:'SCE Orange County'!AE42)</f>
        <v>64717.623306986425</v>
      </c>
      <c r="C42" s="87" t="s">
        <v>107</v>
      </c>
      <c r="D42" s="61">
        <f t="shared" ref="D42" si="21">D2-D18</f>
        <v>6508.041666664998</v>
      </c>
      <c r="E42" s="61">
        <f t="shared" ref="E42:AE42" si="22">E2-E18</f>
        <v>6558.2166666659541</v>
      </c>
      <c r="F42" s="61">
        <f t="shared" si="22"/>
        <v>6615.3605769223796</v>
      </c>
      <c r="G42" s="61">
        <f t="shared" si="22"/>
        <v>6672.504487178805</v>
      </c>
      <c r="H42" s="61">
        <f t="shared" si="22"/>
        <v>6729.6483974352304</v>
      </c>
      <c r="I42" s="61">
        <f t="shared" si="22"/>
        <v>6786.7923076916559</v>
      </c>
      <c r="J42" s="61">
        <f t="shared" si="22"/>
        <v>6843.9362179480813</v>
      </c>
      <c r="K42" s="61">
        <f t="shared" si="22"/>
        <v>6901.0801282045068</v>
      </c>
      <c r="L42" s="61">
        <f t="shared" si="22"/>
        <v>6958.2240384609322</v>
      </c>
      <c r="M42" s="61">
        <f t="shared" si="22"/>
        <v>7015.3679487173576</v>
      </c>
      <c r="N42" s="61">
        <f t="shared" si="22"/>
        <v>7072.5118589737831</v>
      </c>
      <c r="O42" s="61">
        <f t="shared" si="22"/>
        <v>7129.6557692302085</v>
      </c>
      <c r="P42" s="61">
        <f t="shared" si="22"/>
        <v>7186.799679486634</v>
      </c>
      <c r="Q42" s="61">
        <f t="shared" si="22"/>
        <v>7243.9435897430594</v>
      </c>
      <c r="R42" s="61">
        <f t="shared" si="22"/>
        <v>7301.0874999994849</v>
      </c>
      <c r="S42" s="61">
        <f t="shared" si="22"/>
        <v>7358.2314102559103</v>
      </c>
      <c r="T42" s="61">
        <f t="shared" si="22"/>
        <v>7415.3753205123357</v>
      </c>
      <c r="U42" s="61">
        <f t="shared" si="22"/>
        <v>7472.5192307687612</v>
      </c>
      <c r="V42" s="61">
        <f t="shared" si="22"/>
        <v>7529.6631410251866</v>
      </c>
      <c r="W42" s="61">
        <f t="shared" si="22"/>
        <v>7586.8070512816121</v>
      </c>
      <c r="X42" s="61">
        <f t="shared" si="22"/>
        <v>7643.9509615380375</v>
      </c>
      <c r="Y42" s="61">
        <f t="shared" si="22"/>
        <v>7701.094871794463</v>
      </c>
      <c r="Z42" s="61">
        <f t="shared" si="22"/>
        <v>7758.2387820508884</v>
      </c>
      <c r="AA42" s="61">
        <f t="shared" si="22"/>
        <v>7815.3826923073138</v>
      </c>
      <c r="AB42" s="61">
        <f t="shared" si="22"/>
        <v>7872.5266025637393</v>
      </c>
      <c r="AC42" s="61">
        <f t="shared" si="22"/>
        <v>7929.6705128201647</v>
      </c>
      <c r="AD42" s="61">
        <f t="shared" si="22"/>
        <v>7986.8144230765902</v>
      </c>
      <c r="AE42" s="61">
        <f t="shared" si="22"/>
        <v>8043.9583333328483</v>
      </c>
    </row>
    <row r="43" spans="1:31" x14ac:dyDescent="0.35">
      <c r="A43" s="87"/>
      <c r="B43" s="9">
        <f>NPV('Cost Assumptions'!$B$3,'SCE Orange County'!D43:'SCE Orange County'!AE43)</f>
        <v>3228185.9264959241</v>
      </c>
      <c r="C43" s="87" t="s">
        <v>139</v>
      </c>
      <c r="D43" s="61">
        <f>D42*D38</f>
        <v>260321.66666659992</v>
      </c>
      <c r="E43" s="61">
        <f>E42*E38</f>
        <v>268886.88333330414</v>
      </c>
      <c r="F43" s="61">
        <f>F42*F38</f>
        <v>278010.52824516298</v>
      </c>
      <c r="G43" s="61">
        <f>G42*G38</f>
        <v>287422.30110053148</v>
      </c>
      <c r="H43" s="61">
        <f>H42*H38</f>
        <v>297130.90601851518</v>
      </c>
      <c r="I43" s="61">
        <f t="shared" ref="I43:AE43" si="23">I42*I38</f>
        <v>307145.30224421021</v>
      </c>
      <c r="J43" s="61">
        <f t="shared" si="23"/>
        <v>317474.7114649284</v>
      </c>
      <c r="K43" s="61">
        <f t="shared" si="23"/>
        <v>328128.62533277989</v>
      </c>
      <c r="L43" s="61">
        <f t="shared" si="23"/>
        <v>339116.81319935841</v>
      </c>
      <c r="M43" s="61">
        <f t="shared" si="23"/>
        <v>350449.33006843284</v>
      </c>
      <c r="N43" s="61">
        <f t="shared" si="23"/>
        <v>362136.52477271133</v>
      </c>
      <c r="O43" s="61">
        <f t="shared" si="23"/>
        <v>374189.048380911</v>
      </c>
      <c r="P43" s="61">
        <f t="shared" si="23"/>
        <v>386617.86284153775</v>
      </c>
      <c r="Q43" s="61">
        <f t="shared" si="23"/>
        <v>399434.24986995774</v>
      </c>
      <c r="R43" s="61">
        <f t="shared" si="23"/>
        <v>412649.82008552284</v>
      </c>
      <c r="S43" s="61">
        <f t="shared" si="23"/>
        <v>426276.52240569738</v>
      </c>
      <c r="T43" s="61">
        <f t="shared" si="23"/>
        <v>440326.65370432724</v>
      </c>
      <c r="U43" s="61">
        <f t="shared" si="23"/>
        <v>454812.868741385</v>
      </c>
      <c r="V43" s="61">
        <f t="shared" si="23"/>
        <v>469748.19037173048</v>
      </c>
      <c r="W43" s="61">
        <f t="shared" si="23"/>
        <v>485146.02004062984</v>
      </c>
      <c r="X43" s="61">
        <f t="shared" si="23"/>
        <v>501020.14857399184</v>
      </c>
      <c r="Y43" s="61">
        <f t="shared" si="23"/>
        <v>517384.76727149659</v>
      </c>
      <c r="Z43" s="61">
        <f t="shared" si="23"/>
        <v>534254.4793110179</v>
      </c>
      <c r="AA43" s="61">
        <f t="shared" si="23"/>
        <v>551644.31147297041</v>
      </c>
      <c r="AB43" s="61">
        <f t="shared" si="23"/>
        <v>569569.72619345121</v>
      </c>
      <c r="AC43" s="61">
        <f t="shared" si="23"/>
        <v>588046.63395528554</v>
      </c>
      <c r="AD43" s="61">
        <f t="shared" si="23"/>
        <v>607091.40602634056</v>
      </c>
      <c r="AE43" s="61">
        <f t="shared" si="23"/>
        <v>626720.88755471329</v>
      </c>
    </row>
    <row r="44" spans="1:31" x14ac:dyDescent="0.35">
      <c r="A44" s="87" t="s">
        <v>30</v>
      </c>
      <c r="B44" s="9">
        <f>NPV('Cost Assumptions'!$B$3,'SCE Orange County'!D44:'SCE Orange County'!AE44)</f>
        <v>7597.9801430160442</v>
      </c>
      <c r="C44" s="87" t="s">
        <v>31</v>
      </c>
      <c r="D44" s="61">
        <f t="shared" ref="D44" si="24">D3-D19</f>
        <v>13</v>
      </c>
      <c r="E44" s="61">
        <f t="shared" ref="E44:AE44" si="25">E3-E19</f>
        <v>30.357142857142858</v>
      </c>
      <c r="F44" s="61">
        <f t="shared" si="25"/>
        <v>57.547619047619058</v>
      </c>
      <c r="G44" s="61">
        <f t="shared" si="25"/>
        <v>84.738095238095255</v>
      </c>
      <c r="H44" s="61">
        <f t="shared" si="25"/>
        <v>111.92857142857146</v>
      </c>
      <c r="I44" s="61">
        <f t="shared" si="25"/>
        <v>139.11904761904765</v>
      </c>
      <c r="J44" s="61">
        <f t="shared" si="25"/>
        <v>166.30952380952385</v>
      </c>
      <c r="K44" s="61">
        <f t="shared" si="25"/>
        <v>193.50000000000003</v>
      </c>
      <c r="L44" s="61">
        <f t="shared" si="25"/>
        <v>283</v>
      </c>
      <c r="M44" s="61">
        <f t="shared" si="25"/>
        <v>372.50000000000006</v>
      </c>
      <c r="N44" s="61">
        <f t="shared" si="25"/>
        <v>462.00000000000011</v>
      </c>
      <c r="O44" s="61">
        <f t="shared" si="25"/>
        <v>551.5</v>
      </c>
      <c r="P44" s="61">
        <f t="shared" si="25"/>
        <v>813.15</v>
      </c>
      <c r="Q44" s="61">
        <f t="shared" si="25"/>
        <v>1038.1400000000001</v>
      </c>
      <c r="R44" s="61">
        <f t="shared" si="25"/>
        <v>1263.1300000000001</v>
      </c>
      <c r="S44" s="61">
        <f t="shared" si="25"/>
        <v>1488.1200000000001</v>
      </c>
      <c r="T44" s="61">
        <f t="shared" si="25"/>
        <v>1713.1100000000001</v>
      </c>
      <c r="U44" s="61">
        <f t="shared" si="25"/>
        <v>1938.1000000000001</v>
      </c>
      <c r="V44" s="61">
        <f t="shared" si="25"/>
        <v>2481.75</v>
      </c>
      <c r="W44" s="61">
        <f t="shared" si="25"/>
        <v>3025.3999999999996</v>
      </c>
      <c r="X44" s="61">
        <f t="shared" si="25"/>
        <v>3569.0499999999993</v>
      </c>
      <c r="Y44" s="61">
        <f t="shared" si="25"/>
        <v>4112.6999999999989</v>
      </c>
      <c r="Z44" s="61">
        <f t="shared" si="25"/>
        <v>4083.8000000000006</v>
      </c>
      <c r="AA44" s="61">
        <f t="shared" si="25"/>
        <v>4659.1000000000004</v>
      </c>
      <c r="AB44" s="61">
        <f t="shared" si="25"/>
        <v>5234.4000000000005</v>
      </c>
      <c r="AC44" s="61">
        <f t="shared" si="25"/>
        <v>5809.7000000000007</v>
      </c>
      <c r="AD44" s="61">
        <f t="shared" si="25"/>
        <v>6385</v>
      </c>
      <c r="AE44" s="61">
        <f t="shared" si="25"/>
        <v>6960.2999999999993</v>
      </c>
    </row>
    <row r="45" spans="1:31" x14ac:dyDescent="0.35">
      <c r="A45" s="87" t="s">
        <v>30</v>
      </c>
      <c r="B45" s="9">
        <f>NPV('Cost Assumptions'!$B$3,'SCE Orange County'!D45:'SCE Orange County'!AE45)</f>
        <v>144.91436759345351</v>
      </c>
      <c r="C45" s="87" t="s">
        <v>32</v>
      </c>
      <c r="D45" s="61">
        <f t="shared" ref="D45" si="26">D4-D20</f>
        <v>1</v>
      </c>
      <c r="E45" s="61">
        <f t="shared" ref="E45:AE45" si="27">E4-E20</f>
        <v>3.1428571428571428</v>
      </c>
      <c r="F45" s="61">
        <f t="shared" si="27"/>
        <v>5.6690476190476202</v>
      </c>
      <c r="G45" s="61">
        <f t="shared" si="27"/>
        <v>8.1952380952380981</v>
      </c>
      <c r="H45" s="61">
        <f t="shared" si="27"/>
        <v>10.721428571428575</v>
      </c>
      <c r="I45" s="61">
        <f t="shared" si="27"/>
        <v>13.247619047619054</v>
      </c>
      <c r="J45" s="61">
        <f t="shared" si="27"/>
        <v>15.773809523809533</v>
      </c>
      <c r="K45" s="61">
        <f t="shared" si="27"/>
        <v>18.300000000000011</v>
      </c>
      <c r="L45" s="61">
        <f t="shared" si="27"/>
        <v>18.810000000000016</v>
      </c>
      <c r="M45" s="61">
        <f t="shared" si="27"/>
        <v>19.320000000000022</v>
      </c>
      <c r="N45" s="61">
        <f t="shared" si="27"/>
        <v>19.830000000000027</v>
      </c>
      <c r="O45" s="61">
        <f t="shared" si="27"/>
        <v>20.340000000000032</v>
      </c>
      <c r="P45" s="61">
        <f t="shared" si="27"/>
        <v>22.300000000000033</v>
      </c>
      <c r="Q45" s="61">
        <f t="shared" si="27"/>
        <v>23.820000000000025</v>
      </c>
      <c r="R45" s="61">
        <f t="shared" si="27"/>
        <v>25.340000000000018</v>
      </c>
      <c r="S45" s="61">
        <f t="shared" si="27"/>
        <v>26.86000000000001</v>
      </c>
      <c r="T45" s="61">
        <f t="shared" si="27"/>
        <v>28.380000000000003</v>
      </c>
      <c r="U45" s="61">
        <f t="shared" si="27"/>
        <v>29.899999999999977</v>
      </c>
      <c r="V45" s="61">
        <f t="shared" si="27"/>
        <v>28.999999999999979</v>
      </c>
      <c r="W45" s="61">
        <f t="shared" si="27"/>
        <v>28.09999999999998</v>
      </c>
      <c r="X45" s="61">
        <f t="shared" si="27"/>
        <v>27.199999999999974</v>
      </c>
      <c r="Y45" s="61">
        <f t="shared" si="27"/>
        <v>26.299999999999969</v>
      </c>
      <c r="Z45" s="61">
        <f t="shared" si="27"/>
        <v>25.399999999999977</v>
      </c>
      <c r="AA45" s="61">
        <f t="shared" si="27"/>
        <v>31.179999999999993</v>
      </c>
      <c r="AB45" s="61">
        <f t="shared" si="27"/>
        <v>36.960000000000008</v>
      </c>
      <c r="AC45" s="61">
        <f t="shared" si="27"/>
        <v>42.740000000000023</v>
      </c>
      <c r="AD45" s="61">
        <f t="shared" si="27"/>
        <v>48.520000000000039</v>
      </c>
      <c r="AE45" s="61">
        <f t="shared" si="27"/>
        <v>54.300000000000068</v>
      </c>
    </row>
    <row r="46" spans="1:31" x14ac:dyDescent="0.35">
      <c r="A46" s="87" t="s">
        <v>30</v>
      </c>
      <c r="B46" s="9">
        <f>NPV('Cost Assumptions'!$B$3,'SCE Orange County'!D46:'SCE Orange County'!AE46)</f>
        <v>1059.0132832767624</v>
      </c>
      <c r="C46" s="87" t="s">
        <v>33</v>
      </c>
      <c r="D46" s="61">
        <f t="shared" ref="D46" si="28">D5-D21</f>
        <v>0.19422992788545251</v>
      </c>
      <c r="E46" s="61">
        <f t="shared" ref="E46:AE46" si="29">E5-E21</f>
        <v>0.41143745968072992</v>
      </c>
      <c r="F46" s="61">
        <f t="shared" si="29"/>
        <v>1.0523483590740221</v>
      </c>
      <c r="G46" s="61">
        <f t="shared" si="29"/>
        <v>1.6932592584673143</v>
      </c>
      <c r="H46" s="61">
        <f t="shared" si="29"/>
        <v>2.3341701578606062</v>
      </c>
      <c r="I46" s="61">
        <f t="shared" si="29"/>
        <v>2.9750810572538984</v>
      </c>
      <c r="J46" s="61">
        <f t="shared" si="29"/>
        <v>3.6159919566471905</v>
      </c>
      <c r="K46" s="61">
        <f t="shared" si="29"/>
        <v>4.2569028560404831</v>
      </c>
      <c r="L46" s="61">
        <f t="shared" si="29"/>
        <v>9.0299267672477797</v>
      </c>
      <c r="M46" s="61">
        <f t="shared" si="29"/>
        <v>13.802950678455076</v>
      </c>
      <c r="N46" s="61">
        <f t="shared" si="29"/>
        <v>18.575974589662376</v>
      </c>
      <c r="O46" s="61">
        <f t="shared" si="29"/>
        <v>23.348998500869669</v>
      </c>
      <c r="P46" s="61">
        <f t="shared" si="29"/>
        <v>51.548182125447624</v>
      </c>
      <c r="Q46" s="61">
        <f t="shared" si="29"/>
        <v>78.101984260366748</v>
      </c>
      <c r="R46" s="61">
        <f t="shared" si="29"/>
        <v>104.65578639528586</v>
      </c>
      <c r="S46" s="61">
        <f t="shared" si="29"/>
        <v>131.20958853020497</v>
      </c>
      <c r="T46" s="61">
        <f t="shared" si="29"/>
        <v>157.76339066512409</v>
      </c>
      <c r="U46" s="61">
        <f t="shared" si="29"/>
        <v>184.31719280004322</v>
      </c>
      <c r="V46" s="61">
        <f t="shared" si="29"/>
        <v>285.51514657101967</v>
      </c>
      <c r="W46" s="61">
        <f t="shared" si="29"/>
        <v>386.7131003419961</v>
      </c>
      <c r="X46" s="61">
        <f t="shared" si="29"/>
        <v>487.91105411297247</v>
      </c>
      <c r="Y46" s="61">
        <f t="shared" si="29"/>
        <v>589.10900788394895</v>
      </c>
      <c r="Z46" s="61">
        <f t="shared" si="29"/>
        <v>690.30696165492543</v>
      </c>
      <c r="AA46" s="61">
        <f t="shared" si="29"/>
        <v>909.87082812173401</v>
      </c>
      <c r="AB46" s="61">
        <f t="shared" si="29"/>
        <v>1129.4346945885427</v>
      </c>
      <c r="AC46" s="61">
        <f t="shared" si="29"/>
        <v>1348.9985610553513</v>
      </c>
      <c r="AD46" s="61">
        <f t="shared" si="29"/>
        <v>1568.5624275221599</v>
      </c>
      <c r="AE46" s="61">
        <f t="shared" si="29"/>
        <v>1788.1262939889682</v>
      </c>
    </row>
    <row r="47" spans="1:31" x14ac:dyDescent="0.35">
      <c r="A47" s="87" t="s">
        <v>30</v>
      </c>
      <c r="B47" s="9">
        <f>NPV('Cost Assumptions'!$B$3,'SCE Orange County'!D47:'SCE Orange County'!AE47)</f>
        <v>6.1175873656775748</v>
      </c>
      <c r="C47" s="87" t="s">
        <v>34</v>
      </c>
      <c r="D47" s="61">
        <f t="shared" ref="D47" si="30">D6-D22</f>
        <v>9.4232114276697199E-3</v>
      </c>
      <c r="E47" s="61">
        <f t="shared" ref="E47:AE47" si="31">E6-E22</f>
        <v>2.0680530114960651E-2</v>
      </c>
      <c r="F47" s="61">
        <f t="shared" si="31"/>
        <v>4.1688255242275596E-2</v>
      </c>
      <c r="G47" s="61">
        <f t="shared" si="31"/>
        <v>6.2695980369590523E-2</v>
      </c>
      <c r="H47" s="61">
        <f t="shared" si="31"/>
        <v>8.3703705496905464E-2</v>
      </c>
      <c r="I47" s="61">
        <f t="shared" si="31"/>
        <v>0.10471143062422039</v>
      </c>
      <c r="J47" s="61">
        <f t="shared" si="31"/>
        <v>0.12571915575153533</v>
      </c>
      <c r="K47" s="61">
        <f t="shared" si="31"/>
        <v>0.14672688087885027</v>
      </c>
      <c r="L47" s="61">
        <f t="shared" si="31"/>
        <v>0.22051135859088222</v>
      </c>
      <c r="M47" s="61">
        <f t="shared" si="31"/>
        <v>0.29429583630291423</v>
      </c>
      <c r="N47" s="61">
        <f t="shared" si="31"/>
        <v>0.36808031401494612</v>
      </c>
      <c r="O47" s="61">
        <f t="shared" si="31"/>
        <v>0.44186479172697801</v>
      </c>
      <c r="P47" s="61">
        <f t="shared" si="31"/>
        <v>0.67239236837285854</v>
      </c>
      <c r="Q47" s="61">
        <f t="shared" si="31"/>
        <v>0.85569854010417212</v>
      </c>
      <c r="R47" s="61">
        <f t="shared" si="31"/>
        <v>1.0390047118354857</v>
      </c>
      <c r="S47" s="61">
        <f t="shared" si="31"/>
        <v>1.2223108835667993</v>
      </c>
      <c r="T47" s="61">
        <f t="shared" si="31"/>
        <v>1.4056170552981129</v>
      </c>
      <c r="U47" s="61">
        <f t="shared" si="31"/>
        <v>1.588923227029426</v>
      </c>
      <c r="V47" s="61">
        <f t="shared" si="31"/>
        <v>1.9532111202266733</v>
      </c>
      <c r="W47" s="61">
        <f t="shared" si="31"/>
        <v>2.3174990134239204</v>
      </c>
      <c r="X47" s="61">
        <f t="shared" si="31"/>
        <v>2.6817869066211681</v>
      </c>
      <c r="Y47" s="61">
        <f t="shared" si="31"/>
        <v>3.046074799818415</v>
      </c>
      <c r="Z47" s="61">
        <f t="shared" si="31"/>
        <v>3.4103626930156619</v>
      </c>
      <c r="AA47" s="61">
        <f t="shared" si="31"/>
        <v>3.8921580170726253</v>
      </c>
      <c r="AB47" s="61">
        <f t="shared" si="31"/>
        <v>4.3739533411295897</v>
      </c>
      <c r="AC47" s="61">
        <f t="shared" si="31"/>
        <v>4.8557486651865531</v>
      </c>
      <c r="AD47" s="61">
        <f t="shared" si="31"/>
        <v>5.3375439892435175</v>
      </c>
      <c r="AE47" s="61">
        <f t="shared" si="31"/>
        <v>5.8193393133004827</v>
      </c>
    </row>
    <row r="48" spans="1:31" x14ac:dyDescent="0.35">
      <c r="A48" s="87" t="s">
        <v>30</v>
      </c>
      <c r="B48" s="9">
        <f>NPV('Cost Assumptions'!$B$3,'SCE Orange County'!D48:'SCE Orange County'!AE48)</f>
        <v>617.15664134823896</v>
      </c>
      <c r="C48" s="87" t="s">
        <v>35</v>
      </c>
      <c r="D48" s="61">
        <f t="shared" ref="D48" si="32">D7-D23</f>
        <v>16</v>
      </c>
      <c r="E48" s="61">
        <f t="shared" ref="E48:AE48" si="33">E7-E23</f>
        <v>25.714285714285715</v>
      </c>
      <c r="F48" s="61">
        <f t="shared" si="33"/>
        <v>30.761904761904766</v>
      </c>
      <c r="G48" s="61">
        <f t="shared" si="33"/>
        <v>35.809523809523817</v>
      </c>
      <c r="H48" s="61">
        <f t="shared" si="33"/>
        <v>40.857142857142861</v>
      </c>
      <c r="I48" s="61">
        <f t="shared" si="33"/>
        <v>45.904761904761912</v>
      </c>
      <c r="J48" s="61">
        <f t="shared" si="33"/>
        <v>50.952380952380963</v>
      </c>
      <c r="K48" s="61">
        <f t="shared" si="33"/>
        <v>56</v>
      </c>
      <c r="L48" s="61">
        <f t="shared" si="33"/>
        <v>62.2</v>
      </c>
      <c r="M48" s="61">
        <f t="shared" si="33"/>
        <v>68.400000000000006</v>
      </c>
      <c r="N48" s="61">
        <f t="shared" si="33"/>
        <v>74.599999999999994</v>
      </c>
      <c r="O48" s="61">
        <f t="shared" si="33"/>
        <v>80.8</v>
      </c>
      <c r="P48" s="61">
        <f t="shared" si="33"/>
        <v>89.833333333333329</v>
      </c>
      <c r="Q48" s="61">
        <f t="shared" si="33"/>
        <v>96.466666666666654</v>
      </c>
      <c r="R48" s="61">
        <f t="shared" si="33"/>
        <v>103.1</v>
      </c>
      <c r="S48" s="61">
        <f t="shared" si="33"/>
        <v>109.73333333333332</v>
      </c>
      <c r="T48" s="61">
        <f t="shared" si="33"/>
        <v>116.36666666666666</v>
      </c>
      <c r="U48" s="61">
        <f t="shared" si="33"/>
        <v>123</v>
      </c>
      <c r="V48" s="61">
        <f t="shared" si="33"/>
        <v>131.80000000000001</v>
      </c>
      <c r="W48" s="61">
        <f t="shared" si="33"/>
        <v>140.60000000000002</v>
      </c>
      <c r="X48" s="61">
        <f t="shared" si="33"/>
        <v>149.4</v>
      </c>
      <c r="Y48" s="61">
        <f t="shared" si="33"/>
        <v>158.20000000000002</v>
      </c>
      <c r="Z48" s="61">
        <f t="shared" si="33"/>
        <v>167</v>
      </c>
      <c r="AA48" s="61">
        <f t="shared" si="33"/>
        <v>174.60000000000002</v>
      </c>
      <c r="AB48" s="61">
        <f t="shared" si="33"/>
        <v>182.20000000000002</v>
      </c>
      <c r="AC48" s="61">
        <f t="shared" si="33"/>
        <v>189.8</v>
      </c>
      <c r="AD48" s="61">
        <f t="shared" si="33"/>
        <v>197.40000000000003</v>
      </c>
      <c r="AE48" s="61">
        <f t="shared" si="33"/>
        <v>205</v>
      </c>
    </row>
    <row r="49" spans="1:31" s="60" customFormat="1" x14ac:dyDescent="0.35">
      <c r="A49" s="87" t="s">
        <v>30</v>
      </c>
      <c r="B49" s="9">
        <f>NPV('Cost Assumptions'!$B$3,'SCE Orange County'!D49:'SCE Orange County'!AE49)</f>
        <v>252249.93845932517</v>
      </c>
      <c r="C49" s="85" t="s">
        <v>140</v>
      </c>
      <c r="D49" s="61">
        <f t="shared" ref="D49:E51" si="34">D13-D24</f>
        <v>5333.4799135158346</v>
      </c>
      <c r="E49" s="61">
        <f t="shared" si="34"/>
        <v>8084.5302008078488</v>
      </c>
      <c r="F49" s="61">
        <f t="shared" ref="F49:AE49" si="35">F13-F24</f>
        <v>10835.580488099864</v>
      </c>
      <c r="G49" s="61">
        <f t="shared" si="35"/>
        <v>13586.630775391879</v>
      </c>
      <c r="H49" s="61">
        <f t="shared" si="35"/>
        <v>16337.681062683894</v>
      </c>
      <c r="I49" s="61">
        <f t="shared" si="35"/>
        <v>19088.731349975908</v>
      </c>
      <c r="J49" s="61">
        <f t="shared" si="35"/>
        <v>21839.781637267923</v>
      </c>
      <c r="K49" s="61">
        <f t="shared" si="35"/>
        <v>24590.831924559938</v>
      </c>
      <c r="L49" s="61">
        <f t="shared" si="35"/>
        <v>27341.882211851953</v>
      </c>
      <c r="M49" s="61">
        <f t="shared" si="35"/>
        <v>30092.932499143968</v>
      </c>
      <c r="N49" s="61">
        <f t="shared" si="35"/>
        <v>32843.982786435983</v>
      </c>
      <c r="O49" s="61">
        <f t="shared" si="35"/>
        <v>35595.033073727995</v>
      </c>
      <c r="P49" s="61">
        <f t="shared" si="35"/>
        <v>38346.083361020006</v>
      </c>
      <c r="Q49" s="61">
        <f t="shared" si="35"/>
        <v>41097.133648312018</v>
      </c>
      <c r="R49" s="61">
        <f t="shared" si="35"/>
        <v>43848.183935604029</v>
      </c>
      <c r="S49" s="61">
        <f t="shared" si="35"/>
        <v>46599.234222896041</v>
      </c>
      <c r="T49" s="61">
        <f t="shared" si="35"/>
        <v>49350.284510188052</v>
      </c>
      <c r="U49" s="61">
        <f t="shared" si="35"/>
        <v>52101.334797480064</v>
      </c>
      <c r="V49" s="61">
        <f t="shared" si="35"/>
        <v>54852.385084772075</v>
      </c>
      <c r="W49" s="61">
        <f t="shared" si="35"/>
        <v>57603.435372064087</v>
      </c>
      <c r="X49" s="61">
        <f t="shared" si="35"/>
        <v>60354.485659356098</v>
      </c>
      <c r="Y49" s="61">
        <f t="shared" si="35"/>
        <v>63105.53594664811</v>
      </c>
      <c r="Z49" s="61">
        <f t="shared" si="35"/>
        <v>65856.586233940121</v>
      </c>
      <c r="AA49" s="61">
        <f t="shared" si="35"/>
        <v>68607.63652123214</v>
      </c>
      <c r="AB49" s="61">
        <f t="shared" si="35"/>
        <v>71358.686808524159</v>
      </c>
      <c r="AC49" s="61">
        <f t="shared" si="35"/>
        <v>74109.737095816177</v>
      </c>
      <c r="AD49" s="61">
        <f t="shared" si="35"/>
        <v>76860.787383108196</v>
      </c>
      <c r="AE49" s="61">
        <f t="shared" si="35"/>
        <v>79611.837670400229</v>
      </c>
    </row>
    <row r="50" spans="1:31" s="60" customFormat="1" x14ac:dyDescent="0.35">
      <c r="A50" s="87" t="s">
        <v>30</v>
      </c>
      <c r="B50" s="9">
        <f>NPV('Cost Assumptions'!$B$3,'SCE Orange County'!D50:'SCE Orange County'!AE50)</f>
        <v>1329505.544063092</v>
      </c>
      <c r="C50" s="85" t="s">
        <v>141</v>
      </c>
      <c r="D50" s="61">
        <f t="shared" si="34"/>
        <v>138604.13416274823</v>
      </c>
      <c r="E50" s="61">
        <f t="shared" si="34"/>
        <v>139542.84241808212</v>
      </c>
      <c r="F50" s="61">
        <f t="shared" ref="F50:AE50" si="36">F14-F25</f>
        <v>140424.00642288002</v>
      </c>
      <c r="G50" s="61">
        <f t="shared" si="36"/>
        <v>140928.85439441027</v>
      </c>
      <c r="H50" s="61">
        <f t="shared" si="36"/>
        <v>141421.17446269031</v>
      </c>
      <c r="I50" s="61">
        <f t="shared" si="36"/>
        <v>141893.21177617391</v>
      </c>
      <c r="J50" s="61">
        <f t="shared" si="36"/>
        <v>142393.51663761871</v>
      </c>
      <c r="K50" s="61">
        <f t="shared" si="36"/>
        <v>142867.78802017018</v>
      </c>
      <c r="L50" s="61">
        <f t="shared" si="36"/>
        <v>143319.56185054738</v>
      </c>
      <c r="M50" s="61">
        <f t="shared" si="36"/>
        <v>143748.67316395364</v>
      </c>
      <c r="N50" s="61">
        <f t="shared" si="36"/>
        <v>144169.50176531833</v>
      </c>
      <c r="O50" s="61">
        <f t="shared" si="36"/>
        <v>144570.91710266354</v>
      </c>
      <c r="P50" s="61">
        <f t="shared" si="36"/>
        <v>144962.16263052454</v>
      </c>
      <c r="Q50" s="61">
        <f t="shared" si="36"/>
        <v>145339.92929624941</v>
      </c>
      <c r="R50" s="61">
        <f t="shared" si="36"/>
        <v>145690.40458760969</v>
      </c>
      <c r="S50" s="61">
        <f t="shared" si="36"/>
        <v>146034.5285525588</v>
      </c>
      <c r="T50" s="61">
        <f t="shared" si="36"/>
        <v>146379.49038419867</v>
      </c>
      <c r="U50" s="61">
        <f t="shared" si="36"/>
        <v>146719.90886680147</v>
      </c>
      <c r="V50" s="61">
        <f t="shared" si="36"/>
        <v>147035.81721865706</v>
      </c>
      <c r="W50" s="61">
        <f t="shared" si="36"/>
        <v>147351.72557051244</v>
      </c>
      <c r="X50" s="61">
        <f t="shared" si="36"/>
        <v>147667.63392236791</v>
      </c>
      <c r="Y50" s="61">
        <f t="shared" si="36"/>
        <v>147980.81892636235</v>
      </c>
      <c r="Z50" s="61">
        <f t="shared" si="36"/>
        <v>148261.32375602721</v>
      </c>
      <c r="AA50" s="61">
        <f t="shared" si="36"/>
        <v>148539.10523783101</v>
      </c>
      <c r="AB50" s="61">
        <f t="shared" si="36"/>
        <v>148816.88671963481</v>
      </c>
      <c r="AC50" s="61">
        <f t="shared" si="36"/>
        <v>149097.39154929947</v>
      </c>
      <c r="AD50" s="61">
        <f t="shared" si="36"/>
        <v>149334.32281319093</v>
      </c>
      <c r="AE50" s="61">
        <f t="shared" si="36"/>
        <v>149571.25407708288</v>
      </c>
    </row>
    <row r="51" spans="1:31" s="80" customFormat="1" x14ac:dyDescent="0.35">
      <c r="A51" s="87" t="s">
        <v>30</v>
      </c>
      <c r="B51" s="9">
        <f>NPV('Cost Assumptions'!$B$3,'SCE Orange County'!D51:'SCE Orange County'!AE51)</f>
        <v>735410.36547107692</v>
      </c>
      <c r="C51" s="85" t="s">
        <v>142</v>
      </c>
      <c r="D51" s="61">
        <f t="shared" si="34"/>
        <v>50540.961878126698</v>
      </c>
      <c r="E51" s="61">
        <f t="shared" si="34"/>
        <v>55182.661314777251</v>
      </c>
      <c r="F51" s="61">
        <f t="shared" ref="F51:AE51" si="37">F15-F26</f>
        <v>59985.695671841087</v>
      </c>
      <c r="G51" s="61">
        <f t="shared" si="37"/>
        <v>62931.79444628911</v>
      </c>
      <c r="H51" s="61">
        <f t="shared" si="37"/>
        <v>65894.903800685512</v>
      </c>
      <c r="I51" s="61">
        <f t="shared" si="37"/>
        <v>68822.75999743228</v>
      </c>
      <c r="J51" s="61">
        <f t="shared" si="37"/>
        <v>72067.296967520087</v>
      </c>
      <c r="K51" s="61">
        <f t="shared" si="37"/>
        <v>75347.157667363703</v>
      </c>
      <c r="L51" s="61">
        <f t="shared" si="37"/>
        <v>78698.484592757333</v>
      </c>
      <c r="M51" s="61">
        <f t="shared" si="37"/>
        <v>82123.516381031091</v>
      </c>
      <c r="N51" s="61">
        <f t="shared" si="37"/>
        <v>85667.922890979346</v>
      </c>
      <c r="O51" s="61">
        <f t="shared" si="37"/>
        <v>89210.137456256605</v>
      </c>
      <c r="P51" s="61">
        <f t="shared" si="37"/>
        <v>92847.44392735757</v>
      </c>
      <c r="Q51" s="61">
        <f t="shared" si="37"/>
        <v>96491.663434896778</v>
      </c>
      <c r="R51" s="61">
        <f t="shared" si="37"/>
        <v>100042.05883873062</v>
      </c>
      <c r="S51" s="61">
        <f t="shared" si="37"/>
        <v>103633.69816724668</v>
      </c>
      <c r="T51" s="61">
        <f t="shared" si="37"/>
        <v>107303.53236934287</v>
      </c>
      <c r="U51" s="61">
        <f t="shared" si="37"/>
        <v>110990.83018714428</v>
      </c>
      <c r="V51" s="61">
        <f t="shared" si="37"/>
        <v>114465.16881849177</v>
      </c>
      <c r="W51" s="61">
        <f t="shared" si="37"/>
        <v>117969.80491729156</v>
      </c>
      <c r="X51" s="61">
        <f t="shared" si="37"/>
        <v>121545.56957698612</v>
      </c>
      <c r="Y51" s="61">
        <f t="shared" si="37"/>
        <v>125149.47248614291</v>
      </c>
      <c r="Z51" s="61">
        <f t="shared" si="37"/>
        <v>128371.11462468494</v>
      </c>
      <c r="AA51" s="61">
        <f t="shared" si="37"/>
        <v>131544.04264389517</v>
      </c>
      <c r="AB51" s="61">
        <f t="shared" si="37"/>
        <v>134727.01033647149</v>
      </c>
      <c r="AC51" s="61">
        <f t="shared" si="37"/>
        <v>137930.61279541891</v>
      </c>
      <c r="AD51" s="61">
        <f t="shared" si="37"/>
        <v>140665.53577038218</v>
      </c>
      <c r="AE51" s="61">
        <f t="shared" si="37"/>
        <v>143401.06557781296</v>
      </c>
    </row>
    <row r="52" spans="1:31" x14ac:dyDescent="0.35">
      <c r="A52" s="87" t="s">
        <v>39</v>
      </c>
      <c r="B52" s="9">
        <f>NPV('Cost Assumptions'!$B$3,'SCE Orange County'!D52:'SCE Orange County'!AE52)</f>
        <v>20371.84470194019</v>
      </c>
      <c r="C52" s="87" t="s">
        <v>31</v>
      </c>
      <c r="D52" s="61">
        <f t="shared" ref="D52" si="38">D8-D27</f>
        <v>49.800000000000182</v>
      </c>
      <c r="E52" s="61">
        <f t="shared" ref="E52:AE52" si="39">E8-E27</f>
        <v>129.00000000000023</v>
      </c>
      <c r="F52" s="61">
        <f t="shared" si="39"/>
        <v>258.75000000000023</v>
      </c>
      <c r="G52" s="61">
        <f t="shared" si="39"/>
        <v>388.50000000000023</v>
      </c>
      <c r="H52" s="61">
        <f t="shared" si="39"/>
        <v>518.25000000000023</v>
      </c>
      <c r="I52" s="61">
        <f t="shared" si="39"/>
        <v>648.00000000000023</v>
      </c>
      <c r="J52" s="61">
        <f t="shared" si="39"/>
        <v>777.75000000000023</v>
      </c>
      <c r="K52" s="61">
        <f t="shared" si="39"/>
        <v>907.5</v>
      </c>
      <c r="L52" s="61">
        <f t="shared" si="39"/>
        <v>1246.7</v>
      </c>
      <c r="M52" s="61">
        <f t="shared" si="39"/>
        <v>1585.9</v>
      </c>
      <c r="N52" s="61">
        <f t="shared" si="39"/>
        <v>1925.1000000000001</v>
      </c>
      <c r="O52" s="61">
        <f t="shared" si="39"/>
        <v>2264.3000000000002</v>
      </c>
      <c r="P52" s="61">
        <f t="shared" si="39"/>
        <v>2843.6833333333334</v>
      </c>
      <c r="Q52" s="61">
        <f t="shared" si="39"/>
        <v>3386.4266666666667</v>
      </c>
      <c r="R52" s="61">
        <f t="shared" si="39"/>
        <v>3929.17</v>
      </c>
      <c r="S52" s="61">
        <f t="shared" si="39"/>
        <v>4471.913333333333</v>
      </c>
      <c r="T52" s="61">
        <f t="shared" si="39"/>
        <v>5014.6566666666668</v>
      </c>
      <c r="U52" s="61">
        <f t="shared" si="39"/>
        <v>5557.4</v>
      </c>
      <c r="V52" s="61">
        <f t="shared" si="39"/>
        <v>6316.1599999999989</v>
      </c>
      <c r="W52" s="61">
        <f t="shared" si="39"/>
        <v>7074.9199999999992</v>
      </c>
      <c r="X52" s="61">
        <f t="shared" si="39"/>
        <v>7833.6799999999994</v>
      </c>
      <c r="Y52" s="61">
        <f t="shared" si="39"/>
        <v>8592.4399999999987</v>
      </c>
      <c r="Z52" s="61">
        <f t="shared" si="39"/>
        <v>9351.1999999999989</v>
      </c>
      <c r="AA52" s="61">
        <f t="shared" si="39"/>
        <v>10100.32</v>
      </c>
      <c r="AB52" s="61">
        <f t="shared" si="39"/>
        <v>10849.44</v>
      </c>
      <c r="AC52" s="61">
        <f t="shared" si="39"/>
        <v>11598.560000000001</v>
      </c>
      <c r="AD52" s="61">
        <f t="shared" si="39"/>
        <v>12347.680000000002</v>
      </c>
      <c r="AE52" s="61">
        <f t="shared" si="39"/>
        <v>13096.800000000003</v>
      </c>
    </row>
    <row r="53" spans="1:31" x14ac:dyDescent="0.35">
      <c r="A53" s="87" t="s">
        <v>39</v>
      </c>
      <c r="B53" s="9">
        <f>NPV('Cost Assumptions'!$B$3,'SCE Orange County'!D53:'SCE Orange County'!AE53)</f>
        <v>1184.7371992045855</v>
      </c>
      <c r="C53" s="87" t="s">
        <v>32</v>
      </c>
      <c r="D53" s="61">
        <f t="shared" ref="D53" si="40">D9-D28</f>
        <v>22.400000000000091</v>
      </c>
      <c r="E53" s="61">
        <f t="shared" ref="E53:AE53" si="41">E9-E28</f>
        <v>42.200000000000045</v>
      </c>
      <c r="F53" s="61">
        <f t="shared" si="41"/>
        <v>57.06666666666672</v>
      </c>
      <c r="G53" s="61">
        <f t="shared" si="41"/>
        <v>71.933333333333394</v>
      </c>
      <c r="H53" s="61">
        <f t="shared" si="41"/>
        <v>86.800000000000068</v>
      </c>
      <c r="I53" s="61">
        <f t="shared" si="41"/>
        <v>101.66666666666674</v>
      </c>
      <c r="J53" s="61">
        <f t="shared" si="41"/>
        <v>116.53333333333342</v>
      </c>
      <c r="K53" s="61">
        <f t="shared" si="41"/>
        <v>131.40000000000009</v>
      </c>
      <c r="L53" s="61">
        <f t="shared" si="41"/>
        <v>146.05000000000007</v>
      </c>
      <c r="M53" s="61">
        <f t="shared" si="41"/>
        <v>160.70000000000005</v>
      </c>
      <c r="N53" s="61">
        <f t="shared" si="41"/>
        <v>175.35000000000002</v>
      </c>
      <c r="O53" s="61">
        <f t="shared" si="41"/>
        <v>190</v>
      </c>
      <c r="P53" s="61">
        <f t="shared" si="41"/>
        <v>205</v>
      </c>
      <c r="Q53" s="61">
        <f t="shared" si="41"/>
        <v>209.08</v>
      </c>
      <c r="R53" s="61">
        <f t="shared" si="41"/>
        <v>213.16000000000003</v>
      </c>
      <c r="S53" s="61">
        <f t="shared" si="41"/>
        <v>217.24000000000007</v>
      </c>
      <c r="T53" s="61">
        <f t="shared" si="41"/>
        <v>221.32000000000008</v>
      </c>
      <c r="U53" s="61">
        <f t="shared" si="41"/>
        <v>225.40000000000009</v>
      </c>
      <c r="V53" s="61">
        <f t="shared" si="41"/>
        <v>227.76000000000008</v>
      </c>
      <c r="W53" s="61">
        <f t="shared" si="41"/>
        <v>230.12000000000006</v>
      </c>
      <c r="X53" s="61">
        <f t="shared" si="41"/>
        <v>232.48000000000005</v>
      </c>
      <c r="Y53" s="61">
        <f t="shared" si="41"/>
        <v>234.84000000000003</v>
      </c>
      <c r="Z53" s="61">
        <f t="shared" si="41"/>
        <v>237.20000000000005</v>
      </c>
      <c r="AA53" s="61">
        <f t="shared" si="41"/>
        <v>240.16000000000003</v>
      </c>
      <c r="AB53" s="61">
        <f t="shared" si="41"/>
        <v>243.11999999999998</v>
      </c>
      <c r="AC53" s="61">
        <f t="shared" si="41"/>
        <v>246.07999999999996</v>
      </c>
      <c r="AD53" s="61">
        <f t="shared" si="41"/>
        <v>249.03999999999994</v>
      </c>
      <c r="AE53" s="61">
        <f t="shared" si="41"/>
        <v>252</v>
      </c>
    </row>
    <row r="54" spans="1:31" x14ac:dyDescent="0.35">
      <c r="A54" s="87" t="s">
        <v>39</v>
      </c>
      <c r="B54" s="9">
        <f>NPV('Cost Assumptions'!$B$3,'SCE Orange County'!D54:'SCE Orange County'!AE54)</f>
        <v>1742.050794926779</v>
      </c>
      <c r="C54" s="87" t="s">
        <v>33</v>
      </c>
      <c r="D54" s="61">
        <f t="shared" ref="D54" si="42">D10-D29</f>
        <v>0.21200232326290805</v>
      </c>
      <c r="E54" s="61">
        <f t="shared" ref="E54:AE54" si="43">E10-E29</f>
        <v>0.68645330574586072</v>
      </c>
      <c r="F54" s="61">
        <f t="shared" si="43"/>
        <v>3.6304865724427344</v>
      </c>
      <c r="G54" s="61">
        <f t="shared" si="43"/>
        <v>6.574519839139608</v>
      </c>
      <c r="H54" s="61">
        <f t="shared" si="43"/>
        <v>9.5185531058364816</v>
      </c>
      <c r="I54" s="61">
        <f t="shared" si="43"/>
        <v>12.462586372533355</v>
      </c>
      <c r="J54" s="61">
        <f t="shared" si="43"/>
        <v>15.406619639230229</v>
      </c>
      <c r="K54" s="61">
        <f t="shared" si="43"/>
        <v>18.350652905927102</v>
      </c>
      <c r="L54" s="61">
        <f t="shared" si="43"/>
        <v>36.053857953636381</v>
      </c>
      <c r="M54" s="61">
        <f t="shared" si="43"/>
        <v>53.757063001345664</v>
      </c>
      <c r="N54" s="61">
        <f t="shared" si="43"/>
        <v>71.460268049054946</v>
      </c>
      <c r="O54" s="61">
        <f t="shared" si="43"/>
        <v>89.163473096764235</v>
      </c>
      <c r="P54" s="61">
        <f t="shared" si="43"/>
        <v>144.562613999387</v>
      </c>
      <c r="Q54" s="61">
        <f t="shared" si="43"/>
        <v>199.75921559040404</v>
      </c>
      <c r="R54" s="61">
        <f t="shared" si="43"/>
        <v>254.95581718142108</v>
      </c>
      <c r="S54" s="61">
        <f t="shared" si="43"/>
        <v>310.15241877243818</v>
      </c>
      <c r="T54" s="61">
        <f t="shared" si="43"/>
        <v>365.34902036345522</v>
      </c>
      <c r="U54" s="61">
        <f t="shared" si="43"/>
        <v>420.54562195447221</v>
      </c>
      <c r="V54" s="61">
        <f t="shared" si="43"/>
        <v>549.80233112563815</v>
      </c>
      <c r="W54" s="61">
        <f t="shared" si="43"/>
        <v>679.05904029680426</v>
      </c>
      <c r="X54" s="61">
        <f t="shared" si="43"/>
        <v>808.31574946797025</v>
      </c>
      <c r="Y54" s="61">
        <f t="shared" si="43"/>
        <v>937.57245863913624</v>
      </c>
      <c r="Z54" s="61">
        <f t="shared" si="43"/>
        <v>1066.8291678103024</v>
      </c>
      <c r="AA54" s="61">
        <f t="shared" si="43"/>
        <v>1283.8953299521067</v>
      </c>
      <c r="AB54" s="61">
        <f t="shared" si="43"/>
        <v>1500.9614920939114</v>
      </c>
      <c r="AC54" s="61">
        <f t="shared" si="43"/>
        <v>1718.027654235716</v>
      </c>
      <c r="AD54" s="61">
        <f t="shared" si="43"/>
        <v>1935.0938163775206</v>
      </c>
      <c r="AE54" s="61">
        <f t="shared" si="43"/>
        <v>2152.1599785193248</v>
      </c>
    </row>
    <row r="55" spans="1:31" x14ac:dyDescent="0.35">
      <c r="A55" s="87" t="s">
        <v>39</v>
      </c>
      <c r="B55" s="9">
        <f>NPV('Cost Assumptions'!$B$3,'SCE Orange County'!D55:'SCE Orange County'!AE55)</f>
        <v>21.647586295629861</v>
      </c>
      <c r="C55" s="87" t="s">
        <v>34</v>
      </c>
      <c r="D55" s="61">
        <f t="shared" ref="D55" si="44">D11-D30</f>
        <v>5.3000580815727012E-2</v>
      </c>
      <c r="E55" s="61">
        <f t="shared" ref="E55:AE55" si="45">E11-E30</f>
        <v>0.13729066114917213</v>
      </c>
      <c r="F55" s="61">
        <f t="shared" si="45"/>
        <v>0.27537952381665309</v>
      </c>
      <c r="G55" s="61">
        <f t="shared" si="45"/>
        <v>0.41346838648413409</v>
      </c>
      <c r="H55" s="61">
        <f t="shared" si="45"/>
        <v>0.55155724915161508</v>
      </c>
      <c r="I55" s="61">
        <f t="shared" si="45"/>
        <v>0.68964611181909607</v>
      </c>
      <c r="J55" s="61">
        <f t="shared" si="45"/>
        <v>0.82773497448657707</v>
      </c>
      <c r="K55" s="61">
        <f t="shared" si="45"/>
        <v>0.96582383715405795</v>
      </c>
      <c r="L55" s="61">
        <f t="shared" si="45"/>
        <v>1.3268237771680045</v>
      </c>
      <c r="M55" s="61">
        <f t="shared" si="45"/>
        <v>1.687823717181951</v>
      </c>
      <c r="N55" s="61">
        <f t="shared" si="45"/>
        <v>2.0488236571958973</v>
      </c>
      <c r="O55" s="61">
        <f t="shared" si="45"/>
        <v>2.4098235972098441</v>
      </c>
      <c r="P55" s="61">
        <f t="shared" si="45"/>
        <v>3.0264431390094124</v>
      </c>
      <c r="Q55" s="61">
        <f t="shared" si="45"/>
        <v>3.6025548184878406</v>
      </c>
      <c r="R55" s="61">
        <f t="shared" si="45"/>
        <v>4.1786664979662689</v>
      </c>
      <c r="S55" s="61">
        <f t="shared" si="45"/>
        <v>4.7547781774446962</v>
      </c>
      <c r="T55" s="61">
        <f t="shared" si="45"/>
        <v>5.3308898569231244</v>
      </c>
      <c r="U55" s="61">
        <f t="shared" si="45"/>
        <v>5.9070015364015518</v>
      </c>
      <c r="V55" s="61">
        <f t="shared" si="45"/>
        <v>6.7116089529099341</v>
      </c>
      <c r="W55" s="61">
        <f t="shared" si="45"/>
        <v>7.5162163694183164</v>
      </c>
      <c r="X55" s="61">
        <f t="shared" si="45"/>
        <v>8.3208237859266969</v>
      </c>
      <c r="Y55" s="61">
        <f t="shared" si="45"/>
        <v>9.1254312024350792</v>
      </c>
      <c r="Z55" s="61">
        <f t="shared" si="45"/>
        <v>9.9300386189434615</v>
      </c>
      <c r="AA55" s="61">
        <f t="shared" si="45"/>
        <v>10.719959635874178</v>
      </c>
      <c r="AB55" s="61">
        <f t="shared" si="45"/>
        <v>11.509880652804892</v>
      </c>
      <c r="AC55" s="61">
        <f t="shared" si="45"/>
        <v>12.299801669735608</v>
      </c>
      <c r="AD55" s="61">
        <f t="shared" si="45"/>
        <v>13.089722686666322</v>
      </c>
      <c r="AE55" s="61">
        <f t="shared" si="45"/>
        <v>13.87964370359704</v>
      </c>
    </row>
    <row r="56" spans="1:31" x14ac:dyDescent="0.35">
      <c r="A56" s="87" t="s">
        <v>39</v>
      </c>
      <c r="B56" s="9">
        <f>NPV('Cost Assumptions'!$B$3,'SCE Orange County'!D56:'SCE Orange County'!AE56)</f>
        <v>267.11565583115612</v>
      </c>
      <c r="C56" s="87" t="s">
        <v>35</v>
      </c>
      <c r="D56" s="61">
        <f t="shared" ref="D56" si="46">D12-D31</f>
        <v>4</v>
      </c>
      <c r="E56" s="61">
        <f t="shared" ref="E56:AE56" si="47">E12-E31</f>
        <v>5</v>
      </c>
      <c r="F56" s="61">
        <f t="shared" si="47"/>
        <v>7.3333333333333339</v>
      </c>
      <c r="G56" s="61">
        <f t="shared" si="47"/>
        <v>9.6666666666666679</v>
      </c>
      <c r="H56" s="61">
        <f t="shared" si="47"/>
        <v>12.000000000000002</v>
      </c>
      <c r="I56" s="61">
        <f t="shared" si="47"/>
        <v>14.333333333333336</v>
      </c>
      <c r="J56" s="61">
        <f t="shared" si="47"/>
        <v>16.666666666666668</v>
      </c>
      <c r="K56" s="61">
        <f t="shared" si="47"/>
        <v>19</v>
      </c>
      <c r="L56" s="61">
        <f t="shared" si="47"/>
        <v>23.5</v>
      </c>
      <c r="M56" s="61">
        <f t="shared" si="47"/>
        <v>28</v>
      </c>
      <c r="N56" s="61">
        <f t="shared" si="47"/>
        <v>32.5</v>
      </c>
      <c r="O56" s="61">
        <f t="shared" si="47"/>
        <v>37</v>
      </c>
      <c r="P56" s="61">
        <f t="shared" si="47"/>
        <v>42.333333333333336</v>
      </c>
      <c r="Q56" s="61">
        <f t="shared" si="47"/>
        <v>46.666666666666671</v>
      </c>
      <c r="R56" s="61">
        <f t="shared" si="47"/>
        <v>51.000000000000007</v>
      </c>
      <c r="S56" s="61">
        <f t="shared" si="47"/>
        <v>55.333333333333343</v>
      </c>
      <c r="T56" s="61">
        <f t="shared" si="47"/>
        <v>59.666666666666679</v>
      </c>
      <c r="U56" s="61">
        <f t="shared" si="47"/>
        <v>64</v>
      </c>
      <c r="V56" s="61">
        <f t="shared" si="47"/>
        <v>69.399999999999991</v>
      </c>
      <c r="W56" s="61">
        <f t="shared" si="47"/>
        <v>74.799999999999983</v>
      </c>
      <c r="X56" s="61">
        <f t="shared" si="47"/>
        <v>80.199999999999989</v>
      </c>
      <c r="Y56" s="61">
        <f t="shared" si="47"/>
        <v>85.59999999999998</v>
      </c>
      <c r="Z56" s="61">
        <f t="shared" si="47"/>
        <v>91</v>
      </c>
      <c r="AA56" s="61">
        <f t="shared" si="47"/>
        <v>95.8</v>
      </c>
      <c r="AB56" s="61">
        <f t="shared" si="47"/>
        <v>100.6</v>
      </c>
      <c r="AC56" s="61">
        <f t="shared" si="47"/>
        <v>105.4</v>
      </c>
      <c r="AD56" s="61">
        <f t="shared" si="47"/>
        <v>110.2</v>
      </c>
      <c r="AE56" s="61">
        <f t="shared" si="47"/>
        <v>115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4146212.9365818282</v>
      </c>
      <c r="D65" s="5">
        <f>'Baseline System Analysis'!D24-D34</f>
        <v>2003.2135593371349</v>
      </c>
      <c r="E65" s="5">
        <f>'Baseline System Analysis'!E24-E34</f>
        <v>5296.9624072716897</v>
      </c>
      <c r="F65" s="5">
        <f>'Baseline System Analysis'!F24-F34</f>
        <v>13157.712564219546</v>
      </c>
      <c r="G65" s="5">
        <f>'Baseline System Analysis'!G24-G34</f>
        <v>21018.462721167405</v>
      </c>
      <c r="H65" s="5">
        <f>'Baseline System Analysis'!H24-H34</f>
        <v>28879.212878115264</v>
      </c>
      <c r="I65" s="5">
        <f>'Baseline System Analysis'!I24-I34</f>
        <v>36739.96303506312</v>
      </c>
      <c r="J65" s="5">
        <f>'Baseline System Analysis'!J24-J34</f>
        <v>44600.713192010975</v>
      </c>
      <c r="K65" s="5">
        <f>'Baseline System Analysis'!K24-K34</f>
        <v>52461.463348958838</v>
      </c>
      <c r="L65" s="5">
        <f>'Baseline System Analysis'!L24-L34</f>
        <v>94815.573602075703</v>
      </c>
      <c r="M65" s="5">
        <f>'Baseline System Analysis'!M24-M34</f>
        <v>137169.68385519256</v>
      </c>
      <c r="N65" s="5">
        <f>'Baseline System Analysis'!N24-N34</f>
        <v>179523.79410830943</v>
      </c>
      <c r="O65" s="5">
        <f>'Baseline System Analysis'!O24-O34</f>
        <v>221877.90436142628</v>
      </c>
      <c r="P65" s="5">
        <f>'Baseline System Analysis'!P24-P34</f>
        <v>360669.32994754793</v>
      </c>
      <c r="Q65" s="5">
        <f>'Baseline System Analysis'!Q24-Q34</f>
        <v>489470.21376838209</v>
      </c>
      <c r="R65" s="5">
        <f>'Baseline System Analysis'!R24-R34</f>
        <v>618271.0975892162</v>
      </c>
      <c r="S65" s="5">
        <f>'Baseline System Analysis'!S24-S34</f>
        <v>747071.98141005018</v>
      </c>
      <c r="T65" s="5">
        <f>'Baseline System Analysis'!T24-T34</f>
        <v>875872.86523088417</v>
      </c>
      <c r="U65" s="5">
        <f>'Baseline System Analysis'!U24-U34</f>
        <v>1004673.7490517185</v>
      </c>
      <c r="V65" s="5">
        <f>'Baseline System Analysis'!V24-V34</f>
        <v>1310151.2848195611</v>
      </c>
      <c r="W65" s="5">
        <f>'Baseline System Analysis'!W24-W34</f>
        <v>1615628.8205874034</v>
      </c>
      <c r="X65" s="5">
        <f>'Baseline System Analysis'!X24-X34</f>
        <v>1921106.3563552457</v>
      </c>
      <c r="Y65" s="5">
        <f>'Baseline System Analysis'!Y24-Y34</f>
        <v>2226583.8921230882</v>
      </c>
      <c r="Z65" s="5">
        <f>'Baseline System Analysis'!Z24-Z34</f>
        <v>2532061.4278909308</v>
      </c>
      <c r="AA65" s="5">
        <f>'Baseline System Analysis'!AA24-AA34</f>
        <v>3005188.4259726149</v>
      </c>
      <c r="AB65" s="5">
        <f>'Baseline System Analysis'!AB24-AB34</f>
        <v>3478315.4240542985</v>
      </c>
      <c r="AC65" s="5">
        <f>'Baseline System Analysis'!AC24-AC34</f>
        <v>3951442.4221359827</v>
      </c>
      <c r="AD65" s="5">
        <f>'Baseline System Analysis'!AD24-AD34</f>
        <v>4424569.4202176668</v>
      </c>
      <c r="AE65" s="5">
        <f>'Baseline System Analysis'!AE24-AE34</f>
        <v>4897696.4182993509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17204651.824130863</v>
      </c>
      <c r="D66" s="5">
        <f>'Baseline System Analysis'!D25-D35</f>
        <v>8312.3062768180462</v>
      </c>
      <c r="E66" s="5">
        <f>'Baseline System Analysis'!E25-E35</f>
        <v>21979.670445423333</v>
      </c>
      <c r="F66" s="5">
        <f>'Baseline System Analysis'!F25-F35</f>
        <v>54597.741826548321</v>
      </c>
      <c r="G66" s="5">
        <f>'Baseline System Analysis'!G25-G35</f>
        <v>87215.813207673316</v>
      </c>
      <c r="H66" s="5">
        <f>'Baseline System Analysis'!H25-H35</f>
        <v>119833.8845887983</v>
      </c>
      <c r="I66" s="5">
        <f>'Baseline System Analysis'!I25-I35</f>
        <v>152451.95596992329</v>
      </c>
      <c r="J66" s="5">
        <f>'Baseline System Analysis'!J25-J35</f>
        <v>185070.02735104825</v>
      </c>
      <c r="K66" s="5">
        <f>'Baseline System Analysis'!K25-K35</f>
        <v>217688.09873217324</v>
      </c>
      <c r="L66" s="5">
        <f>'Baseline System Analysis'!L25-L35</f>
        <v>393435.87902501627</v>
      </c>
      <c r="M66" s="5">
        <f>'Baseline System Analysis'!M25-M35</f>
        <v>569183.65931785933</v>
      </c>
      <c r="N66" s="5">
        <f>'Baseline System Analysis'!N25-N35</f>
        <v>744931.43961070245</v>
      </c>
      <c r="O66" s="5">
        <f>'Baseline System Analysis'!O25-O35</f>
        <v>920679.21990354545</v>
      </c>
      <c r="P66" s="5">
        <f>'Baseline System Analysis'!P25-P35</f>
        <v>1496592.2735521023</v>
      </c>
      <c r="Q66" s="5">
        <f>'Baseline System Analysis'!Q25-Q35</f>
        <v>2031049.7157221246</v>
      </c>
      <c r="R66" s="5">
        <f>'Baseline System Analysis'!R25-R35</f>
        <v>2565507.1578921471</v>
      </c>
      <c r="S66" s="5">
        <f>'Baseline System Analysis'!S25-S35</f>
        <v>3099964.6000621691</v>
      </c>
      <c r="T66" s="5">
        <f>'Baseline System Analysis'!T25-T35</f>
        <v>3634422.0422321917</v>
      </c>
      <c r="U66" s="5">
        <f>'Baseline System Analysis'!U25-U35</f>
        <v>4168879.4844022137</v>
      </c>
      <c r="V66" s="5">
        <f>'Baseline System Analysis'!V25-V35</f>
        <v>5436454.1901316298</v>
      </c>
      <c r="W66" s="5">
        <f>'Baseline System Analysis'!W25-W35</f>
        <v>6704028.8958610455</v>
      </c>
      <c r="X66" s="5">
        <f>'Baseline System Analysis'!X25-X35</f>
        <v>7971603.6015904602</v>
      </c>
      <c r="Y66" s="5">
        <f>'Baseline System Analysis'!Y25-Y35</f>
        <v>9239178.3073198758</v>
      </c>
      <c r="Z66" s="5">
        <f>'Baseline System Analysis'!Z25-Z35</f>
        <v>10506753.013049293</v>
      </c>
      <c r="AA66" s="5">
        <f>'Baseline System Analysis'!AA25-AA35</f>
        <v>12469986.786880091</v>
      </c>
      <c r="AB66" s="5">
        <f>'Baseline System Analysis'!AB25-AB35</f>
        <v>14433220.560710888</v>
      </c>
      <c r="AC66" s="5">
        <f>'Baseline System Analysis'!AC25-AC35</f>
        <v>16396454.334541686</v>
      </c>
      <c r="AD66" s="5">
        <f>'Baseline System Analysis'!AD25-AD35</f>
        <v>18359688.108372483</v>
      </c>
      <c r="AE66" s="5">
        <f>'Baseline System Analysis'!AE25-AE35</f>
        <v>20322921.882203281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21350864.760712691</v>
      </c>
      <c r="D67" s="5">
        <f>SUM(D65:D66)</f>
        <v>10315.519836155181</v>
      </c>
      <c r="E67" s="5">
        <f>SUM(E65:E66)</f>
        <v>27276.632852695024</v>
      </c>
      <c r="F67" s="5">
        <f t="shared" ref="F67:AE67" si="48">SUM(F65:F66)</f>
        <v>67755.454390767874</v>
      </c>
      <c r="G67" s="5">
        <f t="shared" si="48"/>
        <v>108234.27592884073</v>
      </c>
      <c r="H67" s="5">
        <f t="shared" si="48"/>
        <v>148713.09746691358</v>
      </c>
      <c r="I67" s="5">
        <f t="shared" si="48"/>
        <v>189191.91900498641</v>
      </c>
      <c r="J67" s="5">
        <f t="shared" si="48"/>
        <v>229670.74054305922</v>
      </c>
      <c r="K67" s="5">
        <f t="shared" si="48"/>
        <v>270149.56208113208</v>
      </c>
      <c r="L67" s="5">
        <f t="shared" si="48"/>
        <v>488251.45262709196</v>
      </c>
      <c r="M67" s="5">
        <f t="shared" si="48"/>
        <v>706353.34317305195</v>
      </c>
      <c r="N67" s="5">
        <f t="shared" si="48"/>
        <v>924455.23371901189</v>
      </c>
      <c r="O67" s="5">
        <f t="shared" si="48"/>
        <v>1142557.1242649718</v>
      </c>
      <c r="P67" s="5">
        <f t="shared" si="48"/>
        <v>1857261.6034996503</v>
      </c>
      <c r="Q67" s="5">
        <f t="shared" si="48"/>
        <v>2520519.9294905066</v>
      </c>
      <c r="R67" s="5">
        <f t="shared" si="48"/>
        <v>3183778.2554813633</v>
      </c>
      <c r="S67" s="5">
        <f t="shared" si="48"/>
        <v>3847036.5814722194</v>
      </c>
      <c r="T67" s="5">
        <f t="shared" si="48"/>
        <v>4510294.9074630756</v>
      </c>
      <c r="U67" s="5">
        <f t="shared" si="48"/>
        <v>5173553.2334539322</v>
      </c>
      <c r="V67" s="5">
        <f t="shared" si="48"/>
        <v>6746605.4749511909</v>
      </c>
      <c r="W67" s="5">
        <f t="shared" si="48"/>
        <v>8319657.7164484486</v>
      </c>
      <c r="X67" s="5">
        <f t="shared" si="48"/>
        <v>9892709.9579457063</v>
      </c>
      <c r="Y67" s="5">
        <f t="shared" si="48"/>
        <v>11465762.199442964</v>
      </c>
      <c r="Z67" s="5">
        <f t="shared" si="48"/>
        <v>13038814.440940224</v>
      </c>
      <c r="AA67" s="5">
        <f t="shared" si="48"/>
        <v>15475175.212852705</v>
      </c>
      <c r="AB67" s="5">
        <f t="shared" si="48"/>
        <v>17911535.984765187</v>
      </c>
      <c r="AC67" s="5">
        <f t="shared" si="48"/>
        <v>20347896.756677669</v>
      </c>
      <c r="AD67" s="5">
        <f t="shared" si="48"/>
        <v>22784257.52859015</v>
      </c>
      <c r="AE67" s="5">
        <f t="shared" si="48"/>
        <v>25220618.300502632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115744145.60038824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2696419.0538857356</v>
      </c>
      <c r="J69" s="5">
        <f>'Baseline System Analysis'!J28-J32</f>
        <v>3587048.7001477713</v>
      </c>
      <c r="K69" s="5">
        <f>'Baseline System Analysis'!K28-K32</f>
        <v>4534084.5657563498</v>
      </c>
      <c r="L69" s="5">
        <f>'Baseline System Analysis'!L28-L32</f>
        <v>5693348.9186131302</v>
      </c>
      <c r="M69" s="5">
        <f>'Baseline System Analysis'!M28-M32</f>
        <v>7548985.0743932622</v>
      </c>
      <c r="N69" s="5">
        <f>'Baseline System Analysis'!N28-N32</f>
        <v>9794691.5976483021</v>
      </c>
      <c r="O69" s="5">
        <f>'Baseline System Analysis'!O28-O32</f>
        <v>12474348.375717288</v>
      </c>
      <c r="P69" s="5">
        <f>'Baseline System Analysis'!P28-P32</f>
        <v>15347020.983958816</v>
      </c>
      <c r="Q69" s="5">
        <f>'Baseline System Analysis'!Q28-Q32</f>
        <v>17758386.386796579</v>
      </c>
      <c r="R69" s="5">
        <f>'Baseline System Analysis'!R28-R32</f>
        <v>20622652.746980496</v>
      </c>
      <c r="S69" s="5">
        <f>'Baseline System Analysis'!S28-S32</f>
        <v>23950766.339180119</v>
      </c>
      <c r="T69" s="5">
        <f>'Baseline System Analysis'!T28-T32</f>
        <v>27587434.632023141</v>
      </c>
      <c r="U69" s="5">
        <f>'Baseline System Analysis'!U28-U32</f>
        <v>31741320.698247302</v>
      </c>
      <c r="V69" s="5">
        <f>'Baseline System Analysis'!V28-V32</f>
        <v>36371571.844314508</v>
      </c>
      <c r="W69" s="5">
        <f>'Baseline System Analysis'!W28-W32</f>
        <v>41723317.000415921</v>
      </c>
      <c r="X69" s="5">
        <f>'Baseline System Analysis'!X28-X32</f>
        <v>46666347.938406132</v>
      </c>
      <c r="Y69" s="5">
        <f>'Baseline System Analysis'!Y28-Y32</f>
        <v>51685235.542881787</v>
      </c>
      <c r="Z69" s="5">
        <f>'Baseline System Analysis'!Z28-Z32</f>
        <v>57131638.578941338</v>
      </c>
      <c r="AA69" s="5">
        <f>'Baseline System Analysis'!AA28-AA32</f>
        <v>62341603.600813486</v>
      </c>
      <c r="AB69" s="5">
        <f>'Baseline System Analysis'!AB28-AB32</f>
        <v>68687348.343477532</v>
      </c>
      <c r="AC69" s="5">
        <f>'Baseline System Analysis'!AC28-AC32</f>
        <v>75589326.993243083</v>
      </c>
      <c r="AD69" s="5">
        <f>'Baseline System Analysis'!AD28-AD32</f>
        <v>80341239.469745755</v>
      </c>
      <c r="AE69" s="5">
        <f>'Baseline System Analysis'!AE28-AE32</f>
        <v>88465069.578873158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494155901.4942224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11935292.094424136</v>
      </c>
      <c r="J70" s="5">
        <f>'Baseline System Analysis'!J29-J33</f>
        <v>15941642.32252172</v>
      </c>
      <c r="K70" s="5">
        <f>'Baseline System Analysis'!K29-K33</f>
        <v>19613619.815275714</v>
      </c>
      <c r="L70" s="5">
        <f>'Baseline System Analysis'!L29-L33</f>
        <v>24661704.485005222</v>
      </c>
      <c r="M70" s="5">
        <f>'Baseline System Analysis'!M29-M33</f>
        <v>32796387.723990619</v>
      </c>
      <c r="N70" s="5">
        <f>'Baseline System Analysis'!N29-N33</f>
        <v>43151911.473019019</v>
      </c>
      <c r="O70" s="5">
        <f>'Baseline System Analysis'!O29-O33</f>
        <v>55866474.738844089</v>
      </c>
      <c r="P70" s="5">
        <f>'Baseline System Analysis'!P29-P33</f>
        <v>68637387.043348879</v>
      </c>
      <c r="Q70" s="5">
        <f>'Baseline System Analysis'!Q29-Q33</f>
        <v>77066166.006563187</v>
      </c>
      <c r="R70" s="5">
        <f>'Baseline System Analysis'!R29-R33</f>
        <v>88282983.474088922</v>
      </c>
      <c r="S70" s="5">
        <f>'Baseline System Analysis'!S29-S33</f>
        <v>102741449.20330852</v>
      </c>
      <c r="T70" s="5">
        <f>'Baseline System Analysis'!T29-T33</f>
        <v>117665560.5431058</v>
      </c>
      <c r="U70" s="5">
        <f>'Baseline System Analysis'!U29-U33</f>
        <v>134254403.48859766</v>
      </c>
      <c r="V70" s="5">
        <f>'Baseline System Analysis'!V29-V33</f>
        <v>154543031.992515</v>
      </c>
      <c r="W70" s="5">
        <f>'Baseline System Analysis'!W29-W33</f>
        <v>177075859.00060838</v>
      </c>
      <c r="X70" s="5">
        <f>'Baseline System Analysis'!X29-X33</f>
        <v>195935357.25569829</v>
      </c>
      <c r="Y70" s="5">
        <f>'Baseline System Analysis'!Y29-Y33</f>
        <v>217286134.03172976</v>
      </c>
      <c r="Z70" s="5">
        <f>'Baseline System Analysis'!Z29-Z33</f>
        <v>239679344.52001038</v>
      </c>
      <c r="AA70" s="5">
        <f>'Baseline System Analysis'!AA29-AA33</f>
        <v>259644693.61446956</v>
      </c>
      <c r="AB70" s="5">
        <f>'Baseline System Analysis'!AB29-AB33</f>
        <v>285351965.36387962</v>
      </c>
      <c r="AC70" s="5">
        <f>'Baseline System Analysis'!AC29-AC33</f>
        <v>314742732.0651015</v>
      </c>
      <c r="AD70" s="5">
        <f>'Baseline System Analysis'!AD29-AD33</f>
        <v>329129734.12073725</v>
      </c>
      <c r="AE70" s="5">
        <f>'Baseline System Analysis'!AE29-AE33</f>
        <v>355270768.00975686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609900047.09461057</v>
      </c>
      <c r="D71" s="5">
        <f>SUM(D69:D70)</f>
        <v>1938540.0424908805</v>
      </c>
      <c r="E71" s="5">
        <f>SUM(E69:E70)</f>
        <v>5093845.8447473096</v>
      </c>
      <c r="F71" s="5">
        <f t="shared" ref="F71:AE71" si="49">SUM(F69:F70)</f>
        <v>7741142.53278674</v>
      </c>
      <c r="G71" s="5">
        <f t="shared" si="49"/>
        <v>10801761.726361772</v>
      </c>
      <c r="H71" s="5">
        <f t="shared" si="49"/>
        <v>12982259.988815472</v>
      </c>
      <c r="I71" s="5">
        <f t="shared" si="49"/>
        <v>14631711.148309872</v>
      </c>
      <c r="J71" s="5">
        <f t="shared" si="49"/>
        <v>19528691.02266949</v>
      </c>
      <c r="K71" s="5">
        <f t="shared" si="49"/>
        <v>24147704.381032065</v>
      </c>
      <c r="L71" s="5">
        <f t="shared" si="49"/>
        <v>30355053.403618351</v>
      </c>
      <c r="M71" s="5">
        <f t="shared" si="49"/>
        <v>40345372.798383884</v>
      </c>
      <c r="N71" s="5">
        <f t="shared" si="49"/>
        <v>52946603.070667319</v>
      </c>
      <c r="O71" s="5">
        <f t="shared" si="49"/>
        <v>68340823.114561379</v>
      </c>
      <c r="P71" s="5">
        <f t="shared" si="49"/>
        <v>83984408.027307689</v>
      </c>
      <c r="Q71" s="5">
        <f t="shared" si="49"/>
        <v>94824552.393359765</v>
      </c>
      <c r="R71" s="5">
        <f t="shared" si="49"/>
        <v>108905636.22106943</v>
      </c>
      <c r="S71" s="5">
        <f t="shared" si="49"/>
        <v>126692215.54248863</v>
      </c>
      <c r="T71" s="5">
        <f t="shared" si="49"/>
        <v>145252995.17512894</v>
      </c>
      <c r="U71" s="5">
        <f t="shared" si="49"/>
        <v>165995724.18684497</v>
      </c>
      <c r="V71" s="5">
        <f t="shared" si="49"/>
        <v>190914603.83682951</v>
      </c>
      <c r="W71" s="5">
        <f t="shared" si="49"/>
        <v>218799176.00102431</v>
      </c>
      <c r="X71" s="5">
        <f t="shared" si="49"/>
        <v>242601705.19410443</v>
      </c>
      <c r="Y71" s="5">
        <f t="shared" si="49"/>
        <v>268971369.57461154</v>
      </c>
      <c r="Z71" s="5">
        <f t="shared" si="49"/>
        <v>296810983.0989517</v>
      </c>
      <c r="AA71" s="5">
        <f t="shared" si="49"/>
        <v>321986297.21528304</v>
      </c>
      <c r="AB71" s="5">
        <f t="shared" si="49"/>
        <v>354039313.70735717</v>
      </c>
      <c r="AC71" s="5">
        <f t="shared" si="49"/>
        <v>390332059.0583446</v>
      </c>
      <c r="AD71" s="5">
        <f t="shared" si="49"/>
        <v>409470973.59048301</v>
      </c>
      <c r="AE71" s="5">
        <f t="shared" si="49"/>
        <v>443735837.58863002</v>
      </c>
    </row>
    <row r="73" spans="1:31" x14ac:dyDescent="0.35">
      <c r="A73" s="87" t="s">
        <v>117</v>
      </c>
      <c r="B73" s="87" t="s">
        <v>144</v>
      </c>
      <c r="C73" s="17">
        <f>NPV('Cost Assumptions'!$B$3,D73:AE73)</f>
        <v>1384736347.203841</v>
      </c>
      <c r="D73" s="61">
        <f>ABS((D49*D60*1000*'Cost Assumptions'!$B$6)/'Cost Assumptions'!$B$14)</f>
        <v>21042495.811520122</v>
      </c>
      <c r="E73" s="61">
        <f>ABS((E49*E60*1000*'Cost Assumptions'!$B$6)/'Cost Assumptions'!$B$14)</f>
        <v>32693787.740521614</v>
      </c>
      <c r="F73" s="61">
        <f>ABS((F49*F60*1000*'Cost Assumptions'!$B$6)/'Cost Assumptions'!$B$14)</f>
        <v>44914492.706090979</v>
      </c>
      <c r="G73" s="61">
        <f>ABS((G49*G60*1000*'Cost Assumptions'!$B$6)/'Cost Assumptions'!$B$14)</f>
        <v>57725799.302600995</v>
      </c>
      <c r="H73" s="61">
        <f>ABS((H49*H60*1000*'Cost Assumptions'!$B$6)/'Cost Assumptions'!$B$14)</f>
        <v>71149599.670995176</v>
      </c>
      <c r="I73" s="61">
        <f>ABS((I49*I60*1000*'Cost Assumptions'!$B$6)/'Cost Assumptions'!$B$14)</f>
        <v>85208511.433244959</v>
      </c>
      <c r="J73" s="61">
        <f>ABS((J49*J60*1000*'Cost Assumptions'!$B$6)/'Cost Assumptions'!$B$14)</f>
        <v>99925900.283812851</v>
      </c>
      <c r="K73" s="61">
        <f>ABS((K49*K60*1000*'Cost Assumptions'!$B$6)/'Cost Assumptions'!$B$14)</f>
        <v>115325903.25726338</v>
      </c>
      <c r="L73" s="61">
        <f>ABS((L49*L60*1000*'Cost Assumptions'!$B$6)/'Cost Assumptions'!$B$14)</f>
        <v>131433452.69170904</v>
      </c>
      <c r="M73" s="61">
        <f>ABS((M49*M60*1000*'Cost Assumptions'!$B$6)/'Cost Assumptions'!$B$14)</f>
        <v>148274300.90834114</v>
      </c>
      <c r="N73" s="61">
        <f>ABS((N49*N60*1000*'Cost Assumptions'!$B$6)/'Cost Assumptions'!$B$14)</f>
        <v>165875045.62787259</v>
      </c>
      <c r="O73" s="61">
        <f>ABS((O49*O60*1000*'Cost Assumptions'!$B$6)/'Cost Assumptions'!$B$14)</f>
        <v>184263156.14531288</v>
      </c>
      <c r="P73" s="61">
        <f>ABS((P49*P60*1000*'Cost Assumptions'!$B$6)/'Cost Assumptions'!$B$14)</f>
        <v>203467000.28510773</v>
      </c>
      <c r="Q73" s="61">
        <f>ABS((Q49*Q60*1000*'Cost Assumptions'!$B$6)/'Cost Assumptions'!$B$14)</f>
        <v>223515872.15930146</v>
      </c>
      <c r="R73" s="61">
        <f>ABS((R49*R60*1000*'Cost Assumptions'!$B$6)/'Cost Assumptions'!$B$14)</f>
        <v>244440020.75202671</v>
      </c>
      <c r="S73" s="61">
        <f>ABS((S49*S60*1000*'Cost Assumptions'!$B$6)/'Cost Assumptions'!$B$14)</f>
        <v>266270679.3542887</v>
      </c>
      <c r="T73" s="61">
        <f>ABS((T49*T60*1000*'Cost Assumptions'!$B$6)/'Cost Assumptions'!$B$14)</f>
        <v>289040095.8736937</v>
      </c>
      <c r="U73" s="61">
        <f>ABS((U49*U60*1000*'Cost Assumptions'!$B$6)/'Cost Assumptions'!$B$14)</f>
        <v>312781564.04447258</v>
      </c>
      <c r="V73" s="61">
        <f>ABS((V49*V60*1000*'Cost Assumptions'!$B$6)/'Cost Assumptions'!$B$14)</f>
        <v>337529455.56386936</v>
      </c>
      <c r="W73" s="61">
        <f>ABS((W49*W60*1000*'Cost Assumptions'!$B$6)/'Cost Assumptions'!$B$14)</f>
        <v>363319253.18170816</v>
      </c>
      <c r="X73" s="61">
        <f>ABS((X49*X60*1000*'Cost Assumptions'!$B$6)/'Cost Assumptions'!$B$14)</f>
        <v>390187584.77071142</v>
      </c>
      <c r="Y73" s="61">
        <f>ABS((Y49*Y60*1000*'Cost Assumptions'!$B$6)/'Cost Assumptions'!$B$14)</f>
        <v>418172258.40592629</v>
      </c>
      <c r="Z73" s="61">
        <f>ABS((Z49*Z60*1000*'Cost Assumptions'!$B$6)/'Cost Assumptions'!$B$14)</f>
        <v>447312298.48242027</v>
      </c>
      <c r="AA73" s="61">
        <f>ABS((AA49*AA60*1000*'Cost Assumptions'!$B$6)/'Cost Assumptions'!$B$14)</f>
        <v>477647982.90123522</v>
      </c>
      <c r="AB73" s="61">
        <f>ABS((AB49*AB60*1000*'Cost Assumptions'!$B$6)/'Cost Assumptions'!$B$14)</f>
        <v>509220881.35443938</v>
      </c>
      <c r="AC73" s="61">
        <f>ABS((AC49*AC60*1000*'Cost Assumptions'!$B$6)/'Cost Assumptions'!$B$14)</f>
        <v>542073894.74099064</v>
      </c>
      <c r="AD73" s="61">
        <f>ABS((AD49*AD60*1000*'Cost Assumptions'!$B$6)/'Cost Assumptions'!$B$14)</f>
        <v>576251295.74602282</v>
      </c>
      <c r="AE73" s="61">
        <f>ABS((AE49*AE60*1000*'Cost Assumptions'!$B$6)/'Cost Assumptions'!$B$14)</f>
        <v>611798770.61709368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5704604879.9228296</v>
      </c>
      <c r="D74" s="61">
        <f>ABS((D49*D62*1000*'Cost Assumptions'!$B$7)/'Cost Assumptions'!$B$14)</f>
        <v>86687349.930941761</v>
      </c>
      <c r="E74" s="61">
        <f>ABS((E49*E62*1000*'Cost Assumptions'!$B$7)/'Cost Assumptions'!$B$14)</f>
        <v>134686390.9973515</v>
      </c>
      <c r="F74" s="61">
        <f>ABS((F49*F62*1000*'Cost Assumptions'!$B$7)/'Cost Assumptions'!$B$14)</f>
        <v>185031204.52337492</v>
      </c>
      <c r="G74" s="61">
        <f>ABS((G49*G62*1000*'Cost Assumptions'!$B$7)/'Cost Assumptions'!$B$14)</f>
        <v>237809079.73132613</v>
      </c>
      <c r="H74" s="61">
        <f>ABS((H49*H62*1000*'Cost Assumptions'!$B$7)/'Cost Assumptions'!$B$14)</f>
        <v>293110204.1968478</v>
      </c>
      <c r="I74" s="61">
        <f>ABS((I49*I62*1000*'Cost Assumptions'!$B$7)/'Cost Assumptions'!$B$14)</f>
        <v>351027754.21081346</v>
      </c>
      <c r="J74" s="61">
        <f>ABS((J49*J62*1000*'Cost Assumptions'!$B$7)/'Cost Assumptions'!$B$14)</f>
        <v>411657987.84785432</v>
      </c>
      <c r="K74" s="61">
        <f>ABS((K49*K62*1000*'Cost Assumptions'!$B$7)/'Cost Assumptions'!$B$14)</f>
        <v>475100340.82036549</v>
      </c>
      <c r="L74" s="61">
        <f>ABS((L49*L62*1000*'Cost Assumptions'!$B$7)/'Cost Assumptions'!$B$14)</f>
        <v>541457525.19909728</v>
      </c>
      <c r="M74" s="61">
        <f>ABS((M49*M62*1000*'Cost Assumptions'!$B$7)/'Cost Assumptions'!$B$14)</f>
        <v>610835631.08375299</v>
      </c>
      <c r="N74" s="61">
        <f>ABS((N49*N62*1000*'Cost Assumptions'!$B$7)/'Cost Assumptions'!$B$14)</f>
        <v>683344231.30939198</v>
      </c>
      <c r="O74" s="61">
        <f>ABS((O49*O62*1000*'Cost Assumptions'!$B$7)/'Cost Assumptions'!$B$14)</f>
        <v>759096489.27688539</v>
      </c>
      <c r="P74" s="61">
        <f>ABS((P49*P62*1000*'Cost Assumptions'!$B$7)/'Cost Assumptions'!$B$14)</f>
        <v>838209269.9981854</v>
      </c>
      <c r="Q74" s="61">
        <f>ABS((Q49*Q62*1000*'Cost Assumptions'!$B$7)/'Cost Assumptions'!$B$14)</f>
        <v>920803254.44975221</v>
      </c>
      <c r="R74" s="61">
        <f>ABS((R49*R62*1000*'Cost Assumptions'!$B$7)/'Cost Assumptions'!$B$14)</f>
        <v>1007003057.3301483</v>
      </c>
      <c r="S74" s="61">
        <f>ABS((S49*S62*1000*'Cost Assumptions'!$B$7)/'Cost Assumptions'!$B$14)</f>
        <v>1096937348.3205333</v>
      </c>
      <c r="T74" s="61">
        <f>ABS((T49*T62*1000*'Cost Assumptions'!$B$7)/'Cost Assumptions'!$B$14)</f>
        <v>1190738976.9496059</v>
      </c>
      <c r="U74" s="61">
        <f>ABS((U49*U62*1000*'Cost Assumptions'!$B$7)/'Cost Assumptions'!$B$14)</f>
        <v>1288545101.1674323</v>
      </c>
      <c r="V74" s="61">
        <f>ABS((V49*V62*1000*'Cost Assumptions'!$B$7)/'Cost Assumptions'!$B$14)</f>
        <v>1390497319.7355561</v>
      </c>
      <c r="W74" s="61">
        <f>ABS((W49*W62*1000*'Cost Assumptions'!$B$7)/'Cost Assumptions'!$B$14)</f>
        <v>1496741808.5438566</v>
      </c>
      <c r="X74" s="61">
        <f>ABS((X49*X62*1000*'Cost Assumptions'!$B$7)/'Cost Assumptions'!$B$14)</f>
        <v>1607429460.9677374</v>
      </c>
      <c r="Y74" s="61">
        <f>ABS((Y49*Y62*1000*'Cost Assumptions'!$B$7)/'Cost Assumptions'!$B$14)</f>
        <v>1722716032.3824723</v>
      </c>
      <c r="Z74" s="61">
        <f>ABS((Z49*Z62*1000*'Cost Assumptions'!$B$7)/'Cost Assumptions'!$B$14)</f>
        <v>1842762288.954839</v>
      </c>
      <c r="AA74" s="61">
        <f>ABS((AA49*AA62*1000*'Cost Assumptions'!$B$7)/'Cost Assumptions'!$B$14)</f>
        <v>1967734160.8355849</v>
      </c>
      <c r="AB74" s="61">
        <f>ABS((AB49*AB62*1000*'Cost Assumptions'!$B$7)/'Cost Assumptions'!$B$14)</f>
        <v>2097802899.8797717</v>
      </c>
      <c r="AC74" s="61">
        <f>ABS((AC49*AC62*1000*'Cost Assumptions'!$B$7)/'Cost Assumptions'!$B$14)</f>
        <v>2233145242.0256453</v>
      </c>
      <c r="AD74" s="61">
        <f>ABS((AD49*AD62*1000*'Cost Assumptions'!$B$7)/'Cost Assumptions'!$B$14)</f>
        <v>2373943574.4663882</v>
      </c>
      <c r="AE74" s="61">
        <f>ABS((AE49*AE62*1000*'Cost Assumptions'!$B$7)/'Cost Assumptions'!$B$14)</f>
        <v>2520386107.7529025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7089341227.1266718</v>
      </c>
      <c r="D75" s="61">
        <f>SUM(D73:D74)</f>
        <v>107729845.74246189</v>
      </c>
      <c r="E75" s="61">
        <f>SUM(E73:E74)</f>
        <v>167380178.73787311</v>
      </c>
      <c r="F75" s="61">
        <f t="shared" ref="F75:AE75" si="50">SUM(F73:F74)</f>
        <v>229945697.2294659</v>
      </c>
      <c r="G75" s="61">
        <f t="shared" si="50"/>
        <v>295534879.03392714</v>
      </c>
      <c r="H75" s="61">
        <f t="shared" si="50"/>
        <v>364259803.86784297</v>
      </c>
      <c r="I75" s="61">
        <f t="shared" si="50"/>
        <v>436236265.64405841</v>
      </c>
      <c r="J75" s="61">
        <f t="shared" si="50"/>
        <v>511583888.13166714</v>
      </c>
      <c r="K75" s="61">
        <f t="shared" si="50"/>
        <v>590426244.07762885</v>
      </c>
      <c r="L75" s="61">
        <f t="shared" si="50"/>
        <v>672890977.89080632</v>
      </c>
      <c r="M75" s="61">
        <f t="shared" si="50"/>
        <v>759109931.99209416</v>
      </c>
      <c r="N75" s="61">
        <f t="shared" si="50"/>
        <v>849219276.93726456</v>
      </c>
      <c r="O75" s="61">
        <f t="shared" si="50"/>
        <v>943359645.4221983</v>
      </c>
      <c r="P75" s="61">
        <f t="shared" si="50"/>
        <v>1041676270.2832931</v>
      </c>
      <c r="Q75" s="61">
        <f t="shared" si="50"/>
        <v>1144319126.6090536</v>
      </c>
      <c r="R75" s="61">
        <f t="shared" si="50"/>
        <v>1251443078.082175</v>
      </c>
      <c r="S75" s="61">
        <f t="shared" si="50"/>
        <v>1363208027.6748219</v>
      </c>
      <c r="T75" s="61">
        <f t="shared" si="50"/>
        <v>1479779072.8232996</v>
      </c>
      <c r="U75" s="61">
        <f t="shared" si="50"/>
        <v>1601326665.211905</v>
      </c>
      <c r="V75" s="61">
        <f t="shared" si="50"/>
        <v>1728026775.2994256</v>
      </c>
      <c r="W75" s="61">
        <f t="shared" si="50"/>
        <v>1860061061.7255647</v>
      </c>
      <c r="X75" s="61">
        <f t="shared" si="50"/>
        <v>1997617045.7384489</v>
      </c>
      <c r="Y75" s="61">
        <f t="shared" si="50"/>
        <v>2140888290.7883985</v>
      </c>
      <c r="Z75" s="61">
        <f t="shared" si="50"/>
        <v>2290074587.4372592</v>
      </c>
      <c r="AA75" s="61">
        <f t="shared" si="50"/>
        <v>2445382143.7368202</v>
      </c>
      <c r="AB75" s="61">
        <f t="shared" si="50"/>
        <v>2607023781.234211</v>
      </c>
      <c r="AC75" s="61">
        <f t="shared" si="50"/>
        <v>2775219136.7666359</v>
      </c>
      <c r="AD75" s="61">
        <f t="shared" si="50"/>
        <v>2950194870.2124109</v>
      </c>
      <c r="AE75" s="61">
        <f t="shared" si="50"/>
        <v>3132184878.3699961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54839473.090201236</v>
      </c>
      <c r="D77" s="61">
        <f>ABS(D50)*D61*1000*'Cost Assumptions'!$B$6*'Cost Assumptions'!$B$13</f>
        <v>4614910.5165411942</v>
      </c>
      <c r="E77" s="61">
        <f>ABS(E50)*E61*1000*'Cost Assumptions'!$B$6*'Cost Assumptions'!$B$13</f>
        <v>4762319.5241981754</v>
      </c>
      <c r="F77" s="61">
        <f>ABS(F50)*F61*1000*'Cost Assumptions'!$B$6*'Cost Assumptions'!$B$13</f>
        <v>4912201.6956373379</v>
      </c>
      <c r="G77" s="61">
        <f>ABS(G50)*G61*1000*'Cost Assumptions'!$B$6*'Cost Assumptions'!$B$13</f>
        <v>5053108.4359009257</v>
      </c>
      <c r="H77" s="61">
        <f>ABS(H50)*H61*1000*'Cost Assumptions'!$B$6*'Cost Assumptions'!$B$13</f>
        <v>5197529.9599384265</v>
      </c>
      <c r="I77" s="61">
        <f>ABS(I50)*I61*1000*'Cost Assumptions'!$B$6*'Cost Assumptions'!$B$13</f>
        <v>5345250.297019315</v>
      </c>
      <c r="J77" s="61">
        <f>ABS(J50)*J61*1000*'Cost Assumptions'!$B$6*'Cost Assumptions'!$B$13</f>
        <v>5498199.6813844638</v>
      </c>
      <c r="K77" s="61">
        <f>ABS(K50)*K61*1000*'Cost Assumptions'!$B$6*'Cost Assumptions'!$B$13</f>
        <v>5654425.3997601271</v>
      </c>
      <c r="L77" s="61">
        <f>ABS(L50)*L61*1000*'Cost Assumptions'!$B$6*'Cost Assumptions'!$B$13</f>
        <v>5814113.3602713272</v>
      </c>
      <c r="M77" s="61">
        <f>ABS(M50)*M61*1000*'Cost Assumptions'!$B$6*'Cost Assumptions'!$B$13</f>
        <v>5977309.357715169</v>
      </c>
      <c r="N77" s="61">
        <f>ABS(N50)*N61*1000*'Cost Assumptions'!$B$6*'Cost Assumptions'!$B$13</f>
        <v>6144678.3149887063</v>
      </c>
      <c r="O77" s="61">
        <f>ABS(O50)*O61*1000*'Cost Assumptions'!$B$6*'Cost Assumptions'!$B$13</f>
        <v>6315831.799595491</v>
      </c>
      <c r="P77" s="61">
        <f>ABS(P50)*P61*1000*'Cost Assumptions'!$B$6*'Cost Assumptions'!$B$13</f>
        <v>6491247.1415366707</v>
      </c>
      <c r="Q77" s="61">
        <f>ABS(Q50)*Q61*1000*'Cost Assumptions'!$B$6*'Cost Assumptions'!$B$13</f>
        <v>6670867.1977737257</v>
      </c>
      <c r="R77" s="61">
        <f>ABS(R50)*R61*1000*'Cost Assumptions'!$B$6*'Cost Assumptions'!$B$13</f>
        <v>6854127.2817615299</v>
      </c>
      <c r="S77" s="61">
        <f>ABS(S50)*S61*1000*'Cost Assumptions'!$B$6*'Cost Assumptions'!$B$13</f>
        <v>7042074.8043849673</v>
      </c>
      <c r="T77" s="61">
        <f>ABS(T50)*T61*1000*'Cost Assumptions'!$B$6*'Cost Assumptions'!$B$13</f>
        <v>7235177.2872731034</v>
      </c>
      <c r="U77" s="61">
        <f>ABS(U50)*U61*1000*'Cost Assumptions'!$B$6*'Cost Assumptions'!$B$13</f>
        <v>7433303.4168488542</v>
      </c>
      <c r="V77" s="61">
        <f>ABS(V50)*V61*1000*'Cost Assumptions'!$B$6*'Cost Assumptions'!$B$13</f>
        <v>7635541.0608311854</v>
      </c>
      <c r="W77" s="61">
        <f>ABS(W50)*W61*1000*'Cost Assumptions'!$B$6*'Cost Assumptions'!$B$13</f>
        <v>7843244.7723770915</v>
      </c>
      <c r="X77" s="61">
        <f>ABS(X50)*X61*1000*'Cost Assumptions'!$B$6*'Cost Assumptions'!$B$13</f>
        <v>8056561.4563372796</v>
      </c>
      <c r="Y77" s="61">
        <f>ABS(Y50)*Y61*1000*'Cost Assumptions'!$B$6*'Cost Assumptions'!$B$13</f>
        <v>8275489.649497496</v>
      </c>
      <c r="Z77" s="61">
        <f>ABS(Z50)*Z61*1000*'Cost Assumptions'!$B$6*'Cost Assumptions'!$B$13</f>
        <v>8498455.6481181644</v>
      </c>
      <c r="AA77" s="61">
        <f>ABS(AA50)*AA61*1000*'Cost Assumptions'!$B$6*'Cost Assumptions'!$B$13</f>
        <v>8727237.7585872859</v>
      </c>
      <c r="AB77" s="61">
        <f>ABS(AB50)*AB61*1000*'Cost Assumptions'!$B$6*'Cost Assumptions'!$B$13</f>
        <v>8962147.4397997893</v>
      </c>
      <c r="AC77" s="61">
        <f>ABS(AC50)*AC61*1000*'Cost Assumptions'!$B$6*'Cost Assumptions'!$B$13</f>
        <v>9203516.1888824217</v>
      </c>
      <c r="AD77" s="61">
        <f>ABS(AD50)*AD61*1000*'Cost Assumptions'!$B$6*'Cost Assumptions'!$B$13</f>
        <v>9448595.0717679746</v>
      </c>
      <c r="AE77" s="61">
        <f>ABS(AE50)*AE61*1000*'Cost Assumptions'!$B$6*'Cost Assumptions'!$B$13</f>
        <v>9700175.7011797857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247197258.05352134</v>
      </c>
      <c r="D78" s="61">
        <f>ABS(D50)*D63*1000*'Cost Assumptions'!$B$7*'Cost Assumptions'!$B$13</f>
        <v>20802410.40928565</v>
      </c>
      <c r="E78" s="61">
        <f>ABS(E50)*E63*1000*'Cost Assumptions'!$B$7*'Cost Assumptions'!$B$13</f>
        <v>21466878.910747372</v>
      </c>
      <c r="F78" s="61">
        <f>ABS(F50)*F63*1000*'Cost Assumptions'!$B$7*'Cost Assumptions'!$B$13</f>
        <v>22142495.573765397</v>
      </c>
      <c r="G78" s="61">
        <f>ABS(G50)*G63*1000*'Cost Assumptions'!$B$7*'Cost Assumptions'!$B$13</f>
        <v>22777654.116903231</v>
      </c>
      <c r="H78" s="61">
        <f>ABS(H50)*H63*1000*'Cost Assumptions'!$B$7*'Cost Assumptions'!$B$13</f>
        <v>23428656.081988856</v>
      </c>
      <c r="I78" s="61">
        <f>ABS(I50)*I63*1000*'Cost Assumptions'!$B$7*'Cost Assumptions'!$B$13</f>
        <v>24094527.948136713</v>
      </c>
      <c r="J78" s="61">
        <f>ABS(J50)*J63*1000*'Cost Assumptions'!$B$7*'Cost Assumptions'!$B$13</f>
        <v>24783970.539495129</v>
      </c>
      <c r="K78" s="61">
        <f>ABS(K50)*K63*1000*'Cost Assumptions'!$B$7*'Cost Assumptions'!$B$13</f>
        <v>25488181.70425934</v>
      </c>
      <c r="L78" s="61">
        <f>ABS(L50)*L63*1000*'Cost Assumptions'!$B$7*'Cost Assumptions'!$B$13</f>
        <v>26207999.45155241</v>
      </c>
      <c r="M78" s="61">
        <f>ABS(M50)*M63*1000*'Cost Assumptions'!$B$7*'Cost Assumptions'!$B$13</f>
        <v>26943630.20838102</v>
      </c>
      <c r="N78" s="61">
        <f>ABS(N50)*N63*1000*'Cost Assumptions'!$B$7*'Cost Assumptions'!$B$13</f>
        <v>27698071.215741612</v>
      </c>
      <c r="O78" s="61">
        <f>ABS(O50)*O63*1000*'Cost Assumptions'!$B$7*'Cost Assumptions'!$B$13</f>
        <v>28469571.555132404</v>
      </c>
      <c r="P78" s="61">
        <f>ABS(P50)*P63*1000*'Cost Assumptions'!$B$7*'Cost Assumptions'!$B$13</f>
        <v>29260282.864065986</v>
      </c>
      <c r="Q78" s="61">
        <f>ABS(Q50)*Q63*1000*'Cost Assumptions'!$B$7*'Cost Assumptions'!$B$13</f>
        <v>30069947.561613064</v>
      </c>
      <c r="R78" s="61">
        <f>ABS(R50)*R63*1000*'Cost Assumptions'!$B$7*'Cost Assumptions'!$B$13</f>
        <v>30896020.237364899</v>
      </c>
      <c r="S78" s="61">
        <f>ABS(S50)*S63*1000*'Cost Assumptions'!$B$7*'Cost Assumptions'!$B$13</f>
        <v>31743222.25504379</v>
      </c>
      <c r="T78" s="61">
        <f>ABS(T50)*T63*1000*'Cost Assumptions'!$B$7*'Cost Assumptions'!$B$13</f>
        <v>32613661.039434724</v>
      </c>
      <c r="U78" s="61">
        <f>ABS(U50)*U63*1000*'Cost Assumptions'!$B$7*'Cost Assumptions'!$B$13</f>
        <v>33506744.674635325</v>
      </c>
      <c r="V78" s="61">
        <f>ABS(V50)*V63*1000*'Cost Assumptions'!$B$7*'Cost Assumptions'!$B$13</f>
        <v>34418361.585786313</v>
      </c>
      <c r="W78" s="61">
        <f>ABS(W50)*W63*1000*'Cost Assumptions'!$B$7*'Cost Assumptions'!$B$13</f>
        <v>35354617.627073139</v>
      </c>
      <c r="X78" s="61">
        <f>ABS(X50)*X63*1000*'Cost Assumptions'!$B$7*'Cost Assumptions'!$B$13</f>
        <v>36316174.994433224</v>
      </c>
      <c r="Y78" s="61">
        <f>ABS(Y50)*Y63*1000*'Cost Assumptions'!$B$7*'Cost Assumptions'!$B$13</f>
        <v>37303027.092205957</v>
      </c>
      <c r="Z78" s="61">
        <f>ABS(Z50)*Z63*1000*'Cost Assumptions'!$B$7*'Cost Assumptions'!$B$13</f>
        <v>38308080.211654015</v>
      </c>
      <c r="AA78" s="61">
        <f>ABS(AA50)*AA63*1000*'Cost Assumptions'!$B$7*'Cost Assumptions'!$B$13</f>
        <v>39339350.339042775</v>
      </c>
      <c r="AB78" s="61">
        <f>ABS(AB50)*AB63*1000*'Cost Assumptions'!$B$7*'Cost Assumptions'!$B$13</f>
        <v>40398241.422668688</v>
      </c>
      <c r="AC78" s="61">
        <f>ABS(AC50)*AC63*1000*'Cost Assumptions'!$B$7*'Cost Assumptions'!$B$13</f>
        <v>41486247.736203022</v>
      </c>
      <c r="AD78" s="61">
        <f>ABS(AD50)*AD63*1000*'Cost Assumptions'!$B$7*'Cost Assumptions'!$B$13</f>
        <v>42590978.041625194</v>
      </c>
      <c r="AE78" s="61">
        <f>ABS(AE50)*AE63*1000*'Cost Assumptions'!$B$7*'Cost Assumptions'!$B$13</f>
        <v>43725015.957483493</v>
      </c>
    </row>
    <row r="79" spans="1:31" s="60" customFormat="1" ht="29" x14ac:dyDescent="0.35">
      <c r="A79" s="3" t="s">
        <v>146</v>
      </c>
      <c r="B79" s="87" t="s">
        <v>152</v>
      </c>
      <c r="C79" s="17">
        <f>NPV('Cost Assumptions'!$B$3,D79:AE79)</f>
        <v>302036731.14372259</v>
      </c>
      <c r="D79" s="61">
        <f>SUM(D77:D78)</f>
        <v>25417320.925826844</v>
      </c>
      <c r="E79" s="61">
        <f>SUM(E77:E78)</f>
        <v>26229198.434945546</v>
      </c>
      <c r="F79" s="61">
        <f t="shared" ref="F79:AE79" si="51">SUM(F77:F78)</f>
        <v>27054697.269402735</v>
      </c>
      <c r="G79" s="61">
        <f t="shared" si="51"/>
        <v>27830762.552804157</v>
      </c>
      <c r="H79" s="61">
        <f t="shared" si="51"/>
        <v>28626186.041927282</v>
      </c>
      <c r="I79" s="61">
        <f t="shared" si="51"/>
        <v>29439778.245156027</v>
      </c>
      <c r="J79" s="61">
        <f t="shared" si="51"/>
        <v>30282170.220879592</v>
      </c>
      <c r="K79" s="61">
        <f t="shared" si="51"/>
        <v>31142607.104019467</v>
      </c>
      <c r="L79" s="61">
        <f t="shared" si="51"/>
        <v>32022112.811823737</v>
      </c>
      <c r="M79" s="61">
        <f t="shared" si="51"/>
        <v>32920939.566096187</v>
      </c>
      <c r="N79" s="61">
        <f t="shared" si="51"/>
        <v>33842749.530730322</v>
      </c>
      <c r="O79" s="61">
        <f t="shared" si="51"/>
        <v>34785403.354727894</v>
      </c>
      <c r="P79" s="61">
        <f t="shared" si="51"/>
        <v>35751530.005602658</v>
      </c>
      <c r="Q79" s="61">
        <f t="shared" si="51"/>
        <v>36740814.759386793</v>
      </c>
      <c r="R79" s="61">
        <f t="shared" si="51"/>
        <v>37750147.51912643</v>
      </c>
      <c r="S79" s="61">
        <f t="shared" si="51"/>
        <v>38785297.059428759</v>
      </c>
      <c r="T79" s="61">
        <f t="shared" si="51"/>
        <v>39848838.326707825</v>
      </c>
      <c r="U79" s="61">
        <f t="shared" si="51"/>
        <v>40940048.091484182</v>
      </c>
      <c r="V79" s="61">
        <f t="shared" si="51"/>
        <v>42053902.646617502</v>
      </c>
      <c r="W79" s="61">
        <f t="shared" si="51"/>
        <v>43197862.399450228</v>
      </c>
      <c r="X79" s="61">
        <f t="shared" si="51"/>
        <v>44372736.450770505</v>
      </c>
      <c r="Y79" s="61">
        <f t="shared" si="51"/>
        <v>45578516.741703451</v>
      </c>
      <c r="Z79" s="61">
        <f t="shared" si="51"/>
        <v>46806535.859772176</v>
      </c>
      <c r="AA79" s="61">
        <f t="shared" si="51"/>
        <v>48066588.097630061</v>
      </c>
      <c r="AB79" s="61">
        <f t="shared" si="51"/>
        <v>49360388.862468481</v>
      </c>
      <c r="AC79" s="61">
        <f t="shared" si="51"/>
        <v>50689763.92508544</v>
      </c>
      <c r="AD79" s="61">
        <f t="shared" si="51"/>
        <v>52039573.113393173</v>
      </c>
      <c r="AE79" s="61">
        <f t="shared" si="51"/>
        <v>53425191.65866328</v>
      </c>
    </row>
    <row r="80" spans="1:31" s="60" customForma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239375699.07955644</v>
      </c>
      <c r="D81" s="61">
        <f>('Baseline System Analysis'!D42-D36)</f>
        <v>13326788.240519734</v>
      </c>
      <c r="E81" s="61">
        <f>('Baseline System Analysis'!E42-E36)</f>
        <v>14821135.200721469</v>
      </c>
      <c r="F81" s="61">
        <f>('Baseline System Analysis'!F42-F36)</f>
        <v>16416018.97311135</v>
      </c>
      <c r="G81" s="61">
        <f>('Baseline System Analysis'!G42-G36)</f>
        <v>17597309.981317334</v>
      </c>
      <c r="H81" s="61">
        <f>('Baseline System Analysis'!H42-H36)</f>
        <v>18879048.163027488</v>
      </c>
      <c r="I81" s="61">
        <f>('Baseline System Analysis'!I42-I36)</f>
        <v>20042784.358332738</v>
      </c>
      <c r="J81" s="61">
        <f>('Baseline System Analysis'!J42-J36)</f>
        <v>21242044.641044892</v>
      </c>
      <c r="K81" s="61">
        <f>('Baseline System Analysis'!K42-K36)</f>
        <v>22646153.491963189</v>
      </c>
      <c r="L81" s="61">
        <f>('Baseline System Analysis'!L42-L36)</f>
        <v>24191373.688653585</v>
      </c>
      <c r="M81" s="61">
        <f>('Baseline System Analysis'!M42-M36)</f>
        <v>25623487.165822279</v>
      </c>
      <c r="N81" s="61">
        <f>('Baseline System Analysis'!N42-N36)</f>
        <v>27581559.930452228</v>
      </c>
      <c r="O81" s="61">
        <f>('Baseline System Analysis'!O42-O36)</f>
        <v>29206384.9534261</v>
      </c>
      <c r="P81" s="61">
        <f>('Baseline System Analysis'!P42-P36)</f>
        <v>30959754.101874352</v>
      </c>
      <c r="Q81" s="61">
        <f>('Baseline System Analysis'!Q42-Q36)</f>
        <v>32862372.536937438</v>
      </c>
      <c r="R81" s="61">
        <f>('Baseline System Analysis'!R42-R36)</f>
        <v>34793137.410063699</v>
      </c>
      <c r="S81" s="61">
        <f>('Baseline System Analysis'!S42-S36)</f>
        <v>36872350.061974786</v>
      </c>
      <c r="T81" s="61">
        <f>('Baseline System Analysis'!T42-T36)</f>
        <v>38982831.262225315</v>
      </c>
      <c r="U81" s="61">
        <f>('Baseline System Analysis'!U42-U36)</f>
        <v>41233672.393144086</v>
      </c>
      <c r="V81" s="61">
        <f>('Baseline System Analysis'!V42-V36)</f>
        <v>43425280.211571172</v>
      </c>
      <c r="W81" s="61">
        <f>('Baseline System Analysis'!W42-W36)</f>
        <v>45764429.533562809</v>
      </c>
      <c r="X81" s="61">
        <f>('Baseline System Analysis'!X42-X36)</f>
        <v>48098952.191236451</v>
      </c>
      <c r="Y81" s="61">
        <f>('Baseline System Analysis'!Y42-Y36)</f>
        <v>50435617.493952945</v>
      </c>
      <c r="Z81" s="61">
        <f>('Baseline System Analysis'!Z42-Z36)</f>
        <v>52949971.440977409</v>
      </c>
      <c r="AA81" s="61">
        <f>('Baseline System Analysis'!AA42-AA36)</f>
        <v>55508681.243434422</v>
      </c>
      <c r="AB81" s="61">
        <f>('Baseline System Analysis'!AB42-AB36)</f>
        <v>57982016.718752861</v>
      </c>
      <c r="AC81" s="61">
        <f>('Baseline System Analysis'!AC42-AC36)</f>
        <v>60614183.537480861</v>
      </c>
      <c r="AD81" s="61">
        <f>('Baseline System Analysis'!AD42-AD36)</f>
        <v>62944321.86201904</v>
      </c>
      <c r="AE81" s="61">
        <f>('Baseline System Analysis'!AE42-AE36)</f>
        <v>65700080.387624316</v>
      </c>
    </row>
    <row r="82" spans="1:31" s="60" customFormat="1" x14ac:dyDescent="0.3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</row>
    <row r="83" spans="1:31" s="60" customFormat="1" ht="20" thickBot="1" x14ac:dyDescent="0.5">
      <c r="A83" s="145" t="s">
        <v>61</v>
      </c>
      <c r="B83" s="169"/>
      <c r="C83" s="17">
        <f>NPV('Cost Assumptions'!$B$3,D83:AE83)/1000000</f>
        <v>8262.0045692052754</v>
      </c>
      <c r="D83" s="61">
        <f>SUM(D67,D71,D75,D79,D81)</f>
        <v>148422810.4711355</v>
      </c>
      <c r="E83" s="61">
        <f>SUM(E67,E71,E75,E79,E81)</f>
        <v>213551634.85114014</v>
      </c>
      <c r="F83" s="61">
        <f t="shared" ref="F83:AE83" si="52">SUM(F67,F71,F75,F79,F81)</f>
        <v>281225311.45915753</v>
      </c>
      <c r="G83" s="61">
        <f t="shared" si="52"/>
        <v>351872947.57033926</v>
      </c>
      <c r="H83" s="61">
        <f t="shared" si="52"/>
        <v>424896011.15908009</v>
      </c>
      <c r="I83" s="61">
        <f t="shared" si="52"/>
        <v>500539731.31486207</v>
      </c>
      <c r="J83" s="61">
        <f t="shared" si="52"/>
        <v>582866464.75680411</v>
      </c>
      <c r="K83" s="61">
        <f t="shared" si="52"/>
        <v>668632858.61672473</v>
      </c>
      <c r="L83" s="61">
        <f t="shared" si="52"/>
        <v>759947769.24752903</v>
      </c>
      <c r="M83" s="61">
        <f t="shared" si="52"/>
        <v>858706084.86556959</v>
      </c>
      <c r="N83" s="61">
        <f t="shared" si="52"/>
        <v>964514644.70283353</v>
      </c>
      <c r="O83" s="61">
        <f t="shared" si="52"/>
        <v>1076834813.9691787</v>
      </c>
      <c r="P83" s="61">
        <f t="shared" si="52"/>
        <v>1194229224.0215774</v>
      </c>
      <c r="Q83" s="61">
        <f t="shared" si="52"/>
        <v>1311267386.2282281</v>
      </c>
      <c r="R83" s="61">
        <f t="shared" si="52"/>
        <v>1436075777.487916</v>
      </c>
      <c r="S83" s="61">
        <f t="shared" si="52"/>
        <v>1569404926.9201863</v>
      </c>
      <c r="T83" s="61">
        <f t="shared" si="52"/>
        <v>1708374032.4948249</v>
      </c>
      <c r="U83" s="61">
        <f t="shared" si="52"/>
        <v>1854669663.116832</v>
      </c>
      <c r="V83" s="61">
        <f t="shared" si="52"/>
        <v>2011167167.4693949</v>
      </c>
      <c r="W83" s="61">
        <f t="shared" si="52"/>
        <v>2176142187.3760505</v>
      </c>
      <c r="X83" s="61">
        <f t="shared" si="52"/>
        <v>2342583149.532506</v>
      </c>
      <c r="Y83" s="61">
        <f t="shared" si="52"/>
        <v>2517339556.7981095</v>
      </c>
      <c r="Z83" s="61">
        <f t="shared" si="52"/>
        <v>2699680892.2779007</v>
      </c>
      <c r="AA83" s="61">
        <f t="shared" si="52"/>
        <v>2886418885.5060205</v>
      </c>
      <c r="AB83" s="61">
        <f t="shared" si="52"/>
        <v>3086317036.507555</v>
      </c>
      <c r="AC83" s="61">
        <f t="shared" si="52"/>
        <v>3297203040.0442247</v>
      </c>
      <c r="AD83" s="61">
        <f t="shared" si="52"/>
        <v>3497433996.3068962</v>
      </c>
      <c r="AE83" s="61">
        <f t="shared" si="52"/>
        <v>3720266606.3054161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8265.2327551317685</v>
      </c>
      <c r="D84" s="61">
        <f>D83+D43</f>
        <v>148683132.13780209</v>
      </c>
      <c r="E84" s="61">
        <f t="shared" ref="E84:AE84" si="53">E83+E43</f>
        <v>213820521.73447344</v>
      </c>
      <c r="F84" s="61">
        <f t="shared" si="53"/>
        <v>281503321.98740268</v>
      </c>
      <c r="G84" s="61">
        <f t="shared" si="53"/>
        <v>352160369.87143981</v>
      </c>
      <c r="H84" s="61">
        <f t="shared" si="53"/>
        <v>425193142.06509858</v>
      </c>
      <c r="I84" s="61">
        <f t="shared" si="53"/>
        <v>500846876.61710626</v>
      </c>
      <c r="J84" s="61">
        <f t="shared" si="53"/>
        <v>583183939.46826899</v>
      </c>
      <c r="K84" s="61">
        <f t="shared" si="53"/>
        <v>668960987.24205756</v>
      </c>
      <c r="L84" s="61">
        <f t="shared" si="53"/>
        <v>760286886.06072843</v>
      </c>
      <c r="M84" s="61">
        <f t="shared" si="53"/>
        <v>859056534.19563806</v>
      </c>
      <c r="N84" s="61">
        <f t="shared" si="53"/>
        <v>964876781.2276063</v>
      </c>
      <c r="O84" s="61">
        <f t="shared" si="53"/>
        <v>1077209003.0175595</v>
      </c>
      <c r="P84" s="61">
        <f t="shared" si="53"/>
        <v>1194615841.884419</v>
      </c>
      <c r="Q84" s="61">
        <f t="shared" si="53"/>
        <v>1311666820.4780982</v>
      </c>
      <c r="R84" s="61">
        <f t="shared" si="53"/>
        <v>1436488427.3080015</v>
      </c>
      <c r="S84" s="61">
        <f>S83+S43</f>
        <v>1569831203.4425919</v>
      </c>
      <c r="T84" s="61">
        <f t="shared" si="53"/>
        <v>1708814359.1485293</v>
      </c>
      <c r="U84" s="61">
        <f t="shared" si="53"/>
        <v>1855124475.9855733</v>
      </c>
      <c r="V84" s="61">
        <f t="shared" si="53"/>
        <v>2011636915.6597667</v>
      </c>
      <c r="W84" s="61">
        <f t="shared" si="53"/>
        <v>2176627333.396091</v>
      </c>
      <c r="X84" s="61">
        <f t="shared" si="53"/>
        <v>2343084169.6810799</v>
      </c>
      <c r="Y84" s="61">
        <f t="shared" si="53"/>
        <v>2517856941.5653811</v>
      </c>
      <c r="Z84" s="61">
        <f t="shared" si="53"/>
        <v>2700215146.7572117</v>
      </c>
      <c r="AA84" s="61">
        <f t="shared" si="53"/>
        <v>2886970529.8174934</v>
      </c>
      <c r="AB84" s="61">
        <f t="shared" si="53"/>
        <v>3086886606.2337484</v>
      </c>
      <c r="AC84" s="61">
        <f t="shared" si="53"/>
        <v>3297791086.6781802</v>
      </c>
      <c r="AD84" s="61">
        <f t="shared" si="53"/>
        <v>3498041087.7129226</v>
      </c>
      <c r="AE84" s="61">
        <f t="shared" si="53"/>
        <v>3720893327.1929708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Summary!$D$15</f>
        <v>806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10.254631209840904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</sheetData>
  <mergeCells count="8">
    <mergeCell ref="A86:B86"/>
    <mergeCell ref="A88:B88"/>
    <mergeCell ref="A84:B84"/>
    <mergeCell ref="B2:B15"/>
    <mergeCell ref="B18:B31"/>
    <mergeCell ref="B40:AE40"/>
    <mergeCell ref="A58:AE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92"/>
  <sheetViews>
    <sheetView zoomScale="84" zoomScaleNormal="84" workbookViewId="0"/>
  </sheetViews>
  <sheetFormatPr defaultRowHeight="14.5" x14ac:dyDescent="0.35"/>
  <cols>
    <col min="1" max="1" width="15.26953125" customWidth="1"/>
    <col min="2" max="2" width="26.7265625" bestFit="1" customWidth="1"/>
    <col min="3" max="3" width="22.81640625" customWidth="1"/>
    <col min="4" max="4" width="17.453125" style="87" customWidth="1"/>
    <col min="5" max="5" width="17.26953125" customWidth="1"/>
    <col min="6" max="6" width="14.1796875" bestFit="1" customWidth="1"/>
    <col min="7" max="7" width="13" bestFit="1" customWidth="1"/>
    <col min="8" max="8" width="15.453125" customWidth="1"/>
    <col min="9" max="9" width="13" bestFit="1" customWidth="1"/>
    <col min="10" max="26" width="14" bestFit="1" customWidth="1"/>
    <col min="27" max="31" width="1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6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157</v>
      </c>
      <c r="C18" s="87" t="s">
        <v>107</v>
      </c>
      <c r="D18" s="61">
        <v>49722.950000000521</v>
      </c>
      <c r="E18" s="61">
        <v>50479.400000000147</v>
      </c>
      <c r="F18" s="61">
        <v>51032.951923077046</v>
      </c>
      <c r="G18" s="61">
        <v>51586.503846153944</v>
      </c>
      <c r="H18" s="61">
        <v>52140.055769230843</v>
      </c>
      <c r="I18" s="61">
        <v>52693.607692307742</v>
      </c>
      <c r="J18" s="61">
        <v>53247.15961538464</v>
      </c>
      <c r="K18" s="61">
        <v>53800.711538461539</v>
      </c>
      <c r="L18" s="61">
        <v>54354.263461538438</v>
      </c>
      <c r="M18" s="61">
        <v>54907.815384615336</v>
      </c>
      <c r="N18" s="61">
        <v>55461.367307692235</v>
      </c>
      <c r="O18" s="61">
        <v>56014.919230769134</v>
      </c>
      <c r="P18" s="61">
        <v>56568.471153846032</v>
      </c>
      <c r="Q18" s="61">
        <v>57122.023076922931</v>
      </c>
      <c r="R18" s="61">
        <v>57675.57499999983</v>
      </c>
      <c r="S18" s="61">
        <v>58219.163461538272</v>
      </c>
      <c r="T18" s="61">
        <v>58762.751923076714</v>
      </c>
      <c r="U18" s="61">
        <v>59306.340384615156</v>
      </c>
      <c r="V18" s="61">
        <v>59849.928846153598</v>
      </c>
      <c r="W18" s="61">
        <v>60393.51730769204</v>
      </c>
      <c r="X18" s="61">
        <v>60937.105769230482</v>
      </c>
      <c r="Y18" s="61">
        <v>61480.694230768924</v>
      </c>
      <c r="Z18" s="61">
        <v>62024.282692307366</v>
      </c>
      <c r="AA18" s="61">
        <v>62567.871153845808</v>
      </c>
      <c r="AB18" s="61">
        <v>63111.45961538425</v>
      </c>
      <c r="AC18" s="61">
        <v>63655.048076922692</v>
      </c>
      <c r="AD18" s="61">
        <v>64198.636538461134</v>
      </c>
      <c r="AE18" s="61">
        <v>64742.224999999533</v>
      </c>
    </row>
    <row r="19" spans="1:31" x14ac:dyDescent="0.35">
      <c r="A19" s="87" t="s">
        <v>30</v>
      </c>
      <c r="B19" s="167"/>
      <c r="C19" s="87" t="s">
        <v>31</v>
      </c>
      <c r="D19" s="61">
        <v>11.599999999999994</v>
      </c>
      <c r="E19" s="61">
        <v>34.800000000000011</v>
      </c>
      <c r="F19" s="61">
        <v>65.566666666666677</v>
      </c>
      <c r="G19" s="61">
        <v>96.333333333333343</v>
      </c>
      <c r="H19" s="61">
        <v>127.10000000000001</v>
      </c>
      <c r="I19" s="61">
        <v>157.86666666666667</v>
      </c>
      <c r="J19" s="61">
        <v>188.63333333333333</v>
      </c>
      <c r="K19" s="61">
        <v>219.4</v>
      </c>
      <c r="L19" s="61">
        <v>321.97500000000002</v>
      </c>
      <c r="M19" s="61">
        <v>424.55000000000007</v>
      </c>
      <c r="N19" s="61">
        <v>527.12500000000011</v>
      </c>
      <c r="O19" s="61">
        <v>629.70000000000005</v>
      </c>
      <c r="P19" s="61">
        <v>778.89999999999986</v>
      </c>
      <c r="Q19" s="61">
        <v>961.51666666666654</v>
      </c>
      <c r="R19" s="61">
        <v>1144.1333333333332</v>
      </c>
      <c r="S19" s="61">
        <v>1326.7499999999998</v>
      </c>
      <c r="T19" s="61">
        <v>1509.3666666666663</v>
      </c>
      <c r="U19" s="61">
        <v>1725.3999999999999</v>
      </c>
      <c r="V19" s="61">
        <v>1997.1599999999999</v>
      </c>
      <c r="W19" s="61">
        <v>2268.92</v>
      </c>
      <c r="X19" s="61">
        <v>2540.6800000000003</v>
      </c>
      <c r="Y19" s="61">
        <v>2812.4400000000005</v>
      </c>
      <c r="Z19" s="61">
        <v>3084.2</v>
      </c>
      <c r="AA19" s="61">
        <v>3399.7999999999997</v>
      </c>
      <c r="AB19" s="61">
        <v>3715.3999999999996</v>
      </c>
      <c r="AC19" s="61">
        <v>4030.9999999999995</v>
      </c>
      <c r="AD19" s="61">
        <v>4346.5999999999995</v>
      </c>
      <c r="AE19" s="61">
        <v>4662.2</v>
      </c>
    </row>
    <row r="20" spans="1:31" x14ac:dyDescent="0.35">
      <c r="A20" s="87" t="s">
        <v>30</v>
      </c>
      <c r="B20" s="167"/>
      <c r="C20" s="87" t="s">
        <v>32</v>
      </c>
      <c r="D20" s="61">
        <v>5.6999999999999886</v>
      </c>
      <c r="E20" s="61">
        <v>11.100000000000023</v>
      </c>
      <c r="F20" s="61">
        <v>13.966666666666688</v>
      </c>
      <c r="G20" s="61">
        <v>16.833333333333353</v>
      </c>
      <c r="H20" s="61">
        <v>19.700000000000017</v>
      </c>
      <c r="I20" s="61">
        <v>22.566666666666681</v>
      </c>
      <c r="J20" s="61">
        <v>25.433333333333344</v>
      </c>
      <c r="K20" s="61">
        <v>28.300000000000011</v>
      </c>
      <c r="L20" s="61">
        <v>30.750000000000014</v>
      </c>
      <c r="M20" s="61">
        <v>33.200000000000017</v>
      </c>
      <c r="N20" s="61">
        <v>35.65000000000002</v>
      </c>
      <c r="O20" s="61">
        <v>38.100000000000023</v>
      </c>
      <c r="P20" s="61">
        <v>42.100000000000023</v>
      </c>
      <c r="Q20" s="61">
        <v>49.000000000000021</v>
      </c>
      <c r="R20" s="61">
        <v>55.90000000000002</v>
      </c>
      <c r="S20" s="61">
        <v>62.800000000000018</v>
      </c>
      <c r="T20" s="61">
        <v>69.700000000000017</v>
      </c>
      <c r="U20" s="61">
        <v>79.5</v>
      </c>
      <c r="V20" s="61">
        <v>79.08</v>
      </c>
      <c r="W20" s="61">
        <v>78.66</v>
      </c>
      <c r="X20" s="61">
        <v>78.239999999999995</v>
      </c>
      <c r="Y20" s="61">
        <v>77.819999999999993</v>
      </c>
      <c r="Z20" s="61">
        <v>77.399999999999977</v>
      </c>
      <c r="AA20" s="61">
        <v>90.899999999999991</v>
      </c>
      <c r="AB20" s="61">
        <v>104.4</v>
      </c>
      <c r="AC20" s="61">
        <v>117.90000000000002</v>
      </c>
      <c r="AD20" s="61">
        <v>131.40000000000003</v>
      </c>
      <c r="AE20" s="61">
        <v>144.90000000000003</v>
      </c>
    </row>
    <row r="21" spans="1:31" x14ac:dyDescent="0.35">
      <c r="A21" s="87" t="s">
        <v>30</v>
      </c>
      <c r="B21" s="167"/>
      <c r="C21" s="87" t="s">
        <v>33</v>
      </c>
      <c r="D21" s="61">
        <v>4.2384347048943977E-2</v>
      </c>
      <c r="E21" s="61">
        <v>0.15894130143354004</v>
      </c>
      <c r="F21" s="61">
        <v>0.88763599057212128</v>
      </c>
      <c r="G21" s="61">
        <v>1.6163306797107024</v>
      </c>
      <c r="H21" s="61">
        <v>2.3450253688492837</v>
      </c>
      <c r="I21" s="61">
        <v>3.073720057987865</v>
      </c>
      <c r="J21" s="61">
        <v>3.8024147471264462</v>
      </c>
      <c r="K21" s="61">
        <v>4.5311094362650275</v>
      </c>
      <c r="L21" s="61">
        <v>8.8151720410573322</v>
      </c>
      <c r="M21" s="61">
        <v>13.099234645849638</v>
      </c>
      <c r="N21" s="61">
        <v>17.383297250641942</v>
      </c>
      <c r="O21" s="61">
        <v>21.667359855434245</v>
      </c>
      <c r="P21" s="61">
        <v>29.500815665135704</v>
      </c>
      <c r="Q21" s="61">
        <v>46.629536052389909</v>
      </c>
      <c r="R21" s="61">
        <v>63.758256439644114</v>
      </c>
      <c r="S21" s="61">
        <v>80.886976826898319</v>
      </c>
      <c r="T21" s="61">
        <v>98.015697214152524</v>
      </c>
      <c r="U21" s="61">
        <v>124.43968217895944</v>
      </c>
      <c r="V21" s="61">
        <v>164.59705739758294</v>
      </c>
      <c r="W21" s="61">
        <v>204.75443261620643</v>
      </c>
      <c r="X21" s="61">
        <v>244.91180783482992</v>
      </c>
      <c r="Y21" s="61">
        <v>285.0691830534534</v>
      </c>
      <c r="Z21" s="61">
        <v>325.22655827207694</v>
      </c>
      <c r="AA21" s="61">
        <v>389.710161775855</v>
      </c>
      <c r="AB21" s="61">
        <v>454.19376527963311</v>
      </c>
      <c r="AC21" s="61">
        <v>518.67736878341123</v>
      </c>
      <c r="AD21" s="61">
        <v>583.16097228718934</v>
      </c>
      <c r="AE21" s="61">
        <v>647.64457579096734</v>
      </c>
    </row>
    <row r="22" spans="1:31" x14ac:dyDescent="0.35">
      <c r="A22" s="87" t="s">
        <v>30</v>
      </c>
      <c r="B22" s="167"/>
      <c r="C22" s="87" t="s">
        <v>34</v>
      </c>
      <c r="D22" s="61">
        <v>1.0596086762235994E-2</v>
      </c>
      <c r="E22" s="61">
        <v>3.178826028670801E-2</v>
      </c>
      <c r="F22" s="61">
        <v>5.9915377699962795E-2</v>
      </c>
      <c r="G22" s="61">
        <v>8.8042495113217573E-2</v>
      </c>
      <c r="H22" s="61">
        <v>0.11616961252647236</v>
      </c>
      <c r="I22" s="61">
        <v>0.14429672993972714</v>
      </c>
      <c r="J22" s="61">
        <v>0.17242384735298194</v>
      </c>
      <c r="K22" s="61">
        <v>0.20055096476623671</v>
      </c>
      <c r="L22" s="61">
        <v>0.29595973247117302</v>
      </c>
      <c r="M22" s="61">
        <v>0.39136850017610936</v>
      </c>
      <c r="N22" s="61">
        <v>0.48677726788104569</v>
      </c>
      <c r="O22" s="61">
        <v>0.58218603558598203</v>
      </c>
      <c r="P22" s="61">
        <v>0.72137761985239368</v>
      </c>
      <c r="Q22" s="61">
        <v>0.89200377498127825</v>
      </c>
      <c r="R22" s="61">
        <v>1.0626299301101629</v>
      </c>
      <c r="S22" s="61">
        <v>1.2332560852390475</v>
      </c>
      <c r="T22" s="61">
        <v>1.4038822403679321</v>
      </c>
      <c r="U22" s="61">
        <v>1.6059429663592897</v>
      </c>
      <c r="V22" s="61">
        <v>1.8632694081032655</v>
      </c>
      <c r="W22" s="61">
        <v>2.1205958498472413</v>
      </c>
      <c r="X22" s="61">
        <v>2.3779222915912173</v>
      </c>
      <c r="Y22" s="61">
        <v>2.6352487333351933</v>
      </c>
      <c r="Z22" s="61">
        <v>2.8925751750791688</v>
      </c>
      <c r="AA22" s="61">
        <v>3.1920033731724837</v>
      </c>
      <c r="AB22" s="61">
        <v>3.4914315712657986</v>
      </c>
      <c r="AC22" s="61">
        <v>3.7908597693591135</v>
      </c>
      <c r="AD22" s="61">
        <v>4.0902879674524284</v>
      </c>
      <c r="AE22" s="61">
        <v>4.3897161655457424</v>
      </c>
    </row>
    <row r="23" spans="1:31" x14ac:dyDescent="0.35">
      <c r="A23" s="87" t="s">
        <v>30</v>
      </c>
      <c r="B23" s="167"/>
      <c r="C23" s="87" t="s">
        <v>35</v>
      </c>
      <c r="D23" s="61">
        <v>4</v>
      </c>
      <c r="E23" s="61">
        <v>5</v>
      </c>
      <c r="F23" s="61">
        <v>8</v>
      </c>
      <c r="G23" s="61">
        <v>11</v>
      </c>
      <c r="H23" s="61">
        <v>14</v>
      </c>
      <c r="I23" s="61">
        <v>17</v>
      </c>
      <c r="J23" s="61">
        <v>20</v>
      </c>
      <c r="K23" s="61">
        <v>23</v>
      </c>
      <c r="L23" s="61">
        <v>27</v>
      </c>
      <c r="M23" s="61">
        <v>31</v>
      </c>
      <c r="N23" s="61">
        <v>35</v>
      </c>
      <c r="O23" s="61">
        <v>39</v>
      </c>
      <c r="P23" s="61">
        <v>44</v>
      </c>
      <c r="Q23" s="61">
        <v>51</v>
      </c>
      <c r="R23" s="61">
        <v>58</v>
      </c>
      <c r="S23" s="61">
        <v>65</v>
      </c>
      <c r="T23" s="61">
        <v>72</v>
      </c>
      <c r="U23" s="61">
        <v>81</v>
      </c>
      <c r="V23" s="61">
        <v>87.6</v>
      </c>
      <c r="W23" s="61">
        <v>94.199999999999989</v>
      </c>
      <c r="X23" s="61">
        <v>100.79999999999998</v>
      </c>
      <c r="Y23" s="61">
        <v>107.39999999999998</v>
      </c>
      <c r="Z23" s="61">
        <v>114</v>
      </c>
      <c r="AA23" s="61">
        <v>121.4</v>
      </c>
      <c r="AB23" s="61">
        <v>128.80000000000001</v>
      </c>
      <c r="AC23" s="61">
        <v>136.20000000000002</v>
      </c>
      <c r="AD23" s="61">
        <v>143.60000000000002</v>
      </c>
      <c r="AE23" s="61">
        <v>151</v>
      </c>
    </row>
    <row r="24" spans="1:31" x14ac:dyDescent="0.35">
      <c r="A24" s="87" t="s">
        <v>30</v>
      </c>
      <c r="B24" s="167"/>
      <c r="C24" s="87" t="s">
        <v>108</v>
      </c>
      <c r="D24" s="61">
        <v>4238.9824318989613</v>
      </c>
      <c r="E24" s="61">
        <v>6425.4824330612555</v>
      </c>
      <c r="F24" s="61">
        <v>8611.9824342235497</v>
      </c>
      <c r="G24" s="61">
        <v>10798.482435385844</v>
      </c>
      <c r="H24" s="61">
        <v>12984.982436548136</v>
      </c>
      <c r="I24" s="61">
        <v>15171.482437710431</v>
      </c>
      <c r="J24" s="61">
        <v>17357.982438872725</v>
      </c>
      <c r="K24" s="61">
        <v>19544.482440035019</v>
      </c>
      <c r="L24" s="61">
        <v>21730.982441197313</v>
      </c>
      <c r="M24" s="61">
        <v>23917.482442359604</v>
      </c>
      <c r="N24" s="61">
        <v>26103.982443521894</v>
      </c>
      <c r="O24" s="61">
        <v>28290.482444684185</v>
      </c>
      <c r="P24" s="61">
        <v>30476.982445846475</v>
      </c>
      <c r="Q24" s="61">
        <v>32663.482447008766</v>
      </c>
      <c r="R24" s="61">
        <v>34849.982448171053</v>
      </c>
      <c r="S24" s="61">
        <v>35619.28724988176</v>
      </c>
      <c r="T24" s="61">
        <v>36388.592051592452</v>
      </c>
      <c r="U24" s="61">
        <v>37157.896853303158</v>
      </c>
      <c r="V24" s="61">
        <v>37927.201655013851</v>
      </c>
      <c r="W24" s="61">
        <v>38696.506456724557</v>
      </c>
      <c r="X24" s="61">
        <v>39465.811258435264</v>
      </c>
      <c r="Y24" s="61">
        <v>40235.116060145971</v>
      </c>
      <c r="Z24" s="61">
        <v>41004.420861856677</v>
      </c>
      <c r="AA24" s="61">
        <v>41773.725663567384</v>
      </c>
      <c r="AB24" s="61">
        <v>42543.030465278091</v>
      </c>
      <c r="AC24" s="61">
        <v>43312.335266988797</v>
      </c>
      <c r="AD24" s="61">
        <v>44081.640068699504</v>
      </c>
      <c r="AE24" s="61">
        <v>44850.944870410225</v>
      </c>
    </row>
    <row r="25" spans="1:31" x14ac:dyDescent="0.35">
      <c r="A25" s="87" t="s">
        <v>30</v>
      </c>
      <c r="B25" s="16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55356.343854525418</v>
      </c>
      <c r="T26" s="61">
        <v>58553.288177258051</v>
      </c>
      <c r="U26" s="61">
        <v>61842.499031107713</v>
      </c>
      <c r="V26" s="61">
        <v>65024.885300951166</v>
      </c>
      <c r="W26" s="61">
        <v>68293.268833520342</v>
      </c>
      <c r="X26" s="61">
        <v>71656.49099181639</v>
      </c>
      <c r="Y26" s="61">
        <v>75060.951475304391</v>
      </c>
      <c r="Z26" s="61">
        <v>78184.812939843832</v>
      </c>
      <c r="AA26" s="61">
        <v>81331.701489298488</v>
      </c>
      <c r="AB26" s="61">
        <v>84513.987783635414</v>
      </c>
      <c r="AC26" s="61">
        <v>87765.435092958593</v>
      </c>
      <c r="AD26" s="61">
        <v>90580.769838002132</v>
      </c>
      <c r="AE26" s="61">
        <v>93440.683251971685</v>
      </c>
    </row>
    <row r="27" spans="1:31" s="80" customFormat="1" x14ac:dyDescent="0.35">
      <c r="A27" s="87"/>
      <c r="B27" s="167"/>
      <c r="C27" s="87" t="s">
        <v>153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59">
        <f>X27+(($Z27-$X27)/(COLUMN($Z27)-COLUMN($X27)))</f>
        <v>0</v>
      </c>
      <c r="Z27" s="61">
        <v>0</v>
      </c>
      <c r="AA27" s="59">
        <f>Z27+(($AE27-$Z27)/(COLUMN($AE27)-COLUMN($Z27)))</f>
        <v>0</v>
      </c>
      <c r="AB27" s="59">
        <f t="shared" ref="AB27:AD28" si="0">AA27+(($AE27-$Z27)/(COLUMN($AE27)-COLUMN($Z27)))</f>
        <v>0</v>
      </c>
      <c r="AC27" s="59">
        <f t="shared" ref="AC27" si="1">AB27+(($AE27-$Z27)/(COLUMN($AE27)-COLUMN($Z27)))</f>
        <v>0</v>
      </c>
      <c r="AD27" s="59">
        <f t="shared" ref="AD27" si="2">AC27+(($AE27-$Z27)/(COLUMN($AE27)-COLUMN($Z27)))</f>
        <v>0</v>
      </c>
      <c r="AE27" s="61">
        <v>0</v>
      </c>
    </row>
    <row r="28" spans="1:31" x14ac:dyDescent="0.35">
      <c r="A28" s="87" t="s">
        <v>39</v>
      </c>
      <c r="B28" s="167"/>
      <c r="C28" s="87" t="s">
        <v>154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f>X28+(($Z28-$X28)/(COLUMN($Z28)-COLUMN($X28)))</f>
        <v>0</v>
      </c>
      <c r="Z28" s="61">
        <v>0</v>
      </c>
      <c r="AA28" s="61">
        <f>Z28+(($AE28-$Z28)/(COLUMN($AE28)-COLUMN($Z28)))</f>
        <v>0</v>
      </c>
      <c r="AB28" s="61">
        <f t="shared" si="0"/>
        <v>0</v>
      </c>
      <c r="AC28" s="61">
        <f t="shared" si="0"/>
        <v>0</v>
      </c>
      <c r="AD28" s="61">
        <f t="shared" si="0"/>
        <v>0</v>
      </c>
      <c r="AE28" s="61">
        <v>0</v>
      </c>
    </row>
    <row r="29" spans="1:31" x14ac:dyDescent="0.35">
      <c r="A29" s="87" t="s">
        <v>39</v>
      </c>
      <c r="B29" s="167"/>
      <c r="C29" s="87" t="s">
        <v>32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f t="shared" ref="Y29:Y32" si="3">X29+(($Z29-$X29)/(COLUMN($Z29)-COLUMN($X29)))</f>
        <v>0</v>
      </c>
      <c r="Z29" s="61">
        <v>0</v>
      </c>
      <c r="AA29" s="61">
        <f t="shared" ref="AA29:AD32" si="4">Z29+(($AE29-$Z29)/(COLUMN($AE29)-COLUMN($Z29)))</f>
        <v>0</v>
      </c>
      <c r="AB29" s="61">
        <f t="shared" si="4"/>
        <v>0</v>
      </c>
      <c r="AC29" s="61">
        <f t="shared" si="4"/>
        <v>0</v>
      </c>
      <c r="AD29" s="61">
        <f t="shared" si="4"/>
        <v>0</v>
      </c>
      <c r="AE29" s="61">
        <v>0</v>
      </c>
    </row>
    <row r="30" spans="1:31" x14ac:dyDescent="0.35">
      <c r="A30" s="87" t="s">
        <v>39</v>
      </c>
      <c r="B30" s="167"/>
      <c r="C30" s="87" t="s">
        <v>33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f t="shared" si="3"/>
        <v>0</v>
      </c>
      <c r="Z30" s="61">
        <v>0</v>
      </c>
      <c r="AA30" s="61">
        <f t="shared" si="4"/>
        <v>0</v>
      </c>
      <c r="AB30" s="61">
        <f t="shared" si="4"/>
        <v>0</v>
      </c>
      <c r="AC30" s="61">
        <f t="shared" si="4"/>
        <v>0</v>
      </c>
      <c r="AD30" s="61">
        <f t="shared" si="4"/>
        <v>0</v>
      </c>
      <c r="AE30" s="61">
        <v>0</v>
      </c>
    </row>
    <row r="31" spans="1:31" x14ac:dyDescent="0.35">
      <c r="A31" s="87" t="s">
        <v>39</v>
      </c>
      <c r="B31" s="167"/>
      <c r="C31" s="87" t="s">
        <v>34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f t="shared" si="3"/>
        <v>0</v>
      </c>
      <c r="Z31" s="61">
        <v>0</v>
      </c>
      <c r="AA31" s="61">
        <f t="shared" si="4"/>
        <v>0</v>
      </c>
      <c r="AB31" s="61">
        <f t="shared" si="4"/>
        <v>0</v>
      </c>
      <c r="AC31" s="61">
        <f t="shared" si="4"/>
        <v>0</v>
      </c>
      <c r="AD31" s="61">
        <f t="shared" si="4"/>
        <v>0</v>
      </c>
      <c r="AE31" s="61">
        <v>0</v>
      </c>
    </row>
    <row r="32" spans="1:31" x14ac:dyDescent="0.35">
      <c r="A32" s="87" t="s">
        <v>39</v>
      </c>
      <c r="B32" s="167"/>
      <c r="C32" s="87" t="s">
        <v>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f t="shared" si="3"/>
        <v>0</v>
      </c>
      <c r="Z32" s="61">
        <v>0</v>
      </c>
      <c r="AA32" s="61">
        <f t="shared" si="4"/>
        <v>0</v>
      </c>
      <c r="AB32" s="61">
        <f t="shared" si="4"/>
        <v>0</v>
      </c>
      <c r="AC32" s="61">
        <f t="shared" si="4"/>
        <v>0</v>
      </c>
      <c r="AD32" s="61">
        <f t="shared" si="4"/>
        <v>0</v>
      </c>
      <c r="AE32" s="61">
        <v>0</v>
      </c>
    </row>
    <row r="33" spans="1:31" x14ac:dyDescent="0.35">
      <c r="A33" s="87" t="s">
        <v>130</v>
      </c>
      <c r="B33" s="87" t="s">
        <v>111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</row>
    <row r="34" spans="1:31" x14ac:dyDescent="0.35">
      <c r="A34" s="87" t="s">
        <v>130</v>
      </c>
      <c r="B34" s="87" t="s">
        <v>132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</row>
    <row r="35" spans="1:31" s="60" customFormat="1" x14ac:dyDescent="0.35">
      <c r="A35" s="87" t="s">
        <v>133</v>
      </c>
      <c r="B35" s="87" t="s">
        <v>111</v>
      </c>
      <c r="C35" s="87" t="s">
        <v>131</v>
      </c>
      <c r="D35" s="61">
        <v>2477.0701677894704</v>
      </c>
      <c r="E35" s="61">
        <f>D35+(($K35-$D35)/(COLUMN($K35)-COLUMN($D35)))</f>
        <v>10015.32438095022</v>
      </c>
      <c r="F35" s="61">
        <f>E35+(($K35-$D35)/(COLUMN($K35)-COLUMN($D35)))</f>
        <v>17553.578594110972</v>
      </c>
      <c r="G35" s="61">
        <f t="shared" ref="G35:J36" si="5">F35+(($K35-$E35)/(COLUMN($K35)-COLUMN($E35)))</f>
        <v>25091.832807271723</v>
      </c>
      <c r="H35" s="61">
        <f t="shared" si="5"/>
        <v>32630.087020432475</v>
      </c>
      <c r="I35" s="61">
        <f t="shared" si="5"/>
        <v>40168.341233593223</v>
      </c>
      <c r="J35" s="61">
        <f t="shared" si="5"/>
        <v>47706.59544675397</v>
      </c>
      <c r="K35" s="61">
        <v>55244.849659914726</v>
      </c>
      <c r="L35" s="61">
        <f>K35+(($O35-$K35)/(COLUMN($O35)-COLUMN($K35)))</f>
        <v>50980.89622786874</v>
      </c>
      <c r="M35" s="61">
        <f t="shared" ref="M35:N36" si="6">L35+(($O35-$K35)/(COLUMN($O35)-COLUMN($K35)))</f>
        <v>46716.942795822753</v>
      </c>
      <c r="N35" s="61">
        <f t="shared" si="6"/>
        <v>42452.989363776767</v>
      </c>
      <c r="O35" s="61">
        <v>38189.035931730788</v>
      </c>
      <c r="P35" s="61">
        <v>257888.28306626406</v>
      </c>
      <c r="Q35" s="61">
        <f t="shared" ref="Q35:T36" si="7">P35+(($U35-$O35)/(COLUMN($U35)-COLUMN($O35)))</f>
        <v>367581.34206404869</v>
      </c>
      <c r="R35" s="61">
        <f t="shared" si="7"/>
        <v>477274.40106183331</v>
      </c>
      <c r="S35" s="61">
        <f t="shared" si="7"/>
        <v>586967.460059618</v>
      </c>
      <c r="T35" s="61">
        <f t="shared" si="7"/>
        <v>696660.51905740262</v>
      </c>
      <c r="U35" s="61">
        <v>696347.38991843862</v>
      </c>
      <c r="V35" s="61">
        <f>U35+(($Z35-$U35)/(COLUMN($Z35)-COLUMN($U35)))</f>
        <v>871852.4631573474</v>
      </c>
      <c r="W35" s="61">
        <f t="shared" ref="W35:Y35" si="8">V35+(($Z35-$U35)/(COLUMN($Z35)-COLUMN($U35)))</f>
        <v>1047357.5363962562</v>
      </c>
      <c r="X35" s="61">
        <f t="shared" si="8"/>
        <v>1222862.609635165</v>
      </c>
      <c r="Y35" s="61">
        <f t="shared" si="8"/>
        <v>1398367.6828740737</v>
      </c>
      <c r="Z35" s="61">
        <v>1573872.7561129825</v>
      </c>
      <c r="AA35" s="61">
        <f>Z35+(($AE35-$Z35)/(COLUMN($AE35)-COLUMN($Z35)))</f>
        <v>1825117.7822536842</v>
      </c>
      <c r="AB35" s="61">
        <f t="shared" ref="AB35:AD36" si="9">AA35+(($AE35-$Z35)/(COLUMN($AE35)-COLUMN($Z35)))</f>
        <v>2076362.808394386</v>
      </c>
      <c r="AC35" s="61">
        <f t="shared" si="9"/>
        <v>2327607.8345350879</v>
      </c>
      <c r="AD35" s="61">
        <f t="shared" si="9"/>
        <v>2578852.8606757899</v>
      </c>
      <c r="AE35" s="61">
        <v>2830097.8868164914</v>
      </c>
    </row>
    <row r="36" spans="1:31" s="60" customFormat="1" x14ac:dyDescent="0.35">
      <c r="A36" s="87" t="s">
        <v>133</v>
      </c>
      <c r="B36" s="87" t="s">
        <v>132</v>
      </c>
      <c r="C36" s="87" t="s">
        <v>131</v>
      </c>
      <c r="D36" s="61">
        <v>10278.567558542511</v>
      </c>
      <c r="E36" s="61">
        <f>D36+(($K36-$D36)/(COLUMN($K36)-COLUMN($D36)))</f>
        <v>41558.446591030959</v>
      </c>
      <c r="F36" s="61">
        <f>E36+(($K36-$D36)/(COLUMN($K36)-COLUMN($D36)))</f>
        <v>72838.325623519413</v>
      </c>
      <c r="G36" s="61">
        <f t="shared" si="5"/>
        <v>104118.20465600786</v>
      </c>
      <c r="H36" s="61">
        <f t="shared" si="5"/>
        <v>135398.08368849632</v>
      </c>
      <c r="I36" s="61">
        <f t="shared" si="5"/>
        <v>166677.96272098477</v>
      </c>
      <c r="J36" s="61">
        <f t="shared" si="5"/>
        <v>197957.84175347321</v>
      </c>
      <c r="K36" s="61">
        <v>229237.72078596166</v>
      </c>
      <c r="L36" s="61">
        <f t="shared" ref="L36" si="10">K36+(($O36-$K36)/(COLUMN($O36)-COLUMN($K36)))</f>
        <v>211544.50644440943</v>
      </c>
      <c r="M36" s="61">
        <f t="shared" si="6"/>
        <v>193851.2921028572</v>
      </c>
      <c r="N36" s="61">
        <f t="shared" si="6"/>
        <v>176158.07776130497</v>
      </c>
      <c r="O36" s="61">
        <v>158464.86341975268</v>
      </c>
      <c r="P36" s="61">
        <v>1070103.7760341791</v>
      </c>
      <c r="Q36" s="61">
        <f t="shared" si="7"/>
        <v>1525273.5698790122</v>
      </c>
      <c r="R36" s="61">
        <f t="shared" si="7"/>
        <v>1980443.3637238452</v>
      </c>
      <c r="S36" s="61">
        <f t="shared" si="7"/>
        <v>2435613.1575686783</v>
      </c>
      <c r="T36" s="61">
        <f t="shared" si="7"/>
        <v>2890782.9514135113</v>
      </c>
      <c r="U36" s="61">
        <v>2889483.6264887503</v>
      </c>
      <c r="V36" s="61">
        <f t="shared" ref="V36:Y36" si="11">U36+(($Z36-$U36)/(COLUMN($Z36)-COLUMN($U36)))</f>
        <v>3617739.4408013923</v>
      </c>
      <c r="W36" s="61">
        <f t="shared" si="11"/>
        <v>4345995.2551140347</v>
      </c>
      <c r="X36" s="61">
        <f t="shared" si="11"/>
        <v>5074251.0694266772</v>
      </c>
      <c r="Y36" s="61">
        <f t="shared" si="11"/>
        <v>5802506.8837393196</v>
      </c>
      <c r="Z36" s="61">
        <v>6530762.6980519611</v>
      </c>
      <c r="AA36" s="61">
        <f t="shared" ref="AA36" si="12">Z36+(($AE36-$Z36)/(COLUMN($AE36)-COLUMN($Z36)))</f>
        <v>7573300.3736154847</v>
      </c>
      <c r="AB36" s="61">
        <f t="shared" si="9"/>
        <v>8615838.0491790082</v>
      </c>
      <c r="AC36" s="61">
        <f t="shared" si="9"/>
        <v>9658375.7247425318</v>
      </c>
      <c r="AD36" s="61">
        <f t="shared" si="9"/>
        <v>10700913.400306055</v>
      </c>
      <c r="AE36" s="61">
        <v>11743451.075869581</v>
      </c>
    </row>
    <row r="37" spans="1:31" s="60" customFormat="1" ht="29" x14ac:dyDescent="0.35">
      <c r="A37" s="3" t="s">
        <v>134</v>
      </c>
      <c r="B37" s="3" t="s">
        <v>135</v>
      </c>
      <c r="C37" s="87" t="s">
        <v>131</v>
      </c>
      <c r="D37" s="61">
        <v>5110374.2213796834</v>
      </c>
      <c r="E37" s="61">
        <v>6015097.5811416227</v>
      </c>
      <c r="F37" s="61">
        <v>6967510.592113046</v>
      </c>
      <c r="G37" s="61">
        <v>7745187.9968061158</v>
      </c>
      <c r="H37" s="61">
        <v>8491036.71368628</v>
      </c>
      <c r="I37" s="61">
        <v>9233048.74636738</v>
      </c>
      <c r="J37" s="61">
        <v>10172667.817321118</v>
      </c>
      <c r="K37" s="61">
        <v>11216525.058557451</v>
      </c>
      <c r="L37" s="61">
        <v>12260160.059538106</v>
      </c>
      <c r="M37" s="61">
        <v>13330830.006865343</v>
      </c>
      <c r="N37" s="61">
        <v>14604368.715492908</v>
      </c>
      <c r="O37" s="61">
        <v>15898045.990351547</v>
      </c>
      <c r="P37" s="61">
        <v>17328004.734673198</v>
      </c>
      <c r="Q37" s="61">
        <v>18766389.698252752</v>
      </c>
      <c r="R37" s="61">
        <v>20232001.086540084</v>
      </c>
      <c r="S37" s="61">
        <v>21817429.49744973</v>
      </c>
      <c r="T37" s="61">
        <v>23600568.043533172</v>
      </c>
      <c r="U37" s="61">
        <v>25503802.072911512</v>
      </c>
      <c r="V37" s="61">
        <v>27434997.056164566</v>
      </c>
      <c r="W37" s="61">
        <v>29443388.644315328</v>
      </c>
      <c r="X37" s="61">
        <v>31566313.148651812</v>
      </c>
      <c r="Y37" s="61">
        <v>33843442.253389135</v>
      </c>
      <c r="Z37" s="61">
        <v>36000441.291783169</v>
      </c>
      <c r="AA37" s="61">
        <v>38358137.116168171</v>
      </c>
      <c r="AB37" s="61">
        <v>40806428.006710529</v>
      </c>
      <c r="AC37" s="61">
        <v>43292848.447085924</v>
      </c>
      <c r="AD37" s="61">
        <v>45372446.239866607</v>
      </c>
      <c r="AE37" s="61">
        <v>47951699.30872459</v>
      </c>
    </row>
    <row r="38" spans="1:31" x14ac:dyDescent="0.35">
      <c r="A38" s="87"/>
      <c r="B38" s="87"/>
      <c r="C38" s="87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/>
    </row>
    <row r="39" spans="1:31" x14ac:dyDescent="0.35">
      <c r="A39" s="87"/>
      <c r="B39" s="87"/>
      <c r="C39" s="87" t="s">
        <v>136</v>
      </c>
      <c r="D39" s="87">
        <f>'Cost Assumptions'!$B$4</f>
        <v>40</v>
      </c>
      <c r="E39" s="61">
        <f>D39*'Cost Assumptions'!$B$5</f>
        <v>41</v>
      </c>
      <c r="F39" s="61">
        <f>E39*'Cost Assumptions'!$B$5</f>
        <v>42.024999999999999</v>
      </c>
      <c r="G39" s="61">
        <f>F39*'Cost Assumptions'!$B$5</f>
        <v>43.075624999999995</v>
      </c>
      <c r="H39" s="61">
        <f>G39*'Cost Assumptions'!$B$5</f>
        <v>44.152515624999992</v>
      </c>
      <c r="I39" s="8">
        <f>H39*'Cost Assumptions'!$B$5</f>
        <v>45.256328515624986</v>
      </c>
      <c r="J39" s="8">
        <f>I39*'Cost Assumptions'!$B$5</f>
        <v>46.387736728515605</v>
      </c>
      <c r="K39" s="8">
        <f>J39*'Cost Assumptions'!$B$5</f>
        <v>47.547430146728495</v>
      </c>
      <c r="L39" s="8">
        <f>K39*'Cost Assumptions'!$B$5</f>
        <v>48.736115900396705</v>
      </c>
      <c r="M39" s="8">
        <f>L39*'Cost Assumptions'!$B$5</f>
        <v>49.954518797906616</v>
      </c>
      <c r="N39" s="8">
        <f>M39*'Cost Assumptions'!$B$5</f>
        <v>51.203381767854275</v>
      </c>
      <c r="O39" s="8">
        <f>N39*'Cost Assumptions'!$B$5</f>
        <v>52.483466312050624</v>
      </c>
      <c r="P39" s="8">
        <f>O39*'Cost Assumptions'!$B$5</f>
        <v>53.795552969851883</v>
      </c>
      <c r="Q39" s="8">
        <f>P39*'Cost Assumptions'!$B$5</f>
        <v>55.140441794098173</v>
      </c>
      <c r="R39" s="8">
        <f>Q39*'Cost Assumptions'!$B$5</f>
        <v>56.518952838950625</v>
      </c>
      <c r="S39" s="8">
        <f>R39*'Cost Assumptions'!$B$5</f>
        <v>57.931926659924386</v>
      </c>
      <c r="T39" s="8">
        <f>S39*'Cost Assumptions'!$B$5</f>
        <v>59.380224826422491</v>
      </c>
      <c r="U39" s="8">
        <f>T39*'Cost Assumptions'!$B$5</f>
        <v>60.864730447083048</v>
      </c>
      <c r="V39" s="8">
        <f>U39*'Cost Assumptions'!$B$5</f>
        <v>62.386348708260115</v>
      </c>
      <c r="W39" s="8">
        <f>V39*'Cost Assumptions'!$B$5</f>
        <v>63.946007425966613</v>
      </c>
      <c r="X39" s="8">
        <f>W39*'Cost Assumptions'!$B$5</f>
        <v>65.544657611615776</v>
      </c>
      <c r="Y39" s="8">
        <f>X39*'Cost Assumptions'!$B$5</f>
        <v>67.183274051906167</v>
      </c>
      <c r="Z39" s="8">
        <f>Y39*'Cost Assumptions'!$B$5</f>
        <v>68.862855903203823</v>
      </c>
      <c r="AA39" s="8">
        <f>Z39*'Cost Assumptions'!$B$5</f>
        <v>70.584427300783915</v>
      </c>
      <c r="AB39" s="8">
        <f>AA39*'Cost Assumptions'!$B$5</f>
        <v>72.349037983303504</v>
      </c>
      <c r="AC39" s="8">
        <f>AB39*'Cost Assumptions'!$B$5</f>
        <v>74.157763932886084</v>
      </c>
      <c r="AD39" s="8">
        <f>AC39*'Cost Assumptions'!$B$5</f>
        <v>76.011708031208229</v>
      </c>
      <c r="AE39" s="8">
        <f>AD39*'Cost Assumptions'!$B$5</f>
        <v>77.912000731988428</v>
      </c>
    </row>
    <row r="40" spans="1:31" x14ac:dyDescent="0.35">
      <c r="A40" s="87"/>
      <c r="B40" s="87"/>
      <c r="C40" s="8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x14ac:dyDescent="0.35">
      <c r="A41" s="87"/>
      <c r="B41" s="87"/>
      <c r="C41" s="87"/>
      <c r="E41" s="87"/>
      <c r="F41" s="87"/>
      <c r="G41" s="87"/>
      <c r="H41" s="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20" thickBot="1" x14ac:dyDescent="0.5">
      <c r="A42" s="120"/>
      <c r="B42" s="125" t="s">
        <v>138</v>
      </c>
      <c r="C42" s="120" t="s">
        <v>105</v>
      </c>
      <c r="D42" s="120">
        <v>2021</v>
      </c>
      <c r="E42" s="120">
        <v>2022</v>
      </c>
      <c r="F42" s="120">
        <v>2023</v>
      </c>
      <c r="G42" s="120">
        <v>2024</v>
      </c>
      <c r="H42" s="120">
        <v>2025</v>
      </c>
      <c r="I42" s="120">
        <v>2026</v>
      </c>
      <c r="J42" s="120">
        <v>2027</v>
      </c>
      <c r="K42" s="120">
        <v>2028</v>
      </c>
      <c r="L42" s="120">
        <v>2029</v>
      </c>
      <c r="M42" s="120">
        <v>2030</v>
      </c>
      <c r="N42" s="120">
        <v>2031</v>
      </c>
      <c r="O42" s="120">
        <v>2032</v>
      </c>
      <c r="P42" s="120">
        <v>2033</v>
      </c>
      <c r="Q42" s="120">
        <v>2034</v>
      </c>
      <c r="R42" s="120">
        <v>2035</v>
      </c>
      <c r="S42" s="120">
        <v>2036</v>
      </c>
      <c r="T42" s="120">
        <v>2037</v>
      </c>
      <c r="U42" s="120">
        <v>2038</v>
      </c>
      <c r="V42" s="120">
        <v>2039</v>
      </c>
      <c r="W42" s="120">
        <v>2040</v>
      </c>
      <c r="X42" s="120">
        <v>2041</v>
      </c>
      <c r="Y42" s="120">
        <v>2042</v>
      </c>
      <c r="Z42" s="120">
        <v>2043</v>
      </c>
      <c r="AA42" s="120">
        <v>2044</v>
      </c>
      <c r="AB42" s="120">
        <v>2045</v>
      </c>
      <c r="AC42" s="120">
        <v>2046</v>
      </c>
      <c r="AD42" s="120">
        <v>2047</v>
      </c>
      <c r="AE42" s="120">
        <v>2048</v>
      </c>
    </row>
    <row r="43" spans="1:31" ht="15" thickTop="1" x14ac:dyDescent="0.35">
      <c r="A43" s="87"/>
      <c r="B43" s="9">
        <f>NPV('Cost Assumptions'!$B$3,'VS to VN &amp; Central BESS VS VN '!D43:'VS to VN &amp; Central BESS VS VN '!AE43)</f>
        <v>6657.0644527035847</v>
      </c>
      <c r="C43" s="87" t="s">
        <v>107</v>
      </c>
      <c r="D43" s="61">
        <f t="shared" ref="D43" si="13">D2-D18</f>
        <v>358.79999999895517</v>
      </c>
      <c r="E43" s="61">
        <f t="shared" ref="E43:AE43" si="14">E2-E18</f>
        <v>408.64999999964493</v>
      </c>
      <c r="F43" s="61">
        <f t="shared" si="14"/>
        <v>451.60192307660327</v>
      </c>
      <c r="G43" s="61">
        <f t="shared" si="14"/>
        <v>494.55384615356161</v>
      </c>
      <c r="H43" s="61">
        <f t="shared" si="14"/>
        <v>537.50576923051995</v>
      </c>
      <c r="I43" s="61">
        <f t="shared" si="14"/>
        <v>580.45769230747828</v>
      </c>
      <c r="J43" s="61">
        <f t="shared" si="14"/>
        <v>623.40961538443662</v>
      </c>
      <c r="K43" s="61">
        <f t="shared" si="14"/>
        <v>666.36153846139496</v>
      </c>
      <c r="L43" s="61">
        <f t="shared" si="14"/>
        <v>709.31346153835329</v>
      </c>
      <c r="M43" s="61">
        <f t="shared" si="14"/>
        <v>752.26538461531163</v>
      </c>
      <c r="N43" s="61">
        <f t="shared" si="14"/>
        <v>795.21730769226997</v>
      </c>
      <c r="O43" s="61">
        <f t="shared" si="14"/>
        <v>838.16923076922831</v>
      </c>
      <c r="P43" s="61">
        <f t="shared" si="14"/>
        <v>881.12115384618664</v>
      </c>
      <c r="Q43" s="61">
        <f t="shared" si="14"/>
        <v>924.07307692314498</v>
      </c>
      <c r="R43" s="61">
        <f t="shared" si="14"/>
        <v>967.02500000010332</v>
      </c>
      <c r="S43" s="61">
        <f t="shared" si="14"/>
        <v>1019.9403846155183</v>
      </c>
      <c r="T43" s="61">
        <f t="shared" si="14"/>
        <v>1072.8557692309332</v>
      </c>
      <c r="U43" s="61">
        <f t="shared" si="14"/>
        <v>1125.7711538463482</v>
      </c>
      <c r="V43" s="61">
        <f t="shared" si="14"/>
        <v>1178.6865384617631</v>
      </c>
      <c r="W43" s="61">
        <f t="shared" si="14"/>
        <v>1231.6019230771781</v>
      </c>
      <c r="X43" s="61">
        <f t="shared" si="14"/>
        <v>1284.517307692593</v>
      </c>
      <c r="Y43" s="61">
        <f t="shared" si="14"/>
        <v>1337.432692308008</v>
      </c>
      <c r="Z43" s="61">
        <f t="shared" si="14"/>
        <v>1390.3480769234229</v>
      </c>
      <c r="AA43" s="61">
        <f t="shared" si="14"/>
        <v>1443.2634615388379</v>
      </c>
      <c r="AB43" s="61">
        <f t="shared" si="14"/>
        <v>1496.1788461542528</v>
      </c>
      <c r="AC43" s="61">
        <f t="shared" si="14"/>
        <v>1549.0942307696678</v>
      </c>
      <c r="AD43" s="61">
        <f t="shared" si="14"/>
        <v>1602.0096153850827</v>
      </c>
      <c r="AE43" s="61">
        <f t="shared" si="14"/>
        <v>1654.9250000004613</v>
      </c>
    </row>
    <row r="44" spans="1:31" x14ac:dyDescent="0.35">
      <c r="A44" s="87"/>
      <c r="B44" s="9">
        <f>NPV('Cost Assumptions'!$B$3,'VS to VN &amp; Central BESS VS VN '!D44:'VS to VN &amp; Central BESS VS VN '!AE44)</f>
        <v>355383.25861104828</v>
      </c>
      <c r="C44" s="87" t="s">
        <v>139</v>
      </c>
      <c r="D44" s="61">
        <f t="shared" ref="D44" si="15">D43*D39</f>
        <v>14351.999999958207</v>
      </c>
      <c r="E44" s="61">
        <f t="shared" ref="E44:AE44" si="16">E43*E39</f>
        <v>16754.649999985442</v>
      </c>
      <c r="F44" s="61">
        <f t="shared" si="16"/>
        <v>18978.57081729425</v>
      </c>
      <c r="G44" s="61">
        <f t="shared" si="16"/>
        <v>21303.216019218511</v>
      </c>
      <c r="H44" s="61">
        <f t="shared" si="16"/>
        <v>23732.231874478173</v>
      </c>
      <c r="I44" s="61">
        <f t="shared" si="16"/>
        <v>26269.384012488805</v>
      </c>
      <c r="J44" s="61">
        <f t="shared" si="16"/>
        <v>28918.561112478419</v>
      </c>
      <c r="K44" s="61">
        <f t="shared" si="16"/>
        <v>31683.778702459709</v>
      </c>
      <c r="L44" s="61">
        <f t="shared" si="16"/>
        <v>34569.18307124477</v>
      </c>
      <c r="M44" s="61">
        <f t="shared" si="16"/>
        <v>37579.055296780032</v>
      </c>
      <c r="N44" s="61">
        <f t="shared" si="16"/>
        <v>40717.81539417254</v>
      </c>
      <c r="O44" s="61">
        <f t="shared" si="16"/>
        <v>43990.026586874177</v>
      </c>
      <c r="P44" s="61">
        <f t="shared" si="16"/>
        <v>47400.399704589545</v>
      </c>
      <c r="Q44" s="61">
        <f t="shared" si="16"/>
        <v>50953.797711573883</v>
      </c>
      <c r="R44" s="61">
        <f t="shared" si="16"/>
        <v>54655.240369092069</v>
      </c>
      <c r="S44" s="61">
        <f t="shared" si="16"/>
        <v>59087.111559041274</v>
      </c>
      <c r="T44" s="61">
        <f t="shared" si="16"/>
        <v>63706.416783257257</v>
      </c>
      <c r="U44" s="61">
        <f t="shared" si="16"/>
        <v>68519.757823959648</v>
      </c>
      <c r="V44" s="61">
        <f t="shared" si="16"/>
        <v>73533.949406207597</v>
      </c>
      <c r="W44" s="61">
        <f t="shared" si="16"/>
        <v>78756.025718927995</v>
      </c>
      <c r="X44" s="61">
        <f t="shared" si="16"/>
        <v>84193.247128905525</v>
      </c>
      <c r="Y44" s="61">
        <f t="shared" si="16"/>
        <v>89853.107093307597</v>
      </c>
      <c r="Z44" s="61">
        <f t="shared" si="16"/>
        <v>95743.339276474217</v>
      </c>
      <c r="AA44" s="61">
        <f t="shared" si="16"/>
        <v>101871.92487686584</v>
      </c>
      <c r="AB44" s="61">
        <f t="shared" si="16"/>
        <v>108247.10017022924</v>
      </c>
      <c r="AC44" s="61">
        <f t="shared" si="16"/>
        <v>114877.36427521278</v>
      </c>
      <c r="AD44" s="61">
        <f t="shared" si="16"/>
        <v>121771.4871478391</v>
      </c>
      <c r="AE44" s="61">
        <f t="shared" si="16"/>
        <v>128938.51781142189</v>
      </c>
    </row>
    <row r="45" spans="1:31" x14ac:dyDescent="0.35">
      <c r="A45" s="87" t="s">
        <v>30</v>
      </c>
      <c r="B45" s="9">
        <f>NPV('Cost Assumptions'!$B$3,'VS to VN &amp; Central BESS VS VN '!D45:'VS to VN &amp; Central BESS VS VN '!AE45)</f>
        <v>3417.8021254828423</v>
      </c>
      <c r="C45" s="87" t="s">
        <v>31</v>
      </c>
      <c r="D45" s="61">
        <f t="shared" ref="D45" si="17">D3-D19</f>
        <v>6.4000000000000057</v>
      </c>
      <c r="E45" s="61">
        <f t="shared" ref="E45:AE45" si="18">E3-E19</f>
        <v>5.1999999999999886</v>
      </c>
      <c r="F45" s="61">
        <f t="shared" si="18"/>
        <v>6.2666666666666657</v>
      </c>
      <c r="G45" s="61">
        <f t="shared" si="18"/>
        <v>7.3333333333333428</v>
      </c>
      <c r="H45" s="61">
        <f t="shared" si="18"/>
        <v>8.4000000000000199</v>
      </c>
      <c r="I45" s="61">
        <f t="shared" si="18"/>
        <v>9.466666666666697</v>
      </c>
      <c r="J45" s="61">
        <f t="shared" si="18"/>
        <v>10.533333333333388</v>
      </c>
      <c r="K45" s="61">
        <f t="shared" si="18"/>
        <v>11.600000000000023</v>
      </c>
      <c r="L45" s="61">
        <f t="shared" si="18"/>
        <v>26.125</v>
      </c>
      <c r="M45" s="61">
        <f t="shared" si="18"/>
        <v>40.649999999999977</v>
      </c>
      <c r="N45" s="61">
        <f t="shared" si="18"/>
        <v>55.174999999999955</v>
      </c>
      <c r="O45" s="61">
        <f t="shared" si="18"/>
        <v>69.699999999999932</v>
      </c>
      <c r="P45" s="61">
        <f t="shared" si="18"/>
        <v>209.75000000000011</v>
      </c>
      <c r="Q45" s="61">
        <f t="shared" si="18"/>
        <v>316.38333333333355</v>
      </c>
      <c r="R45" s="61">
        <f t="shared" si="18"/>
        <v>423.01666666666688</v>
      </c>
      <c r="S45" s="61">
        <f t="shared" si="18"/>
        <v>529.65000000000032</v>
      </c>
      <c r="T45" s="61">
        <f t="shared" si="18"/>
        <v>636.28333333333376</v>
      </c>
      <c r="U45" s="61">
        <f t="shared" si="18"/>
        <v>709.50000000000023</v>
      </c>
      <c r="V45" s="61">
        <f t="shared" si="18"/>
        <v>1117.8100000000004</v>
      </c>
      <c r="W45" s="61">
        <f t="shared" si="18"/>
        <v>1526.12</v>
      </c>
      <c r="X45" s="61">
        <f t="shared" si="18"/>
        <v>1934.4299999999994</v>
      </c>
      <c r="Y45" s="61">
        <f t="shared" si="18"/>
        <v>2342.7399999999989</v>
      </c>
      <c r="Z45" s="61">
        <f t="shared" si="18"/>
        <v>2178.5000000000009</v>
      </c>
      <c r="AA45" s="61">
        <f t="shared" si="18"/>
        <v>2657.4800000000009</v>
      </c>
      <c r="AB45" s="61">
        <f t="shared" si="18"/>
        <v>3136.4600000000009</v>
      </c>
      <c r="AC45" s="61">
        <f t="shared" si="18"/>
        <v>3615.440000000001</v>
      </c>
      <c r="AD45" s="61">
        <f t="shared" si="18"/>
        <v>4094.420000000001</v>
      </c>
      <c r="AE45" s="61">
        <f t="shared" si="18"/>
        <v>4573.3999999999987</v>
      </c>
    </row>
    <row r="46" spans="1:31" x14ac:dyDescent="0.35">
      <c r="A46" s="87" t="s">
        <v>30</v>
      </c>
      <c r="B46" s="9">
        <f>NPV('Cost Assumptions'!$B$3,'VS to VN &amp; Central BESS VS VN '!D46:'VS to VN &amp; Central BESS VS VN '!AE46)</f>
        <v>-54.568047943553999</v>
      </c>
      <c r="C46" s="87" t="s">
        <v>32</v>
      </c>
      <c r="D46" s="61">
        <f t="shared" ref="D46" si="19">D4-D20</f>
        <v>-2.1999999999999886</v>
      </c>
      <c r="E46" s="61">
        <f t="shared" ref="E46:AE46" si="20">E4-E20</f>
        <v>-5.1000000000000227</v>
      </c>
      <c r="F46" s="61">
        <f t="shared" si="20"/>
        <v>-5.0833333333333535</v>
      </c>
      <c r="G46" s="61">
        <f t="shared" si="20"/>
        <v>-5.0666666666666842</v>
      </c>
      <c r="H46" s="61">
        <f t="shared" si="20"/>
        <v>-5.0500000000000131</v>
      </c>
      <c r="I46" s="61">
        <f t="shared" si="20"/>
        <v>-5.0333333333333421</v>
      </c>
      <c r="J46" s="61">
        <f t="shared" si="20"/>
        <v>-5.0166666666666693</v>
      </c>
      <c r="K46" s="61">
        <f t="shared" si="20"/>
        <v>-5</v>
      </c>
      <c r="L46" s="61">
        <f t="shared" si="20"/>
        <v>-4.5</v>
      </c>
      <c r="M46" s="61">
        <f t="shared" si="20"/>
        <v>-4</v>
      </c>
      <c r="N46" s="61">
        <f t="shared" si="20"/>
        <v>-3.5</v>
      </c>
      <c r="O46" s="61">
        <f t="shared" si="20"/>
        <v>-3</v>
      </c>
      <c r="P46" s="61">
        <f t="shared" si="20"/>
        <v>-2.6000000000000014</v>
      </c>
      <c r="Q46" s="61">
        <f t="shared" si="20"/>
        <v>-5.1000000000000014</v>
      </c>
      <c r="R46" s="61">
        <f t="shared" si="20"/>
        <v>-7.6000000000000014</v>
      </c>
      <c r="S46" s="61">
        <f t="shared" si="20"/>
        <v>-10.100000000000001</v>
      </c>
      <c r="T46" s="61">
        <f t="shared" si="20"/>
        <v>-12.600000000000001</v>
      </c>
      <c r="U46" s="61">
        <f t="shared" si="20"/>
        <v>-18</v>
      </c>
      <c r="V46" s="61">
        <f t="shared" si="20"/>
        <v>-15.600000000000001</v>
      </c>
      <c r="W46" s="61">
        <f t="shared" si="20"/>
        <v>-13.200000000000003</v>
      </c>
      <c r="X46" s="61">
        <f t="shared" si="20"/>
        <v>-10.800000000000011</v>
      </c>
      <c r="Y46" s="61">
        <f t="shared" si="20"/>
        <v>-8.4000000000000199</v>
      </c>
      <c r="Z46" s="61">
        <f t="shared" si="20"/>
        <v>-6</v>
      </c>
      <c r="AA46" s="61">
        <f t="shared" si="20"/>
        <v>-8.1000000000000085</v>
      </c>
      <c r="AB46" s="61">
        <f t="shared" si="20"/>
        <v>-10.200000000000017</v>
      </c>
      <c r="AC46" s="61">
        <f t="shared" si="20"/>
        <v>-12.300000000000026</v>
      </c>
      <c r="AD46" s="61">
        <f t="shared" si="20"/>
        <v>-14.400000000000034</v>
      </c>
      <c r="AE46" s="61">
        <f t="shared" si="20"/>
        <v>-16.5</v>
      </c>
    </row>
    <row r="47" spans="1:31" x14ac:dyDescent="0.35">
      <c r="A47" s="87" t="s">
        <v>30</v>
      </c>
      <c r="B47" s="9">
        <f>NPV('Cost Assumptions'!$B$3,'VS to VN &amp; Central BESS VS VN '!D47:'VS to VN &amp; Central BESS VS VN '!AE47)</f>
        <v>635.01807900041479</v>
      </c>
      <c r="C47" s="87" t="s">
        <v>33</v>
      </c>
      <c r="D47" s="61">
        <f t="shared" ref="D47" si="21">D5-D21</f>
        <v>0.16101065957203564</v>
      </c>
      <c r="E47" s="61">
        <f t="shared" ref="E47:AE47" si="22">E5-E21</f>
        <v>0.29710227032067171</v>
      </c>
      <c r="F47" s="61">
        <f t="shared" si="22"/>
        <v>0.24475951391333728</v>
      </c>
      <c r="G47" s="61">
        <f t="shared" si="22"/>
        <v>0.19241675750600296</v>
      </c>
      <c r="H47" s="61">
        <f t="shared" si="22"/>
        <v>0.14007400109866852</v>
      </c>
      <c r="I47" s="61">
        <f t="shared" si="22"/>
        <v>8.7731244691334087E-2</v>
      </c>
      <c r="J47" s="61">
        <f t="shared" si="22"/>
        <v>3.5388488283999653E-2</v>
      </c>
      <c r="K47" s="61">
        <f t="shared" si="22"/>
        <v>-1.6954268123334337E-2</v>
      </c>
      <c r="L47" s="61">
        <f t="shared" si="22"/>
        <v>0.93827420470966061</v>
      </c>
      <c r="M47" s="61">
        <f t="shared" si="22"/>
        <v>1.8935026775426547</v>
      </c>
      <c r="N47" s="61">
        <f t="shared" si="22"/>
        <v>2.8487311503756523</v>
      </c>
      <c r="O47" s="61">
        <f t="shared" si="22"/>
        <v>3.8039596232086446</v>
      </c>
      <c r="P47" s="61">
        <f t="shared" si="22"/>
        <v>24.635954604503148</v>
      </c>
      <c r="Q47" s="61">
        <f t="shared" si="22"/>
        <v>36.172685008244912</v>
      </c>
      <c r="R47" s="61">
        <f t="shared" si="22"/>
        <v>47.709415411986669</v>
      </c>
      <c r="S47" s="61">
        <f t="shared" si="22"/>
        <v>59.246145815728426</v>
      </c>
      <c r="T47" s="61">
        <f t="shared" si="22"/>
        <v>70.782876219470197</v>
      </c>
      <c r="U47" s="61">
        <f t="shared" si="22"/>
        <v>73.024342045659225</v>
      </c>
      <c r="V47" s="61">
        <f t="shared" si="22"/>
        <v>141.00207090738888</v>
      </c>
      <c r="W47" s="61">
        <f t="shared" si="22"/>
        <v>208.97979976911853</v>
      </c>
      <c r="X47" s="61">
        <f t="shared" si="22"/>
        <v>276.95752863084817</v>
      </c>
      <c r="Y47" s="61">
        <f t="shared" si="22"/>
        <v>344.93525749257782</v>
      </c>
      <c r="Z47" s="61">
        <f t="shared" si="22"/>
        <v>412.91298635430752</v>
      </c>
      <c r="AA47" s="61">
        <f t="shared" si="22"/>
        <v>587.64669199598461</v>
      </c>
      <c r="AB47" s="61">
        <f t="shared" si="22"/>
        <v>762.38039763766176</v>
      </c>
      <c r="AC47" s="61">
        <f t="shared" si="22"/>
        <v>937.11410327933879</v>
      </c>
      <c r="AD47" s="61">
        <f t="shared" si="22"/>
        <v>1111.8478089210157</v>
      </c>
      <c r="AE47" s="61">
        <f t="shared" si="22"/>
        <v>1286.5815145626927</v>
      </c>
    </row>
    <row r="48" spans="1:31" x14ac:dyDescent="0.35">
      <c r="A48" s="87" t="s">
        <v>30</v>
      </c>
      <c r="B48" s="9">
        <f>NPV('Cost Assumptions'!$B$3,'VS to VN &amp; Central BESS VS VN '!D48:'VS to VN &amp; Central BESS VS VN '!AE48)</f>
        <v>2.6970479248830559</v>
      </c>
      <c r="C48" s="87" t="s">
        <v>34</v>
      </c>
      <c r="D48" s="61">
        <f t="shared" ref="D48" si="23">D6-D22</f>
        <v>3.4096640331972815E-3</v>
      </c>
      <c r="E48" s="61">
        <f t="shared" ref="E48:AE48" si="24">E6-E22</f>
        <v>-8.6516770503240747E-4</v>
      </c>
      <c r="F48" s="61">
        <f t="shared" si="24"/>
        <v>-2.3245368920208551E-3</v>
      </c>
      <c r="G48" s="61">
        <f t="shared" si="24"/>
        <v>-3.7839060790093026E-3</v>
      </c>
      <c r="H48" s="61">
        <f t="shared" si="24"/>
        <v>-5.2432752659977572E-3</v>
      </c>
      <c r="I48" s="61">
        <f t="shared" si="24"/>
        <v>-6.7026444529862117E-3</v>
      </c>
      <c r="J48" s="61">
        <f t="shared" si="24"/>
        <v>-8.1620136399746801E-3</v>
      </c>
      <c r="K48" s="61">
        <f t="shared" si="24"/>
        <v>-9.621382826963093E-3</v>
      </c>
      <c r="L48" s="61">
        <f t="shared" si="24"/>
        <v>-8.5350234774406175E-5</v>
      </c>
      <c r="M48" s="61">
        <f t="shared" si="24"/>
        <v>9.4506823574142529E-3</v>
      </c>
      <c r="N48" s="61">
        <f t="shared" si="24"/>
        <v>1.8986714949602912E-2</v>
      </c>
      <c r="O48" s="61">
        <f t="shared" si="24"/>
        <v>2.8522747541791516E-2</v>
      </c>
      <c r="P48" s="61">
        <f t="shared" si="24"/>
        <v>0.15101906250635333</v>
      </c>
      <c r="Q48" s="61">
        <f t="shared" si="24"/>
        <v>0.24208080660844222</v>
      </c>
      <c r="R48" s="61">
        <f t="shared" si="24"/>
        <v>0.333142550710531</v>
      </c>
      <c r="S48" s="61">
        <f t="shared" si="24"/>
        <v>0.4242042948126199</v>
      </c>
      <c r="T48" s="61">
        <f t="shared" si="24"/>
        <v>0.51526603891470879</v>
      </c>
      <c r="U48" s="61">
        <f t="shared" si="24"/>
        <v>0.57489321215432421</v>
      </c>
      <c r="V48" s="61">
        <f t="shared" si="24"/>
        <v>0.83739531597643002</v>
      </c>
      <c r="W48" s="61">
        <f t="shared" si="24"/>
        <v>1.0998974197985358</v>
      </c>
      <c r="X48" s="61">
        <f t="shared" si="24"/>
        <v>1.3623995236206414</v>
      </c>
      <c r="Y48" s="61">
        <f t="shared" si="24"/>
        <v>1.624901627442747</v>
      </c>
      <c r="Z48" s="61">
        <f t="shared" si="24"/>
        <v>1.8874037312648522</v>
      </c>
      <c r="AA48" s="61">
        <f t="shared" si="24"/>
        <v>2.3215741323861012</v>
      </c>
      <c r="AB48" s="61">
        <f t="shared" si="24"/>
        <v>2.7557445335073503</v>
      </c>
      <c r="AC48" s="61">
        <f t="shared" si="24"/>
        <v>3.1899149346285993</v>
      </c>
      <c r="AD48" s="61">
        <f t="shared" si="24"/>
        <v>3.6240853357498484</v>
      </c>
      <c r="AE48" s="61">
        <f t="shared" si="24"/>
        <v>4.0582557368711001</v>
      </c>
    </row>
    <row r="49" spans="1:31" x14ac:dyDescent="0.35">
      <c r="A49" s="87" t="s">
        <v>30</v>
      </c>
      <c r="B49" s="9">
        <f>NPV('Cost Assumptions'!$B$3,'VS to VN &amp; Central BESS VS VN '!D49:'VS to VN &amp; Central BESS VS VN '!AE49)</f>
        <v>387.01710858269144</v>
      </c>
      <c r="C49" s="87" t="s">
        <v>35</v>
      </c>
      <c r="D49" s="61">
        <f t="shared" ref="D49" si="25">D7-D23</f>
        <v>14</v>
      </c>
      <c r="E49" s="61">
        <f t="shared" ref="E49:AE49" si="26">E7-E23</f>
        <v>23</v>
      </c>
      <c r="F49" s="61">
        <f t="shared" si="26"/>
        <v>25.333333333333336</v>
      </c>
      <c r="G49" s="61">
        <f t="shared" si="26"/>
        <v>27.666666666666671</v>
      </c>
      <c r="H49" s="61">
        <f t="shared" si="26"/>
        <v>30.000000000000007</v>
      </c>
      <c r="I49" s="61">
        <f t="shared" si="26"/>
        <v>32.333333333333343</v>
      </c>
      <c r="J49" s="61">
        <f t="shared" si="26"/>
        <v>34.666666666666679</v>
      </c>
      <c r="K49" s="61">
        <f t="shared" si="26"/>
        <v>37</v>
      </c>
      <c r="L49" s="61">
        <f t="shared" si="26"/>
        <v>40</v>
      </c>
      <c r="M49" s="61">
        <f t="shared" si="26"/>
        <v>43</v>
      </c>
      <c r="N49" s="61">
        <f t="shared" si="26"/>
        <v>46</v>
      </c>
      <c r="O49" s="61">
        <f t="shared" si="26"/>
        <v>49</v>
      </c>
      <c r="P49" s="61">
        <f t="shared" si="26"/>
        <v>53.833333333333329</v>
      </c>
      <c r="Q49" s="61">
        <f t="shared" si="26"/>
        <v>56.666666666666657</v>
      </c>
      <c r="R49" s="61">
        <f t="shared" si="26"/>
        <v>59.499999999999986</v>
      </c>
      <c r="S49" s="61">
        <f t="shared" si="26"/>
        <v>62.333333333333314</v>
      </c>
      <c r="T49" s="61">
        <f t="shared" si="26"/>
        <v>65.166666666666657</v>
      </c>
      <c r="U49" s="61">
        <f t="shared" si="26"/>
        <v>66</v>
      </c>
      <c r="V49" s="61">
        <f t="shared" si="26"/>
        <v>70.800000000000011</v>
      </c>
      <c r="W49" s="61">
        <f t="shared" si="26"/>
        <v>75.600000000000023</v>
      </c>
      <c r="X49" s="61">
        <f t="shared" si="26"/>
        <v>80.400000000000034</v>
      </c>
      <c r="Y49" s="61">
        <f t="shared" si="26"/>
        <v>85.200000000000045</v>
      </c>
      <c r="Z49" s="61">
        <f t="shared" si="26"/>
        <v>90</v>
      </c>
      <c r="AA49" s="61">
        <f t="shared" si="26"/>
        <v>94</v>
      </c>
      <c r="AB49" s="61">
        <f t="shared" si="26"/>
        <v>98</v>
      </c>
      <c r="AC49" s="61">
        <f t="shared" si="26"/>
        <v>102</v>
      </c>
      <c r="AD49" s="61">
        <f t="shared" si="26"/>
        <v>106</v>
      </c>
      <c r="AE49" s="61">
        <f t="shared" si="26"/>
        <v>110</v>
      </c>
    </row>
    <row r="50" spans="1:31" s="60" customFormat="1" x14ac:dyDescent="0.35">
      <c r="A50" s="87" t="s">
        <v>30</v>
      </c>
      <c r="B50" s="9">
        <f>NPV('Cost Assumptions'!$B$3,'VS to VN &amp; Central BESS VS VN '!D50:'VS to VN &amp; Central BESS VS VN '!AE50)</f>
        <v>112489.21834804892</v>
      </c>
      <c r="C50" s="85" t="s">
        <v>140</v>
      </c>
      <c r="D50" s="61">
        <f t="shared" ref="D50:E52" si="27">D13-D24</f>
        <v>2088.0515373598791</v>
      </c>
      <c r="E50" s="61">
        <f t="shared" si="27"/>
        <v>3165.0847079878258</v>
      </c>
      <c r="F50" s="61">
        <f t="shared" ref="F50:AE50" si="28">F13-F24</f>
        <v>4242.1178786157725</v>
      </c>
      <c r="G50" s="61">
        <f t="shared" si="28"/>
        <v>5319.1510492437192</v>
      </c>
      <c r="H50" s="61">
        <f t="shared" si="28"/>
        <v>6396.1842198716658</v>
      </c>
      <c r="I50" s="61">
        <f t="shared" si="28"/>
        <v>7473.2173904996125</v>
      </c>
      <c r="J50" s="61">
        <f t="shared" si="28"/>
        <v>8550.2505611275592</v>
      </c>
      <c r="K50" s="61">
        <f t="shared" si="28"/>
        <v>9627.2837317555059</v>
      </c>
      <c r="L50" s="61">
        <f t="shared" si="28"/>
        <v>10704.316902383453</v>
      </c>
      <c r="M50" s="61">
        <f t="shared" si="28"/>
        <v>11781.350073011399</v>
      </c>
      <c r="N50" s="61">
        <f t="shared" si="28"/>
        <v>12858.383243639346</v>
      </c>
      <c r="O50" s="61">
        <f t="shared" si="28"/>
        <v>13935.416414267293</v>
      </c>
      <c r="P50" s="61">
        <f t="shared" si="28"/>
        <v>15012.449584895239</v>
      </c>
      <c r="Q50" s="61">
        <f t="shared" si="28"/>
        <v>16089.482755523186</v>
      </c>
      <c r="R50" s="61">
        <f t="shared" si="28"/>
        <v>17166.515926151136</v>
      </c>
      <c r="S50" s="61">
        <f t="shared" si="28"/>
        <v>19660.744296230667</v>
      </c>
      <c r="T50" s="61">
        <f t="shared" si="28"/>
        <v>22154.972666310212</v>
      </c>
      <c r="U50" s="61">
        <f t="shared" si="28"/>
        <v>24649.201036389743</v>
      </c>
      <c r="V50" s="61">
        <f t="shared" si="28"/>
        <v>27143.429406469288</v>
      </c>
      <c r="W50" s="61">
        <f t="shared" si="28"/>
        <v>29637.657776548818</v>
      </c>
      <c r="X50" s="61">
        <f t="shared" si="28"/>
        <v>32131.886146628356</v>
      </c>
      <c r="Y50" s="61">
        <f t="shared" si="28"/>
        <v>34626.114516707894</v>
      </c>
      <c r="Z50" s="61">
        <f t="shared" si="28"/>
        <v>37120.342886787432</v>
      </c>
      <c r="AA50" s="61">
        <f t="shared" si="28"/>
        <v>39614.57125686697</v>
      </c>
      <c r="AB50" s="61">
        <f t="shared" si="28"/>
        <v>42108.799626946507</v>
      </c>
      <c r="AC50" s="61">
        <f t="shared" si="28"/>
        <v>44603.027997026045</v>
      </c>
      <c r="AD50" s="61">
        <f t="shared" si="28"/>
        <v>47097.256367105583</v>
      </c>
      <c r="AE50" s="61">
        <f t="shared" si="28"/>
        <v>49591.484737185106</v>
      </c>
    </row>
    <row r="51" spans="1:31" s="60" customFormat="1" x14ac:dyDescent="0.35">
      <c r="A51" s="87" t="s">
        <v>30</v>
      </c>
      <c r="B51" s="9">
        <f>NPV('Cost Assumptions'!$B$3,'VS to VN &amp; Central BESS VS VN '!D51:'VS to VN &amp; Central BESS VS VN '!AE51)</f>
        <v>0</v>
      </c>
      <c r="C51" s="85" t="s">
        <v>141</v>
      </c>
      <c r="D51" s="61">
        <f t="shared" si="27"/>
        <v>0</v>
      </c>
      <c r="E51" s="61">
        <f t="shared" si="27"/>
        <v>0</v>
      </c>
      <c r="F51" s="61">
        <f t="shared" ref="F51:AE51" si="29">F14-F25</f>
        <v>0</v>
      </c>
      <c r="G51" s="61">
        <f t="shared" si="29"/>
        <v>0</v>
      </c>
      <c r="H51" s="61">
        <f t="shared" si="29"/>
        <v>0</v>
      </c>
      <c r="I51" s="61">
        <f t="shared" si="29"/>
        <v>0</v>
      </c>
      <c r="J51" s="61">
        <f t="shared" si="29"/>
        <v>0</v>
      </c>
      <c r="K51" s="61">
        <f t="shared" si="29"/>
        <v>0</v>
      </c>
      <c r="L51" s="61">
        <f t="shared" si="29"/>
        <v>0</v>
      </c>
      <c r="M51" s="61">
        <f t="shared" si="29"/>
        <v>0</v>
      </c>
      <c r="N51" s="61">
        <f t="shared" si="29"/>
        <v>0</v>
      </c>
      <c r="O51" s="61">
        <f t="shared" si="29"/>
        <v>0</v>
      </c>
      <c r="P51" s="61">
        <f t="shared" si="29"/>
        <v>0</v>
      </c>
      <c r="Q51" s="61">
        <f t="shared" si="29"/>
        <v>0</v>
      </c>
      <c r="R51" s="61">
        <f t="shared" si="29"/>
        <v>0</v>
      </c>
      <c r="S51" s="61">
        <f t="shared" si="29"/>
        <v>0</v>
      </c>
      <c r="T51" s="61">
        <f t="shared" si="29"/>
        <v>0</v>
      </c>
      <c r="U51" s="61">
        <f t="shared" si="29"/>
        <v>0</v>
      </c>
      <c r="V51" s="61">
        <f t="shared" si="29"/>
        <v>0</v>
      </c>
      <c r="W51" s="61">
        <f t="shared" si="29"/>
        <v>0</v>
      </c>
      <c r="X51" s="61">
        <f t="shared" si="29"/>
        <v>0</v>
      </c>
      <c r="Y51" s="61">
        <f t="shared" si="29"/>
        <v>0</v>
      </c>
      <c r="Z51" s="61">
        <f t="shared" si="29"/>
        <v>0</v>
      </c>
      <c r="AA51" s="61">
        <f t="shared" si="29"/>
        <v>0</v>
      </c>
      <c r="AB51" s="61">
        <f t="shared" si="29"/>
        <v>0</v>
      </c>
      <c r="AC51" s="61">
        <f t="shared" si="29"/>
        <v>0</v>
      </c>
      <c r="AD51" s="61">
        <f t="shared" si="29"/>
        <v>0</v>
      </c>
      <c r="AE51" s="61">
        <f t="shared" si="29"/>
        <v>0</v>
      </c>
    </row>
    <row r="52" spans="1:31" s="80" customFormat="1" x14ac:dyDescent="0.35">
      <c r="A52" s="87" t="s">
        <v>30</v>
      </c>
      <c r="B52" s="9">
        <f>NPV('Cost Assumptions'!$B$3,'VS to VN &amp; Central BESS VS VN '!D52:'VS to VN &amp; Central BESS VS VN '!AE52)</f>
        <v>625479.5609838292</v>
      </c>
      <c r="C52" s="85" t="s">
        <v>142</v>
      </c>
      <c r="D52" s="61">
        <f t="shared" si="27"/>
        <v>43849.644101295453</v>
      </c>
      <c r="E52" s="61">
        <f t="shared" si="27"/>
        <v>47666.191216959465</v>
      </c>
      <c r="F52" s="61">
        <f t="shared" ref="F52:AE52" si="30">F15-F26</f>
        <v>51623.047330972418</v>
      </c>
      <c r="G52" s="61">
        <f t="shared" si="30"/>
        <v>54016.982557012248</v>
      </c>
      <c r="H52" s="61">
        <f t="shared" si="30"/>
        <v>56464.471123255622</v>
      </c>
      <c r="I52" s="61">
        <f t="shared" si="30"/>
        <v>58848.308518997277</v>
      </c>
      <c r="J52" s="61">
        <f t="shared" si="30"/>
        <v>61506.880850817244</v>
      </c>
      <c r="K52" s="61">
        <f t="shared" si="30"/>
        <v>64212.311152410475</v>
      </c>
      <c r="L52" s="61">
        <f t="shared" si="30"/>
        <v>66996.404432384094</v>
      </c>
      <c r="M52" s="61">
        <f t="shared" si="30"/>
        <v>69825.280426255733</v>
      </c>
      <c r="N52" s="61">
        <f t="shared" si="30"/>
        <v>72773.518005164369</v>
      </c>
      <c r="O52" s="61">
        <f t="shared" si="30"/>
        <v>75714.333022317209</v>
      </c>
      <c r="P52" s="61">
        <f t="shared" si="30"/>
        <v>78717.374136003491</v>
      </c>
      <c r="Q52" s="61">
        <f t="shared" si="30"/>
        <v>81702.717287077568</v>
      </c>
      <c r="R52" s="61">
        <f t="shared" si="30"/>
        <v>84628.656557176175</v>
      </c>
      <c r="S52" s="61">
        <f t="shared" si="30"/>
        <v>87572.125320247287</v>
      </c>
      <c r="T52" s="61">
        <f t="shared" si="30"/>
        <v>90542.941621017875</v>
      </c>
      <c r="U52" s="61">
        <f t="shared" si="30"/>
        <v>93513.384412501167</v>
      </c>
      <c r="V52" s="61">
        <f t="shared" si="30"/>
        <v>96262.835372085596</v>
      </c>
      <c r="W52" s="61">
        <f t="shared" si="30"/>
        <v>99037.282527116578</v>
      </c>
      <c r="X52" s="61">
        <f t="shared" si="30"/>
        <v>101828.94049500194</v>
      </c>
      <c r="Y52" s="61">
        <f t="shared" si="30"/>
        <v>104676.61397808696</v>
      </c>
      <c r="Z52" s="61">
        <f t="shared" si="30"/>
        <v>107213.11870562422</v>
      </c>
      <c r="AA52" s="61">
        <f t="shared" si="30"/>
        <v>109729.18807011581</v>
      </c>
      <c r="AB52" s="61">
        <f t="shared" si="30"/>
        <v>112291.24739482973</v>
      </c>
      <c r="AC52" s="61">
        <f t="shared" si="30"/>
        <v>114921.19579819695</v>
      </c>
      <c r="AD52" s="61">
        <f t="shared" si="30"/>
        <v>117146.06917588247</v>
      </c>
      <c r="AE52" s="61">
        <f t="shared" si="30"/>
        <v>119382.04502315809</v>
      </c>
    </row>
    <row r="53" spans="1:31" x14ac:dyDescent="0.35">
      <c r="A53" s="87" t="s">
        <v>39</v>
      </c>
      <c r="B53" s="9">
        <f>NPV('Cost Assumptions'!$B$3,'VS to VN &amp; Central BESS VS VN '!D53:'VS to VN &amp; Central BESS VS VN '!AE53)</f>
        <v>21183.807598459298</v>
      </c>
      <c r="C53" s="87" t="s">
        <v>31</v>
      </c>
      <c r="D53" s="61">
        <f>D8-SUM(D28,D27)</f>
        <v>49.800000000000182</v>
      </c>
      <c r="E53" s="61">
        <f>E8-SUM(E28,E27)</f>
        <v>129.00000000000023</v>
      </c>
      <c r="F53" s="61">
        <f t="shared" ref="F53:AE53" si="31">F8-SUM(F28,F27)</f>
        <v>258.75000000000023</v>
      </c>
      <c r="G53" s="61">
        <f t="shared" si="31"/>
        <v>388.50000000000023</v>
      </c>
      <c r="H53" s="61">
        <f t="shared" si="31"/>
        <v>518.25000000000023</v>
      </c>
      <c r="I53" s="61">
        <f t="shared" si="31"/>
        <v>648.00000000000023</v>
      </c>
      <c r="J53" s="61">
        <f t="shared" si="31"/>
        <v>777.75000000000023</v>
      </c>
      <c r="K53" s="61">
        <f t="shared" si="31"/>
        <v>907.5</v>
      </c>
      <c r="L53" s="61">
        <f t="shared" si="31"/>
        <v>1246.7</v>
      </c>
      <c r="M53" s="61">
        <f t="shared" si="31"/>
        <v>1585.9</v>
      </c>
      <c r="N53" s="61">
        <f t="shared" si="31"/>
        <v>1925.1000000000001</v>
      </c>
      <c r="O53" s="61">
        <f t="shared" si="31"/>
        <v>2264.3000000000002</v>
      </c>
      <c r="P53" s="61">
        <f t="shared" si="31"/>
        <v>2843.6833333333334</v>
      </c>
      <c r="Q53" s="61">
        <f t="shared" si="31"/>
        <v>3423.0666666666666</v>
      </c>
      <c r="R53" s="61">
        <f t="shared" si="31"/>
        <v>4002.45</v>
      </c>
      <c r="S53" s="61">
        <f t="shared" si="31"/>
        <v>4581.833333333333</v>
      </c>
      <c r="T53" s="61">
        <f t="shared" si="31"/>
        <v>5161.2166666666662</v>
      </c>
      <c r="U53" s="61">
        <f t="shared" si="31"/>
        <v>5740.5999999999995</v>
      </c>
      <c r="V53" s="61">
        <f t="shared" si="31"/>
        <v>6569.9999999999991</v>
      </c>
      <c r="W53" s="61">
        <f t="shared" si="31"/>
        <v>7399.3999999999987</v>
      </c>
      <c r="X53" s="61">
        <f t="shared" si="31"/>
        <v>8228.7999999999993</v>
      </c>
      <c r="Y53" s="61">
        <f t="shared" si="31"/>
        <v>9058.1999999999989</v>
      </c>
      <c r="Z53" s="61">
        <f t="shared" si="31"/>
        <v>9887.5999999999985</v>
      </c>
      <c r="AA53" s="61">
        <f t="shared" si="31"/>
        <v>10814.56</v>
      </c>
      <c r="AB53" s="61">
        <f t="shared" si="31"/>
        <v>11741.52</v>
      </c>
      <c r="AC53" s="61">
        <f t="shared" si="31"/>
        <v>12668.480000000001</v>
      </c>
      <c r="AD53" s="61">
        <f t="shared" si="31"/>
        <v>13595.440000000002</v>
      </c>
      <c r="AE53" s="61">
        <f t="shared" si="31"/>
        <v>14522.400000000003</v>
      </c>
    </row>
    <row r="54" spans="1:31" x14ac:dyDescent="0.35">
      <c r="A54" s="87" t="s">
        <v>39</v>
      </c>
      <c r="B54" s="9">
        <f>NPV('Cost Assumptions'!$B$3,'VS to VN &amp; Central BESS VS VN '!D54:'VS to VN &amp; Central BESS VS VN '!AE54)</f>
        <v>1335.7023826118307</v>
      </c>
      <c r="C54" s="87" t="s">
        <v>32</v>
      </c>
      <c r="D54" s="61">
        <f t="shared" ref="D54" si="32">D9-D29</f>
        <v>22.400000000000091</v>
      </c>
      <c r="E54" s="61">
        <f t="shared" ref="E54:AE54" si="33">E9-E29</f>
        <v>42.200000000000045</v>
      </c>
      <c r="F54" s="61">
        <f t="shared" si="33"/>
        <v>57.06666666666672</v>
      </c>
      <c r="G54" s="61">
        <f t="shared" si="33"/>
        <v>71.933333333333394</v>
      </c>
      <c r="H54" s="61">
        <f t="shared" si="33"/>
        <v>86.800000000000068</v>
      </c>
      <c r="I54" s="61">
        <f t="shared" si="33"/>
        <v>101.66666666666674</v>
      </c>
      <c r="J54" s="61">
        <f t="shared" si="33"/>
        <v>116.53333333333342</v>
      </c>
      <c r="K54" s="61">
        <f t="shared" si="33"/>
        <v>131.40000000000009</v>
      </c>
      <c r="L54" s="61">
        <f t="shared" si="33"/>
        <v>146.05000000000007</v>
      </c>
      <c r="M54" s="61">
        <f t="shared" si="33"/>
        <v>160.70000000000005</v>
      </c>
      <c r="N54" s="61">
        <f t="shared" si="33"/>
        <v>175.35000000000002</v>
      </c>
      <c r="O54" s="61">
        <f t="shared" si="33"/>
        <v>190</v>
      </c>
      <c r="P54" s="61">
        <f t="shared" si="33"/>
        <v>205</v>
      </c>
      <c r="Q54" s="61">
        <f t="shared" si="33"/>
        <v>220</v>
      </c>
      <c r="R54" s="61">
        <f t="shared" si="33"/>
        <v>235</v>
      </c>
      <c r="S54" s="61">
        <f t="shared" si="33"/>
        <v>250</v>
      </c>
      <c r="T54" s="61">
        <f t="shared" si="33"/>
        <v>265</v>
      </c>
      <c r="U54" s="61">
        <f t="shared" si="33"/>
        <v>280</v>
      </c>
      <c r="V54" s="61">
        <f t="shared" si="33"/>
        <v>293.68</v>
      </c>
      <c r="W54" s="61">
        <f t="shared" si="33"/>
        <v>307.36</v>
      </c>
      <c r="X54" s="61">
        <f t="shared" si="33"/>
        <v>321.04000000000002</v>
      </c>
      <c r="Y54" s="61">
        <f t="shared" si="33"/>
        <v>334.72</v>
      </c>
      <c r="Z54" s="61">
        <f t="shared" si="33"/>
        <v>348.40000000000009</v>
      </c>
      <c r="AA54" s="61">
        <f t="shared" si="33"/>
        <v>360.84000000000003</v>
      </c>
      <c r="AB54" s="61">
        <f t="shared" si="33"/>
        <v>373.28</v>
      </c>
      <c r="AC54" s="61">
        <f t="shared" si="33"/>
        <v>385.71999999999991</v>
      </c>
      <c r="AD54" s="61">
        <f t="shared" si="33"/>
        <v>398.15999999999985</v>
      </c>
      <c r="AE54" s="61">
        <f t="shared" si="33"/>
        <v>410.59999999999991</v>
      </c>
    </row>
    <row r="55" spans="1:31" x14ac:dyDescent="0.35">
      <c r="A55" s="87" t="s">
        <v>39</v>
      </c>
      <c r="B55" s="9">
        <f>NPV('Cost Assumptions'!$B$3,'VS to VN &amp; Central BESS VS VN '!D55:'VS to VN &amp; Central BESS VS VN '!AE55)</f>
        <v>1756.8124401485429</v>
      </c>
      <c r="C55" s="87" t="s">
        <v>33</v>
      </c>
      <c r="D55" s="61">
        <f t="shared" ref="D55" si="34">D10-D30</f>
        <v>0.21200232326290805</v>
      </c>
      <c r="E55" s="61">
        <f t="shared" ref="E55:AE55" si="35">E10-E30</f>
        <v>0.68645330574586072</v>
      </c>
      <c r="F55" s="61">
        <f t="shared" si="35"/>
        <v>3.6304865724427344</v>
      </c>
      <c r="G55" s="61">
        <f t="shared" si="35"/>
        <v>6.574519839139608</v>
      </c>
      <c r="H55" s="61">
        <f t="shared" si="35"/>
        <v>9.5185531058364816</v>
      </c>
      <c r="I55" s="61">
        <f t="shared" si="35"/>
        <v>12.462586372533355</v>
      </c>
      <c r="J55" s="61">
        <f t="shared" si="35"/>
        <v>15.406619639230229</v>
      </c>
      <c r="K55" s="61">
        <f t="shared" si="35"/>
        <v>18.350652905927102</v>
      </c>
      <c r="L55" s="61">
        <f t="shared" si="35"/>
        <v>36.053857953636381</v>
      </c>
      <c r="M55" s="61">
        <f t="shared" si="35"/>
        <v>53.757063001345664</v>
      </c>
      <c r="N55" s="61">
        <f t="shared" si="35"/>
        <v>71.460268049054946</v>
      </c>
      <c r="O55" s="61">
        <f t="shared" si="35"/>
        <v>89.163473096764235</v>
      </c>
      <c r="P55" s="61">
        <f t="shared" si="35"/>
        <v>144.562613999387</v>
      </c>
      <c r="Q55" s="61">
        <f t="shared" si="35"/>
        <v>199.96175490200974</v>
      </c>
      <c r="R55" s="61">
        <f t="shared" si="35"/>
        <v>255.36089580463249</v>
      </c>
      <c r="S55" s="61">
        <f t="shared" si="35"/>
        <v>310.76003670725527</v>
      </c>
      <c r="T55" s="61">
        <f t="shared" si="35"/>
        <v>366.15917760987804</v>
      </c>
      <c r="U55" s="61">
        <f t="shared" si="35"/>
        <v>421.5583185125007</v>
      </c>
      <c r="V55" s="61">
        <f t="shared" si="35"/>
        <v>551.91714225219016</v>
      </c>
      <c r="W55" s="61">
        <f t="shared" si="35"/>
        <v>682.27596599187962</v>
      </c>
      <c r="X55" s="61">
        <f t="shared" si="35"/>
        <v>812.63478973156907</v>
      </c>
      <c r="Y55" s="61">
        <f t="shared" si="35"/>
        <v>942.99361347125853</v>
      </c>
      <c r="Z55" s="61">
        <f t="shared" si="35"/>
        <v>1073.352437210948</v>
      </c>
      <c r="AA55" s="61">
        <f t="shared" si="35"/>
        <v>1297.6248419255464</v>
      </c>
      <c r="AB55" s="61">
        <f t="shared" si="35"/>
        <v>1521.8972466401449</v>
      </c>
      <c r="AC55" s="61">
        <f t="shared" si="35"/>
        <v>1746.1696513547433</v>
      </c>
      <c r="AD55" s="61">
        <f t="shared" si="35"/>
        <v>1970.4420560693418</v>
      </c>
      <c r="AE55" s="61">
        <f t="shared" si="35"/>
        <v>2194.71446078394</v>
      </c>
    </row>
    <row r="56" spans="1:31" x14ac:dyDescent="0.35">
      <c r="A56" s="87" t="s">
        <v>39</v>
      </c>
      <c r="B56" s="9">
        <f>NPV('Cost Assumptions'!$B$3,'VS to VN &amp; Central BESS VS VN '!D56:'VS to VN &amp; Central BESS VS VN '!AE56)</f>
        <v>22.545263184878515</v>
      </c>
      <c r="C56" s="87" t="s">
        <v>34</v>
      </c>
      <c r="D56" s="61">
        <f t="shared" ref="D56" si="36">D11-D31</f>
        <v>5.3000580815727012E-2</v>
      </c>
      <c r="E56" s="61">
        <f t="shared" ref="E56:AE56" si="37">E11-E31</f>
        <v>0.13729066114917213</v>
      </c>
      <c r="F56" s="61">
        <f t="shared" si="37"/>
        <v>0.27537952381665309</v>
      </c>
      <c r="G56" s="61">
        <f t="shared" si="37"/>
        <v>0.41346838648413409</v>
      </c>
      <c r="H56" s="61">
        <f t="shared" si="37"/>
        <v>0.55155724915161508</v>
      </c>
      <c r="I56" s="61">
        <f t="shared" si="37"/>
        <v>0.68964611181909607</v>
      </c>
      <c r="J56" s="61">
        <f t="shared" si="37"/>
        <v>0.82773497448657707</v>
      </c>
      <c r="K56" s="61">
        <f t="shared" si="37"/>
        <v>0.96582383715405795</v>
      </c>
      <c r="L56" s="61">
        <f t="shared" si="37"/>
        <v>1.3268237771680045</v>
      </c>
      <c r="M56" s="61">
        <f t="shared" si="37"/>
        <v>1.687823717181951</v>
      </c>
      <c r="N56" s="61">
        <f t="shared" si="37"/>
        <v>2.0488236571958973</v>
      </c>
      <c r="O56" s="61">
        <f t="shared" si="37"/>
        <v>2.4098235972098441</v>
      </c>
      <c r="P56" s="61">
        <f t="shared" si="37"/>
        <v>3.0264431390094124</v>
      </c>
      <c r="Q56" s="61">
        <f t="shared" si="37"/>
        <v>3.6430626808089812</v>
      </c>
      <c r="R56" s="61">
        <f t="shared" si="37"/>
        <v>4.25968222260855</v>
      </c>
      <c r="S56" s="61">
        <f t="shared" si="37"/>
        <v>4.8763017644081188</v>
      </c>
      <c r="T56" s="61">
        <f t="shared" si="37"/>
        <v>5.4929213062076876</v>
      </c>
      <c r="U56" s="61">
        <f t="shared" si="37"/>
        <v>6.1095408480072555</v>
      </c>
      <c r="V56" s="61">
        <f t="shared" si="37"/>
        <v>6.9922453003880554</v>
      </c>
      <c r="W56" s="61">
        <f t="shared" si="37"/>
        <v>7.8749497527688552</v>
      </c>
      <c r="X56" s="61">
        <f t="shared" si="37"/>
        <v>8.7576542051496542</v>
      </c>
      <c r="Y56" s="61">
        <f t="shared" si="37"/>
        <v>9.6403586575304541</v>
      </c>
      <c r="Z56" s="61">
        <f t="shared" si="37"/>
        <v>10.523063109911254</v>
      </c>
      <c r="AA56" s="61">
        <f t="shared" si="37"/>
        <v>11.509597615793707</v>
      </c>
      <c r="AB56" s="61">
        <f t="shared" si="37"/>
        <v>12.49613212167616</v>
      </c>
      <c r="AC56" s="61">
        <f t="shared" si="37"/>
        <v>13.482666627558613</v>
      </c>
      <c r="AD56" s="61">
        <f t="shared" si="37"/>
        <v>14.469201133441066</v>
      </c>
      <c r="AE56" s="61">
        <f t="shared" si="37"/>
        <v>15.455735639323521</v>
      </c>
    </row>
    <row r="57" spans="1:31" x14ac:dyDescent="0.35">
      <c r="A57" s="87" t="s">
        <v>39</v>
      </c>
      <c r="B57" s="9">
        <f>NPV('Cost Assumptions'!$B$3,'VS to VN &amp; Central BESS VS VN '!D57:'VS to VN &amp; Central BESS VS VN '!AE57)</f>
        <v>284.37326230940391</v>
      </c>
      <c r="C57" s="87" t="s">
        <v>35</v>
      </c>
      <c r="D57" s="61">
        <f t="shared" ref="D57" si="38">D12-D32</f>
        <v>4</v>
      </c>
      <c r="E57" s="61">
        <f t="shared" ref="E57:AE57" si="39">E12-E32</f>
        <v>5</v>
      </c>
      <c r="F57" s="61">
        <f t="shared" si="39"/>
        <v>7.3333333333333339</v>
      </c>
      <c r="G57" s="61">
        <f t="shared" si="39"/>
        <v>9.6666666666666679</v>
      </c>
      <c r="H57" s="61">
        <f t="shared" si="39"/>
        <v>12.000000000000002</v>
      </c>
      <c r="I57" s="61">
        <f t="shared" si="39"/>
        <v>14.333333333333336</v>
      </c>
      <c r="J57" s="61">
        <f t="shared" si="39"/>
        <v>16.666666666666668</v>
      </c>
      <c r="K57" s="61">
        <f t="shared" si="39"/>
        <v>19</v>
      </c>
      <c r="L57" s="61">
        <f t="shared" si="39"/>
        <v>23.5</v>
      </c>
      <c r="M57" s="61">
        <f t="shared" si="39"/>
        <v>28</v>
      </c>
      <c r="N57" s="61">
        <f t="shared" si="39"/>
        <v>32.5</v>
      </c>
      <c r="O57" s="61">
        <f t="shared" si="39"/>
        <v>37</v>
      </c>
      <c r="P57" s="61">
        <f t="shared" si="39"/>
        <v>42.333333333333336</v>
      </c>
      <c r="Q57" s="61">
        <f t="shared" si="39"/>
        <v>47.666666666666671</v>
      </c>
      <c r="R57" s="61">
        <f t="shared" si="39"/>
        <v>53.000000000000007</v>
      </c>
      <c r="S57" s="61">
        <f t="shared" si="39"/>
        <v>58.333333333333343</v>
      </c>
      <c r="T57" s="61">
        <f t="shared" si="39"/>
        <v>63.666666666666679</v>
      </c>
      <c r="U57" s="61">
        <f t="shared" si="39"/>
        <v>69</v>
      </c>
      <c r="V57" s="61">
        <f t="shared" si="39"/>
        <v>75.599999999999994</v>
      </c>
      <c r="W57" s="61">
        <f t="shared" si="39"/>
        <v>82.199999999999989</v>
      </c>
      <c r="X57" s="61">
        <f t="shared" si="39"/>
        <v>88.799999999999983</v>
      </c>
      <c r="Y57" s="61">
        <f t="shared" si="39"/>
        <v>95.399999999999977</v>
      </c>
      <c r="Z57" s="61">
        <f t="shared" si="39"/>
        <v>102</v>
      </c>
      <c r="AA57" s="61">
        <f t="shared" si="39"/>
        <v>110</v>
      </c>
      <c r="AB57" s="61">
        <f t="shared" si="39"/>
        <v>118</v>
      </c>
      <c r="AC57" s="61">
        <f t="shared" si="39"/>
        <v>126</v>
      </c>
      <c r="AD57" s="61">
        <f t="shared" si="39"/>
        <v>134</v>
      </c>
      <c r="AE57" s="61">
        <f t="shared" si="39"/>
        <v>142</v>
      </c>
    </row>
    <row r="59" spans="1:31" ht="15" thickBot="1" x14ac:dyDescent="0.4">
      <c r="A59" s="164" t="s">
        <v>143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.5" thickTop="1" thickBot="1" x14ac:dyDescent="0.4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</row>
    <row r="61" spans="1:31" ht="15" thickTop="1" x14ac:dyDescent="0.35">
      <c r="A61" s="87" t="str">
        <f>'Baseline System Analysis'!A17</f>
        <v>Residential</v>
      </c>
      <c r="B61" s="87" t="str">
        <f>'Baseline System Analysis'!B17</f>
        <v>Cost of Reliability (N-1)</v>
      </c>
      <c r="C61" s="87" t="str">
        <f>'Baseline System Analysis'!C17</f>
        <v>$/kWh</v>
      </c>
      <c r="D61" s="5">
        <f>'Baseline System Analysis'!D17</f>
        <v>4.3837328124999999</v>
      </c>
      <c r="E61" s="5">
        <f>'Baseline System Analysis'!E17</f>
        <v>4.4933261328124994</v>
      </c>
      <c r="F61" s="5">
        <f>'Baseline System Analysis'!F17</f>
        <v>4.6056592861328118</v>
      </c>
      <c r="G61" s="5">
        <f>'Baseline System Analysis'!G17</f>
        <v>4.7208007682861322</v>
      </c>
      <c r="H61" s="5">
        <f>'Baseline System Analysis'!H17</f>
        <v>4.8388207874932849</v>
      </c>
      <c r="I61" s="5">
        <f>'Baseline System Analysis'!I17</f>
        <v>4.959791307180617</v>
      </c>
      <c r="J61" s="5">
        <f>'Baseline System Analysis'!J17</f>
        <v>5.0837860898601317</v>
      </c>
      <c r="K61" s="5">
        <f>'Baseline System Analysis'!K17</f>
        <v>5.2108807421066343</v>
      </c>
      <c r="L61" s="5">
        <f>'Baseline System Analysis'!L17</f>
        <v>5.3411527606593001</v>
      </c>
      <c r="M61" s="5">
        <f>'Baseline System Analysis'!M17</f>
        <v>5.4746815796757824</v>
      </c>
      <c r="N61" s="5">
        <f>'Baseline System Analysis'!N17</f>
        <v>5.6115486191676762</v>
      </c>
      <c r="O61" s="5">
        <f>'Baseline System Analysis'!O17</f>
        <v>5.7518373346468676</v>
      </c>
      <c r="P61" s="5">
        <f>'Baseline System Analysis'!P17</f>
        <v>5.8956332680130386</v>
      </c>
      <c r="Q61" s="5">
        <f>'Baseline System Analysis'!Q17</f>
        <v>6.0430240997133637</v>
      </c>
      <c r="R61" s="5">
        <f>'Baseline System Analysis'!R17</f>
        <v>6.1940997022061977</v>
      </c>
      <c r="S61" s="5">
        <f>'Baseline System Analysis'!S17</f>
        <v>6.3489521947613516</v>
      </c>
      <c r="T61" s="5">
        <f>'Baseline System Analysis'!T17</f>
        <v>6.5076759996303846</v>
      </c>
      <c r="U61" s="5">
        <f>'Baseline System Analysis'!U17</f>
        <v>6.6703678996211435</v>
      </c>
      <c r="V61" s="5">
        <f>'Baseline System Analysis'!V17</f>
        <v>6.8371270971116713</v>
      </c>
      <c r="W61" s="5">
        <f>'Baseline System Analysis'!W17</f>
        <v>7.0080552745394629</v>
      </c>
      <c r="X61" s="5">
        <f>'Baseline System Analysis'!X17</f>
        <v>7.183256656402949</v>
      </c>
      <c r="Y61" s="5">
        <f>'Baseline System Analysis'!Y17</f>
        <v>7.3628380728130223</v>
      </c>
      <c r="Z61" s="5">
        <f>'Baseline System Analysis'!Z17</f>
        <v>7.5469090246333472</v>
      </c>
      <c r="AA61" s="5">
        <f>'Baseline System Analysis'!AA17</f>
        <v>7.7355817502491799</v>
      </c>
      <c r="AB61" s="5">
        <f>'Baseline System Analysis'!AB17</f>
        <v>7.9289712940054091</v>
      </c>
      <c r="AC61" s="5">
        <f>'Baseline System Analysis'!AC17</f>
        <v>8.1271955763555432</v>
      </c>
      <c r="AD61" s="5">
        <f>'Baseline System Analysis'!AD17</f>
        <v>8.3303754657644316</v>
      </c>
      <c r="AE61" s="5">
        <f>'Baseline System Analysis'!AE17</f>
        <v>8.538634852408542</v>
      </c>
    </row>
    <row r="62" spans="1:31" x14ac:dyDescent="0.35">
      <c r="A62" s="87" t="str">
        <f>'Baseline System Analysis'!A18</f>
        <v>Residential</v>
      </c>
      <c r="B62" s="87" t="str">
        <f>'Baseline System Analysis'!B18</f>
        <v>Cost of Reliability (N-0)</v>
      </c>
      <c r="C62" s="87" t="str">
        <f>'Baseline System Analysis'!C18</f>
        <v>$/kWh</v>
      </c>
      <c r="D62" s="5">
        <f>'Baseline System Analysis'!D18</f>
        <v>3.6995132812499993</v>
      </c>
      <c r="E62" s="5">
        <f>'Baseline System Analysis'!E18</f>
        <v>3.7920011132812488</v>
      </c>
      <c r="F62" s="5">
        <f>'Baseline System Analysis'!F18</f>
        <v>3.8868011411132795</v>
      </c>
      <c r="G62" s="5">
        <f>'Baseline System Analysis'!G18</f>
        <v>3.9839711696411113</v>
      </c>
      <c r="H62" s="5">
        <f>'Baseline System Analysis'!H18</f>
        <v>4.0835704488821385</v>
      </c>
      <c r="I62" s="5">
        <f>'Baseline System Analysis'!I18</f>
        <v>4.1856597101041917</v>
      </c>
      <c r="J62" s="5">
        <f>'Baseline System Analysis'!J18</f>
        <v>4.2903012028567957</v>
      </c>
      <c r="K62" s="5">
        <f>'Baseline System Analysis'!K18</f>
        <v>4.3975587329282151</v>
      </c>
      <c r="L62" s="5">
        <f>'Baseline System Analysis'!L18</f>
        <v>4.5074977012514204</v>
      </c>
      <c r="M62" s="5">
        <f>'Baseline System Analysis'!M18</f>
        <v>4.6201851437827051</v>
      </c>
      <c r="N62" s="5">
        <f>'Baseline System Analysis'!N18</f>
        <v>4.7356897723772722</v>
      </c>
      <c r="O62" s="5">
        <f>'Baseline System Analysis'!O18</f>
        <v>4.8540820166867036</v>
      </c>
      <c r="P62" s="5">
        <f>'Baseline System Analysis'!P18</f>
        <v>4.9754340671038708</v>
      </c>
      <c r="Q62" s="5">
        <f>'Baseline System Analysis'!Q18</f>
        <v>5.099819918781467</v>
      </c>
      <c r="R62" s="5">
        <f>'Baseline System Analysis'!R18</f>
        <v>5.2273154167510034</v>
      </c>
      <c r="S62" s="5">
        <f>'Baseline System Analysis'!S18</f>
        <v>5.3579983021697783</v>
      </c>
      <c r="T62" s="5">
        <f>'Baseline System Analysis'!T18</f>
        <v>5.4919482597240226</v>
      </c>
      <c r="U62" s="5">
        <f>'Baseline System Analysis'!U18</f>
        <v>5.6292469662171225</v>
      </c>
      <c r="V62" s="5">
        <f>'Baseline System Analysis'!V18</f>
        <v>5.7699781403725501</v>
      </c>
      <c r="W62" s="5">
        <f>'Baseline System Analysis'!W18</f>
        <v>5.9142275938818631</v>
      </c>
      <c r="X62" s="5">
        <f>'Baseline System Analysis'!X18</f>
        <v>6.0620832837289091</v>
      </c>
      <c r="Y62" s="5">
        <f>'Baseline System Analysis'!Y18</f>
        <v>6.2136353658221317</v>
      </c>
      <c r="Z62" s="5">
        <f>'Baseline System Analysis'!Z18</f>
        <v>6.3689762499676847</v>
      </c>
      <c r="AA62" s="5">
        <f>'Baseline System Analysis'!AA18</f>
        <v>6.5282006562168764</v>
      </c>
      <c r="AB62" s="5">
        <f>'Baseline System Analysis'!AB18</f>
        <v>6.6914056726222979</v>
      </c>
      <c r="AC62" s="5">
        <f>'Baseline System Analysis'!AC18</f>
        <v>6.8586908144378551</v>
      </c>
      <c r="AD62" s="5">
        <f>'Baseline System Analysis'!AD18</f>
        <v>7.030158084798801</v>
      </c>
      <c r="AE62" s="5">
        <f>'Baseline System Analysis'!AE18</f>
        <v>7.2059120369187708</v>
      </c>
    </row>
    <row r="63" spans="1:31" x14ac:dyDescent="0.35">
      <c r="A63" s="87" t="str">
        <f>'Baseline System Analysis'!A19</f>
        <v>Commerical</v>
      </c>
      <c r="B63" s="87" t="str">
        <f>'Baseline System Analysis'!B19</f>
        <v>Cost of Reliability (N-1)</v>
      </c>
      <c r="C63" s="87" t="str">
        <f>'Baseline System Analysis'!C19</f>
        <v>$/kWh</v>
      </c>
      <c r="D63" s="5">
        <f>'Baseline System Analysis'!D19</f>
        <v>162.53431406249996</v>
      </c>
      <c r="E63" s="5">
        <f>'Baseline System Analysis'!E19</f>
        <v>166.59767191406243</v>
      </c>
      <c r="F63" s="5">
        <f>'Baseline System Analysis'!F19</f>
        <v>170.76261371191399</v>
      </c>
      <c r="G63" s="5">
        <f>'Baseline System Analysis'!G19</f>
        <v>175.03167905471182</v>
      </c>
      <c r="H63" s="5">
        <f>'Baseline System Analysis'!H19</f>
        <v>179.40747103107961</v>
      </c>
      <c r="I63" s="5">
        <f>'Baseline System Analysis'!I19</f>
        <v>183.89265780685659</v>
      </c>
      <c r="J63" s="5">
        <f>'Baseline System Analysis'!J19</f>
        <v>188.48997425202799</v>
      </c>
      <c r="K63" s="5">
        <f>'Baseline System Analysis'!K19</f>
        <v>193.20222360832867</v>
      </c>
      <c r="L63" s="5">
        <f>'Baseline System Analysis'!L19</f>
        <v>198.03227919853686</v>
      </c>
      <c r="M63" s="5">
        <f>'Baseline System Analysis'!M19</f>
        <v>202.98308617850026</v>
      </c>
      <c r="N63" s="5">
        <f>'Baseline System Analysis'!N19</f>
        <v>208.05766333296273</v>
      </c>
      <c r="O63" s="5">
        <f>'Baseline System Analysis'!O19</f>
        <v>213.25910491628679</v>
      </c>
      <c r="P63" s="5">
        <f>'Baseline System Analysis'!P19</f>
        <v>218.59058253919395</v>
      </c>
      <c r="Q63" s="5">
        <f>'Baseline System Analysis'!Q19</f>
        <v>224.05534710267378</v>
      </c>
      <c r="R63" s="5">
        <f>'Baseline System Analysis'!R19</f>
        <v>229.65673078024059</v>
      </c>
      <c r="S63" s="5">
        <f>'Baseline System Analysis'!S19</f>
        <v>235.39814904974659</v>
      </c>
      <c r="T63" s="5">
        <f>'Baseline System Analysis'!T19</f>
        <v>241.28310277599024</v>
      </c>
      <c r="U63" s="5">
        <f>'Baseline System Analysis'!U19</f>
        <v>247.31518034538999</v>
      </c>
      <c r="V63" s="5">
        <f>'Baseline System Analysis'!V19</f>
        <v>253.49805985402472</v>
      </c>
      <c r="W63" s="5">
        <f>'Baseline System Analysis'!W19</f>
        <v>259.83551135037533</v>
      </c>
      <c r="X63" s="5">
        <f>'Baseline System Analysis'!X19</f>
        <v>266.3313991341347</v>
      </c>
      <c r="Y63" s="5">
        <f>'Baseline System Analysis'!Y19</f>
        <v>272.98968411248802</v>
      </c>
      <c r="Z63" s="5">
        <f>'Baseline System Analysis'!Z19</f>
        <v>279.81442621530022</v>
      </c>
      <c r="AA63" s="5">
        <f>'Baseline System Analysis'!AA19</f>
        <v>286.80978687068267</v>
      </c>
      <c r="AB63" s="5">
        <f>'Baseline System Analysis'!AB19</f>
        <v>293.98003154244969</v>
      </c>
      <c r="AC63" s="5">
        <f>'Baseline System Analysis'!AC19</f>
        <v>301.32953233101091</v>
      </c>
      <c r="AD63" s="5">
        <f>'Baseline System Analysis'!AD19</f>
        <v>308.86277063928617</v>
      </c>
      <c r="AE63" s="5">
        <f>'Baseline System Analysis'!AE19</f>
        <v>316.58433990526828</v>
      </c>
    </row>
    <row r="64" spans="1:31" x14ac:dyDescent="0.35">
      <c r="A64" s="87" t="str">
        <f>'Baseline System Analysis'!A20</f>
        <v>Commerical</v>
      </c>
      <c r="B64" s="87" t="str">
        <f>'Baseline System Analysis'!B20</f>
        <v>Cost of Reliability (N-0)</v>
      </c>
      <c r="C64" s="87" t="str">
        <f>'Baseline System Analysis'!C20</f>
        <v>$/kWh</v>
      </c>
      <c r="D64" s="5">
        <f>'Baseline System Analysis'!D20</f>
        <v>150.08506445312503</v>
      </c>
      <c r="E64" s="5">
        <f>'Baseline System Analysis'!E20</f>
        <v>153.83719106445315</v>
      </c>
      <c r="F64" s="5">
        <f>'Baseline System Analysis'!F20</f>
        <v>157.68312084106446</v>
      </c>
      <c r="G64" s="5">
        <f>'Baseline System Analysis'!G20</f>
        <v>161.62519886209105</v>
      </c>
      <c r="H64" s="5">
        <f>'Baseline System Analysis'!H20</f>
        <v>165.6658288336433</v>
      </c>
      <c r="I64" s="5">
        <f>'Baseline System Analysis'!I20</f>
        <v>169.80747455448437</v>
      </c>
      <c r="J64" s="5">
        <f>'Baseline System Analysis'!J20</f>
        <v>174.05266141834647</v>
      </c>
      <c r="K64" s="5">
        <f>'Baseline System Analysis'!K20</f>
        <v>178.40397795380511</v>
      </c>
      <c r="L64" s="5">
        <f>'Baseline System Analysis'!L20</f>
        <v>182.86407740265022</v>
      </c>
      <c r="M64" s="5">
        <f>'Baseline System Analysis'!M20</f>
        <v>187.43567933771646</v>
      </c>
      <c r="N64" s="5">
        <f>'Baseline System Analysis'!N20</f>
        <v>192.12157132115937</v>
      </c>
      <c r="O64" s="5">
        <f>'Baseline System Analysis'!O20</f>
        <v>196.92461060418833</v>
      </c>
      <c r="P64" s="5">
        <f>'Baseline System Analysis'!P20</f>
        <v>201.84772586929301</v>
      </c>
      <c r="Q64" s="5">
        <f>'Baseline System Analysis'!Q20</f>
        <v>206.89391901602534</v>
      </c>
      <c r="R64" s="5">
        <f>'Baseline System Analysis'!R20</f>
        <v>212.06626699142595</v>
      </c>
      <c r="S64" s="5">
        <f>'Baseline System Analysis'!S20</f>
        <v>217.36792366621157</v>
      </c>
      <c r="T64" s="5">
        <f>'Baseline System Analysis'!T20</f>
        <v>222.80212175786684</v>
      </c>
      <c r="U64" s="5">
        <f>'Baseline System Analysis'!U20</f>
        <v>228.37217480181349</v>
      </c>
      <c r="V64" s="5">
        <f>'Baseline System Analysis'!V20</f>
        <v>234.0814791718588</v>
      </c>
      <c r="W64" s="5">
        <f>'Baseline System Analysis'!W20</f>
        <v>239.93351615115526</v>
      </c>
      <c r="X64" s="5">
        <f>'Baseline System Analysis'!X20</f>
        <v>245.93185405493412</v>
      </c>
      <c r="Y64" s="5">
        <f>'Baseline System Analysis'!Y20</f>
        <v>252.08015040630744</v>
      </c>
      <c r="Z64" s="5">
        <f>'Baseline System Analysis'!Z20</f>
        <v>258.38215416646511</v>
      </c>
      <c r="AA64" s="5">
        <f>'Baseline System Analysis'!AA20</f>
        <v>264.8417080206267</v>
      </c>
      <c r="AB64" s="5">
        <f>'Baseline System Analysis'!AB20</f>
        <v>271.46275072114236</v>
      </c>
      <c r="AC64" s="5">
        <f>'Baseline System Analysis'!AC20</f>
        <v>278.24931948917089</v>
      </c>
      <c r="AD64" s="5">
        <f>'Baseline System Analysis'!AD20</f>
        <v>285.20555247640016</v>
      </c>
      <c r="AE64" s="5">
        <f>'Baseline System Analysis'!AE20</f>
        <v>292.33569128831016</v>
      </c>
    </row>
    <row r="66" spans="1:31" x14ac:dyDescent="0.35">
      <c r="A66" s="87" t="s">
        <v>117</v>
      </c>
      <c r="B66" s="87" t="s">
        <v>31</v>
      </c>
      <c r="C66" s="17">
        <f>NPV('Cost Assumptions'!$B$3,D66:AE66)</f>
        <v>1998483.6242588235</v>
      </c>
      <c r="D66" s="5">
        <f>'Baseline System Analysis'!D24-D35</f>
        <v>187.10218016144017</v>
      </c>
      <c r="E66" s="5">
        <f>'Baseline System Analysis'!E24-E35</f>
        <v>-3318.6678851585366</v>
      </c>
      <c r="F66" s="5">
        <f>'Baseline System Analysis'!F24-F35</f>
        <v>-2257.4366414652122</v>
      </c>
      <c r="G66" s="5">
        <f>'Baseline System Analysis'!G24-G35</f>
        <v>-1196.2053977718861</v>
      </c>
      <c r="H66" s="5">
        <f>'Baseline System Analysis'!H24-H35</f>
        <v>-134.9741540785617</v>
      </c>
      <c r="I66" s="5">
        <f>'Baseline System Analysis'!I24-I35</f>
        <v>926.2570896147663</v>
      </c>
      <c r="J66" s="5">
        <f>'Baseline System Analysis'!J24-J35</f>
        <v>1987.4883333080943</v>
      </c>
      <c r="K66" s="5">
        <f>'Baseline System Analysis'!K24-K35</f>
        <v>3048.719577001415</v>
      </c>
      <c r="L66" s="5">
        <f>'Baseline System Analysis'!L24-L35</f>
        <v>54874.027192528301</v>
      </c>
      <c r="M66" s="5">
        <f>'Baseline System Analysis'!M24-M35</f>
        <v>106699.3348080552</v>
      </c>
      <c r="N66" s="5">
        <f>'Baseline System Analysis'!N24-N35</f>
        <v>158524.64242358209</v>
      </c>
      <c r="O66" s="5">
        <f>'Baseline System Analysis'!O24-O35</f>
        <v>210349.95003910892</v>
      </c>
      <c r="P66" s="5">
        <f>'Baseline System Analysis'!P24-P35</f>
        <v>134649.37242106133</v>
      </c>
      <c r="Q66" s="5">
        <f>'Baseline System Analysis'!Q24-Q35</f>
        <v>168954.98293976247</v>
      </c>
      <c r="R66" s="5">
        <f>'Baseline System Analysis'!R24-R35</f>
        <v>203260.5934584635</v>
      </c>
      <c r="S66" s="5">
        <f>'Baseline System Analysis'!S24-S35</f>
        <v>237566.20397716446</v>
      </c>
      <c r="T66" s="5">
        <f>'Baseline System Analysis'!T24-T35</f>
        <v>271871.81449586549</v>
      </c>
      <c r="U66" s="5">
        <f>'Baseline System Analysis'!U24-U35</f>
        <v>416183.61315131537</v>
      </c>
      <c r="V66" s="5">
        <f>'Baseline System Analysis'!V24-V35</f>
        <v>585100.03354499815</v>
      </c>
      <c r="W66" s="5">
        <f>'Baseline System Analysis'!W24-W35</f>
        <v>754016.4539386807</v>
      </c>
      <c r="X66" s="5">
        <f>'Baseline System Analysis'!X24-X35</f>
        <v>922932.87433236325</v>
      </c>
      <c r="Y66" s="5">
        <f>'Baseline System Analysis'!Y24-Y35</f>
        <v>1091849.2947260458</v>
      </c>
      <c r="Z66" s="5">
        <f>'Baseline System Analysis'!Z24-Z35</f>
        <v>1260765.7151197288</v>
      </c>
      <c r="AA66" s="5">
        <f>'Baseline System Analysis'!AA24-AA35</f>
        <v>1563422.4877916344</v>
      </c>
      <c r="AB66" s="5">
        <f>'Baseline System Analysis'!AB24-AB35</f>
        <v>1866079.26046354</v>
      </c>
      <c r="AC66" s="5">
        <f>'Baseline System Analysis'!AC24-AC35</f>
        <v>2168736.0331354453</v>
      </c>
      <c r="AD66" s="5">
        <f>'Baseline System Analysis'!AD24-AD35</f>
        <v>2471392.8058073507</v>
      </c>
      <c r="AE66" s="5">
        <f>'Baseline System Analysis'!AE24-AE35</f>
        <v>2774049.5784792574</v>
      </c>
    </row>
    <row r="67" spans="1:31" x14ac:dyDescent="0.35">
      <c r="A67" s="87" t="s">
        <v>119</v>
      </c>
      <c r="B67" s="87" t="s">
        <v>31</v>
      </c>
      <c r="C67" s="17">
        <f>NPV('Cost Assumptions'!$B$3,D67:AE67)</f>
        <v>8292679.4782387698</v>
      </c>
      <c r="D67" s="5">
        <f>'Baseline System Analysis'!D25-D36</f>
        <v>776.3778451444341</v>
      </c>
      <c r="E67" s="5">
        <f>'Baseline System Analysis'!E25-E36</f>
        <v>-13770.76536043713</v>
      </c>
      <c r="F67" s="5">
        <f>'Baseline System Analysis'!F25-F36</f>
        <v>-9367.2013534989965</v>
      </c>
      <c r="G67" s="5">
        <f>'Baseline System Analysis'!G25-G36</f>
        <v>-4963.6373465608485</v>
      </c>
      <c r="H67" s="5">
        <f>'Baseline System Analysis'!H25-H36</f>
        <v>-560.07333962272969</v>
      </c>
      <c r="I67" s="5">
        <f>'Baseline System Analysis'!I25-I36</f>
        <v>3843.4906673154037</v>
      </c>
      <c r="J67" s="5">
        <f>'Baseline System Analysis'!J25-J36</f>
        <v>8247.0546742535371</v>
      </c>
      <c r="K67" s="5">
        <f>'Baseline System Analysis'!K25-K36</f>
        <v>12650.61868119167</v>
      </c>
      <c r="L67" s="5">
        <f>'Baseline System Analysis'!L25-L36</f>
        <v>227698.9982124875</v>
      </c>
      <c r="M67" s="5">
        <f>'Baseline System Analysis'!M25-M36</f>
        <v>442747.37774378335</v>
      </c>
      <c r="N67" s="5">
        <f>'Baseline System Analysis'!N25-N36</f>
        <v>657795.75727507914</v>
      </c>
      <c r="O67" s="5">
        <f>'Baseline System Analysis'!O25-O36</f>
        <v>872844.13680637511</v>
      </c>
      <c r="P67" s="5">
        <f>'Baseline System Analysis'!P25-P36</f>
        <v>558725.66273740609</v>
      </c>
      <c r="Q67" s="5">
        <f>'Baseline System Analysis'!Q25-Q36</f>
        <v>701076.30743803037</v>
      </c>
      <c r="R67" s="5">
        <f>'Baseline System Analysis'!R25-R36</f>
        <v>843426.95213865489</v>
      </c>
      <c r="S67" s="5">
        <f>'Baseline System Analysis'!S25-S36</f>
        <v>985777.5968392794</v>
      </c>
      <c r="T67" s="5">
        <f>'Baseline System Analysis'!T25-T36</f>
        <v>1128128.2415399039</v>
      </c>
      <c r="U67" s="5">
        <f>'Baseline System Analysis'!U25-U36</f>
        <v>1726948.005010122</v>
      </c>
      <c r="V67" s="5">
        <f>'Baseline System Analysis'!V25-V36</f>
        <v>2427864.2977096671</v>
      </c>
      <c r="W67" s="5">
        <f>'Baseline System Analysis'!W25-W36</f>
        <v>3128780.5904092109</v>
      </c>
      <c r="X67" s="5">
        <f>'Baseline System Analysis'!X25-X36</f>
        <v>3829696.8831087546</v>
      </c>
      <c r="Y67" s="5">
        <f>'Baseline System Analysis'!Y25-Y36</f>
        <v>4530613.1758082984</v>
      </c>
      <c r="Z67" s="5">
        <f>'Baseline System Analysis'!Z25-Z36</f>
        <v>5231529.468507845</v>
      </c>
      <c r="AA67" s="5">
        <f>'Baseline System Analysis'!AA25-AA36</f>
        <v>6487399.4577438664</v>
      </c>
      <c r="AB67" s="5">
        <f>'Baseline System Analysis'!AB25-AB36</f>
        <v>7743269.4469798878</v>
      </c>
      <c r="AC67" s="5">
        <f>'Baseline System Analysis'!AC25-AC36</f>
        <v>8999139.4362159111</v>
      </c>
      <c r="AD67" s="5">
        <f>'Baseline System Analysis'!AD25-AD36</f>
        <v>10255009.425451932</v>
      </c>
      <c r="AE67" s="5">
        <f>'Baseline System Analysis'!AE25-AE36</f>
        <v>11510879.414687952</v>
      </c>
    </row>
    <row r="68" spans="1:31" x14ac:dyDescent="0.35">
      <c r="A68" s="87" t="s">
        <v>24</v>
      </c>
      <c r="B68" s="87" t="s">
        <v>31</v>
      </c>
      <c r="C68" s="17">
        <f>NPV('Cost Assumptions'!$B$3,D68:AE68)</f>
        <v>10291163.102497593</v>
      </c>
      <c r="D68" s="5">
        <f>SUM(D66:D67)</f>
        <v>963.48002530587428</v>
      </c>
      <c r="E68" s="5">
        <f>SUM(E66:E67)</f>
        <v>-17089.433245595668</v>
      </c>
      <c r="F68" s="5">
        <f t="shared" ref="F68:AE68" si="40">SUM(F66:F67)</f>
        <v>-11624.637994964209</v>
      </c>
      <c r="G68" s="5">
        <f t="shared" si="40"/>
        <v>-6159.8427443327346</v>
      </c>
      <c r="H68" s="5">
        <f t="shared" si="40"/>
        <v>-695.04749370129139</v>
      </c>
      <c r="I68" s="5">
        <f t="shared" si="40"/>
        <v>4769.74775693017</v>
      </c>
      <c r="J68" s="5">
        <f t="shared" si="40"/>
        <v>10234.543007561631</v>
      </c>
      <c r="K68" s="5">
        <f t="shared" si="40"/>
        <v>15699.338258193085</v>
      </c>
      <c r="L68" s="5">
        <f t="shared" si="40"/>
        <v>282573.0254050158</v>
      </c>
      <c r="M68" s="5">
        <f t="shared" si="40"/>
        <v>549446.71255183849</v>
      </c>
      <c r="N68" s="5">
        <f t="shared" si="40"/>
        <v>816320.39969866117</v>
      </c>
      <c r="O68" s="5">
        <f t="shared" si="40"/>
        <v>1083194.0868454841</v>
      </c>
      <c r="P68" s="5">
        <f t="shared" si="40"/>
        <v>693375.03515846748</v>
      </c>
      <c r="Q68" s="5">
        <f t="shared" si="40"/>
        <v>870031.2903777929</v>
      </c>
      <c r="R68" s="5">
        <f t="shared" si="40"/>
        <v>1046687.5455971183</v>
      </c>
      <c r="S68" s="5">
        <f t="shared" si="40"/>
        <v>1223343.8008164437</v>
      </c>
      <c r="T68" s="5">
        <f t="shared" si="40"/>
        <v>1400000.0560357694</v>
      </c>
      <c r="U68" s="5">
        <f t="shared" si="40"/>
        <v>2143131.6181614371</v>
      </c>
      <c r="V68" s="5">
        <f t="shared" si="40"/>
        <v>3012964.3312546653</v>
      </c>
      <c r="W68" s="5">
        <f t="shared" si="40"/>
        <v>3882797.0443478916</v>
      </c>
      <c r="X68" s="5">
        <f t="shared" si="40"/>
        <v>4752629.7574411184</v>
      </c>
      <c r="Y68" s="5">
        <f t="shared" si="40"/>
        <v>5622462.4705343442</v>
      </c>
      <c r="Z68" s="5">
        <f t="shared" si="40"/>
        <v>6492295.1836275738</v>
      </c>
      <c r="AA68" s="5">
        <f t="shared" si="40"/>
        <v>8050821.9455355005</v>
      </c>
      <c r="AB68" s="5">
        <f t="shared" si="40"/>
        <v>9609348.7074434273</v>
      </c>
      <c r="AC68" s="5">
        <f t="shared" si="40"/>
        <v>11167875.469351357</v>
      </c>
      <c r="AD68" s="5">
        <f t="shared" si="40"/>
        <v>12726402.231259283</v>
      </c>
      <c r="AE68" s="5">
        <f t="shared" si="40"/>
        <v>14284928.99316721</v>
      </c>
    </row>
    <row r="69" spans="1:31" x14ac:dyDescent="0.35">
      <c r="A69" s="87"/>
      <c r="B69" s="87"/>
      <c r="C69" s="8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5">
      <c r="A70" s="87" t="s">
        <v>120</v>
      </c>
      <c r="B70" s="87" t="s">
        <v>31</v>
      </c>
      <c r="C70" s="17">
        <f>NPV('Cost Assumptions'!$B$3,D70:AE70)</f>
        <v>122402385.45052689</v>
      </c>
      <c r="D70" s="5">
        <f>'Baseline System Analysis'!D28-D33</f>
        <v>310386.79798866023</v>
      </c>
      <c r="E70" s="5">
        <f>'Baseline System Analysis'!E28-E33</f>
        <v>817408.12222421367</v>
      </c>
      <c r="F70" s="5">
        <f>'Baseline System Analysis'!F28-F33</f>
        <v>1334522.6987350811</v>
      </c>
      <c r="G70" s="5">
        <f>'Baseline System Analysis'!G28-G33</f>
        <v>1839795.5479560234</v>
      </c>
      <c r="H70" s="5">
        <f>'Baseline System Analysis'!H28-H33</f>
        <v>2286697.9912531795</v>
      </c>
      <c r="I70" s="5">
        <f>'Baseline System Analysis'!I28-I33</f>
        <v>2696419.0538857356</v>
      </c>
      <c r="J70" s="5">
        <f>'Baseline System Analysis'!J28-J33</f>
        <v>3587048.7001477713</v>
      </c>
      <c r="K70" s="5">
        <f>'Baseline System Analysis'!K28-K33</f>
        <v>4534084.5657563498</v>
      </c>
      <c r="L70" s="5">
        <f>'Baseline System Analysis'!L28-L33</f>
        <v>5693348.9186131302</v>
      </c>
      <c r="M70" s="5">
        <f>'Baseline System Analysis'!M28-M33</f>
        <v>7548985.0743932622</v>
      </c>
      <c r="N70" s="5">
        <f>'Baseline System Analysis'!N28-N33</f>
        <v>9794691.5976483021</v>
      </c>
      <c r="O70" s="5">
        <f>'Baseline System Analysis'!O28-O33</f>
        <v>12474348.375717288</v>
      </c>
      <c r="P70" s="5">
        <f>'Baseline System Analysis'!P28-P33</f>
        <v>15347020.983958816</v>
      </c>
      <c r="Q70" s="5">
        <f>'Baseline System Analysis'!Q28-Q33</f>
        <v>17866466.956706397</v>
      </c>
      <c r="R70" s="5">
        <f>'Baseline System Analysis'!R28-R33</f>
        <v>20996797.786055777</v>
      </c>
      <c r="S70" s="5">
        <f>'Baseline System Analysis'!S28-S33</f>
        <v>24698098.988227863</v>
      </c>
      <c r="T70" s="5">
        <f>'Baseline System Analysis'!T28-T33</f>
        <v>28840317.341671247</v>
      </c>
      <c r="U70" s="5">
        <f>'Baseline System Analysis'!U28-U33</f>
        <v>33541217.353331745</v>
      </c>
      <c r="V70" s="5">
        <f>'Baseline System Analysis'!V28-V33</f>
        <v>38471074.127916157</v>
      </c>
      <c r="W70" s="5">
        <f>'Baseline System Analysis'!W28-W33</f>
        <v>44538095.497219943</v>
      </c>
      <c r="X70" s="5">
        <f>'Baseline System Analysis'!X28-X33</f>
        <v>50065147.454451628</v>
      </c>
      <c r="Y70" s="5">
        <f>'Baseline System Analysis'!Y28-Y33</f>
        <v>56027611.218482688</v>
      </c>
      <c r="Z70" s="5">
        <f>'Baseline System Analysis'!Z28-Z33</f>
        <v>61953016.92696394</v>
      </c>
      <c r="AA70" s="5">
        <f>'Baseline System Analysis'!AA28-AA33</f>
        <v>68192076.492750496</v>
      </c>
      <c r="AB70" s="5">
        <f>'Baseline System Analysis'!AB28-AB33</f>
        <v>75753576.054779172</v>
      </c>
      <c r="AC70" s="5">
        <f>'Baseline System Analysis'!AC28-AC33</f>
        <v>84072896.775216386</v>
      </c>
      <c r="AD70" s="5">
        <f>'Baseline System Analysis'!AD28-AD33</f>
        <v>90296154.735241339</v>
      </c>
      <c r="AE70" s="5">
        <f>'Baseline System Analysis'!AE28-AE33</f>
        <v>99941321.925509945</v>
      </c>
    </row>
    <row r="71" spans="1:31" x14ac:dyDescent="0.35">
      <c r="A71" s="87" t="s">
        <v>121</v>
      </c>
      <c r="B71" s="87" t="s">
        <v>31</v>
      </c>
      <c r="C71" s="17">
        <f>NPV('Cost Assumptions'!$B$3,D71:AE71)</f>
        <v>524690134.18495488</v>
      </c>
      <c r="D71" s="5">
        <f>'Baseline System Analysis'!D29-D34</f>
        <v>1628153.2445022203</v>
      </c>
      <c r="E71" s="5">
        <f>'Baseline System Analysis'!E29-E34</f>
        <v>4276437.722523096</v>
      </c>
      <c r="F71" s="5">
        <f>'Baseline System Analysis'!F29-F34</f>
        <v>6406619.8340516584</v>
      </c>
      <c r="G71" s="5">
        <f>'Baseline System Analysis'!G29-G34</f>
        <v>8961966.1784057487</v>
      </c>
      <c r="H71" s="5">
        <f>'Baseline System Analysis'!H29-H34</f>
        <v>10695561.997562293</v>
      </c>
      <c r="I71" s="5">
        <f>'Baseline System Analysis'!I29-I34</f>
        <v>11935292.094424136</v>
      </c>
      <c r="J71" s="5">
        <f>'Baseline System Analysis'!J29-J34</f>
        <v>15941642.32252172</v>
      </c>
      <c r="K71" s="5">
        <f>'Baseline System Analysis'!K29-K34</f>
        <v>19613619.815275714</v>
      </c>
      <c r="L71" s="5">
        <f>'Baseline System Analysis'!L29-L34</f>
        <v>24661704.485005222</v>
      </c>
      <c r="M71" s="5">
        <f>'Baseline System Analysis'!M29-M34</f>
        <v>32796387.723990619</v>
      </c>
      <c r="N71" s="5">
        <f>'Baseline System Analysis'!N29-N34</f>
        <v>43151911.473019019</v>
      </c>
      <c r="O71" s="5">
        <f>'Baseline System Analysis'!O29-O34</f>
        <v>55866474.738844089</v>
      </c>
      <c r="P71" s="5">
        <f>'Baseline System Analysis'!P29-P34</f>
        <v>68637387.043348879</v>
      </c>
      <c r="Q71" s="5">
        <f>'Baseline System Analysis'!Q29-Q34</f>
        <v>77675195.110624015</v>
      </c>
      <c r="R71" s="5">
        <f>'Baseline System Analysis'!R29-R34</f>
        <v>90392543.566104695</v>
      </c>
      <c r="S71" s="5">
        <f>'Baseline System Analysis'!S29-S34</f>
        <v>106694968.75578959</v>
      </c>
      <c r="T71" s="5">
        <f>'Baseline System Analysis'!T29-T34</f>
        <v>124345366.11087258</v>
      </c>
      <c r="U71" s="5">
        <f>'Baseline System Analysis'!U29-U34</f>
        <v>143712431.51196387</v>
      </c>
      <c r="V71" s="5">
        <f>'Baseline System Analysis'!V29-V34</f>
        <v>164558346.42944998</v>
      </c>
      <c r="W71" s="5">
        <f>'Baseline System Analysis'!W29-W34</f>
        <v>190732503.36979601</v>
      </c>
      <c r="X71" s="5">
        <f>'Baseline System Analysis'!X29-X34</f>
        <v>211736495.75619063</v>
      </c>
      <c r="Y71" s="5">
        <f>'Baseline System Analysis'!Y29-Y34</f>
        <v>237640870.29091629</v>
      </c>
      <c r="Z71" s="5">
        <f>'Baseline System Analysis'!Z29-Z34</f>
        <v>261024283.43241259</v>
      </c>
      <c r="AA71" s="5">
        <f>'Baseline System Analysis'!AA29-AA34</f>
        <v>285410828.68515736</v>
      </c>
      <c r="AB71" s="5">
        <f>'Baseline System Analysis'!AB29-AB34</f>
        <v>316389312.35185409</v>
      </c>
      <c r="AC71" s="5">
        <f>'Baseline System Analysis'!AC29-AC34</f>
        <v>351526819.46737939</v>
      </c>
      <c r="AD71" s="5">
        <f>'Baseline System Analysis'!AD29-AD34</f>
        <v>372036180.3666203</v>
      </c>
      <c r="AE71" s="5">
        <f>'Baseline System Analysis'!AE29-AE34</f>
        <v>405152985.56203926</v>
      </c>
    </row>
    <row r="72" spans="1:31" x14ac:dyDescent="0.35">
      <c r="A72" s="87" t="s">
        <v>24</v>
      </c>
      <c r="B72" s="87" t="s">
        <v>31</v>
      </c>
      <c r="C72" s="17">
        <f>NPV('Cost Assumptions'!$B$3,D72:AE72)</f>
        <v>647092519.63548172</v>
      </c>
      <c r="D72" s="5">
        <f>SUM(D70:D71)</f>
        <v>1938540.0424908805</v>
      </c>
      <c r="E72" s="5">
        <f>SUM(E70:E71)</f>
        <v>5093845.8447473096</v>
      </c>
      <c r="F72" s="5">
        <f t="shared" ref="F72:AE72" si="41">SUM(F70:F71)</f>
        <v>7741142.53278674</v>
      </c>
      <c r="G72" s="5">
        <f t="shared" si="41"/>
        <v>10801761.726361772</v>
      </c>
      <c r="H72" s="5">
        <f t="shared" si="41"/>
        <v>12982259.988815472</v>
      </c>
      <c r="I72" s="5">
        <f t="shared" si="41"/>
        <v>14631711.148309872</v>
      </c>
      <c r="J72" s="5">
        <f t="shared" si="41"/>
        <v>19528691.02266949</v>
      </c>
      <c r="K72" s="5">
        <f t="shared" si="41"/>
        <v>24147704.381032065</v>
      </c>
      <c r="L72" s="5">
        <f t="shared" si="41"/>
        <v>30355053.403618351</v>
      </c>
      <c r="M72" s="5">
        <f t="shared" si="41"/>
        <v>40345372.798383884</v>
      </c>
      <c r="N72" s="5">
        <f t="shared" si="41"/>
        <v>52946603.070667319</v>
      </c>
      <c r="O72" s="5">
        <f t="shared" si="41"/>
        <v>68340823.114561379</v>
      </c>
      <c r="P72" s="5">
        <f t="shared" si="41"/>
        <v>83984408.027307689</v>
      </c>
      <c r="Q72" s="5">
        <f t="shared" si="41"/>
        <v>95541662.06733042</v>
      </c>
      <c r="R72" s="5">
        <f t="shared" si="41"/>
        <v>111389341.35216047</v>
      </c>
      <c r="S72" s="5">
        <f t="shared" si="41"/>
        <v>131393067.74401745</v>
      </c>
      <c r="T72" s="5">
        <f t="shared" si="41"/>
        <v>153185683.45254382</v>
      </c>
      <c r="U72" s="5">
        <f t="shared" si="41"/>
        <v>177253648.86529562</v>
      </c>
      <c r="V72" s="5">
        <f t="shared" si="41"/>
        <v>203029420.55736613</v>
      </c>
      <c r="W72" s="5">
        <f t="shared" si="41"/>
        <v>235270598.86701596</v>
      </c>
      <c r="X72" s="5">
        <f t="shared" si="41"/>
        <v>261801643.21064225</v>
      </c>
      <c r="Y72" s="5">
        <f t="shared" si="41"/>
        <v>293668481.509399</v>
      </c>
      <c r="Z72" s="5">
        <f t="shared" si="41"/>
        <v>322977300.35937655</v>
      </c>
      <c r="AA72" s="5">
        <f t="shared" si="41"/>
        <v>353602905.17790782</v>
      </c>
      <c r="AB72" s="5">
        <f t="shared" si="41"/>
        <v>392142888.40663326</v>
      </c>
      <c r="AC72" s="5">
        <f t="shared" si="41"/>
        <v>435599716.24259579</v>
      </c>
      <c r="AD72" s="5">
        <f t="shared" si="41"/>
        <v>462332335.10186166</v>
      </c>
      <c r="AE72" s="5">
        <f t="shared" si="41"/>
        <v>505094307.48754919</v>
      </c>
    </row>
    <row r="74" spans="1:31" x14ac:dyDescent="0.35">
      <c r="A74" s="87" t="s">
        <v>117</v>
      </c>
      <c r="B74" s="87" t="s">
        <v>144</v>
      </c>
      <c r="C74" s="17">
        <f>NPV('Cost Assumptions'!$B$3,D74:AE74)</f>
        <v>635671269.58357632</v>
      </c>
      <c r="D74" s="61">
        <f>ABS((D50*D61*1000*'Cost Assumptions'!$B$6)/'Cost Assumptions'!$B$14)</f>
        <v>8238114.0346640144</v>
      </c>
      <c r="E74" s="61">
        <f>ABS((E50*E61*1000*'Cost Assumptions'!$B$6)/'Cost Assumptions'!$B$14)</f>
        <v>12799582.047870226</v>
      </c>
      <c r="F74" s="61">
        <f>ABS((F50*F61*1000*'Cost Assumptions'!$B$6)/'Cost Assumptions'!$B$14)</f>
        <v>17583974.640465081</v>
      </c>
      <c r="G74" s="61">
        <f>ABS((G50*G61*1000*'Cost Assumptions'!$B$6)/'Cost Assumptions'!$B$14)</f>
        <v>22599587.12390976</v>
      </c>
      <c r="H74" s="61">
        <f>ABS((H50*H61*1000*'Cost Assumptions'!$B$6)/'Cost Assumptions'!$B$14)</f>
        <v>27854990.247376382</v>
      </c>
      <c r="I74" s="61">
        <f>ABS((I50*I61*1000*'Cost Assumptions'!$B$6)/'Cost Assumptions'!$B$14)</f>
        <v>33359038.785063896</v>
      </c>
      <c r="J74" s="61">
        <f>ABS((J50*J61*1000*'Cost Assumptions'!$B$6)/'Cost Assumptions'!$B$14)</f>
        <v>39120880.380731165</v>
      </c>
      <c r="K74" s="61">
        <f>ABS((K50*K61*1000*'Cost Assumptions'!$B$6)/'Cost Assumptions'!$B$14)</f>
        <v>45149964.656941138</v>
      </c>
      <c r="L74" s="61">
        <f>ABS((L50*L61*1000*'Cost Assumptions'!$B$6)/'Cost Assumptions'!$B$14)</f>
        <v>51456052.596723646</v>
      </c>
      <c r="M74" s="61">
        <f>ABS((M50*M61*1000*'Cost Assumptions'!$B$6)/'Cost Assumptions'!$B$14)</f>
        <v>58049226.205584705</v>
      </c>
      <c r="N74" s="61">
        <f>ABS((N50*N61*1000*'Cost Assumptions'!$B$6)/'Cost Assumptions'!$B$14)</f>
        <v>64939898.462015845</v>
      </c>
      <c r="O74" s="61">
        <f>ABS((O50*O61*1000*'Cost Assumptions'!$B$6)/'Cost Assumptions'!$B$14)</f>
        <v>72138823.564890057</v>
      </c>
      <c r="P74" s="61">
        <f>ABS((P50*P61*1000*'Cost Assumptions'!$B$6)/'Cost Assumptions'!$B$14)</f>
        <v>79657107.486369222</v>
      </c>
      <c r="Q74" s="61">
        <f>ABS((Q50*Q61*1000*'Cost Assumptions'!$B$6)/'Cost Assumptions'!$B$14)</f>
        <v>87506218.839194283</v>
      </c>
      <c r="R74" s="61">
        <f>ABS((R50*R61*1000*'Cost Assumptions'!$B$6)/'Cost Assumptions'!$B$14)</f>
        <v>95698000.067481622</v>
      </c>
      <c r="S74" s="61">
        <f>ABS((S50*S61*1000*'Cost Assumptions'!$B$6)/'Cost Assumptions'!$B$14)</f>
        <v>112342613.08517589</v>
      </c>
      <c r="T74" s="61">
        <f>ABS((T50*T61*1000*'Cost Assumptions'!$B$6)/'Cost Assumptions'!$B$14)</f>
        <v>129759645.50371274</v>
      </c>
      <c r="U74" s="61">
        <f>ABS((U50*U61*1000*'Cost Assumptions'!$B$6)/'Cost Assumptions'!$B$14)</f>
        <v>147977315.40999812</v>
      </c>
      <c r="V74" s="61">
        <f>ABS((V50*V61*1000*'Cost Assumptions'!$B$6)/'Cost Assumptions'!$B$14)</f>
        <v>167024769.03315806</v>
      </c>
      <c r="W74" s="61">
        <f>ABS((W50*W61*1000*'Cost Assumptions'!$B$6)/'Cost Assumptions'!$B$14)</f>
        <v>186932109.51534462</v>
      </c>
      <c r="X74" s="61">
        <f>ABS((X50*X61*1000*'Cost Assumptions'!$B$6)/'Cost Assumptions'!$B$14)</f>
        <v>207730426.54099485</v>
      </c>
      <c r="Y74" s="61">
        <f>ABS((Y50*Y61*1000*'Cost Assumptions'!$B$6)/'Cost Assumptions'!$B$14)</f>
        <v>229451826.84948051</v>
      </c>
      <c r="Z74" s="61">
        <f>ABS((Z50*Z61*1000*'Cost Assumptions'!$B$6)/'Cost Assumptions'!$B$14)</f>
        <v>252129465.6568023</v>
      </c>
      <c r="AA74" s="61">
        <f>ABS((AA50*AA61*1000*'Cost Assumptions'!$B$6)/'Cost Assumptions'!$B$14)</f>
        <v>275797579.01270926</v>
      </c>
      <c r="AB74" s="61">
        <f>ABS((AB50*AB61*1000*'Cost Assumptions'!$B$6)/'Cost Assumptions'!$B$14)</f>
        <v>300491517.12037611</v>
      </c>
      <c r="AC74" s="61">
        <f>ABS((AC50*AC61*1000*'Cost Assumptions'!$B$6)/'Cost Assumptions'!$B$14)</f>
        <v>326247778.64654326</v>
      </c>
      <c r="AD74" s="61">
        <f>ABS((AD50*AD61*1000*'Cost Assumptions'!$B$6)/'Cost Assumptions'!$B$14)</f>
        <v>353104046.05081862</v>
      </c>
      <c r="AE74" s="61">
        <f>ABS((AE50*AE61*1000*'Cost Assumptions'!$B$6)/'Cost Assumptions'!$B$14)</f>
        <v>381099221.9636535</v>
      </c>
    </row>
    <row r="75" spans="1:31" x14ac:dyDescent="0.35">
      <c r="A75" s="87" t="s">
        <v>119</v>
      </c>
      <c r="B75" s="87" t="s">
        <v>144</v>
      </c>
      <c r="C75" s="17">
        <f>NPV('Cost Assumptions'!$B$3,D75:AE75)</f>
        <v>2618732030.6971078</v>
      </c>
      <c r="D75" s="61">
        <f>ABS((D50*D63*1000*'Cost Assumptions'!$B$7)/'Cost Assumptions'!$B$14)</f>
        <v>33938002.435193636</v>
      </c>
      <c r="E75" s="61">
        <f>ABS((E50*E63*1000*'Cost Assumptions'!$B$7)/'Cost Assumptions'!$B$14)</f>
        <v>52729574.376157179</v>
      </c>
      <c r="F75" s="61">
        <f>ABS((F50*F63*1000*'Cost Assumptions'!$B$7)/'Cost Assumptions'!$B$14)</f>
        <v>72439513.662646905</v>
      </c>
      <c r="G75" s="61">
        <f>ABS((G50*G63*1000*'Cost Assumptions'!$B$7)/'Cost Assumptions'!$B$14)</f>
        <v>93101993.929476008</v>
      </c>
      <c r="H75" s="61">
        <f>ABS((H50*H63*1000*'Cost Assumptions'!$B$7)/'Cost Assumptions'!$B$14)</f>
        <v>114752323.51360743</v>
      </c>
      <c r="I75" s="61">
        <f>ABS((I50*I63*1000*'Cost Assumptions'!$B$7)/'Cost Assumptions'!$B$14)</f>
        <v>137426980.83073947</v>
      </c>
      <c r="J75" s="61">
        <f>ABS((J50*J63*1000*'Cost Assumptions'!$B$7)/'Cost Assumptions'!$B$14)</f>
        <v>161163650.81153214</v>
      </c>
      <c r="K75" s="61">
        <f>ABS((K50*K63*1000*'Cost Assumptions'!$B$7)/'Cost Assumptions'!$B$14)</f>
        <v>186001262.42834517</v>
      </c>
      <c r="L75" s="61">
        <f>ABS((L50*L63*1000*'Cost Assumptions'!$B$7)/'Cost Assumptions'!$B$14)</f>
        <v>211980027.34424165</v>
      </c>
      <c r="M75" s="61">
        <f>ABS((M50*M63*1000*'Cost Assumptions'!$B$7)/'Cost Assumptions'!$B$14)</f>
        <v>239141479.71691528</v>
      </c>
      <c r="N75" s="61">
        <f>ABS((N50*N63*1000*'Cost Assumptions'!$B$7)/'Cost Assumptions'!$B$14)</f>
        <v>267528517.1911324</v>
      </c>
      <c r="O75" s="61">
        <f>ABS((O50*O63*1000*'Cost Assumptions'!$B$7)/'Cost Assumptions'!$B$14)</f>
        <v>297185443.11423731</v>
      </c>
      <c r="P75" s="61">
        <f>ABS((P50*P63*1000*'Cost Assumptions'!$B$7)/'Cost Assumptions'!$B$14)</f>
        <v>328158010.01025301</v>
      </c>
      <c r="Q75" s="61">
        <f>ABS((Q50*Q63*1000*'Cost Assumptions'!$B$7)/'Cost Assumptions'!$B$14)</f>
        <v>360493464.34912306</v>
      </c>
      <c r="R75" s="61">
        <f>ABS((R50*R63*1000*'Cost Assumptions'!$B$7)/'Cost Assumptions'!$B$14)</f>
        <v>394240592.64868033</v>
      </c>
      <c r="S75" s="61">
        <f>ABS((S50*S63*1000*'Cost Assumptions'!$B$7)/'Cost Assumptions'!$B$14)</f>
        <v>462810281.62730604</v>
      </c>
      <c r="T75" s="61">
        <f>ABS((T50*T63*1000*'Cost Assumptions'!$B$7)/'Cost Assumptions'!$B$14)</f>
        <v>534562054.68445802</v>
      </c>
      <c r="U75" s="61">
        <f>ABS((U50*U63*1000*'Cost Assumptions'!$B$7)/'Cost Assumptions'!$B$14)</f>
        <v>609612159.96845007</v>
      </c>
      <c r="V75" s="61">
        <f>ABS((V50*V63*1000*'Cost Assumptions'!$B$7)/'Cost Assumptions'!$B$14)</f>
        <v>688080669.23246443</v>
      </c>
      <c r="W75" s="61">
        <f>ABS((W50*W63*1000*'Cost Assumptions'!$B$7)/'Cost Assumptions'!$B$14)</f>
        <v>770091596.35969889</v>
      </c>
      <c r="X75" s="61">
        <f>ABS((X50*X63*1000*'Cost Assumptions'!$B$7)/'Cost Assumptions'!$B$14)</f>
        <v>855773019.42502475</v>
      </c>
      <c r="Y75" s="61">
        <f>ABS((Y50*Y63*1000*'Cost Assumptions'!$B$7)/'Cost Assumptions'!$B$14)</f>
        <v>945257206.39589214</v>
      </c>
      <c r="Z75" s="61">
        <f>ABS((Z50*Z63*1000*'Cost Assumptions'!$B$7)/'Cost Assumptions'!$B$14)</f>
        <v>1038680744.5781623</v>
      </c>
      <c r="AA75" s="61">
        <f>ABS((AA50*AA63*1000*'Cost Assumptions'!$B$7)/'Cost Assumptions'!$B$14)</f>
        <v>1136184673.9155486</v>
      </c>
      <c r="AB75" s="61">
        <f>ABS((AB50*AB63*1000*'Cost Assumptions'!$B$7)/'Cost Assumptions'!$B$14)</f>
        <v>1237914624.2544425</v>
      </c>
      <c r="AC75" s="61">
        <f>ABS((AC50*AC63*1000*'Cost Assumptions'!$B$7)/'Cost Assumptions'!$B$14)</f>
        <v>1344020956.6890841</v>
      </c>
      <c r="AD75" s="61">
        <f>ABS((AD50*AD63*1000*'Cost Assumptions'!$B$7)/'Cost Assumptions'!$B$14)</f>
        <v>1454658909.1052988</v>
      </c>
      <c r="AE75" s="61">
        <f>ABS((AE50*AE63*1000*'Cost Assumptions'!$B$7)/'Cost Assumptions'!$B$14)</f>
        <v>1569988746.0443931</v>
      </c>
    </row>
    <row r="76" spans="1:31" x14ac:dyDescent="0.35">
      <c r="A76" s="87" t="s">
        <v>24</v>
      </c>
      <c r="B76" s="87" t="s">
        <v>144</v>
      </c>
      <c r="C76" s="17">
        <f>NPV('Cost Assumptions'!$B$3,D76:AE76)</f>
        <v>3254403300.280684</v>
      </c>
      <c r="D76" s="61">
        <f>SUM(D74:D75)</f>
        <v>42176116.469857648</v>
      </c>
      <c r="E76" s="61">
        <f>SUM(E74:E75)</f>
        <v>65529156.424027406</v>
      </c>
      <c r="F76" s="61">
        <f t="shared" ref="F76:AE76" si="42">SUM(F74:F75)</f>
        <v>90023488.303111985</v>
      </c>
      <c r="G76" s="61">
        <f t="shared" si="42"/>
        <v>115701581.05338576</v>
      </c>
      <c r="H76" s="61">
        <f t="shared" si="42"/>
        <v>142607313.76098382</v>
      </c>
      <c r="I76" s="61">
        <f t="shared" si="42"/>
        <v>170786019.61580336</v>
      </c>
      <c r="J76" s="61">
        <f t="shared" si="42"/>
        <v>200284531.19226331</v>
      </c>
      <c r="K76" s="61">
        <f t="shared" si="42"/>
        <v>231151227.08528632</v>
      </c>
      <c r="L76" s="61">
        <f t="shared" si="42"/>
        <v>263436079.94096529</v>
      </c>
      <c r="M76" s="61">
        <f t="shared" si="42"/>
        <v>297190705.92250001</v>
      </c>
      <c r="N76" s="61">
        <f t="shared" si="42"/>
        <v>332468415.65314823</v>
      </c>
      <c r="O76" s="61">
        <f t="shared" si="42"/>
        <v>369324266.67912734</v>
      </c>
      <c r="P76" s="61">
        <f t="shared" si="42"/>
        <v>407815117.4966222</v>
      </c>
      <c r="Q76" s="61">
        <f t="shared" si="42"/>
        <v>447999683.18831736</v>
      </c>
      <c r="R76" s="61">
        <f t="shared" si="42"/>
        <v>489938592.71616197</v>
      </c>
      <c r="S76" s="61">
        <f t="shared" si="42"/>
        <v>575152894.71248198</v>
      </c>
      <c r="T76" s="61">
        <f t="shared" si="42"/>
        <v>664321700.18817079</v>
      </c>
      <c r="U76" s="61">
        <f t="shared" si="42"/>
        <v>757589475.37844825</v>
      </c>
      <c r="V76" s="61">
        <f t="shared" si="42"/>
        <v>855105438.2656225</v>
      </c>
      <c r="W76" s="61">
        <f t="shared" si="42"/>
        <v>957023705.87504351</v>
      </c>
      <c r="X76" s="61">
        <f t="shared" si="42"/>
        <v>1063503445.9660196</v>
      </c>
      <c r="Y76" s="61">
        <f t="shared" si="42"/>
        <v>1174709033.2453728</v>
      </c>
      <c r="Z76" s="61">
        <f t="shared" si="42"/>
        <v>1290810210.2349646</v>
      </c>
      <c r="AA76" s="61">
        <f t="shared" si="42"/>
        <v>1411982252.9282579</v>
      </c>
      <c r="AB76" s="61">
        <f t="shared" si="42"/>
        <v>1538406141.3748186</v>
      </c>
      <c r="AC76" s="61">
        <f t="shared" si="42"/>
        <v>1670268735.3356273</v>
      </c>
      <c r="AD76" s="61">
        <f t="shared" si="42"/>
        <v>1807762955.1561174</v>
      </c>
      <c r="AE76" s="61">
        <f t="shared" si="42"/>
        <v>1951087968.0080466</v>
      </c>
    </row>
    <row r="77" spans="1:31" x14ac:dyDescent="0.35">
      <c r="A77" s="87"/>
      <c r="B77" s="87"/>
      <c r="C77" s="1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35">
      <c r="A78" s="87" t="s">
        <v>117</v>
      </c>
      <c r="B78" s="87" t="s">
        <v>152</v>
      </c>
      <c r="C78" s="17">
        <f>NPV('Cost Assumptions'!$B$3,D78:AE78)</f>
        <v>0</v>
      </c>
      <c r="D78" s="61">
        <f>ABS(((MIN(ABS(D51),'Baseline System Analysis'!D14)*D62*1000*'Cost Assumptions'!$B$6)*'Cost Assumptions'!$B$13))</f>
        <v>0</v>
      </c>
      <c r="E78" s="61">
        <f>ABS(((MIN(ABS(E51),'Baseline System Analysis'!E14)*E62*1000*'Cost Assumptions'!$B$6)*'Cost Assumptions'!$B$13))</f>
        <v>0</v>
      </c>
      <c r="F78" s="61">
        <f>ABS(((MIN(ABS(F51),'Baseline System Analysis'!F14)*F62*1000*'Cost Assumptions'!$B$6)*'Cost Assumptions'!$B$13))</f>
        <v>0</v>
      </c>
      <c r="G78" s="61">
        <f>ABS(((MIN(ABS(G51),'Baseline System Analysis'!G14)*G62*1000*'Cost Assumptions'!$B$6)*'Cost Assumptions'!$B$13))</f>
        <v>0</v>
      </c>
      <c r="H78" s="61">
        <f>ABS(((MIN(ABS(H51),'Baseline System Analysis'!H14)*H62*1000*'Cost Assumptions'!$B$6)*'Cost Assumptions'!$B$13))</f>
        <v>0</v>
      </c>
      <c r="I78" s="61">
        <f>ABS(((MIN(ABS(I51),'Baseline System Analysis'!I14)*I62*1000*'Cost Assumptions'!$B$6)*'Cost Assumptions'!$B$13))</f>
        <v>0</v>
      </c>
      <c r="J78" s="61">
        <f>ABS(((MIN(ABS(J51),'Baseline System Analysis'!J14)*J62*1000*'Cost Assumptions'!$B$6)*'Cost Assumptions'!$B$13))</f>
        <v>0</v>
      </c>
      <c r="K78" s="61">
        <f>ABS(((MIN(ABS(K51),'Baseline System Analysis'!K14)*K62*1000*'Cost Assumptions'!$B$6)*'Cost Assumptions'!$B$13))</f>
        <v>0</v>
      </c>
      <c r="L78" s="61">
        <f>ABS(((MIN(ABS(L51),'Baseline System Analysis'!L14)*L62*1000*'Cost Assumptions'!$B$6)*'Cost Assumptions'!$B$13))</f>
        <v>0</v>
      </c>
      <c r="M78" s="61">
        <f>ABS(((MIN(ABS(M51),'Baseline System Analysis'!M14)*M62*1000*'Cost Assumptions'!$B$6)*'Cost Assumptions'!$B$13))</f>
        <v>0</v>
      </c>
      <c r="N78" s="61">
        <f>ABS(((MIN(ABS(N51),'Baseline System Analysis'!N14)*N62*1000*'Cost Assumptions'!$B$6)*'Cost Assumptions'!$B$13))</f>
        <v>0</v>
      </c>
      <c r="O78" s="61">
        <f>ABS(((MIN(ABS(O51),'Baseline System Analysis'!O14)*O62*1000*'Cost Assumptions'!$B$6)*'Cost Assumptions'!$B$13))</f>
        <v>0</v>
      </c>
      <c r="P78" s="61">
        <f>ABS(((MIN(ABS(P51),'Baseline System Analysis'!P14)*P62*1000*'Cost Assumptions'!$B$6)*'Cost Assumptions'!$B$13))</f>
        <v>0</v>
      </c>
      <c r="Q78" s="61">
        <f>ABS(((MIN(ABS(Q51),'Baseline System Analysis'!Q14)*Q62*1000*'Cost Assumptions'!$B$6)*'Cost Assumptions'!$B$13))</f>
        <v>0</v>
      </c>
      <c r="R78" s="61">
        <f>ABS(((MIN(ABS(R51),'Baseline System Analysis'!R14)*R62*1000*'Cost Assumptions'!$B$6)*'Cost Assumptions'!$B$13))</f>
        <v>0</v>
      </c>
      <c r="S78" s="61">
        <f>ABS(((MIN(ABS(S51),'Baseline System Analysis'!S14)*S62*1000*'Cost Assumptions'!$B$6)*'Cost Assumptions'!$B$13))</f>
        <v>0</v>
      </c>
      <c r="T78" s="61">
        <f>ABS(((MIN(ABS(T51),'Baseline System Analysis'!T14)*T62*1000*'Cost Assumptions'!$B$6)*'Cost Assumptions'!$B$13))</f>
        <v>0</v>
      </c>
      <c r="U78" s="61">
        <f>ABS(((MIN(ABS(U51),'Baseline System Analysis'!U14)*U62*1000*'Cost Assumptions'!$B$6)*'Cost Assumptions'!$B$13))</f>
        <v>0</v>
      </c>
      <c r="V78" s="61">
        <f>ABS(((MIN(ABS(V51),'Baseline System Analysis'!V14)*V62*1000*'Cost Assumptions'!$B$6)*'Cost Assumptions'!$B$13))</f>
        <v>0</v>
      </c>
      <c r="W78" s="61">
        <f>ABS(((MIN(ABS(W51),'Baseline System Analysis'!W14)*W62*1000*'Cost Assumptions'!$B$6)*'Cost Assumptions'!$B$13))</f>
        <v>0</v>
      </c>
      <c r="X78" s="61">
        <f>ABS(((MIN(ABS(X51),'Baseline System Analysis'!X14)*X62*1000*'Cost Assumptions'!$B$6)*'Cost Assumptions'!$B$13))</f>
        <v>0</v>
      </c>
      <c r="Y78" s="61">
        <f>ABS(((MIN(ABS(Y51),'Baseline System Analysis'!Y14)*Y62*1000*'Cost Assumptions'!$B$6)*'Cost Assumptions'!$B$13))</f>
        <v>0</v>
      </c>
      <c r="Z78" s="61">
        <f>ABS(((MIN(ABS(Z51),'Baseline System Analysis'!Z14)*Z62*1000*'Cost Assumptions'!$B$6)*'Cost Assumptions'!$B$13))</f>
        <v>0</v>
      </c>
      <c r="AA78" s="61">
        <f>ABS(((MIN(ABS(AA51),'Baseline System Analysis'!AA14)*AA62*1000*'Cost Assumptions'!$B$6)*'Cost Assumptions'!$B$13))</f>
        <v>0</v>
      </c>
      <c r="AB78" s="61">
        <f>ABS(((MIN(ABS(AB51),'Baseline System Analysis'!AB14)*AB62*1000*'Cost Assumptions'!$B$6)*'Cost Assumptions'!$B$13))</f>
        <v>0</v>
      </c>
      <c r="AC78" s="61">
        <f>ABS(((MIN(ABS(AC51),'Baseline System Analysis'!AC14)*AC62*1000*'Cost Assumptions'!$B$6)*'Cost Assumptions'!$B$13))</f>
        <v>0</v>
      </c>
      <c r="AD78" s="61">
        <f>ABS(((MIN(ABS(AD51),'Baseline System Analysis'!AD14)*AD62*1000*'Cost Assumptions'!$B$6)*'Cost Assumptions'!$B$13))</f>
        <v>0</v>
      </c>
      <c r="AE78" s="61">
        <f>ABS(((MIN(ABS(AE51),'Baseline System Analysis'!AE14)*AE62*1000*'Cost Assumptions'!$B$6)*'Cost Assumptions'!$B$13))</f>
        <v>0</v>
      </c>
    </row>
    <row r="79" spans="1:31" x14ac:dyDescent="0.35">
      <c r="A79" s="87" t="s">
        <v>119</v>
      </c>
      <c r="B79" s="87" t="s">
        <v>152</v>
      </c>
      <c r="C79" s="17">
        <f>NPV('Cost Assumptions'!$B$3,D79:AE79)</f>
        <v>0</v>
      </c>
      <c r="D79" s="61">
        <f>ABS(((MIN(ABS(D51),'Baseline System Analysis'!D14)*D64*1000*'Cost Assumptions'!$B$6)*'Cost Assumptions'!$B$13))</f>
        <v>0</v>
      </c>
      <c r="E79" s="61">
        <f>ABS(((MIN(ABS(E51),'Baseline System Analysis'!E14)*E64*1000*'Cost Assumptions'!$B$6)*'Cost Assumptions'!$B$13))</f>
        <v>0</v>
      </c>
      <c r="F79" s="61">
        <f>ABS(((MIN(ABS(F51),'Baseline System Analysis'!F14)*F64*1000*'Cost Assumptions'!$B$6)*'Cost Assumptions'!$B$13))</f>
        <v>0</v>
      </c>
      <c r="G79" s="61">
        <f>ABS(((MIN(ABS(G51),'Baseline System Analysis'!G14)*G64*1000*'Cost Assumptions'!$B$6)*'Cost Assumptions'!$B$13))</f>
        <v>0</v>
      </c>
      <c r="H79" s="61">
        <f>ABS(((MIN(ABS(H51),'Baseline System Analysis'!H14)*H64*1000*'Cost Assumptions'!$B$6)*'Cost Assumptions'!$B$13))</f>
        <v>0</v>
      </c>
      <c r="I79" s="61">
        <f>ABS(((MIN(ABS(I51),'Baseline System Analysis'!I14)*I64*1000*'Cost Assumptions'!$B$6)*'Cost Assumptions'!$B$13))</f>
        <v>0</v>
      </c>
      <c r="J79" s="61">
        <f>ABS(((MIN(ABS(J51),'Baseline System Analysis'!J14)*J64*1000*'Cost Assumptions'!$B$6)*'Cost Assumptions'!$B$13))</f>
        <v>0</v>
      </c>
      <c r="K79" s="61">
        <f>ABS(((MIN(ABS(K51),'Baseline System Analysis'!K14)*K64*1000*'Cost Assumptions'!$B$6)*'Cost Assumptions'!$B$13))</f>
        <v>0</v>
      </c>
      <c r="L79" s="61">
        <f>ABS(((MIN(ABS(L51),'Baseline System Analysis'!L14)*L64*1000*'Cost Assumptions'!$B$6)*'Cost Assumptions'!$B$13))</f>
        <v>0</v>
      </c>
      <c r="M79" s="61">
        <f>ABS(((MIN(ABS(M51),'Baseline System Analysis'!M14)*M64*1000*'Cost Assumptions'!$B$6)*'Cost Assumptions'!$B$13))</f>
        <v>0</v>
      </c>
      <c r="N79" s="61">
        <f>ABS(((MIN(ABS(N51),'Baseline System Analysis'!N14)*N64*1000*'Cost Assumptions'!$B$6)*'Cost Assumptions'!$B$13))</f>
        <v>0</v>
      </c>
      <c r="O79" s="61">
        <f>ABS(((MIN(ABS(O51),'Baseline System Analysis'!O14)*O64*1000*'Cost Assumptions'!$B$6)*'Cost Assumptions'!$B$13))</f>
        <v>0</v>
      </c>
      <c r="P79" s="61">
        <f>ABS(((MIN(ABS(P51),'Baseline System Analysis'!P14)*P64*1000*'Cost Assumptions'!$B$6)*'Cost Assumptions'!$B$13))</f>
        <v>0</v>
      </c>
      <c r="Q79" s="61">
        <f>ABS(((MIN(ABS(Q51),'Baseline System Analysis'!Q14)*Q64*1000*'Cost Assumptions'!$B$6)*'Cost Assumptions'!$B$13))</f>
        <v>0</v>
      </c>
      <c r="R79" s="61">
        <f>ABS(((MIN(ABS(R51),'Baseline System Analysis'!R14)*R64*1000*'Cost Assumptions'!$B$6)*'Cost Assumptions'!$B$13))</f>
        <v>0</v>
      </c>
      <c r="S79" s="61">
        <f>ABS(((MIN(ABS(S51),'Baseline System Analysis'!S14)*S64*1000*'Cost Assumptions'!$B$6)*'Cost Assumptions'!$B$13))</f>
        <v>0</v>
      </c>
      <c r="T79" s="61">
        <f>ABS(((MIN(ABS(T51),'Baseline System Analysis'!T14)*T64*1000*'Cost Assumptions'!$B$6)*'Cost Assumptions'!$B$13))</f>
        <v>0</v>
      </c>
      <c r="U79" s="61">
        <f>ABS(((MIN(ABS(U51),'Baseline System Analysis'!U14)*U64*1000*'Cost Assumptions'!$B$6)*'Cost Assumptions'!$B$13))</f>
        <v>0</v>
      </c>
      <c r="V79" s="61">
        <f>ABS(((MIN(ABS(V51),'Baseline System Analysis'!V14)*V64*1000*'Cost Assumptions'!$B$6)*'Cost Assumptions'!$B$13))</f>
        <v>0</v>
      </c>
      <c r="W79" s="61">
        <f>ABS(((MIN(ABS(W51),'Baseline System Analysis'!W14)*W64*1000*'Cost Assumptions'!$B$6)*'Cost Assumptions'!$B$13))</f>
        <v>0</v>
      </c>
      <c r="X79" s="61">
        <f>ABS(((MIN(ABS(X51),'Baseline System Analysis'!X14)*X64*1000*'Cost Assumptions'!$B$6)*'Cost Assumptions'!$B$13))</f>
        <v>0</v>
      </c>
      <c r="Y79" s="61">
        <f>ABS(((MIN(ABS(Y51),'Baseline System Analysis'!Y14)*Y64*1000*'Cost Assumptions'!$B$6)*'Cost Assumptions'!$B$13))</f>
        <v>0</v>
      </c>
      <c r="Z79" s="61">
        <f>ABS(((MIN(ABS(Z51),'Baseline System Analysis'!Z14)*Z64*1000*'Cost Assumptions'!$B$6)*'Cost Assumptions'!$B$13))</f>
        <v>0</v>
      </c>
      <c r="AA79" s="61">
        <f>ABS(((MIN(ABS(AA51),'Baseline System Analysis'!AA14)*AA64*1000*'Cost Assumptions'!$B$6)*'Cost Assumptions'!$B$13))</f>
        <v>0</v>
      </c>
      <c r="AB79" s="61">
        <f>ABS(((MIN(ABS(AB51),'Baseline System Analysis'!AB14)*AB64*1000*'Cost Assumptions'!$B$6)*'Cost Assumptions'!$B$13))</f>
        <v>0</v>
      </c>
      <c r="AC79" s="61">
        <f>ABS(((MIN(ABS(AC51),'Baseline System Analysis'!AC14)*AC64*1000*'Cost Assumptions'!$B$6)*'Cost Assumptions'!$B$13))</f>
        <v>0</v>
      </c>
      <c r="AD79" s="61">
        <f>ABS(((MIN(ABS(AD51),'Baseline System Analysis'!AD14)*AD64*1000*'Cost Assumptions'!$B$6)*'Cost Assumptions'!$B$13))</f>
        <v>0</v>
      </c>
      <c r="AE79" s="61">
        <f>ABS(((MIN(ABS(AE51),'Baseline System Analysis'!AE14)*AE64*1000*'Cost Assumptions'!$B$6)*'Cost Assumptions'!$B$13))</f>
        <v>0</v>
      </c>
    </row>
    <row r="80" spans="1:31" s="60" customFormat="1" ht="29" x14ac:dyDescent="0.35">
      <c r="A80" s="3" t="s">
        <v>146</v>
      </c>
      <c r="B80" s="87" t="s">
        <v>152</v>
      </c>
      <c r="C80" s="17">
        <f>NPV('Cost Assumptions'!$B$3,D80:AE80)</f>
        <v>0</v>
      </c>
      <c r="D80" s="61">
        <f>SUM(D78:D79)</f>
        <v>0</v>
      </c>
      <c r="E80" s="61">
        <f>SUM(E78:E79)</f>
        <v>0</v>
      </c>
      <c r="F80" s="61">
        <f t="shared" ref="F80:AE80" si="43">SUM(F78:F79)</f>
        <v>0</v>
      </c>
      <c r="G80" s="61">
        <f t="shared" si="43"/>
        <v>0</v>
      </c>
      <c r="H80" s="61">
        <f t="shared" si="43"/>
        <v>0</v>
      </c>
      <c r="I80" s="61">
        <f t="shared" si="43"/>
        <v>0</v>
      </c>
      <c r="J80" s="61">
        <f t="shared" si="43"/>
        <v>0</v>
      </c>
      <c r="K80" s="61">
        <f t="shared" si="43"/>
        <v>0</v>
      </c>
      <c r="L80" s="61">
        <f t="shared" si="43"/>
        <v>0</v>
      </c>
      <c r="M80" s="61">
        <f t="shared" si="43"/>
        <v>0</v>
      </c>
      <c r="N80" s="61">
        <f t="shared" si="43"/>
        <v>0</v>
      </c>
      <c r="O80" s="61">
        <f t="shared" si="43"/>
        <v>0</v>
      </c>
      <c r="P80" s="61">
        <f t="shared" si="43"/>
        <v>0</v>
      </c>
      <c r="Q80" s="61">
        <f t="shared" si="43"/>
        <v>0</v>
      </c>
      <c r="R80" s="61">
        <f t="shared" si="43"/>
        <v>0</v>
      </c>
      <c r="S80" s="61">
        <f t="shared" si="43"/>
        <v>0</v>
      </c>
      <c r="T80" s="61">
        <f t="shared" si="43"/>
        <v>0</v>
      </c>
      <c r="U80" s="61">
        <f t="shared" si="43"/>
        <v>0</v>
      </c>
      <c r="V80" s="61">
        <f t="shared" si="43"/>
        <v>0</v>
      </c>
      <c r="W80" s="61">
        <f t="shared" si="43"/>
        <v>0</v>
      </c>
      <c r="X80" s="61">
        <f t="shared" si="43"/>
        <v>0</v>
      </c>
      <c r="Y80" s="61">
        <f t="shared" si="43"/>
        <v>0</v>
      </c>
      <c r="Z80" s="61">
        <f t="shared" si="43"/>
        <v>0</v>
      </c>
      <c r="AA80" s="61">
        <f t="shared" si="43"/>
        <v>0</v>
      </c>
      <c r="AB80" s="61">
        <f t="shared" si="43"/>
        <v>0</v>
      </c>
      <c r="AC80" s="61">
        <f t="shared" si="43"/>
        <v>0</v>
      </c>
      <c r="AD80" s="61">
        <f t="shared" si="43"/>
        <v>0</v>
      </c>
      <c r="AE80" s="61">
        <f t="shared" si="43"/>
        <v>0</v>
      </c>
    </row>
    <row r="81" spans="1:31" s="60" customFormat="1" x14ac:dyDescent="0.35">
      <c r="A81" s="3"/>
      <c r="B81" s="87"/>
      <c r="C81" s="1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s="60" customFormat="1" ht="29" x14ac:dyDescent="0.35">
      <c r="A82" s="3" t="s">
        <v>147</v>
      </c>
      <c r="B82" s="87" t="s">
        <v>148</v>
      </c>
      <c r="C82" s="17">
        <f>NPV('Cost Assumptions'!$B$3,D82:AE82)</f>
        <v>201421523.7424624</v>
      </c>
      <c r="D82" s="61">
        <f>('Baseline System Analysis'!D42-D37)</f>
        <v>11415404.726474755</v>
      </c>
      <c r="E82" s="61">
        <f>('Baseline System Analysis'!E42-E37)</f>
        <v>12677256.086189514</v>
      </c>
      <c r="F82" s="61">
        <f>('Baseline System Analysis'!F42-F37)</f>
        <v>14005928.33497976</v>
      </c>
      <c r="G82" s="61">
        <f>('Baseline System Analysis'!G42-G37)</f>
        <v>14898443.995636351</v>
      </c>
      <c r="H82" s="61">
        <f>('Baseline System Analysis'!H42-H37)</f>
        <v>16001404.151103705</v>
      </c>
      <c r="I82" s="61">
        <f>('Baseline System Analysis'!I42-I37)</f>
        <v>17079540.657531884</v>
      </c>
      <c r="J82" s="61">
        <f>('Baseline System Analysis'!J42-J37)</f>
        <v>18025564.820723638</v>
      </c>
      <c r="K82" s="61">
        <f>('Baseline System Analysis'!K42-K37)</f>
        <v>19173409.538344882</v>
      </c>
      <c r="L82" s="61">
        <f>('Baseline System Analysis'!L42-L37)</f>
        <v>20408716.377800144</v>
      </c>
      <c r="M82" s="61">
        <f>('Baseline System Analysis'!M42-M37)</f>
        <v>21700257.554819502</v>
      </c>
      <c r="N82" s="61">
        <f>('Baseline System Analysis'!N42-N37)</f>
        <v>23225050.521736037</v>
      </c>
      <c r="O82" s="61">
        <f>('Baseline System Analysis'!O42-O37)</f>
        <v>24562337.309540544</v>
      </c>
      <c r="P82" s="61">
        <f>('Baseline System Analysis'!P42-P37)</f>
        <v>26000278.429442648</v>
      </c>
      <c r="Q82" s="61">
        <f>('Baseline System Analysis'!Q42-Q37)</f>
        <v>27628571.211867087</v>
      </c>
      <c r="R82" s="61">
        <f>('Baseline System Analysis'!R42-R37)</f>
        <v>29216356.105742048</v>
      </c>
      <c r="S82" s="61">
        <f>('Baseline System Analysis'!S42-S37)</f>
        <v>31019684.762876015</v>
      </c>
      <c r="T82" s="61">
        <f>('Baseline System Analysis'!T42-T37)</f>
        <v>32721790.79613499</v>
      </c>
      <c r="U82" s="61">
        <f>('Baseline System Analysis'!U42-U37)</f>
        <v>34498473.537261531</v>
      </c>
      <c r="V82" s="61">
        <f>('Baseline System Analysis'!V42-V37)</f>
        <v>36216597.888129503</v>
      </c>
      <c r="W82" s="61">
        <f>('Baseline System Analysis'!W42-W37)</f>
        <v>38085174.954066977</v>
      </c>
      <c r="X82" s="61">
        <f>('Baseline System Analysis'!X42-X37)</f>
        <v>39829235.050383419</v>
      </c>
      <c r="Y82" s="61">
        <f>('Baseline System Analysis'!Y42-Y37)</f>
        <v>41537971.859504849</v>
      </c>
      <c r="Z82" s="61">
        <f>('Baseline System Analysis'!Z42-Z37)</f>
        <v>43666848.802640006</v>
      </c>
      <c r="AA82" s="61">
        <f>('Baseline System Analysis'!AA42-AA37)</f>
        <v>45674640.509398893</v>
      </c>
      <c r="AB82" s="61">
        <f>('Baseline System Analysis'!AB42-AB37)</f>
        <v>47592810.13016814</v>
      </c>
      <c r="AC82" s="61">
        <f>('Baseline System Analysis'!AC42-AC37)</f>
        <v>49813062.13103693</v>
      </c>
      <c r="AD82" s="61">
        <f>('Baseline System Analysis'!AD42-AD37)</f>
        <v>52005419.753570341</v>
      </c>
      <c r="AE82" s="61">
        <f>('Baseline System Analysis'!AE42-AE37)</f>
        <v>54190723.063085757</v>
      </c>
    </row>
    <row r="83" spans="1:31" s="60" customFormat="1" x14ac:dyDescent="0.3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</row>
    <row r="84" spans="1:31" s="60" customFormat="1" ht="20" thickBot="1" x14ac:dyDescent="0.5">
      <c r="A84" s="145" t="s">
        <v>61</v>
      </c>
      <c r="B84" s="169"/>
      <c r="C84" s="17">
        <f>NPV('Cost Assumptions'!$B$3,D84:AE84)/1000000</f>
        <v>4113.2085067611251</v>
      </c>
      <c r="D84" s="61">
        <f>SUM(D68,D72,D76,D80,D82)</f>
        <v>55531024.718848586</v>
      </c>
      <c r="E84" s="61">
        <f>SUM(E68,E72,E76,E80,E82)</f>
        <v>83283168.921718627</v>
      </c>
      <c r="F84" s="61">
        <f t="shared" ref="F84:AE84" si="44">SUM(F68,F72,F76,F80,F82)</f>
        <v>111758934.53288352</v>
      </c>
      <c r="G84" s="61">
        <f t="shared" si="44"/>
        <v>141395626.93263957</v>
      </c>
      <c r="H84" s="61">
        <f t="shared" si="44"/>
        <v>171590282.85340929</v>
      </c>
      <c r="I84" s="61">
        <f t="shared" si="44"/>
        <v>202502041.16940206</v>
      </c>
      <c r="J84" s="61">
        <f t="shared" si="44"/>
        <v>237849021.578664</v>
      </c>
      <c r="K84" s="61">
        <f t="shared" si="44"/>
        <v>274488040.34292144</v>
      </c>
      <c r="L84" s="61">
        <f t="shared" si="44"/>
        <v>314482422.74778885</v>
      </c>
      <c r="M84" s="61">
        <f t="shared" si="44"/>
        <v>359785782.98825526</v>
      </c>
      <c r="N84" s="61">
        <f t="shared" si="44"/>
        <v>409456389.64525026</v>
      </c>
      <c r="O84" s="61">
        <f t="shared" si="44"/>
        <v>463310621.19007474</v>
      </c>
      <c r="P84" s="61">
        <f t="shared" si="44"/>
        <v>518493178.98853099</v>
      </c>
      <c r="Q84" s="61">
        <f t="shared" si="44"/>
        <v>572039947.75789261</v>
      </c>
      <c r="R84" s="61">
        <f t="shared" si="44"/>
        <v>631590977.71966159</v>
      </c>
      <c r="S84" s="61">
        <f t="shared" si="44"/>
        <v>738788991.02019191</v>
      </c>
      <c r="T84" s="61">
        <f t="shared" si="44"/>
        <v>851629174.49288535</v>
      </c>
      <c r="U84" s="61">
        <f t="shared" si="44"/>
        <v>971484729.39916682</v>
      </c>
      <c r="V84" s="61">
        <f t="shared" si="44"/>
        <v>1097364421.0423727</v>
      </c>
      <c r="W84" s="61">
        <f t="shared" si="44"/>
        <v>1234262276.7404745</v>
      </c>
      <c r="X84" s="61">
        <f t="shared" si="44"/>
        <v>1369886953.9844863</v>
      </c>
      <c r="Y84" s="61">
        <f t="shared" si="44"/>
        <v>1515537949.084811</v>
      </c>
      <c r="Z84" s="61">
        <f t="shared" si="44"/>
        <v>1663946654.5806086</v>
      </c>
      <c r="AA84" s="61">
        <f t="shared" si="44"/>
        <v>1819310620.5611002</v>
      </c>
      <c r="AB84" s="61">
        <f t="shared" si="44"/>
        <v>1987751188.6190634</v>
      </c>
      <c r="AC84" s="61">
        <f t="shared" si="44"/>
        <v>2166849389.1786113</v>
      </c>
      <c r="AD84" s="61">
        <f t="shared" si="44"/>
        <v>2334827112.2428088</v>
      </c>
      <c r="AE84" s="61">
        <f t="shared" si="44"/>
        <v>2524657927.5518484</v>
      </c>
    </row>
    <row r="85" spans="1:31" s="60" customFormat="1" ht="20.5" thickTop="1" thickBot="1" x14ac:dyDescent="0.5">
      <c r="A85" s="145" t="s">
        <v>149</v>
      </c>
      <c r="B85" s="145"/>
      <c r="C85" s="17">
        <f>NPV('Cost Assumptions'!$B$3,D85:AE85)/1000000</f>
        <v>4113.5638900197373</v>
      </c>
      <c r="D85" s="61">
        <f>D84+D44</f>
        <v>55545376.718848541</v>
      </c>
      <c r="E85" s="61">
        <f t="shared" ref="E85:AE85" si="45">E84+E44</f>
        <v>83299923.571718618</v>
      </c>
      <c r="F85" s="61">
        <f t="shared" si="45"/>
        <v>111777913.10370082</v>
      </c>
      <c r="G85" s="61">
        <f t="shared" si="45"/>
        <v>141416930.14865878</v>
      </c>
      <c r="H85" s="61">
        <f t="shared" si="45"/>
        <v>171614015.08528376</v>
      </c>
      <c r="I85" s="61">
        <f t="shared" si="45"/>
        <v>202528310.55341455</v>
      </c>
      <c r="J85" s="61">
        <f t="shared" si="45"/>
        <v>237877940.1397765</v>
      </c>
      <c r="K85" s="61">
        <f t="shared" si="45"/>
        <v>274519724.12162387</v>
      </c>
      <c r="L85" s="61">
        <f t="shared" si="45"/>
        <v>314516991.9308601</v>
      </c>
      <c r="M85" s="61">
        <f t="shared" si="45"/>
        <v>359823362.04355204</v>
      </c>
      <c r="N85" s="61">
        <f t="shared" si="45"/>
        <v>409497107.46064442</v>
      </c>
      <c r="O85" s="61">
        <f t="shared" si="45"/>
        <v>463354611.21666163</v>
      </c>
      <c r="P85" s="61">
        <f t="shared" si="45"/>
        <v>518540579.38823557</v>
      </c>
      <c r="Q85" s="61">
        <f t="shared" si="45"/>
        <v>572090901.55560422</v>
      </c>
      <c r="R85" s="61">
        <f t="shared" si="45"/>
        <v>631645632.96003067</v>
      </c>
      <c r="S85" s="61">
        <f t="shared" si="45"/>
        <v>738848078.13175094</v>
      </c>
      <c r="T85" s="61">
        <f t="shared" si="45"/>
        <v>851692880.90966856</v>
      </c>
      <c r="U85" s="61">
        <f t="shared" si="45"/>
        <v>971553249.15699077</v>
      </c>
      <c r="V85" s="61">
        <f t="shared" si="45"/>
        <v>1097437954.9917789</v>
      </c>
      <c r="W85" s="61">
        <f t="shared" si="45"/>
        <v>1234341032.7661934</v>
      </c>
      <c r="X85" s="61">
        <f t="shared" si="45"/>
        <v>1369971147.2316153</v>
      </c>
      <c r="Y85" s="61">
        <f t="shared" si="45"/>
        <v>1515627802.1919043</v>
      </c>
      <c r="Z85" s="61">
        <f t="shared" si="45"/>
        <v>1664042397.9198852</v>
      </c>
      <c r="AA85" s="61">
        <f t="shared" si="45"/>
        <v>1819412492.4859772</v>
      </c>
      <c r="AB85" s="61">
        <f t="shared" si="45"/>
        <v>1987859435.7192335</v>
      </c>
      <c r="AC85" s="61">
        <f t="shared" si="45"/>
        <v>2166964266.5428863</v>
      </c>
      <c r="AD85" s="61">
        <f t="shared" si="45"/>
        <v>2334948883.7299566</v>
      </c>
      <c r="AE85" s="61">
        <f t="shared" si="45"/>
        <v>2524786866.0696597</v>
      </c>
    </row>
    <row r="86" spans="1:31" ht="15" thickTop="1" x14ac:dyDescent="0.35">
      <c r="A86" s="87"/>
      <c r="B86" s="87"/>
      <c r="C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20" thickBot="1" x14ac:dyDescent="0.5">
      <c r="A87" s="145" t="s">
        <v>150</v>
      </c>
      <c r="B87" s="145"/>
      <c r="C87" s="17">
        <f>Summary!$D$16</f>
        <v>726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15" thickTop="1" x14ac:dyDescent="0.35">
      <c r="A88" s="87"/>
      <c r="B88" s="87"/>
      <c r="C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20" thickBot="1" x14ac:dyDescent="0.5">
      <c r="A89" s="145" t="s">
        <v>7</v>
      </c>
      <c r="B89" s="145"/>
      <c r="C89" s="50">
        <f>C85/C87</f>
        <v>5.6660659642145141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15" thickTop="1" x14ac:dyDescent="0.35">
      <c r="A90" s="87"/>
      <c r="B90" s="87"/>
      <c r="C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  <row r="91" spans="1:31" s="60" customFormat="1" ht="42.65" customHeight="1" thickBot="1" x14ac:dyDescent="0.5">
      <c r="A91" s="168" t="s">
        <v>156</v>
      </c>
      <c r="B91" s="168"/>
      <c r="C91" s="87"/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5358.2499839179809</v>
      </c>
      <c r="M91" s="61">
        <v>7225.9345208518844</v>
      </c>
      <c r="N91" s="61">
        <v>9093.6190577857869</v>
      </c>
      <c r="O91" s="61">
        <v>10961.303594719689</v>
      </c>
      <c r="P91" s="61">
        <v>12828.988131653592</v>
      </c>
      <c r="Q91" s="61">
        <v>14696.672668587495</v>
      </c>
      <c r="R91" s="61">
        <v>16564.357205521399</v>
      </c>
      <c r="S91" s="61">
        <v>18017.473077271519</v>
      </c>
      <c r="T91" s="61">
        <v>19470.58894902164</v>
      </c>
      <c r="U91" s="61">
        <v>20923.70482077176</v>
      </c>
      <c r="V91" s="61">
        <v>22376.82069252188</v>
      </c>
      <c r="W91" s="61">
        <v>23829.936564272</v>
      </c>
      <c r="X91" s="61">
        <v>24219.213155802499</v>
      </c>
      <c r="Y91" s="61">
        <v>24608.489747332998</v>
      </c>
      <c r="Z91" s="61">
        <v>24997.766338863497</v>
      </c>
      <c r="AA91" s="61">
        <v>25387.042930393996</v>
      </c>
      <c r="AB91" s="61">
        <v>25776.319521924499</v>
      </c>
      <c r="AC91" s="61">
        <v>25968.558305621431</v>
      </c>
      <c r="AD91" s="61">
        <v>26160.797089318363</v>
      </c>
      <c r="AE91" s="61">
        <v>26353.035873015298</v>
      </c>
    </row>
    <row r="92" spans="1:31" ht="15" thickTop="1" x14ac:dyDescent="0.35">
      <c r="A92" s="87"/>
      <c r="B92" s="87"/>
      <c r="C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</row>
  </sheetData>
  <mergeCells count="8">
    <mergeCell ref="B2:B15"/>
    <mergeCell ref="B18:B32"/>
    <mergeCell ref="A91:B91"/>
    <mergeCell ref="A59:AE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92"/>
  <sheetViews>
    <sheetView zoomScale="84" zoomScaleNormal="84" workbookViewId="0"/>
  </sheetViews>
  <sheetFormatPr defaultRowHeight="14.5" x14ac:dyDescent="0.35"/>
  <cols>
    <col min="1" max="1" width="18.7265625" customWidth="1"/>
    <col min="2" max="2" width="26.7265625" bestFit="1" customWidth="1"/>
    <col min="3" max="3" width="22.81640625" customWidth="1"/>
    <col min="4" max="4" width="22.81640625" style="87" customWidth="1"/>
    <col min="5" max="5" width="14.453125" bestFit="1" customWidth="1"/>
    <col min="6" max="7" width="13.81640625" bestFit="1" customWidth="1"/>
    <col min="8" max="8" width="15.26953125" customWidth="1"/>
    <col min="9" max="9" width="14.7265625" bestFit="1" customWidth="1"/>
    <col min="10" max="10" width="13.81640625" bestFit="1" customWidth="1"/>
    <col min="11" max="11" width="14.7265625" bestFit="1" customWidth="1"/>
    <col min="12" max="14" width="14.453125" bestFit="1" customWidth="1"/>
    <col min="15" max="19" width="14.7265625" bestFit="1" customWidth="1"/>
    <col min="20" max="22" width="14.453125" bestFit="1" customWidth="1"/>
    <col min="23" max="28" width="15" bestFit="1" customWidth="1"/>
    <col min="29" max="29" width="15.1796875" bestFit="1" customWidth="1"/>
    <col min="30" max="31" width="1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3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3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3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3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3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3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3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3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3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3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3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3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3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2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  <c r="AF17" s="87"/>
    </row>
    <row r="18" spans="1:32" ht="60.65" customHeight="1" thickTop="1" x14ac:dyDescent="0.35">
      <c r="A18" s="87"/>
      <c r="B18" s="166" t="s">
        <v>19</v>
      </c>
      <c r="C18" s="87" t="s">
        <v>107</v>
      </c>
      <c r="D18" s="61">
        <v>49722.950000000521</v>
      </c>
      <c r="E18" s="61">
        <v>50479.400000000147</v>
      </c>
      <c r="F18" s="61">
        <v>51032.951923077046</v>
      </c>
      <c r="G18" s="61">
        <v>51586.503846153944</v>
      </c>
      <c r="H18" s="61">
        <v>52140.055769230843</v>
      </c>
      <c r="I18" s="61">
        <v>52693.607692307742</v>
      </c>
      <c r="J18" s="61">
        <v>53247.15961538464</v>
      </c>
      <c r="K18" s="61">
        <v>53800.711538461539</v>
      </c>
      <c r="L18" s="61">
        <v>54354.263461538438</v>
      </c>
      <c r="M18" s="61">
        <v>54907.815384615336</v>
      </c>
      <c r="N18" s="61">
        <v>55461.367307692235</v>
      </c>
      <c r="O18" s="61">
        <v>56014.919230769134</v>
      </c>
      <c r="P18" s="61">
        <v>56568.471153846032</v>
      </c>
      <c r="Q18" s="61">
        <v>57122.023076922931</v>
      </c>
      <c r="R18" s="61">
        <v>57675.57499999983</v>
      </c>
      <c r="S18" s="61">
        <f>R18+(($AE18-$R18)/(COLUMN($AE18)-COLUMN($R18)))</f>
        <v>58219.163461538272</v>
      </c>
      <c r="T18" s="61">
        <f t="shared" ref="T18:AD18" si="0">S18+(($AE18-$R18)/(COLUMN($AE18)-COLUMN($R18)))</f>
        <v>58762.751923076714</v>
      </c>
      <c r="U18" s="61">
        <f t="shared" si="0"/>
        <v>59306.340384615156</v>
      </c>
      <c r="V18" s="61">
        <f t="shared" si="0"/>
        <v>59849.928846153598</v>
      </c>
      <c r="W18" s="61">
        <f t="shared" si="0"/>
        <v>60393.51730769204</v>
      </c>
      <c r="X18" s="61">
        <f t="shared" si="0"/>
        <v>60937.105769230482</v>
      </c>
      <c r="Y18" s="61">
        <f t="shared" si="0"/>
        <v>61480.694230768924</v>
      </c>
      <c r="Z18" s="61">
        <f t="shared" si="0"/>
        <v>62024.282692307366</v>
      </c>
      <c r="AA18" s="61">
        <f t="shared" si="0"/>
        <v>62567.871153845808</v>
      </c>
      <c r="AB18" s="61">
        <f t="shared" si="0"/>
        <v>63111.45961538425</v>
      </c>
      <c r="AC18" s="61">
        <f t="shared" si="0"/>
        <v>63655.048076922692</v>
      </c>
      <c r="AD18" s="61">
        <f t="shared" si="0"/>
        <v>64198.636538461134</v>
      </c>
      <c r="AE18" s="61">
        <v>64742.224999999533</v>
      </c>
      <c r="AF18" s="61"/>
    </row>
    <row r="19" spans="1:32" x14ac:dyDescent="0.35">
      <c r="A19" s="87" t="s">
        <v>30</v>
      </c>
      <c r="B19" s="167"/>
      <c r="C19" s="87" t="s">
        <v>31</v>
      </c>
      <c r="D19" s="61">
        <v>11.599999999999994</v>
      </c>
      <c r="E19" s="61">
        <v>34.800000000000011</v>
      </c>
      <c r="F19" s="61">
        <f>E19+(($K19-$E19)/(COLUMN($K19)-COLUMN($E19)))</f>
        <v>65.566666666666677</v>
      </c>
      <c r="G19" s="61">
        <f t="shared" ref="G19:J19" si="1">F19+(($K19-$E19)/(COLUMN($K19)-COLUMN($E19)))</f>
        <v>96.333333333333343</v>
      </c>
      <c r="H19" s="61">
        <f t="shared" si="1"/>
        <v>127.10000000000001</v>
      </c>
      <c r="I19" s="61">
        <f t="shared" si="1"/>
        <v>157.86666666666667</v>
      </c>
      <c r="J19" s="61">
        <f t="shared" si="1"/>
        <v>188.63333333333333</v>
      </c>
      <c r="K19" s="61">
        <v>219.4</v>
      </c>
      <c r="L19" s="61">
        <f>K19+(($O19-$K19)/(COLUMN($O19)-COLUMN($K19)))</f>
        <v>321.97500000000002</v>
      </c>
      <c r="M19" s="61">
        <f t="shared" ref="M19:N19" si="2">L19+(($O19-$K19)/(COLUMN($O19)-COLUMN($K19)))</f>
        <v>424.55000000000007</v>
      </c>
      <c r="N19" s="61">
        <f t="shared" si="2"/>
        <v>527.12500000000011</v>
      </c>
      <c r="O19" s="61">
        <v>629.70000000000005</v>
      </c>
      <c r="P19" s="61">
        <v>778.89999999999986</v>
      </c>
      <c r="Q19" s="61">
        <f t="shared" ref="Q19:T23" si="3">P19+(($U19-$O19)/(COLUMN($U19)-COLUMN($O19)))</f>
        <v>961.51666666666654</v>
      </c>
      <c r="R19" s="61">
        <f t="shared" si="3"/>
        <v>1144.1333333333332</v>
      </c>
      <c r="S19" s="61">
        <f t="shared" si="3"/>
        <v>1326.7499999999998</v>
      </c>
      <c r="T19" s="61">
        <f t="shared" si="3"/>
        <v>1509.3666666666663</v>
      </c>
      <c r="U19" s="61">
        <v>1725.3999999999999</v>
      </c>
      <c r="V19" s="61">
        <f>U19+(($Z19-$U19)/(COLUMN($Z19)-COLUMN($U19)))</f>
        <v>1997.1599999999999</v>
      </c>
      <c r="W19" s="61">
        <f t="shared" ref="W19:Y19" si="4">V19+(($Z19-$U19)/(COLUMN($Z19)-COLUMN($U19)))</f>
        <v>2268.92</v>
      </c>
      <c r="X19" s="61">
        <f t="shared" si="4"/>
        <v>2540.6800000000003</v>
      </c>
      <c r="Y19" s="61">
        <f t="shared" si="4"/>
        <v>2812.4400000000005</v>
      </c>
      <c r="Z19" s="61">
        <v>3084.2</v>
      </c>
      <c r="AA19" s="61">
        <f>Z19+(($AE19-$Z19)/(COLUMN($AE19)-COLUMN($Z19)))</f>
        <v>3399.7999999999997</v>
      </c>
      <c r="AB19" s="61">
        <f t="shared" ref="AB19:AD19" si="5">AA19+(($AE19-$Z19)/(COLUMN($AE19)-COLUMN($Z19)))</f>
        <v>3715.3999999999996</v>
      </c>
      <c r="AC19" s="61">
        <f t="shared" si="5"/>
        <v>4030.9999999999995</v>
      </c>
      <c r="AD19" s="61">
        <f t="shared" si="5"/>
        <v>4346.5999999999995</v>
      </c>
      <c r="AE19" s="61">
        <v>4662.2</v>
      </c>
      <c r="AF19" s="61"/>
    </row>
    <row r="20" spans="1:32" x14ac:dyDescent="0.35">
      <c r="A20" s="87" t="s">
        <v>30</v>
      </c>
      <c r="B20" s="167"/>
      <c r="C20" s="87" t="s">
        <v>32</v>
      </c>
      <c r="D20" s="61">
        <v>5.6999999999999886</v>
      </c>
      <c r="E20" s="61">
        <v>11.100000000000023</v>
      </c>
      <c r="F20" s="61">
        <f t="shared" ref="F20:J23" si="6">E20+(($K20-$E20)/(COLUMN($K20)-COLUMN($E20)))</f>
        <v>13.966666666666688</v>
      </c>
      <c r="G20" s="61">
        <f t="shared" si="6"/>
        <v>16.833333333333353</v>
      </c>
      <c r="H20" s="61">
        <f t="shared" si="6"/>
        <v>19.700000000000017</v>
      </c>
      <c r="I20" s="61">
        <f t="shared" si="6"/>
        <v>22.566666666666681</v>
      </c>
      <c r="J20" s="61">
        <f t="shared" si="6"/>
        <v>25.433333333333344</v>
      </c>
      <c r="K20" s="61">
        <v>28.300000000000011</v>
      </c>
      <c r="L20" s="61">
        <f t="shared" ref="L20:N23" si="7">K20+(($O20-$K20)/(COLUMN($O20)-COLUMN($K20)))</f>
        <v>30.750000000000014</v>
      </c>
      <c r="M20" s="61">
        <f t="shared" si="7"/>
        <v>33.200000000000017</v>
      </c>
      <c r="N20" s="61">
        <f t="shared" si="7"/>
        <v>35.65000000000002</v>
      </c>
      <c r="O20" s="61">
        <v>38.100000000000023</v>
      </c>
      <c r="P20" s="61">
        <v>42.100000000000023</v>
      </c>
      <c r="Q20" s="61">
        <f t="shared" si="3"/>
        <v>49.000000000000021</v>
      </c>
      <c r="R20" s="61">
        <f t="shared" si="3"/>
        <v>55.90000000000002</v>
      </c>
      <c r="S20" s="61">
        <f t="shared" si="3"/>
        <v>62.800000000000018</v>
      </c>
      <c r="T20" s="61">
        <f t="shared" si="3"/>
        <v>69.700000000000017</v>
      </c>
      <c r="U20" s="61">
        <v>79.5</v>
      </c>
      <c r="V20" s="61">
        <f t="shared" ref="V20:Y23" si="8">U20+(($Z20-$U20)/(COLUMN($Z20)-COLUMN($U20)))</f>
        <v>79.08</v>
      </c>
      <c r="W20" s="61">
        <f t="shared" si="8"/>
        <v>78.66</v>
      </c>
      <c r="X20" s="61">
        <f t="shared" si="8"/>
        <v>78.239999999999995</v>
      </c>
      <c r="Y20" s="61">
        <f t="shared" si="8"/>
        <v>77.819999999999993</v>
      </c>
      <c r="Z20" s="61">
        <v>77.399999999999977</v>
      </c>
      <c r="AA20" s="61">
        <f t="shared" ref="AA20:AD23" si="9">Z20+(($AE20-$Z20)/(COLUMN($AE20)-COLUMN($Z20)))</f>
        <v>90.899999999999991</v>
      </c>
      <c r="AB20" s="61">
        <f t="shared" si="9"/>
        <v>104.4</v>
      </c>
      <c r="AC20" s="61">
        <f t="shared" si="9"/>
        <v>117.90000000000002</v>
      </c>
      <c r="AD20" s="61">
        <f t="shared" si="9"/>
        <v>131.40000000000003</v>
      </c>
      <c r="AE20" s="61">
        <v>144.90000000000003</v>
      </c>
      <c r="AF20" s="61"/>
    </row>
    <row r="21" spans="1:32" x14ac:dyDescent="0.35">
      <c r="A21" s="87" t="s">
        <v>30</v>
      </c>
      <c r="B21" s="167"/>
      <c r="C21" s="87" t="s">
        <v>33</v>
      </c>
      <c r="D21" s="61">
        <v>4.2384347048943977E-2</v>
      </c>
      <c r="E21" s="61">
        <v>0.15894130143354004</v>
      </c>
      <c r="F21" s="61">
        <f t="shared" si="6"/>
        <v>0.88763599057212128</v>
      </c>
      <c r="G21" s="61">
        <f t="shared" si="6"/>
        <v>1.6163306797107024</v>
      </c>
      <c r="H21" s="61">
        <f t="shared" si="6"/>
        <v>2.3450253688492837</v>
      </c>
      <c r="I21" s="61">
        <f t="shared" si="6"/>
        <v>3.073720057987865</v>
      </c>
      <c r="J21" s="61">
        <f t="shared" si="6"/>
        <v>3.8024147471264462</v>
      </c>
      <c r="K21" s="61">
        <v>4.5311094362650275</v>
      </c>
      <c r="L21" s="61">
        <f t="shared" si="7"/>
        <v>8.8151720410573322</v>
      </c>
      <c r="M21" s="61">
        <f t="shared" si="7"/>
        <v>13.099234645849638</v>
      </c>
      <c r="N21" s="61">
        <f t="shared" si="7"/>
        <v>17.383297250641942</v>
      </c>
      <c r="O21" s="61">
        <v>21.667359855434245</v>
      </c>
      <c r="P21" s="61">
        <v>29.500815665135704</v>
      </c>
      <c r="Q21" s="61">
        <f t="shared" si="3"/>
        <v>46.629536052389909</v>
      </c>
      <c r="R21" s="61">
        <f t="shared" si="3"/>
        <v>63.758256439644114</v>
      </c>
      <c r="S21" s="61">
        <f t="shared" si="3"/>
        <v>80.886976826898319</v>
      </c>
      <c r="T21" s="61">
        <f t="shared" si="3"/>
        <v>98.015697214152524</v>
      </c>
      <c r="U21" s="61">
        <v>124.43968217895944</v>
      </c>
      <c r="V21" s="61">
        <f t="shared" si="8"/>
        <v>164.59705739758294</v>
      </c>
      <c r="W21" s="61">
        <f t="shared" si="8"/>
        <v>204.75443261620643</v>
      </c>
      <c r="X21" s="61">
        <f t="shared" si="8"/>
        <v>244.91180783482992</v>
      </c>
      <c r="Y21" s="61">
        <f t="shared" si="8"/>
        <v>285.0691830534534</v>
      </c>
      <c r="Z21" s="61">
        <v>325.22655827207694</v>
      </c>
      <c r="AA21" s="61">
        <f t="shared" si="9"/>
        <v>389.710161775855</v>
      </c>
      <c r="AB21" s="61">
        <f t="shared" si="9"/>
        <v>454.19376527963311</v>
      </c>
      <c r="AC21" s="61">
        <f t="shared" si="9"/>
        <v>518.67736878341123</v>
      </c>
      <c r="AD21" s="61">
        <f t="shared" si="9"/>
        <v>583.16097228718934</v>
      </c>
      <c r="AE21" s="61">
        <v>647.64457579096734</v>
      </c>
      <c r="AF21" s="61"/>
    </row>
    <row r="22" spans="1:32" x14ac:dyDescent="0.35">
      <c r="A22" s="87" t="s">
        <v>30</v>
      </c>
      <c r="B22" s="167"/>
      <c r="C22" s="87" t="s">
        <v>34</v>
      </c>
      <c r="D22" s="61">
        <v>1.0596086762235994E-2</v>
      </c>
      <c r="E22" s="61">
        <v>3.178826028670801E-2</v>
      </c>
      <c r="F22" s="61">
        <f t="shared" si="6"/>
        <v>5.9915377699962795E-2</v>
      </c>
      <c r="G22" s="61">
        <f t="shared" si="6"/>
        <v>8.8042495113217573E-2</v>
      </c>
      <c r="H22" s="61">
        <f t="shared" si="6"/>
        <v>0.11616961252647236</v>
      </c>
      <c r="I22" s="61">
        <f t="shared" si="6"/>
        <v>0.14429672993972714</v>
      </c>
      <c r="J22" s="61">
        <f t="shared" si="6"/>
        <v>0.17242384735298194</v>
      </c>
      <c r="K22" s="61">
        <v>0.20055096476623671</v>
      </c>
      <c r="L22" s="61">
        <f t="shared" si="7"/>
        <v>0.29595973247117302</v>
      </c>
      <c r="M22" s="61">
        <f t="shared" si="7"/>
        <v>0.39136850017610936</v>
      </c>
      <c r="N22" s="61">
        <f t="shared" si="7"/>
        <v>0.48677726788104569</v>
      </c>
      <c r="O22" s="61">
        <v>0.58218603558598203</v>
      </c>
      <c r="P22" s="61">
        <v>0.72137761985239368</v>
      </c>
      <c r="Q22" s="61">
        <f t="shared" si="3"/>
        <v>0.89200377498127825</v>
      </c>
      <c r="R22" s="61">
        <f t="shared" si="3"/>
        <v>1.0626299301101629</v>
      </c>
      <c r="S22" s="61">
        <f t="shared" si="3"/>
        <v>1.2332560852390475</v>
      </c>
      <c r="T22" s="61">
        <f t="shared" si="3"/>
        <v>1.4038822403679321</v>
      </c>
      <c r="U22" s="61">
        <v>1.6059429663592897</v>
      </c>
      <c r="V22" s="61">
        <f t="shared" si="8"/>
        <v>1.8632694081032655</v>
      </c>
      <c r="W22" s="61">
        <f t="shared" si="8"/>
        <v>2.1205958498472413</v>
      </c>
      <c r="X22" s="61">
        <f t="shared" si="8"/>
        <v>2.3779222915912173</v>
      </c>
      <c r="Y22" s="61">
        <f t="shared" si="8"/>
        <v>2.6352487333351933</v>
      </c>
      <c r="Z22" s="61">
        <v>2.8925751750791688</v>
      </c>
      <c r="AA22" s="61">
        <f t="shared" si="9"/>
        <v>3.1920033731724837</v>
      </c>
      <c r="AB22" s="61">
        <f t="shared" si="9"/>
        <v>3.4914315712657986</v>
      </c>
      <c r="AC22" s="61">
        <f t="shared" si="9"/>
        <v>3.7908597693591135</v>
      </c>
      <c r="AD22" s="61">
        <f t="shared" si="9"/>
        <v>4.0902879674524284</v>
      </c>
      <c r="AE22" s="61">
        <v>4.3897161655457424</v>
      </c>
      <c r="AF22" s="61"/>
    </row>
    <row r="23" spans="1:32" x14ac:dyDescent="0.35">
      <c r="A23" s="87" t="s">
        <v>30</v>
      </c>
      <c r="B23" s="167"/>
      <c r="C23" s="87" t="s">
        <v>35</v>
      </c>
      <c r="D23" s="61">
        <v>4</v>
      </c>
      <c r="E23" s="61">
        <v>5</v>
      </c>
      <c r="F23" s="61">
        <f t="shared" si="6"/>
        <v>8</v>
      </c>
      <c r="G23" s="61">
        <f t="shared" si="6"/>
        <v>11</v>
      </c>
      <c r="H23" s="61">
        <f t="shared" si="6"/>
        <v>14</v>
      </c>
      <c r="I23" s="61">
        <f t="shared" si="6"/>
        <v>17</v>
      </c>
      <c r="J23" s="61">
        <f t="shared" si="6"/>
        <v>20</v>
      </c>
      <c r="K23" s="61">
        <v>23</v>
      </c>
      <c r="L23" s="61">
        <f t="shared" si="7"/>
        <v>27</v>
      </c>
      <c r="M23" s="61">
        <f t="shared" si="7"/>
        <v>31</v>
      </c>
      <c r="N23" s="61">
        <f t="shared" si="7"/>
        <v>35</v>
      </c>
      <c r="O23" s="61">
        <v>39</v>
      </c>
      <c r="P23" s="61">
        <v>44</v>
      </c>
      <c r="Q23" s="61">
        <f t="shared" si="3"/>
        <v>51</v>
      </c>
      <c r="R23" s="61">
        <f t="shared" si="3"/>
        <v>58</v>
      </c>
      <c r="S23" s="61">
        <f t="shared" si="3"/>
        <v>65</v>
      </c>
      <c r="T23" s="61">
        <f t="shared" si="3"/>
        <v>72</v>
      </c>
      <c r="U23" s="61">
        <v>81</v>
      </c>
      <c r="V23" s="61">
        <f t="shared" si="8"/>
        <v>87.6</v>
      </c>
      <c r="W23" s="61">
        <f t="shared" si="8"/>
        <v>94.199999999999989</v>
      </c>
      <c r="X23" s="61">
        <f t="shared" si="8"/>
        <v>100.79999999999998</v>
      </c>
      <c r="Y23" s="61">
        <f t="shared" si="8"/>
        <v>107.39999999999998</v>
      </c>
      <c r="Z23" s="61">
        <v>114</v>
      </c>
      <c r="AA23" s="61">
        <f t="shared" si="9"/>
        <v>121.4</v>
      </c>
      <c r="AB23" s="61">
        <f t="shared" si="9"/>
        <v>128.80000000000001</v>
      </c>
      <c r="AC23" s="61">
        <f t="shared" si="9"/>
        <v>136.20000000000002</v>
      </c>
      <c r="AD23" s="61">
        <f t="shared" si="9"/>
        <v>143.60000000000002</v>
      </c>
      <c r="AE23" s="61">
        <v>151</v>
      </c>
      <c r="AF23" s="61"/>
    </row>
    <row r="24" spans="1:32" x14ac:dyDescent="0.35">
      <c r="A24" s="87" t="s">
        <v>30</v>
      </c>
      <c r="B24" s="167"/>
      <c r="C24" s="87" t="s">
        <v>108</v>
      </c>
      <c r="D24" s="61">
        <v>4238.9824318989613</v>
      </c>
      <c r="E24" s="61">
        <v>6425.4824330612555</v>
      </c>
      <c r="F24" s="61">
        <v>8611.9824342235497</v>
      </c>
      <c r="G24" s="61">
        <v>10798.482435385844</v>
      </c>
      <c r="H24" s="61">
        <v>12984.982436548136</v>
      </c>
      <c r="I24" s="61">
        <v>15171.482437710431</v>
      </c>
      <c r="J24" s="61">
        <v>17357.982438872725</v>
      </c>
      <c r="K24" s="61">
        <v>19544.482440035019</v>
      </c>
      <c r="L24" s="61">
        <v>21730.982441197313</v>
      </c>
      <c r="M24" s="61">
        <v>23917.482442359604</v>
      </c>
      <c r="N24" s="61">
        <v>26103.982443521894</v>
      </c>
      <c r="O24" s="61">
        <v>28290.482444684185</v>
      </c>
      <c r="P24" s="61">
        <v>30476.982445846475</v>
      </c>
      <c r="Q24" s="61">
        <v>32663.482447008766</v>
      </c>
      <c r="R24" s="61">
        <v>34849.982448171053</v>
      </c>
      <c r="S24" s="61">
        <v>35619.28724988176</v>
      </c>
      <c r="T24" s="61">
        <v>36388.592051592452</v>
      </c>
      <c r="U24" s="61">
        <v>37157.896853303158</v>
      </c>
      <c r="V24" s="61">
        <v>37927.201655013851</v>
      </c>
      <c r="W24" s="61">
        <v>38696.506456724557</v>
      </c>
      <c r="X24" s="61">
        <v>39465.811258435264</v>
      </c>
      <c r="Y24" s="61">
        <v>40235.116060145971</v>
      </c>
      <c r="Z24" s="61">
        <v>41004.420861856677</v>
      </c>
      <c r="AA24" s="61">
        <v>41773.725663567384</v>
      </c>
      <c r="AB24" s="61">
        <v>42543.030465278091</v>
      </c>
      <c r="AC24" s="61">
        <v>43312.335266988797</v>
      </c>
      <c r="AD24" s="61">
        <v>44081.640068699504</v>
      </c>
      <c r="AE24" s="61">
        <v>44850.944870410225</v>
      </c>
      <c r="AF24" s="61"/>
    </row>
    <row r="25" spans="1:32" x14ac:dyDescent="0.35">
      <c r="A25" s="87" t="s">
        <v>30</v>
      </c>
      <c r="B25" s="16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  <c r="AF25" s="61"/>
    </row>
    <row r="26" spans="1:32" s="80" customFormat="1" x14ac:dyDescent="0.35">
      <c r="A26" s="87" t="s">
        <v>30</v>
      </c>
      <c r="B26" s="16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55356.343854525418</v>
      </c>
      <c r="T26" s="61">
        <v>58553.288177258051</v>
      </c>
      <c r="U26" s="61">
        <v>61842.499031107713</v>
      </c>
      <c r="V26" s="61">
        <v>65024.885300951166</v>
      </c>
      <c r="W26" s="61">
        <v>68293.268833520342</v>
      </c>
      <c r="X26" s="61">
        <v>71656.49099181639</v>
      </c>
      <c r="Y26" s="61">
        <v>75060.951475304391</v>
      </c>
      <c r="Z26" s="61">
        <v>78184.812939843832</v>
      </c>
      <c r="AA26" s="61">
        <v>81331.701489298488</v>
      </c>
      <c r="AB26" s="61">
        <v>84513.987783635414</v>
      </c>
      <c r="AC26" s="61">
        <v>87765.435092958593</v>
      </c>
      <c r="AD26" s="61">
        <v>90580.769838002132</v>
      </c>
      <c r="AE26" s="61">
        <v>93440.683251971685</v>
      </c>
      <c r="AF26" s="61"/>
    </row>
    <row r="27" spans="1:32" s="80" customFormat="1" x14ac:dyDescent="0.35">
      <c r="A27" s="87" t="s">
        <v>39</v>
      </c>
      <c r="B27" s="167"/>
      <c r="C27" s="87" t="s">
        <v>158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59">
        <f>X27+(($Z27-$X27)/(COLUMN($Z27)-COLUMN($X27)))</f>
        <v>0</v>
      </c>
      <c r="Z27" s="61">
        <v>0</v>
      </c>
      <c r="AA27" s="59">
        <f>Z27+(($AE27-$Z27)/(COLUMN($AE27)-COLUMN($Z27)))</f>
        <v>0</v>
      </c>
      <c r="AB27" s="59">
        <f t="shared" ref="AB27:AD27" si="10">AA27+(($AE27-$Z27)/(COLUMN($AE27)-COLUMN($Z27)))</f>
        <v>0</v>
      </c>
      <c r="AC27" s="59">
        <f t="shared" si="10"/>
        <v>0</v>
      </c>
      <c r="AD27" s="59">
        <f t="shared" si="10"/>
        <v>0</v>
      </c>
      <c r="AE27" s="61">
        <v>0</v>
      </c>
      <c r="AF27" s="61"/>
    </row>
    <row r="28" spans="1:32" x14ac:dyDescent="0.35">
      <c r="A28" s="87" t="s">
        <v>39</v>
      </c>
      <c r="B28" s="167"/>
      <c r="C28" s="87" t="s">
        <v>159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16.400000000000091</v>
      </c>
      <c r="R28" s="61">
        <v>181.30000000000007</v>
      </c>
      <c r="S28" s="61">
        <v>346.20000000000005</v>
      </c>
      <c r="T28" s="61">
        <v>511.1</v>
      </c>
      <c r="U28" s="61">
        <v>676</v>
      </c>
      <c r="V28" s="61">
        <v>1223.92</v>
      </c>
      <c r="W28" s="61">
        <v>1771.8400000000001</v>
      </c>
      <c r="X28" s="61">
        <v>2319.7600000000002</v>
      </c>
      <c r="Y28" s="61">
        <v>2867.6800000000003</v>
      </c>
      <c r="Z28" s="61">
        <v>3415.6</v>
      </c>
      <c r="AA28" s="61">
        <v>4332.4799999999996</v>
      </c>
      <c r="AB28" s="61">
        <v>5249.36</v>
      </c>
      <c r="AC28" s="61">
        <v>6166.24</v>
      </c>
      <c r="AD28" s="61">
        <v>7083.12</v>
      </c>
      <c r="AE28" s="61">
        <v>8000</v>
      </c>
      <c r="AF28" s="61"/>
    </row>
    <row r="29" spans="1:32" x14ac:dyDescent="0.35">
      <c r="A29" s="87" t="s">
        <v>39</v>
      </c>
      <c r="B29" s="167"/>
      <c r="C29" s="87" t="s">
        <v>32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16.400000000000091</v>
      </c>
      <c r="R29" s="61">
        <v>32.600000000000065</v>
      </c>
      <c r="S29" s="61">
        <v>48.80000000000004</v>
      </c>
      <c r="T29" s="61">
        <v>65.000000000000014</v>
      </c>
      <c r="U29" s="61">
        <v>81.2</v>
      </c>
      <c r="V29" s="61">
        <v>97.28</v>
      </c>
      <c r="W29" s="61">
        <v>113.36</v>
      </c>
      <c r="X29" s="61">
        <v>129.44</v>
      </c>
      <c r="Y29" s="61">
        <v>145.51999999999998</v>
      </c>
      <c r="Z29" s="61">
        <v>161.6</v>
      </c>
      <c r="AA29" s="61">
        <v>175.72</v>
      </c>
      <c r="AB29" s="61">
        <v>189.84</v>
      </c>
      <c r="AC29" s="61">
        <v>203.96</v>
      </c>
      <c r="AD29" s="61">
        <v>218.08</v>
      </c>
      <c r="AE29" s="61">
        <v>232.2</v>
      </c>
      <c r="AF29" s="61"/>
    </row>
    <row r="30" spans="1:32" x14ac:dyDescent="0.35">
      <c r="A30" s="87" t="s">
        <v>39</v>
      </c>
      <c r="B30" s="167"/>
      <c r="C30" s="87" t="s">
        <v>33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1.4254426049708295E-2</v>
      </c>
      <c r="R30" s="61">
        <v>2.5078228951965311</v>
      </c>
      <c r="S30" s="61">
        <v>5.0013913643433536</v>
      </c>
      <c r="T30" s="61">
        <v>7.4949598334901761</v>
      </c>
      <c r="U30" s="61">
        <v>9.9885283026370004</v>
      </c>
      <c r="V30" s="61">
        <v>42.428262642109594</v>
      </c>
      <c r="W30" s="61">
        <v>74.867996981582195</v>
      </c>
      <c r="X30" s="61">
        <v>107.30773132105479</v>
      </c>
      <c r="Y30" s="61">
        <v>139.74746566052738</v>
      </c>
      <c r="Z30" s="61">
        <v>172.18719999999999</v>
      </c>
      <c r="AA30" s="61">
        <v>289.95616000000001</v>
      </c>
      <c r="AB30" s="61">
        <v>407.72512000000006</v>
      </c>
      <c r="AC30" s="61">
        <v>525.49408000000005</v>
      </c>
      <c r="AD30" s="61">
        <v>643.26304000000005</v>
      </c>
      <c r="AE30" s="61">
        <v>761.03200000000004</v>
      </c>
      <c r="AF30" s="61"/>
    </row>
    <row r="31" spans="1:32" x14ac:dyDescent="0.35">
      <c r="A31" s="87" t="s">
        <v>39</v>
      </c>
      <c r="B31" s="167"/>
      <c r="C31" s="87" t="s">
        <v>34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1.4254426049708295E-2</v>
      </c>
      <c r="R31" s="61">
        <v>0.15758094163488423</v>
      </c>
      <c r="S31" s="61">
        <v>0.30090745722006018</v>
      </c>
      <c r="T31" s="61">
        <v>0.44423397280523613</v>
      </c>
      <c r="U31" s="61">
        <v>0.58756048839041197</v>
      </c>
      <c r="V31" s="61">
        <v>1.0637973907123297</v>
      </c>
      <c r="W31" s="61">
        <v>1.5400342930342474</v>
      </c>
      <c r="X31" s="61">
        <v>2.0162711953561652</v>
      </c>
      <c r="Y31" s="61">
        <v>2.4925080976780829</v>
      </c>
      <c r="Z31" s="61">
        <v>2.9687450000000002</v>
      </c>
      <c r="AA31" s="61">
        <v>3.8527279999999999</v>
      </c>
      <c r="AB31" s="61">
        <v>4.7367109999999997</v>
      </c>
      <c r="AC31" s="61">
        <v>5.6206939999999994</v>
      </c>
      <c r="AD31" s="61">
        <v>6.5046769999999992</v>
      </c>
      <c r="AE31" s="61">
        <v>7.3886599999999998</v>
      </c>
      <c r="AF31" s="61"/>
    </row>
    <row r="32" spans="1:32" x14ac:dyDescent="0.35">
      <c r="A32" s="87" t="s">
        <v>39</v>
      </c>
      <c r="B32" s="167"/>
      <c r="C32" s="87" t="s">
        <v>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1</v>
      </c>
      <c r="R32" s="61">
        <v>5</v>
      </c>
      <c r="S32" s="61">
        <v>9</v>
      </c>
      <c r="T32" s="61">
        <v>13</v>
      </c>
      <c r="U32" s="61">
        <v>17</v>
      </c>
      <c r="V32" s="61">
        <v>25.2</v>
      </c>
      <c r="W32" s="61">
        <v>33.4</v>
      </c>
      <c r="X32" s="61">
        <v>41.599999999999994</v>
      </c>
      <c r="Y32" s="61">
        <v>49.8</v>
      </c>
      <c r="Z32" s="61">
        <v>58</v>
      </c>
      <c r="AA32" s="61">
        <v>67</v>
      </c>
      <c r="AB32" s="61">
        <v>76</v>
      </c>
      <c r="AC32" s="61">
        <v>85</v>
      </c>
      <c r="AD32" s="61">
        <v>94</v>
      </c>
      <c r="AE32" s="61">
        <v>103</v>
      </c>
      <c r="AF32" s="61"/>
    </row>
    <row r="33" spans="1:32" x14ac:dyDescent="0.35">
      <c r="A33" s="87" t="s">
        <v>130</v>
      </c>
      <c r="B33" s="87" t="s">
        <v>111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170520.80729668943</v>
      </c>
      <c r="R33" s="61">
        <v>778286.28609297308</v>
      </c>
      <c r="S33" s="61">
        <v>1397881.3832351952</v>
      </c>
      <c r="T33" s="61">
        <v>2587242.7038173736</v>
      </c>
      <c r="U33" s="61">
        <v>3826509.3711627224</v>
      </c>
      <c r="V33" s="61">
        <v>5847822.8094336661</v>
      </c>
      <c r="W33" s="61">
        <v>8121525.4796061059</v>
      </c>
      <c r="X33" s="61">
        <v>11468360.473193079</v>
      </c>
      <c r="Y33" s="61">
        <v>15971435.75412095</v>
      </c>
      <c r="Z33" s="61">
        <v>21152202.052812018</v>
      </c>
      <c r="AA33" s="61">
        <v>26708333.818198439</v>
      </c>
      <c r="AB33" s="61">
        <v>31898121.532519966</v>
      </c>
      <c r="AC33" s="61">
        <v>39408806.811186284</v>
      </c>
      <c r="AD33" s="61">
        <v>46283322.377354242</v>
      </c>
      <c r="AE33" s="61">
        <v>53852029.804227017</v>
      </c>
      <c r="AF33" s="61"/>
    </row>
    <row r="34" spans="1:32" x14ac:dyDescent="0.35">
      <c r="A34" s="87" t="s">
        <v>130</v>
      </c>
      <c r="B34" s="87" t="s">
        <v>132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1020123.7736059603</v>
      </c>
      <c r="R34" s="61">
        <v>4440974.2644383721</v>
      </c>
      <c r="S34" s="61">
        <v>6878744.8620936256</v>
      </c>
      <c r="T34" s="61">
        <v>11771534.692150632</v>
      </c>
      <c r="U34" s="61">
        <v>16626941.139118997</v>
      </c>
      <c r="V34" s="61">
        <v>25893972.882636383</v>
      </c>
      <c r="W34" s="61">
        <v>34984013.021509804</v>
      </c>
      <c r="X34" s="61">
        <v>50354269.304726385</v>
      </c>
      <c r="Y34" s="61">
        <v>70580629.239874899</v>
      </c>
      <c r="Z34" s="61">
        <v>92924640.399934083</v>
      </c>
      <c r="AA34" s="61">
        <v>116716721.04013672</v>
      </c>
      <c r="AB34" s="61">
        <v>134422870.63078195</v>
      </c>
      <c r="AC34" s="61">
        <v>166042395.64905286</v>
      </c>
      <c r="AD34" s="61">
        <v>196113753.30682054</v>
      </c>
      <c r="AE34" s="61">
        <v>224787973.3730545</v>
      </c>
      <c r="AF34" s="61"/>
    </row>
    <row r="35" spans="1:32" s="60" customFormat="1" x14ac:dyDescent="0.35">
      <c r="A35" s="87" t="s">
        <v>133</v>
      </c>
      <c r="B35" s="87" t="s">
        <v>111</v>
      </c>
      <c r="C35" s="87" t="s">
        <v>131</v>
      </c>
      <c r="D35" s="61">
        <v>2477.0701677894704</v>
      </c>
      <c r="E35" s="61">
        <f>D35+(($K35-$D35)/(COLUMN($K35)-COLUMN($D35)))</f>
        <v>10015.32438095022</v>
      </c>
      <c r="F35" s="61">
        <f>E35+(($K35-$D35)/(COLUMN($K35)-COLUMN($D35)))</f>
        <v>17553.578594110972</v>
      </c>
      <c r="G35" s="61">
        <f t="shared" ref="G35:J36" si="11">F35+(($K35-$E35)/(COLUMN($K35)-COLUMN($E35)))</f>
        <v>25091.832807271723</v>
      </c>
      <c r="H35" s="61">
        <f t="shared" si="11"/>
        <v>32630.087020432475</v>
      </c>
      <c r="I35" s="61">
        <f t="shared" si="11"/>
        <v>40168.341233593223</v>
      </c>
      <c r="J35" s="61">
        <f t="shared" si="11"/>
        <v>47706.59544675397</v>
      </c>
      <c r="K35" s="61">
        <v>55244.849659914726</v>
      </c>
      <c r="L35" s="61">
        <f>K35+(($O35-$K35)/(COLUMN($O35)-COLUMN($K35)))</f>
        <v>50980.89622786874</v>
      </c>
      <c r="M35" s="61">
        <f t="shared" ref="M35:N36" si="12">L35+(($O35-$K35)/(COLUMN($O35)-COLUMN($K35)))</f>
        <v>46716.942795822753</v>
      </c>
      <c r="N35" s="61">
        <f t="shared" si="12"/>
        <v>42452.989363776767</v>
      </c>
      <c r="O35" s="61">
        <v>38189.035931730788</v>
      </c>
      <c r="P35" s="61">
        <v>257888.28306626406</v>
      </c>
      <c r="Q35" s="61">
        <f t="shared" ref="Q35:T36" si="13">P35+(($U35-$O35)/(COLUMN($U35)-COLUMN($O35)))</f>
        <v>367581.34206404869</v>
      </c>
      <c r="R35" s="61">
        <f t="shared" si="13"/>
        <v>477274.40106183331</v>
      </c>
      <c r="S35" s="61">
        <f t="shared" si="13"/>
        <v>586967.460059618</v>
      </c>
      <c r="T35" s="61">
        <f t="shared" si="13"/>
        <v>696660.51905740262</v>
      </c>
      <c r="U35" s="61">
        <v>696347.38991843862</v>
      </c>
      <c r="V35" s="61">
        <f>U35+(($Z35-$U35)/(COLUMN($Z35)-COLUMN($U35)))</f>
        <v>871852.4631573474</v>
      </c>
      <c r="W35" s="61">
        <f t="shared" ref="W35:Y35" si="14">V35+(($Z35-$U35)/(COLUMN($Z35)-COLUMN($U35)))</f>
        <v>1047357.5363962562</v>
      </c>
      <c r="X35" s="61">
        <f t="shared" si="14"/>
        <v>1222862.609635165</v>
      </c>
      <c r="Y35" s="61">
        <f t="shared" si="14"/>
        <v>1398367.6828740737</v>
      </c>
      <c r="Z35" s="61">
        <v>1573872.7561129825</v>
      </c>
      <c r="AA35" s="61">
        <f>Z35+(($AE35-$Z35)/(COLUMN($AE35)-COLUMN($Z35)))</f>
        <v>1825117.7822536842</v>
      </c>
      <c r="AB35" s="61">
        <f t="shared" ref="AB35:AD36" si="15">AA35+(($AE35-$Z35)/(COLUMN($AE35)-COLUMN($Z35)))</f>
        <v>2076362.808394386</v>
      </c>
      <c r="AC35" s="61">
        <f t="shared" si="15"/>
        <v>2327607.8345350879</v>
      </c>
      <c r="AD35" s="61">
        <f t="shared" si="15"/>
        <v>2578852.8606757899</v>
      </c>
      <c r="AE35" s="61">
        <v>2830097.8868164914</v>
      </c>
      <c r="AF35" s="61"/>
    </row>
    <row r="36" spans="1:32" s="60" customFormat="1" x14ac:dyDescent="0.35">
      <c r="A36" s="87" t="s">
        <v>133</v>
      </c>
      <c r="B36" s="87" t="s">
        <v>132</v>
      </c>
      <c r="C36" s="87" t="s">
        <v>131</v>
      </c>
      <c r="D36" s="61">
        <v>10278.567558542511</v>
      </c>
      <c r="E36" s="61">
        <f>D36+(($K36-$D36)/(COLUMN($K36)-COLUMN($D36)))</f>
        <v>41558.446591030959</v>
      </c>
      <c r="F36" s="61">
        <f>E36+(($K36-$D36)/(COLUMN($K36)-COLUMN($D36)))</f>
        <v>72838.325623519413</v>
      </c>
      <c r="G36" s="61">
        <f t="shared" si="11"/>
        <v>104118.20465600786</v>
      </c>
      <c r="H36" s="61">
        <f t="shared" si="11"/>
        <v>135398.08368849632</v>
      </c>
      <c r="I36" s="61">
        <f t="shared" si="11"/>
        <v>166677.96272098477</v>
      </c>
      <c r="J36" s="61">
        <f t="shared" si="11"/>
        <v>197957.84175347321</v>
      </c>
      <c r="K36" s="61">
        <v>229237.72078596166</v>
      </c>
      <c r="L36" s="61">
        <f t="shared" ref="L36" si="16">K36+(($O36-$K36)/(COLUMN($O36)-COLUMN($K36)))</f>
        <v>211544.50644440943</v>
      </c>
      <c r="M36" s="61">
        <f t="shared" si="12"/>
        <v>193851.2921028572</v>
      </c>
      <c r="N36" s="61">
        <f t="shared" si="12"/>
        <v>176158.07776130497</v>
      </c>
      <c r="O36" s="61">
        <v>158464.86341975268</v>
      </c>
      <c r="P36" s="61">
        <v>1070103.7760341791</v>
      </c>
      <c r="Q36" s="61">
        <f t="shared" si="13"/>
        <v>1525273.5698790122</v>
      </c>
      <c r="R36" s="61">
        <f t="shared" si="13"/>
        <v>1980443.3637238452</v>
      </c>
      <c r="S36" s="61">
        <f t="shared" si="13"/>
        <v>2435613.1575686783</v>
      </c>
      <c r="T36" s="61">
        <f t="shared" si="13"/>
        <v>2890782.9514135113</v>
      </c>
      <c r="U36" s="61">
        <v>2889483.6264887503</v>
      </c>
      <c r="V36" s="61">
        <f t="shared" ref="V36:Y36" si="17">U36+(($Z36-$U36)/(COLUMN($Z36)-COLUMN($U36)))</f>
        <v>3617739.4408013923</v>
      </c>
      <c r="W36" s="61">
        <f t="shared" si="17"/>
        <v>4345995.2551140347</v>
      </c>
      <c r="X36" s="61">
        <f t="shared" si="17"/>
        <v>5074251.0694266772</v>
      </c>
      <c r="Y36" s="61">
        <f t="shared" si="17"/>
        <v>5802506.8837393196</v>
      </c>
      <c r="Z36" s="61">
        <v>6530762.6980519611</v>
      </c>
      <c r="AA36" s="61">
        <f t="shared" ref="AA36" si="18">Z36+(($AE36-$Z36)/(COLUMN($AE36)-COLUMN($Z36)))</f>
        <v>7573300.3736154847</v>
      </c>
      <c r="AB36" s="61">
        <f t="shared" si="15"/>
        <v>8615838.0491790082</v>
      </c>
      <c r="AC36" s="61">
        <f t="shared" si="15"/>
        <v>9658375.7247425318</v>
      </c>
      <c r="AD36" s="61">
        <f t="shared" si="15"/>
        <v>10700913.400306055</v>
      </c>
      <c r="AE36" s="61">
        <v>11743451.075869581</v>
      </c>
      <c r="AF36" s="61"/>
    </row>
    <row r="37" spans="1:32" ht="29" x14ac:dyDescent="0.35">
      <c r="A37" s="3" t="s">
        <v>134</v>
      </c>
      <c r="B37" s="3" t="s">
        <v>135</v>
      </c>
      <c r="C37" s="87" t="s">
        <v>131</v>
      </c>
      <c r="D37" s="61">
        <v>5110374.2213796834</v>
      </c>
      <c r="E37" s="61">
        <v>6015097.5811416227</v>
      </c>
      <c r="F37" s="61">
        <v>6967510.592113046</v>
      </c>
      <c r="G37" s="61">
        <v>7745187.9968061158</v>
      </c>
      <c r="H37" s="61">
        <v>8491036.71368628</v>
      </c>
      <c r="I37" s="61">
        <v>9233048.74636738</v>
      </c>
      <c r="J37" s="61">
        <v>10172667.817321118</v>
      </c>
      <c r="K37" s="61">
        <v>11216525.058557451</v>
      </c>
      <c r="L37" s="61">
        <v>12260160.059538106</v>
      </c>
      <c r="M37" s="61">
        <v>13330830.006865343</v>
      </c>
      <c r="N37" s="61">
        <v>14604368.715492908</v>
      </c>
      <c r="O37" s="61">
        <v>15898045.990351547</v>
      </c>
      <c r="P37" s="61">
        <v>17328004.734673198</v>
      </c>
      <c r="Q37" s="61">
        <v>18766389.698252752</v>
      </c>
      <c r="R37" s="61">
        <v>20232001.086540084</v>
      </c>
      <c r="S37" s="61">
        <v>21817429.49744973</v>
      </c>
      <c r="T37" s="61">
        <v>23600568.043533172</v>
      </c>
      <c r="U37" s="61">
        <v>25503802.072911512</v>
      </c>
      <c r="V37" s="61">
        <v>27434997.056164566</v>
      </c>
      <c r="W37" s="61">
        <v>29443388.644315328</v>
      </c>
      <c r="X37" s="61">
        <v>31566313.148651812</v>
      </c>
      <c r="Y37" s="61">
        <v>33843442.253389135</v>
      </c>
      <c r="Z37" s="61">
        <v>36000441.291783169</v>
      </c>
      <c r="AA37" s="61">
        <v>38358137.116168171</v>
      </c>
      <c r="AB37" s="61">
        <v>40806428.006710529</v>
      </c>
      <c r="AC37" s="61">
        <v>43292848.447085924</v>
      </c>
      <c r="AD37" s="61">
        <v>45372446.239866607</v>
      </c>
      <c r="AE37" s="61">
        <v>47951699.30872459</v>
      </c>
      <c r="AF37" s="61"/>
    </row>
    <row r="38" spans="1:32" x14ac:dyDescent="0.35">
      <c r="A38" s="87"/>
      <c r="B38" s="87"/>
      <c r="C38" s="87"/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/>
      <c r="AF38" s="61"/>
    </row>
    <row r="39" spans="1:32" x14ac:dyDescent="0.35">
      <c r="A39" s="87"/>
      <c r="B39" s="87"/>
      <c r="C39" s="87" t="s">
        <v>136</v>
      </c>
      <c r="D39" s="87">
        <f>'Cost Assumptions'!$B$4</f>
        <v>40</v>
      </c>
      <c r="E39" s="61">
        <f>D39*'Cost Assumptions'!$B$5</f>
        <v>41</v>
      </c>
      <c r="F39" s="61">
        <f>E39*'Cost Assumptions'!$B$5</f>
        <v>42.024999999999999</v>
      </c>
      <c r="G39" s="61">
        <f>F39*'Cost Assumptions'!$B$5</f>
        <v>43.075624999999995</v>
      </c>
      <c r="H39" s="61">
        <f>G39*'Cost Assumptions'!$B$5</f>
        <v>44.152515624999992</v>
      </c>
      <c r="I39" s="8">
        <f>H39*'Cost Assumptions'!$B$5</f>
        <v>45.256328515624986</v>
      </c>
      <c r="J39" s="8">
        <f>I39*'Cost Assumptions'!$B$5</f>
        <v>46.387736728515605</v>
      </c>
      <c r="K39" s="8">
        <f>J39*'Cost Assumptions'!$B$5</f>
        <v>47.547430146728495</v>
      </c>
      <c r="L39" s="8">
        <f>K39*'Cost Assumptions'!$B$5</f>
        <v>48.736115900396705</v>
      </c>
      <c r="M39" s="8">
        <f>L39*'Cost Assumptions'!$B$5</f>
        <v>49.954518797906616</v>
      </c>
      <c r="N39" s="8">
        <f>M39*'Cost Assumptions'!$B$5</f>
        <v>51.203381767854275</v>
      </c>
      <c r="O39" s="8">
        <f>N39*'Cost Assumptions'!$B$5</f>
        <v>52.483466312050624</v>
      </c>
      <c r="P39" s="8">
        <f>O39*'Cost Assumptions'!$B$5</f>
        <v>53.795552969851883</v>
      </c>
      <c r="Q39" s="8">
        <f>P39*'Cost Assumptions'!$B$5</f>
        <v>55.140441794098173</v>
      </c>
      <c r="R39" s="8">
        <f>Q39*'Cost Assumptions'!$B$5</f>
        <v>56.518952838950625</v>
      </c>
      <c r="S39" s="8">
        <f>R39*'Cost Assumptions'!$B$5</f>
        <v>57.931926659924386</v>
      </c>
      <c r="T39" s="8">
        <f>S39*'Cost Assumptions'!$B$5</f>
        <v>59.380224826422491</v>
      </c>
      <c r="U39" s="8">
        <f>T39*'Cost Assumptions'!$B$5</f>
        <v>60.864730447083048</v>
      </c>
      <c r="V39" s="8">
        <f>U39*'Cost Assumptions'!$B$5</f>
        <v>62.386348708260115</v>
      </c>
      <c r="W39" s="8">
        <f>V39*'Cost Assumptions'!$B$5</f>
        <v>63.946007425966613</v>
      </c>
      <c r="X39" s="8">
        <f>W39*'Cost Assumptions'!$B$5</f>
        <v>65.544657611615776</v>
      </c>
      <c r="Y39" s="8">
        <f>X39*'Cost Assumptions'!$B$5</f>
        <v>67.183274051906167</v>
      </c>
      <c r="Z39" s="8">
        <f>Y39*'Cost Assumptions'!$B$5</f>
        <v>68.862855903203823</v>
      </c>
      <c r="AA39" s="8">
        <f>Z39*'Cost Assumptions'!$B$5</f>
        <v>70.584427300783915</v>
      </c>
      <c r="AB39" s="8">
        <f>AA39*'Cost Assumptions'!$B$5</f>
        <v>72.349037983303504</v>
      </c>
      <c r="AC39" s="8">
        <f>AB39*'Cost Assumptions'!$B$5</f>
        <v>74.157763932886084</v>
      </c>
      <c r="AD39" s="8">
        <f>AC39*'Cost Assumptions'!$B$5</f>
        <v>76.011708031208229</v>
      </c>
      <c r="AE39" s="8">
        <f>AD39*'Cost Assumptions'!$B$5</f>
        <v>77.912000731988428</v>
      </c>
      <c r="AF39" s="8"/>
    </row>
    <row r="40" spans="1:32" x14ac:dyDescent="0.35">
      <c r="A40" s="87"/>
      <c r="B40" s="87"/>
      <c r="C40" s="8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87"/>
    </row>
    <row r="41" spans="1:32" x14ac:dyDescent="0.35">
      <c r="A41" s="87"/>
      <c r="B41" s="87"/>
      <c r="C41" s="87"/>
      <c r="E41" s="87"/>
      <c r="F41" s="87"/>
      <c r="G41" s="87"/>
      <c r="H41" s="6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7"/>
    </row>
    <row r="42" spans="1:32" ht="20" thickBot="1" x14ac:dyDescent="0.5">
      <c r="A42" s="120"/>
      <c r="B42" s="125" t="s">
        <v>138</v>
      </c>
      <c r="C42" s="120" t="s">
        <v>105</v>
      </c>
      <c r="D42" s="120">
        <v>2021</v>
      </c>
      <c r="E42" s="120">
        <v>2022</v>
      </c>
      <c r="F42" s="120">
        <v>2023</v>
      </c>
      <c r="G42" s="120">
        <v>2024</v>
      </c>
      <c r="H42" s="120">
        <v>2025</v>
      </c>
      <c r="I42" s="120">
        <v>2026</v>
      </c>
      <c r="J42" s="120">
        <v>2027</v>
      </c>
      <c r="K42" s="120">
        <v>2028</v>
      </c>
      <c r="L42" s="120">
        <v>2029</v>
      </c>
      <c r="M42" s="120">
        <v>2030</v>
      </c>
      <c r="N42" s="120">
        <v>2031</v>
      </c>
      <c r="O42" s="120">
        <v>2032</v>
      </c>
      <c r="P42" s="120">
        <v>2033</v>
      </c>
      <c r="Q42" s="120">
        <v>2034</v>
      </c>
      <c r="R42" s="120">
        <v>2035</v>
      </c>
      <c r="S42" s="120">
        <v>2036</v>
      </c>
      <c r="T42" s="120">
        <v>2037</v>
      </c>
      <c r="U42" s="120">
        <v>2038</v>
      </c>
      <c r="V42" s="120">
        <v>2039</v>
      </c>
      <c r="W42" s="120">
        <v>2040</v>
      </c>
      <c r="X42" s="120">
        <v>2041</v>
      </c>
      <c r="Y42" s="120">
        <v>2042</v>
      </c>
      <c r="Z42" s="120">
        <v>2043</v>
      </c>
      <c r="AA42" s="120">
        <v>2044</v>
      </c>
      <c r="AB42" s="120">
        <v>2045</v>
      </c>
      <c r="AC42" s="120">
        <v>2046</v>
      </c>
      <c r="AD42" s="120">
        <v>2047</v>
      </c>
      <c r="AE42" s="120">
        <v>2048</v>
      </c>
      <c r="AF42" s="87"/>
    </row>
    <row r="43" spans="1:32" ht="15" thickTop="1" x14ac:dyDescent="0.35">
      <c r="A43" s="87"/>
      <c r="B43" s="9">
        <f>NPV('Cost Assumptions'!$B$3,'VS to VN to VST &amp; Cen BESS VS'!D43:'VS to VN to VST &amp; Cen BESS VS'!AE43)</f>
        <v>6657.0644527035847</v>
      </c>
      <c r="C43" s="87" t="s">
        <v>107</v>
      </c>
      <c r="D43" s="61">
        <f t="shared" ref="D43" si="19">D2-D18</f>
        <v>358.79999999895517</v>
      </c>
      <c r="E43" s="61">
        <f t="shared" ref="E43:AE43" si="20">E2-E18</f>
        <v>408.64999999964493</v>
      </c>
      <c r="F43" s="61">
        <f t="shared" si="20"/>
        <v>451.60192307660327</v>
      </c>
      <c r="G43" s="61">
        <f t="shared" si="20"/>
        <v>494.55384615356161</v>
      </c>
      <c r="H43" s="61">
        <f t="shared" si="20"/>
        <v>537.50576923051995</v>
      </c>
      <c r="I43" s="61">
        <f t="shared" si="20"/>
        <v>580.45769230747828</v>
      </c>
      <c r="J43" s="61">
        <f t="shared" si="20"/>
        <v>623.40961538443662</v>
      </c>
      <c r="K43" s="61">
        <f t="shared" si="20"/>
        <v>666.36153846139496</v>
      </c>
      <c r="L43" s="61">
        <f t="shared" si="20"/>
        <v>709.31346153835329</v>
      </c>
      <c r="M43" s="61">
        <f t="shared" si="20"/>
        <v>752.26538461531163</v>
      </c>
      <c r="N43" s="61">
        <f t="shared" si="20"/>
        <v>795.21730769226997</v>
      </c>
      <c r="O43" s="61">
        <f t="shared" si="20"/>
        <v>838.16923076922831</v>
      </c>
      <c r="P43" s="61">
        <f t="shared" si="20"/>
        <v>881.12115384618664</v>
      </c>
      <c r="Q43" s="61">
        <f t="shared" si="20"/>
        <v>924.07307692314498</v>
      </c>
      <c r="R43" s="61">
        <f t="shared" si="20"/>
        <v>967.02500000010332</v>
      </c>
      <c r="S43" s="61">
        <f t="shared" si="20"/>
        <v>1019.9403846155183</v>
      </c>
      <c r="T43" s="61">
        <f t="shared" si="20"/>
        <v>1072.8557692309332</v>
      </c>
      <c r="U43" s="61">
        <f t="shared" si="20"/>
        <v>1125.7711538463482</v>
      </c>
      <c r="V43" s="61">
        <f t="shared" si="20"/>
        <v>1178.6865384617631</v>
      </c>
      <c r="W43" s="61">
        <f t="shared" si="20"/>
        <v>1231.6019230771781</v>
      </c>
      <c r="X43" s="61">
        <f t="shared" si="20"/>
        <v>1284.517307692593</v>
      </c>
      <c r="Y43" s="61">
        <f t="shared" si="20"/>
        <v>1337.432692308008</v>
      </c>
      <c r="Z43" s="61">
        <f t="shared" si="20"/>
        <v>1390.3480769234229</v>
      </c>
      <c r="AA43" s="61">
        <f t="shared" si="20"/>
        <v>1443.2634615388379</v>
      </c>
      <c r="AB43" s="61">
        <f t="shared" si="20"/>
        <v>1496.1788461542528</v>
      </c>
      <c r="AC43" s="61">
        <f t="shared" si="20"/>
        <v>1549.0942307696678</v>
      </c>
      <c r="AD43" s="61">
        <f t="shared" si="20"/>
        <v>1602.0096153850827</v>
      </c>
      <c r="AE43" s="61">
        <f t="shared" si="20"/>
        <v>1654.9250000004613</v>
      </c>
      <c r="AF43" s="87"/>
    </row>
    <row r="44" spans="1:32" x14ac:dyDescent="0.35">
      <c r="A44" s="87"/>
      <c r="B44" s="9">
        <f>NPV('Cost Assumptions'!$B$3,'VS to VN to VST &amp; Cen BESS VS'!D44:'VS to VN to VST &amp; Cen BESS VS'!AE44)</f>
        <v>355383.25861104828</v>
      </c>
      <c r="C44" s="87" t="s">
        <v>139</v>
      </c>
      <c r="D44" s="61">
        <f t="shared" ref="D44" si="21">D43*D39</f>
        <v>14351.999999958207</v>
      </c>
      <c r="E44" s="61">
        <f t="shared" ref="E44:AE44" si="22">E43*E39</f>
        <v>16754.649999985442</v>
      </c>
      <c r="F44" s="61">
        <f t="shared" si="22"/>
        <v>18978.57081729425</v>
      </c>
      <c r="G44" s="61">
        <f t="shared" si="22"/>
        <v>21303.216019218511</v>
      </c>
      <c r="H44" s="61">
        <f t="shared" si="22"/>
        <v>23732.231874478173</v>
      </c>
      <c r="I44" s="61">
        <f t="shared" si="22"/>
        <v>26269.384012488805</v>
      </c>
      <c r="J44" s="61">
        <f t="shared" si="22"/>
        <v>28918.561112478419</v>
      </c>
      <c r="K44" s="61">
        <f t="shared" si="22"/>
        <v>31683.778702459709</v>
      </c>
      <c r="L44" s="61">
        <f t="shared" si="22"/>
        <v>34569.18307124477</v>
      </c>
      <c r="M44" s="61">
        <f t="shared" si="22"/>
        <v>37579.055296780032</v>
      </c>
      <c r="N44" s="61">
        <f t="shared" si="22"/>
        <v>40717.81539417254</v>
      </c>
      <c r="O44" s="61">
        <f t="shared" si="22"/>
        <v>43990.026586874177</v>
      </c>
      <c r="P44" s="61">
        <f t="shared" si="22"/>
        <v>47400.399704589545</v>
      </c>
      <c r="Q44" s="61">
        <f t="shared" si="22"/>
        <v>50953.797711573883</v>
      </c>
      <c r="R44" s="61">
        <f t="shared" si="22"/>
        <v>54655.240369092069</v>
      </c>
      <c r="S44" s="61">
        <f t="shared" si="22"/>
        <v>59087.111559041274</v>
      </c>
      <c r="T44" s="61">
        <f t="shared" si="22"/>
        <v>63706.416783257257</v>
      </c>
      <c r="U44" s="61">
        <f t="shared" si="22"/>
        <v>68519.757823959648</v>
      </c>
      <c r="V44" s="61">
        <f t="shared" si="22"/>
        <v>73533.949406207597</v>
      </c>
      <c r="W44" s="61">
        <f t="shared" si="22"/>
        <v>78756.025718927995</v>
      </c>
      <c r="X44" s="61">
        <f t="shared" si="22"/>
        <v>84193.247128905525</v>
      </c>
      <c r="Y44" s="61">
        <f t="shared" si="22"/>
        <v>89853.107093307597</v>
      </c>
      <c r="Z44" s="61">
        <f t="shared" si="22"/>
        <v>95743.339276474217</v>
      </c>
      <c r="AA44" s="61">
        <f t="shared" si="22"/>
        <v>101871.92487686584</v>
      </c>
      <c r="AB44" s="61">
        <f t="shared" si="22"/>
        <v>108247.10017022924</v>
      </c>
      <c r="AC44" s="61">
        <f t="shared" si="22"/>
        <v>114877.36427521278</v>
      </c>
      <c r="AD44" s="61">
        <f t="shared" si="22"/>
        <v>121771.4871478391</v>
      </c>
      <c r="AE44" s="61">
        <f t="shared" si="22"/>
        <v>128938.51781142189</v>
      </c>
      <c r="AF44" s="87"/>
    </row>
    <row r="45" spans="1:32" x14ac:dyDescent="0.35">
      <c r="A45" s="87" t="s">
        <v>30</v>
      </c>
      <c r="B45" s="9">
        <f>NPV('Cost Assumptions'!$B$3,'VS to VN to VST &amp; Cen BESS VS'!D45:'VS to VN to VST &amp; Cen BESS VS'!AE45)</f>
        <v>3417.8021254828423</v>
      </c>
      <c r="C45" s="87" t="s">
        <v>31</v>
      </c>
      <c r="D45" s="61">
        <f t="shared" ref="D45" si="23">D3-D19</f>
        <v>6.4000000000000057</v>
      </c>
      <c r="E45" s="61">
        <f t="shared" ref="E45:AE45" si="24">E3-E19</f>
        <v>5.1999999999999886</v>
      </c>
      <c r="F45" s="61">
        <f t="shared" si="24"/>
        <v>6.2666666666666657</v>
      </c>
      <c r="G45" s="61">
        <f t="shared" si="24"/>
        <v>7.3333333333333428</v>
      </c>
      <c r="H45" s="61">
        <f t="shared" si="24"/>
        <v>8.4000000000000199</v>
      </c>
      <c r="I45" s="61">
        <f t="shared" si="24"/>
        <v>9.466666666666697</v>
      </c>
      <c r="J45" s="61">
        <f t="shared" si="24"/>
        <v>10.533333333333388</v>
      </c>
      <c r="K45" s="61">
        <f t="shared" si="24"/>
        <v>11.600000000000023</v>
      </c>
      <c r="L45" s="61">
        <f t="shared" si="24"/>
        <v>26.125</v>
      </c>
      <c r="M45" s="61">
        <f t="shared" si="24"/>
        <v>40.649999999999977</v>
      </c>
      <c r="N45" s="61">
        <f t="shared" si="24"/>
        <v>55.174999999999955</v>
      </c>
      <c r="O45" s="61">
        <f t="shared" si="24"/>
        <v>69.699999999999932</v>
      </c>
      <c r="P45" s="61">
        <f t="shared" si="24"/>
        <v>209.75000000000011</v>
      </c>
      <c r="Q45" s="61">
        <f t="shared" si="24"/>
        <v>316.38333333333355</v>
      </c>
      <c r="R45" s="61">
        <f t="shared" si="24"/>
        <v>423.01666666666688</v>
      </c>
      <c r="S45" s="61">
        <f t="shared" si="24"/>
        <v>529.65000000000032</v>
      </c>
      <c r="T45" s="61">
        <f t="shared" si="24"/>
        <v>636.28333333333376</v>
      </c>
      <c r="U45" s="61">
        <f t="shared" si="24"/>
        <v>709.50000000000023</v>
      </c>
      <c r="V45" s="61">
        <f t="shared" si="24"/>
        <v>1117.8100000000004</v>
      </c>
      <c r="W45" s="61">
        <f t="shared" si="24"/>
        <v>1526.12</v>
      </c>
      <c r="X45" s="61">
        <f t="shared" si="24"/>
        <v>1934.4299999999994</v>
      </c>
      <c r="Y45" s="61">
        <f t="shared" si="24"/>
        <v>2342.7399999999989</v>
      </c>
      <c r="Z45" s="61">
        <f t="shared" si="24"/>
        <v>2178.5000000000009</v>
      </c>
      <c r="AA45" s="61">
        <f t="shared" si="24"/>
        <v>2657.4800000000009</v>
      </c>
      <c r="AB45" s="61">
        <f t="shared" si="24"/>
        <v>3136.4600000000009</v>
      </c>
      <c r="AC45" s="61">
        <f t="shared" si="24"/>
        <v>3615.440000000001</v>
      </c>
      <c r="AD45" s="61">
        <f t="shared" si="24"/>
        <v>4094.420000000001</v>
      </c>
      <c r="AE45" s="61">
        <f t="shared" si="24"/>
        <v>4573.3999999999987</v>
      </c>
      <c r="AF45" s="87"/>
    </row>
    <row r="46" spans="1:32" x14ac:dyDescent="0.35">
      <c r="A46" s="87" t="s">
        <v>30</v>
      </c>
      <c r="B46" s="9">
        <f>NPV('Cost Assumptions'!$B$3,'VS to VN to VST &amp; Cen BESS VS'!D46:'VS to VN to VST &amp; Cen BESS VS'!AE46)</f>
        <v>-54.568047943553999</v>
      </c>
      <c r="C46" s="87" t="s">
        <v>32</v>
      </c>
      <c r="D46" s="61">
        <f t="shared" ref="D46" si="25">D4-D20</f>
        <v>-2.1999999999999886</v>
      </c>
      <c r="E46" s="61">
        <f t="shared" ref="E46:AE46" si="26">E4-E20</f>
        <v>-5.1000000000000227</v>
      </c>
      <c r="F46" s="61">
        <f t="shared" si="26"/>
        <v>-5.0833333333333535</v>
      </c>
      <c r="G46" s="61">
        <f t="shared" si="26"/>
        <v>-5.0666666666666842</v>
      </c>
      <c r="H46" s="61">
        <f t="shared" si="26"/>
        <v>-5.0500000000000131</v>
      </c>
      <c r="I46" s="61">
        <f t="shared" si="26"/>
        <v>-5.0333333333333421</v>
      </c>
      <c r="J46" s="61">
        <f t="shared" si="26"/>
        <v>-5.0166666666666693</v>
      </c>
      <c r="K46" s="61">
        <f t="shared" si="26"/>
        <v>-5</v>
      </c>
      <c r="L46" s="61">
        <f t="shared" si="26"/>
        <v>-4.5</v>
      </c>
      <c r="M46" s="61">
        <f t="shared" si="26"/>
        <v>-4</v>
      </c>
      <c r="N46" s="61">
        <f t="shared" si="26"/>
        <v>-3.5</v>
      </c>
      <c r="O46" s="61">
        <f t="shared" si="26"/>
        <v>-3</v>
      </c>
      <c r="P46" s="61">
        <f t="shared" si="26"/>
        <v>-2.6000000000000014</v>
      </c>
      <c r="Q46" s="61">
        <f t="shared" si="26"/>
        <v>-5.1000000000000014</v>
      </c>
      <c r="R46" s="61">
        <f t="shared" si="26"/>
        <v>-7.6000000000000014</v>
      </c>
      <c r="S46" s="61">
        <f t="shared" si="26"/>
        <v>-10.100000000000001</v>
      </c>
      <c r="T46" s="61">
        <f t="shared" si="26"/>
        <v>-12.600000000000001</v>
      </c>
      <c r="U46" s="61">
        <f t="shared" si="26"/>
        <v>-18</v>
      </c>
      <c r="V46" s="61">
        <f t="shared" si="26"/>
        <v>-15.600000000000001</v>
      </c>
      <c r="W46" s="61">
        <f t="shared" si="26"/>
        <v>-13.200000000000003</v>
      </c>
      <c r="X46" s="61">
        <f t="shared" si="26"/>
        <v>-10.800000000000011</v>
      </c>
      <c r="Y46" s="61">
        <f t="shared" si="26"/>
        <v>-8.4000000000000199</v>
      </c>
      <c r="Z46" s="61">
        <f t="shared" si="26"/>
        <v>-6</v>
      </c>
      <c r="AA46" s="61">
        <f t="shared" si="26"/>
        <v>-8.1000000000000085</v>
      </c>
      <c r="AB46" s="61">
        <f t="shared" si="26"/>
        <v>-10.200000000000017</v>
      </c>
      <c r="AC46" s="61">
        <f t="shared" si="26"/>
        <v>-12.300000000000026</v>
      </c>
      <c r="AD46" s="61">
        <f t="shared" si="26"/>
        <v>-14.400000000000034</v>
      </c>
      <c r="AE46" s="61">
        <f t="shared" si="26"/>
        <v>-16.5</v>
      </c>
      <c r="AF46" s="87"/>
    </row>
    <row r="47" spans="1:32" x14ac:dyDescent="0.35">
      <c r="A47" s="87" t="s">
        <v>30</v>
      </c>
      <c r="B47" s="9">
        <f>NPV('Cost Assumptions'!$B$3,'VS to VN to VST &amp; Cen BESS VS'!D47:'VS to VN to VST &amp; Cen BESS VS'!AE47)</f>
        <v>635.01807900041479</v>
      </c>
      <c r="C47" s="87" t="s">
        <v>33</v>
      </c>
      <c r="D47" s="61">
        <f t="shared" ref="D47" si="27">D5-D21</f>
        <v>0.16101065957203564</v>
      </c>
      <c r="E47" s="61">
        <f t="shared" ref="E47:AE47" si="28">E5-E21</f>
        <v>0.29710227032067171</v>
      </c>
      <c r="F47" s="61">
        <f t="shared" si="28"/>
        <v>0.24475951391333728</v>
      </c>
      <c r="G47" s="61">
        <f t="shared" si="28"/>
        <v>0.19241675750600296</v>
      </c>
      <c r="H47" s="61">
        <f t="shared" si="28"/>
        <v>0.14007400109866852</v>
      </c>
      <c r="I47" s="61">
        <f t="shared" si="28"/>
        <v>8.7731244691334087E-2</v>
      </c>
      <c r="J47" s="61">
        <f t="shared" si="28"/>
        <v>3.5388488283999653E-2</v>
      </c>
      <c r="K47" s="61">
        <f t="shared" si="28"/>
        <v>-1.6954268123334337E-2</v>
      </c>
      <c r="L47" s="61">
        <f t="shared" si="28"/>
        <v>0.93827420470966061</v>
      </c>
      <c r="M47" s="61">
        <f t="shared" si="28"/>
        <v>1.8935026775426547</v>
      </c>
      <c r="N47" s="61">
        <f t="shared" si="28"/>
        <v>2.8487311503756523</v>
      </c>
      <c r="O47" s="61">
        <f t="shared" si="28"/>
        <v>3.8039596232086446</v>
      </c>
      <c r="P47" s="61">
        <f t="shared" si="28"/>
        <v>24.635954604503148</v>
      </c>
      <c r="Q47" s="61">
        <f t="shared" si="28"/>
        <v>36.172685008244912</v>
      </c>
      <c r="R47" s="61">
        <f t="shared" si="28"/>
        <v>47.709415411986669</v>
      </c>
      <c r="S47" s="61">
        <f t="shared" si="28"/>
        <v>59.246145815728426</v>
      </c>
      <c r="T47" s="61">
        <f t="shared" si="28"/>
        <v>70.782876219470197</v>
      </c>
      <c r="U47" s="61">
        <f t="shared" si="28"/>
        <v>73.024342045659225</v>
      </c>
      <c r="V47" s="61">
        <f t="shared" si="28"/>
        <v>141.00207090738888</v>
      </c>
      <c r="W47" s="61">
        <f t="shared" si="28"/>
        <v>208.97979976911853</v>
      </c>
      <c r="X47" s="61">
        <f t="shared" si="28"/>
        <v>276.95752863084817</v>
      </c>
      <c r="Y47" s="61">
        <f t="shared" si="28"/>
        <v>344.93525749257782</v>
      </c>
      <c r="Z47" s="61">
        <f t="shared" si="28"/>
        <v>412.91298635430752</v>
      </c>
      <c r="AA47" s="61">
        <f t="shared" si="28"/>
        <v>587.64669199598461</v>
      </c>
      <c r="AB47" s="61">
        <f t="shared" si="28"/>
        <v>762.38039763766176</v>
      </c>
      <c r="AC47" s="61">
        <f t="shared" si="28"/>
        <v>937.11410327933879</v>
      </c>
      <c r="AD47" s="61">
        <f t="shared" si="28"/>
        <v>1111.8478089210157</v>
      </c>
      <c r="AE47" s="61">
        <f t="shared" si="28"/>
        <v>1286.5815145626927</v>
      </c>
      <c r="AF47" s="87"/>
    </row>
    <row r="48" spans="1:32" x14ac:dyDescent="0.35">
      <c r="A48" s="87" t="s">
        <v>30</v>
      </c>
      <c r="B48" s="9">
        <f>NPV('Cost Assumptions'!$B$3,'VS to VN to VST &amp; Cen BESS VS'!D48:'VS to VN to VST &amp; Cen BESS VS'!AE48)</f>
        <v>2.6970479248830559</v>
      </c>
      <c r="C48" s="87" t="s">
        <v>34</v>
      </c>
      <c r="D48" s="61">
        <f t="shared" ref="D48" si="29">D6-D22</f>
        <v>3.4096640331972815E-3</v>
      </c>
      <c r="E48" s="61">
        <f t="shared" ref="E48:AE48" si="30">E6-E22</f>
        <v>-8.6516770503240747E-4</v>
      </c>
      <c r="F48" s="61">
        <f t="shared" si="30"/>
        <v>-2.3245368920208551E-3</v>
      </c>
      <c r="G48" s="61">
        <f t="shared" si="30"/>
        <v>-3.7839060790093026E-3</v>
      </c>
      <c r="H48" s="61">
        <f t="shared" si="30"/>
        <v>-5.2432752659977572E-3</v>
      </c>
      <c r="I48" s="61">
        <f t="shared" si="30"/>
        <v>-6.7026444529862117E-3</v>
      </c>
      <c r="J48" s="61">
        <f t="shared" si="30"/>
        <v>-8.1620136399746801E-3</v>
      </c>
      <c r="K48" s="61">
        <f t="shared" si="30"/>
        <v>-9.621382826963093E-3</v>
      </c>
      <c r="L48" s="61">
        <f t="shared" si="30"/>
        <v>-8.5350234774406175E-5</v>
      </c>
      <c r="M48" s="61">
        <f t="shared" si="30"/>
        <v>9.4506823574142529E-3</v>
      </c>
      <c r="N48" s="61">
        <f t="shared" si="30"/>
        <v>1.8986714949602912E-2</v>
      </c>
      <c r="O48" s="61">
        <f t="shared" si="30"/>
        <v>2.8522747541791516E-2</v>
      </c>
      <c r="P48" s="61">
        <f t="shared" si="30"/>
        <v>0.15101906250635333</v>
      </c>
      <c r="Q48" s="61">
        <f t="shared" si="30"/>
        <v>0.24208080660844222</v>
      </c>
      <c r="R48" s="61">
        <f t="shared" si="30"/>
        <v>0.333142550710531</v>
      </c>
      <c r="S48" s="61">
        <f t="shared" si="30"/>
        <v>0.4242042948126199</v>
      </c>
      <c r="T48" s="61">
        <f t="shared" si="30"/>
        <v>0.51526603891470879</v>
      </c>
      <c r="U48" s="61">
        <f t="shared" si="30"/>
        <v>0.57489321215432421</v>
      </c>
      <c r="V48" s="61">
        <f t="shared" si="30"/>
        <v>0.83739531597643002</v>
      </c>
      <c r="W48" s="61">
        <f t="shared" si="30"/>
        <v>1.0998974197985358</v>
      </c>
      <c r="X48" s="61">
        <f t="shared" si="30"/>
        <v>1.3623995236206414</v>
      </c>
      <c r="Y48" s="61">
        <f t="shared" si="30"/>
        <v>1.624901627442747</v>
      </c>
      <c r="Z48" s="61">
        <f t="shared" si="30"/>
        <v>1.8874037312648522</v>
      </c>
      <c r="AA48" s="61">
        <f t="shared" si="30"/>
        <v>2.3215741323861012</v>
      </c>
      <c r="AB48" s="61">
        <f t="shared" si="30"/>
        <v>2.7557445335073503</v>
      </c>
      <c r="AC48" s="61">
        <f t="shared" si="30"/>
        <v>3.1899149346285993</v>
      </c>
      <c r="AD48" s="61">
        <f t="shared" si="30"/>
        <v>3.6240853357498484</v>
      </c>
      <c r="AE48" s="61">
        <f t="shared" si="30"/>
        <v>4.0582557368711001</v>
      </c>
      <c r="AF48" s="87"/>
    </row>
    <row r="49" spans="1:31" x14ac:dyDescent="0.35">
      <c r="A49" s="87" t="s">
        <v>30</v>
      </c>
      <c r="B49" s="9">
        <f>NPV('Cost Assumptions'!$B$3,'VS to VN to VST &amp; Cen BESS VS'!D49:'VS to VN to VST &amp; Cen BESS VS'!AE49)</f>
        <v>387.01710858269144</v>
      </c>
      <c r="C49" s="87" t="s">
        <v>35</v>
      </c>
      <c r="D49" s="61">
        <f t="shared" ref="D49" si="31">D7-D23</f>
        <v>14</v>
      </c>
      <c r="E49" s="61">
        <f t="shared" ref="E49:AE49" si="32">E7-E23</f>
        <v>23</v>
      </c>
      <c r="F49" s="61">
        <f t="shared" si="32"/>
        <v>25.333333333333336</v>
      </c>
      <c r="G49" s="61">
        <f t="shared" si="32"/>
        <v>27.666666666666671</v>
      </c>
      <c r="H49" s="61">
        <f t="shared" si="32"/>
        <v>30.000000000000007</v>
      </c>
      <c r="I49" s="61">
        <f t="shared" si="32"/>
        <v>32.333333333333343</v>
      </c>
      <c r="J49" s="61">
        <f t="shared" si="32"/>
        <v>34.666666666666679</v>
      </c>
      <c r="K49" s="61">
        <f t="shared" si="32"/>
        <v>37</v>
      </c>
      <c r="L49" s="61">
        <f t="shared" si="32"/>
        <v>40</v>
      </c>
      <c r="M49" s="61">
        <f t="shared" si="32"/>
        <v>43</v>
      </c>
      <c r="N49" s="61">
        <f t="shared" si="32"/>
        <v>46</v>
      </c>
      <c r="O49" s="61">
        <f t="shared" si="32"/>
        <v>49</v>
      </c>
      <c r="P49" s="61">
        <f t="shared" si="32"/>
        <v>53.833333333333329</v>
      </c>
      <c r="Q49" s="61">
        <f t="shared" si="32"/>
        <v>56.666666666666657</v>
      </c>
      <c r="R49" s="61">
        <f t="shared" si="32"/>
        <v>59.499999999999986</v>
      </c>
      <c r="S49" s="61">
        <f t="shared" si="32"/>
        <v>62.333333333333314</v>
      </c>
      <c r="T49" s="61">
        <f t="shared" si="32"/>
        <v>65.166666666666657</v>
      </c>
      <c r="U49" s="61">
        <f t="shared" si="32"/>
        <v>66</v>
      </c>
      <c r="V49" s="61">
        <f t="shared" si="32"/>
        <v>70.800000000000011</v>
      </c>
      <c r="W49" s="61">
        <f t="shared" si="32"/>
        <v>75.600000000000023</v>
      </c>
      <c r="X49" s="61">
        <f t="shared" si="32"/>
        <v>80.400000000000034</v>
      </c>
      <c r="Y49" s="61">
        <f t="shared" si="32"/>
        <v>85.200000000000045</v>
      </c>
      <c r="Z49" s="61">
        <f t="shared" si="32"/>
        <v>90</v>
      </c>
      <c r="AA49" s="61">
        <f t="shared" si="32"/>
        <v>94</v>
      </c>
      <c r="AB49" s="61">
        <f t="shared" si="32"/>
        <v>98</v>
      </c>
      <c r="AC49" s="61">
        <f t="shared" si="32"/>
        <v>102</v>
      </c>
      <c r="AD49" s="61">
        <f t="shared" si="32"/>
        <v>106</v>
      </c>
      <c r="AE49" s="61">
        <f t="shared" si="32"/>
        <v>110</v>
      </c>
    </row>
    <row r="50" spans="1:31" s="60" customFormat="1" x14ac:dyDescent="0.35">
      <c r="A50" s="87" t="s">
        <v>30</v>
      </c>
      <c r="B50" s="9">
        <f>NPV('Cost Assumptions'!$B$3,'VS to VN to VST &amp; Cen BESS VS'!D50:'VS to VN to VST &amp; Cen BESS VS'!AE50)</f>
        <v>112489.21834804892</v>
      </c>
      <c r="C50" s="85" t="s">
        <v>140</v>
      </c>
      <c r="D50" s="61">
        <f t="shared" ref="D50:E52" si="33">D13-D24</f>
        <v>2088.0515373598791</v>
      </c>
      <c r="E50" s="61">
        <f t="shared" si="33"/>
        <v>3165.0847079878258</v>
      </c>
      <c r="F50" s="61">
        <f t="shared" ref="F50:AE50" si="34">F13-F24</f>
        <v>4242.1178786157725</v>
      </c>
      <c r="G50" s="61">
        <f t="shared" si="34"/>
        <v>5319.1510492437192</v>
      </c>
      <c r="H50" s="61">
        <f t="shared" si="34"/>
        <v>6396.1842198716658</v>
      </c>
      <c r="I50" s="61">
        <f t="shared" si="34"/>
        <v>7473.2173904996125</v>
      </c>
      <c r="J50" s="61">
        <f t="shared" si="34"/>
        <v>8550.2505611275592</v>
      </c>
      <c r="K50" s="61">
        <f t="shared" si="34"/>
        <v>9627.2837317555059</v>
      </c>
      <c r="L50" s="61">
        <f t="shared" si="34"/>
        <v>10704.316902383453</v>
      </c>
      <c r="M50" s="61">
        <f t="shared" si="34"/>
        <v>11781.350073011399</v>
      </c>
      <c r="N50" s="61">
        <f t="shared" si="34"/>
        <v>12858.383243639346</v>
      </c>
      <c r="O50" s="61">
        <f t="shared" si="34"/>
        <v>13935.416414267293</v>
      </c>
      <c r="P50" s="61">
        <f t="shared" si="34"/>
        <v>15012.449584895239</v>
      </c>
      <c r="Q50" s="61">
        <f t="shared" si="34"/>
        <v>16089.482755523186</v>
      </c>
      <c r="R50" s="61">
        <f t="shared" si="34"/>
        <v>17166.515926151136</v>
      </c>
      <c r="S50" s="61">
        <f t="shared" si="34"/>
        <v>19660.744296230667</v>
      </c>
      <c r="T50" s="61">
        <f t="shared" si="34"/>
        <v>22154.972666310212</v>
      </c>
      <c r="U50" s="61">
        <f t="shared" si="34"/>
        <v>24649.201036389743</v>
      </c>
      <c r="V50" s="61">
        <f t="shared" si="34"/>
        <v>27143.429406469288</v>
      </c>
      <c r="W50" s="61">
        <f t="shared" si="34"/>
        <v>29637.657776548818</v>
      </c>
      <c r="X50" s="61">
        <f t="shared" si="34"/>
        <v>32131.886146628356</v>
      </c>
      <c r="Y50" s="61">
        <f t="shared" si="34"/>
        <v>34626.114516707894</v>
      </c>
      <c r="Z50" s="61">
        <f t="shared" si="34"/>
        <v>37120.342886787432</v>
      </c>
      <c r="AA50" s="61">
        <f t="shared" si="34"/>
        <v>39614.57125686697</v>
      </c>
      <c r="AB50" s="61">
        <f t="shared" si="34"/>
        <v>42108.799626946507</v>
      </c>
      <c r="AC50" s="61">
        <f t="shared" si="34"/>
        <v>44603.027997026045</v>
      </c>
      <c r="AD50" s="61">
        <f t="shared" si="34"/>
        <v>47097.256367105583</v>
      </c>
      <c r="AE50" s="61">
        <f t="shared" si="34"/>
        <v>49591.484737185106</v>
      </c>
    </row>
    <row r="51" spans="1:31" s="60" customFormat="1" x14ac:dyDescent="0.35">
      <c r="A51" s="87" t="s">
        <v>30</v>
      </c>
      <c r="B51" s="9">
        <f>NPV('Cost Assumptions'!$B$3,'VS to VN to VST &amp; Cen BESS VS'!D51:'VS to VN to VST &amp; Cen BESS VS'!AE51)</f>
        <v>0</v>
      </c>
      <c r="C51" s="85" t="s">
        <v>141</v>
      </c>
      <c r="D51" s="61">
        <f t="shared" si="33"/>
        <v>0</v>
      </c>
      <c r="E51" s="61">
        <f t="shared" si="33"/>
        <v>0</v>
      </c>
      <c r="F51" s="61">
        <f t="shared" ref="F51:AE51" si="35">F14-F25</f>
        <v>0</v>
      </c>
      <c r="G51" s="61">
        <f t="shared" si="35"/>
        <v>0</v>
      </c>
      <c r="H51" s="61">
        <f t="shared" si="35"/>
        <v>0</v>
      </c>
      <c r="I51" s="61">
        <f t="shared" si="35"/>
        <v>0</v>
      </c>
      <c r="J51" s="61">
        <f t="shared" si="35"/>
        <v>0</v>
      </c>
      <c r="K51" s="61">
        <f t="shared" si="35"/>
        <v>0</v>
      </c>
      <c r="L51" s="61">
        <f t="shared" si="35"/>
        <v>0</v>
      </c>
      <c r="M51" s="61">
        <f t="shared" si="35"/>
        <v>0</v>
      </c>
      <c r="N51" s="61">
        <f t="shared" si="35"/>
        <v>0</v>
      </c>
      <c r="O51" s="61">
        <f t="shared" si="35"/>
        <v>0</v>
      </c>
      <c r="P51" s="61">
        <f t="shared" si="35"/>
        <v>0</v>
      </c>
      <c r="Q51" s="61">
        <f t="shared" si="35"/>
        <v>0</v>
      </c>
      <c r="R51" s="61">
        <f t="shared" si="35"/>
        <v>0</v>
      </c>
      <c r="S51" s="61">
        <f t="shared" si="35"/>
        <v>0</v>
      </c>
      <c r="T51" s="61">
        <f t="shared" si="35"/>
        <v>0</v>
      </c>
      <c r="U51" s="61">
        <f t="shared" si="35"/>
        <v>0</v>
      </c>
      <c r="V51" s="61">
        <f t="shared" si="35"/>
        <v>0</v>
      </c>
      <c r="W51" s="61">
        <f t="shared" si="35"/>
        <v>0</v>
      </c>
      <c r="X51" s="61">
        <f t="shared" si="35"/>
        <v>0</v>
      </c>
      <c r="Y51" s="61">
        <f t="shared" si="35"/>
        <v>0</v>
      </c>
      <c r="Z51" s="61">
        <f t="shared" si="35"/>
        <v>0</v>
      </c>
      <c r="AA51" s="61">
        <f t="shared" si="35"/>
        <v>0</v>
      </c>
      <c r="AB51" s="61">
        <f t="shared" si="35"/>
        <v>0</v>
      </c>
      <c r="AC51" s="61">
        <f t="shared" si="35"/>
        <v>0</v>
      </c>
      <c r="AD51" s="61">
        <f t="shared" si="35"/>
        <v>0</v>
      </c>
      <c r="AE51" s="61">
        <f t="shared" si="35"/>
        <v>0</v>
      </c>
    </row>
    <row r="52" spans="1:31" s="80" customFormat="1" x14ac:dyDescent="0.35">
      <c r="A52" s="87" t="s">
        <v>30</v>
      </c>
      <c r="B52" s="9">
        <f>NPV('Cost Assumptions'!$B$3,'VS to VN to VST &amp; Cen BESS VS'!D52:'VS to VN to VST &amp; Cen BESS VS'!AE52)</f>
        <v>625479.5609838292</v>
      </c>
      <c r="C52" s="85" t="s">
        <v>142</v>
      </c>
      <c r="D52" s="61">
        <f t="shared" si="33"/>
        <v>43849.644101295453</v>
      </c>
      <c r="E52" s="61">
        <f t="shared" si="33"/>
        <v>47666.191216959465</v>
      </c>
      <c r="F52" s="61">
        <f t="shared" ref="F52:AE52" si="36">F15-F26</f>
        <v>51623.047330972418</v>
      </c>
      <c r="G52" s="61">
        <f t="shared" si="36"/>
        <v>54016.982557012248</v>
      </c>
      <c r="H52" s="61">
        <f t="shared" si="36"/>
        <v>56464.471123255622</v>
      </c>
      <c r="I52" s="61">
        <f t="shared" si="36"/>
        <v>58848.308518997277</v>
      </c>
      <c r="J52" s="61">
        <f t="shared" si="36"/>
        <v>61506.880850817244</v>
      </c>
      <c r="K52" s="61">
        <f t="shared" si="36"/>
        <v>64212.311152410475</v>
      </c>
      <c r="L52" s="61">
        <f t="shared" si="36"/>
        <v>66996.404432384094</v>
      </c>
      <c r="M52" s="61">
        <f t="shared" si="36"/>
        <v>69825.280426255733</v>
      </c>
      <c r="N52" s="61">
        <f t="shared" si="36"/>
        <v>72773.518005164369</v>
      </c>
      <c r="O52" s="61">
        <f t="shared" si="36"/>
        <v>75714.333022317209</v>
      </c>
      <c r="P52" s="61">
        <f t="shared" si="36"/>
        <v>78717.374136003491</v>
      </c>
      <c r="Q52" s="61">
        <f t="shared" si="36"/>
        <v>81702.717287077568</v>
      </c>
      <c r="R52" s="61">
        <f t="shared" si="36"/>
        <v>84628.656557176175</v>
      </c>
      <c r="S52" s="61">
        <f t="shared" si="36"/>
        <v>87572.125320247287</v>
      </c>
      <c r="T52" s="61">
        <f t="shared" si="36"/>
        <v>90542.941621017875</v>
      </c>
      <c r="U52" s="61">
        <f t="shared" si="36"/>
        <v>93513.384412501167</v>
      </c>
      <c r="V52" s="61">
        <f t="shared" si="36"/>
        <v>96262.835372085596</v>
      </c>
      <c r="W52" s="61">
        <f t="shared" si="36"/>
        <v>99037.282527116578</v>
      </c>
      <c r="X52" s="61">
        <f t="shared" si="36"/>
        <v>101828.94049500194</v>
      </c>
      <c r="Y52" s="61">
        <f t="shared" si="36"/>
        <v>104676.61397808696</v>
      </c>
      <c r="Z52" s="61">
        <f t="shared" si="36"/>
        <v>107213.11870562422</v>
      </c>
      <c r="AA52" s="61">
        <f t="shared" si="36"/>
        <v>109729.18807011581</v>
      </c>
      <c r="AB52" s="61">
        <f t="shared" si="36"/>
        <v>112291.24739482973</v>
      </c>
      <c r="AC52" s="61">
        <f t="shared" si="36"/>
        <v>114921.19579819695</v>
      </c>
      <c r="AD52" s="61">
        <f t="shared" si="36"/>
        <v>117146.06917588247</v>
      </c>
      <c r="AE52" s="61">
        <f t="shared" si="36"/>
        <v>119382.04502315809</v>
      </c>
    </row>
    <row r="53" spans="1:31" x14ac:dyDescent="0.35">
      <c r="A53" s="87" t="s">
        <v>39</v>
      </c>
      <c r="B53" s="9">
        <f>NPV('Cost Assumptions'!$B$3,'VS to VN to VST &amp; Cen BESS VS'!D53:'VS to VN to VST &amp; Cen BESS VS'!AE53)</f>
        <v>16790.581759978526</v>
      </c>
      <c r="C53" s="87" t="s">
        <v>31</v>
      </c>
      <c r="D53" s="61">
        <f>D8-SUM(D28,D27)</f>
        <v>49.800000000000182</v>
      </c>
      <c r="E53" s="61">
        <f>E8-SUM(E28,E27)</f>
        <v>129.00000000000023</v>
      </c>
      <c r="F53" s="61">
        <f t="shared" ref="F53:AE53" si="37">F8-SUM(F28,F27)</f>
        <v>258.75000000000023</v>
      </c>
      <c r="G53" s="61">
        <f t="shared" si="37"/>
        <v>388.50000000000023</v>
      </c>
      <c r="H53" s="61">
        <f t="shared" si="37"/>
        <v>518.25000000000023</v>
      </c>
      <c r="I53" s="61">
        <f t="shared" si="37"/>
        <v>648.00000000000023</v>
      </c>
      <c r="J53" s="61">
        <f t="shared" si="37"/>
        <v>777.75000000000023</v>
      </c>
      <c r="K53" s="61">
        <f t="shared" si="37"/>
        <v>907.5</v>
      </c>
      <c r="L53" s="61">
        <f t="shared" si="37"/>
        <v>1246.7</v>
      </c>
      <c r="M53" s="61">
        <f t="shared" si="37"/>
        <v>1585.9</v>
      </c>
      <c r="N53" s="61">
        <f t="shared" si="37"/>
        <v>1925.1000000000001</v>
      </c>
      <c r="O53" s="61">
        <f t="shared" si="37"/>
        <v>2264.3000000000002</v>
      </c>
      <c r="P53" s="61">
        <f t="shared" si="37"/>
        <v>2843.6833333333334</v>
      </c>
      <c r="Q53" s="61">
        <f t="shared" si="37"/>
        <v>3406.6666666666665</v>
      </c>
      <c r="R53" s="61">
        <f t="shared" si="37"/>
        <v>3821.1499999999996</v>
      </c>
      <c r="S53" s="61">
        <f t="shared" si="37"/>
        <v>4235.6333333333332</v>
      </c>
      <c r="T53" s="61">
        <f t="shared" si="37"/>
        <v>4650.1166666666659</v>
      </c>
      <c r="U53" s="61">
        <f t="shared" si="37"/>
        <v>5064.5999999999995</v>
      </c>
      <c r="V53" s="61">
        <f t="shared" si="37"/>
        <v>5346.079999999999</v>
      </c>
      <c r="W53" s="61">
        <f t="shared" si="37"/>
        <v>5627.5599999999986</v>
      </c>
      <c r="X53" s="61">
        <f t="shared" si="37"/>
        <v>5909.0399999999991</v>
      </c>
      <c r="Y53" s="61">
        <f t="shared" si="37"/>
        <v>6190.5199999999986</v>
      </c>
      <c r="Z53" s="61">
        <f t="shared" si="37"/>
        <v>6471.9999999999982</v>
      </c>
      <c r="AA53" s="61">
        <f t="shared" si="37"/>
        <v>6482.08</v>
      </c>
      <c r="AB53" s="61">
        <f t="shared" si="37"/>
        <v>6492.1600000000008</v>
      </c>
      <c r="AC53" s="61">
        <f t="shared" si="37"/>
        <v>6502.2400000000016</v>
      </c>
      <c r="AD53" s="61">
        <f t="shared" si="37"/>
        <v>6512.3200000000024</v>
      </c>
      <c r="AE53" s="61">
        <f t="shared" si="37"/>
        <v>6522.4000000000033</v>
      </c>
    </row>
    <row r="54" spans="1:31" x14ac:dyDescent="0.35">
      <c r="A54" s="87" t="s">
        <v>39</v>
      </c>
      <c r="B54" s="9">
        <f>NPV('Cost Assumptions'!$B$3,'VS to VN to VST &amp; Cen BESS VS'!D54:'VS to VN to VST &amp; Cen BESS VS'!AE54)</f>
        <v>1114.1124239695716</v>
      </c>
      <c r="C54" s="87" t="s">
        <v>32</v>
      </c>
      <c r="D54" s="61">
        <f t="shared" ref="D54" si="38">D9-D29</f>
        <v>22.400000000000091</v>
      </c>
      <c r="E54" s="61">
        <f t="shared" ref="E54:AE54" si="39">E9-E29</f>
        <v>42.200000000000045</v>
      </c>
      <c r="F54" s="61">
        <f t="shared" si="39"/>
        <v>57.06666666666672</v>
      </c>
      <c r="G54" s="61">
        <f t="shared" si="39"/>
        <v>71.933333333333394</v>
      </c>
      <c r="H54" s="61">
        <f t="shared" si="39"/>
        <v>86.800000000000068</v>
      </c>
      <c r="I54" s="61">
        <f t="shared" si="39"/>
        <v>101.66666666666674</v>
      </c>
      <c r="J54" s="61">
        <f t="shared" si="39"/>
        <v>116.53333333333342</v>
      </c>
      <c r="K54" s="61">
        <f t="shared" si="39"/>
        <v>131.40000000000009</v>
      </c>
      <c r="L54" s="61">
        <f t="shared" si="39"/>
        <v>146.05000000000007</v>
      </c>
      <c r="M54" s="61">
        <f t="shared" si="39"/>
        <v>160.70000000000005</v>
      </c>
      <c r="N54" s="61">
        <f t="shared" si="39"/>
        <v>175.35000000000002</v>
      </c>
      <c r="O54" s="61">
        <f t="shared" si="39"/>
        <v>190</v>
      </c>
      <c r="P54" s="61">
        <f t="shared" si="39"/>
        <v>205</v>
      </c>
      <c r="Q54" s="61">
        <f t="shared" si="39"/>
        <v>203.59999999999991</v>
      </c>
      <c r="R54" s="61">
        <f t="shared" si="39"/>
        <v>202.39999999999992</v>
      </c>
      <c r="S54" s="61">
        <f t="shared" si="39"/>
        <v>201.19999999999996</v>
      </c>
      <c r="T54" s="61">
        <f t="shared" si="39"/>
        <v>200</v>
      </c>
      <c r="U54" s="61">
        <f t="shared" si="39"/>
        <v>198.8</v>
      </c>
      <c r="V54" s="61">
        <f t="shared" si="39"/>
        <v>196.4</v>
      </c>
      <c r="W54" s="61">
        <f t="shared" si="39"/>
        <v>194</v>
      </c>
      <c r="X54" s="61">
        <f t="shared" si="39"/>
        <v>191.60000000000002</v>
      </c>
      <c r="Y54" s="61">
        <f t="shared" si="39"/>
        <v>189.20000000000005</v>
      </c>
      <c r="Z54" s="61">
        <f t="shared" si="39"/>
        <v>186.8000000000001</v>
      </c>
      <c r="AA54" s="61">
        <f t="shared" si="39"/>
        <v>185.12000000000003</v>
      </c>
      <c r="AB54" s="61">
        <f t="shared" si="39"/>
        <v>183.43999999999997</v>
      </c>
      <c r="AC54" s="61">
        <f t="shared" si="39"/>
        <v>181.75999999999991</v>
      </c>
      <c r="AD54" s="61">
        <f t="shared" si="39"/>
        <v>180.07999999999984</v>
      </c>
      <c r="AE54" s="61">
        <f t="shared" si="39"/>
        <v>178.39999999999992</v>
      </c>
    </row>
    <row r="55" spans="1:31" x14ac:dyDescent="0.35">
      <c r="A55" s="87" t="s">
        <v>39</v>
      </c>
      <c r="B55" s="9">
        <f>NPV('Cost Assumptions'!$B$3,'VS to VN to VST &amp; Cen BESS VS'!D55:'VS to VN to VST &amp; Cen BESS VS'!AE55)</f>
        <v>1469.8766828997009</v>
      </c>
      <c r="C55" s="87" t="s">
        <v>33</v>
      </c>
      <c r="D55" s="61">
        <f t="shared" ref="D55" si="40">D10-D30</f>
        <v>0.21200232326290805</v>
      </c>
      <c r="E55" s="61">
        <f t="shared" ref="E55:AE55" si="41">E10-E30</f>
        <v>0.68645330574586072</v>
      </c>
      <c r="F55" s="61">
        <f t="shared" si="41"/>
        <v>3.6304865724427344</v>
      </c>
      <c r="G55" s="61">
        <f t="shared" si="41"/>
        <v>6.574519839139608</v>
      </c>
      <c r="H55" s="61">
        <f t="shared" si="41"/>
        <v>9.5185531058364816</v>
      </c>
      <c r="I55" s="61">
        <f t="shared" si="41"/>
        <v>12.462586372533355</v>
      </c>
      <c r="J55" s="61">
        <f t="shared" si="41"/>
        <v>15.406619639230229</v>
      </c>
      <c r="K55" s="61">
        <f t="shared" si="41"/>
        <v>18.350652905927102</v>
      </c>
      <c r="L55" s="61">
        <f t="shared" si="41"/>
        <v>36.053857953636381</v>
      </c>
      <c r="M55" s="61">
        <f t="shared" si="41"/>
        <v>53.757063001345664</v>
      </c>
      <c r="N55" s="61">
        <f t="shared" si="41"/>
        <v>71.460268049054946</v>
      </c>
      <c r="O55" s="61">
        <f t="shared" si="41"/>
        <v>89.163473096764235</v>
      </c>
      <c r="P55" s="61">
        <f t="shared" si="41"/>
        <v>144.562613999387</v>
      </c>
      <c r="Q55" s="61">
        <f t="shared" si="41"/>
        <v>199.94750047596003</v>
      </c>
      <c r="R55" s="61">
        <f t="shared" si="41"/>
        <v>252.85307290943595</v>
      </c>
      <c r="S55" s="61">
        <f t="shared" si="41"/>
        <v>305.7586453429119</v>
      </c>
      <c r="T55" s="61">
        <f t="shared" si="41"/>
        <v>358.66421777638789</v>
      </c>
      <c r="U55" s="61">
        <f t="shared" si="41"/>
        <v>411.5697902098637</v>
      </c>
      <c r="V55" s="61">
        <f t="shared" si="41"/>
        <v>509.48887961008057</v>
      </c>
      <c r="W55" s="61">
        <f t="shared" si="41"/>
        <v>607.40796901029739</v>
      </c>
      <c r="X55" s="61">
        <f t="shared" si="41"/>
        <v>705.32705841051427</v>
      </c>
      <c r="Y55" s="61">
        <f t="shared" si="41"/>
        <v>803.24614781073115</v>
      </c>
      <c r="Z55" s="61">
        <f t="shared" si="41"/>
        <v>901.16523721094802</v>
      </c>
      <c r="AA55" s="61">
        <f t="shared" si="41"/>
        <v>1007.6686819255465</v>
      </c>
      <c r="AB55" s="61">
        <f t="shared" si="41"/>
        <v>1114.1721266401448</v>
      </c>
      <c r="AC55" s="61">
        <f t="shared" si="41"/>
        <v>1220.6755713547432</v>
      </c>
      <c r="AD55" s="61">
        <f t="shared" si="41"/>
        <v>1327.1790160693417</v>
      </c>
      <c r="AE55" s="61">
        <f t="shared" si="41"/>
        <v>1433.6824607839399</v>
      </c>
    </row>
    <row r="56" spans="1:31" x14ac:dyDescent="0.35">
      <c r="A56" s="87" t="s">
        <v>39</v>
      </c>
      <c r="B56" s="9">
        <f>NPV('Cost Assumptions'!$B$3,'VS to VN to VST &amp; Cen BESS VS'!D56:'VS to VN to VST &amp; Cen BESS VS'!AE56)</f>
        <v>18.623225368176019</v>
      </c>
      <c r="C56" s="87" t="s">
        <v>34</v>
      </c>
      <c r="D56" s="61">
        <f t="shared" ref="D56" si="42">D11-D31</f>
        <v>5.3000580815727012E-2</v>
      </c>
      <c r="E56" s="61">
        <f t="shared" ref="E56:AE56" si="43">E11-E31</f>
        <v>0.13729066114917213</v>
      </c>
      <c r="F56" s="61">
        <f t="shared" si="43"/>
        <v>0.27537952381665309</v>
      </c>
      <c r="G56" s="61">
        <f t="shared" si="43"/>
        <v>0.41346838648413409</v>
      </c>
      <c r="H56" s="61">
        <f t="shared" si="43"/>
        <v>0.55155724915161508</v>
      </c>
      <c r="I56" s="61">
        <f t="shared" si="43"/>
        <v>0.68964611181909607</v>
      </c>
      <c r="J56" s="61">
        <f t="shared" si="43"/>
        <v>0.82773497448657707</v>
      </c>
      <c r="K56" s="61">
        <f t="shared" si="43"/>
        <v>0.96582383715405795</v>
      </c>
      <c r="L56" s="61">
        <f t="shared" si="43"/>
        <v>1.3268237771680045</v>
      </c>
      <c r="M56" s="61">
        <f t="shared" si="43"/>
        <v>1.687823717181951</v>
      </c>
      <c r="N56" s="61">
        <f t="shared" si="43"/>
        <v>2.0488236571958973</v>
      </c>
      <c r="O56" s="61">
        <f t="shared" si="43"/>
        <v>2.4098235972098441</v>
      </c>
      <c r="P56" s="61">
        <f t="shared" si="43"/>
        <v>3.0264431390094124</v>
      </c>
      <c r="Q56" s="61">
        <f t="shared" si="43"/>
        <v>3.628808254759273</v>
      </c>
      <c r="R56" s="61">
        <f t="shared" si="43"/>
        <v>4.1021012809736659</v>
      </c>
      <c r="S56" s="61">
        <f t="shared" si="43"/>
        <v>4.5753943071880583</v>
      </c>
      <c r="T56" s="61">
        <f t="shared" si="43"/>
        <v>5.0486873334024516</v>
      </c>
      <c r="U56" s="61">
        <f t="shared" si="43"/>
        <v>5.521980359616844</v>
      </c>
      <c r="V56" s="61">
        <f t="shared" si="43"/>
        <v>5.9284479096757252</v>
      </c>
      <c r="W56" s="61">
        <f t="shared" si="43"/>
        <v>6.3349154597346082</v>
      </c>
      <c r="X56" s="61">
        <f t="shared" si="43"/>
        <v>6.7413830097934895</v>
      </c>
      <c r="Y56" s="61">
        <f t="shared" si="43"/>
        <v>7.1478505598523707</v>
      </c>
      <c r="Z56" s="61">
        <f t="shared" si="43"/>
        <v>7.5543181099112537</v>
      </c>
      <c r="AA56" s="61">
        <f t="shared" si="43"/>
        <v>7.6568696157937071</v>
      </c>
      <c r="AB56" s="61">
        <f t="shared" si="43"/>
        <v>7.7594211216761604</v>
      </c>
      <c r="AC56" s="61">
        <f t="shared" si="43"/>
        <v>7.8619726275586137</v>
      </c>
      <c r="AD56" s="61">
        <f t="shared" si="43"/>
        <v>7.964524133441067</v>
      </c>
      <c r="AE56" s="61">
        <f t="shared" si="43"/>
        <v>8.0670756393235212</v>
      </c>
    </row>
    <row r="57" spans="1:31" x14ac:dyDescent="0.35">
      <c r="A57" s="87" t="s">
        <v>39</v>
      </c>
      <c r="B57" s="9">
        <f>NPV('Cost Assumptions'!$B$3,'VS to VN to VST &amp; Cen BESS VS'!D57:'VS to VN to VST &amp; Cen BESS VS'!AE57)</f>
        <v>212.76199377212632</v>
      </c>
      <c r="C57" s="87" t="s">
        <v>35</v>
      </c>
      <c r="D57" s="61">
        <f t="shared" ref="D57" si="44">D12-D32</f>
        <v>4</v>
      </c>
      <c r="E57" s="61">
        <f t="shared" ref="E57:AE57" si="45">E12-E32</f>
        <v>5</v>
      </c>
      <c r="F57" s="61">
        <f t="shared" si="45"/>
        <v>7.3333333333333339</v>
      </c>
      <c r="G57" s="61">
        <f t="shared" si="45"/>
        <v>9.6666666666666679</v>
      </c>
      <c r="H57" s="61">
        <f t="shared" si="45"/>
        <v>12.000000000000002</v>
      </c>
      <c r="I57" s="61">
        <f t="shared" si="45"/>
        <v>14.333333333333336</v>
      </c>
      <c r="J57" s="61">
        <f t="shared" si="45"/>
        <v>16.666666666666668</v>
      </c>
      <c r="K57" s="61">
        <f t="shared" si="45"/>
        <v>19</v>
      </c>
      <c r="L57" s="61">
        <f t="shared" si="45"/>
        <v>23.5</v>
      </c>
      <c r="M57" s="61">
        <f t="shared" si="45"/>
        <v>28</v>
      </c>
      <c r="N57" s="61">
        <f t="shared" si="45"/>
        <v>32.5</v>
      </c>
      <c r="O57" s="61">
        <f t="shared" si="45"/>
        <v>37</v>
      </c>
      <c r="P57" s="61">
        <f t="shared" si="45"/>
        <v>42.333333333333336</v>
      </c>
      <c r="Q57" s="61">
        <f t="shared" si="45"/>
        <v>46.666666666666671</v>
      </c>
      <c r="R57" s="61">
        <f t="shared" si="45"/>
        <v>48.000000000000007</v>
      </c>
      <c r="S57" s="61">
        <f t="shared" si="45"/>
        <v>49.333333333333343</v>
      </c>
      <c r="T57" s="61">
        <f t="shared" si="45"/>
        <v>50.666666666666679</v>
      </c>
      <c r="U57" s="61">
        <f t="shared" si="45"/>
        <v>52</v>
      </c>
      <c r="V57" s="61">
        <f t="shared" si="45"/>
        <v>50.399999999999991</v>
      </c>
      <c r="W57" s="61">
        <f t="shared" si="45"/>
        <v>48.79999999999999</v>
      </c>
      <c r="X57" s="61">
        <f t="shared" si="45"/>
        <v>47.199999999999989</v>
      </c>
      <c r="Y57" s="61">
        <f t="shared" si="45"/>
        <v>45.59999999999998</v>
      </c>
      <c r="Z57" s="61">
        <f t="shared" si="45"/>
        <v>44</v>
      </c>
      <c r="AA57" s="61">
        <f t="shared" si="45"/>
        <v>43</v>
      </c>
      <c r="AB57" s="61">
        <f t="shared" si="45"/>
        <v>42</v>
      </c>
      <c r="AC57" s="61">
        <f t="shared" si="45"/>
        <v>41</v>
      </c>
      <c r="AD57" s="61">
        <f t="shared" si="45"/>
        <v>40</v>
      </c>
      <c r="AE57" s="61">
        <f t="shared" si="45"/>
        <v>39</v>
      </c>
    </row>
    <row r="59" spans="1:31" ht="15" thickBot="1" x14ac:dyDescent="0.4">
      <c r="A59" s="164" t="s">
        <v>143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.5" thickTop="1" thickBot="1" x14ac:dyDescent="0.4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</row>
    <row r="61" spans="1:31" ht="15" thickTop="1" x14ac:dyDescent="0.35">
      <c r="A61" s="87" t="str">
        <f>'Baseline System Analysis'!A17</f>
        <v>Residential</v>
      </c>
      <c r="B61" s="87" t="str">
        <f>'Baseline System Analysis'!B17</f>
        <v>Cost of Reliability (N-1)</v>
      </c>
      <c r="C61" s="87" t="str">
        <f>'Baseline System Analysis'!C17</f>
        <v>$/kWh</v>
      </c>
      <c r="D61" s="5">
        <f>'Baseline System Analysis'!D17</f>
        <v>4.3837328124999999</v>
      </c>
      <c r="E61" s="5">
        <f>'Baseline System Analysis'!E17</f>
        <v>4.4933261328124994</v>
      </c>
      <c r="F61" s="5">
        <f>'Baseline System Analysis'!F17</f>
        <v>4.6056592861328118</v>
      </c>
      <c r="G61" s="5">
        <f>'Baseline System Analysis'!G17</f>
        <v>4.7208007682861322</v>
      </c>
      <c r="H61" s="5">
        <f>'Baseline System Analysis'!H17</f>
        <v>4.8388207874932849</v>
      </c>
      <c r="I61" s="5">
        <f>'Baseline System Analysis'!I17</f>
        <v>4.959791307180617</v>
      </c>
      <c r="J61" s="5">
        <f>'Baseline System Analysis'!J17</f>
        <v>5.0837860898601317</v>
      </c>
      <c r="K61" s="5">
        <f>'Baseline System Analysis'!K17</f>
        <v>5.2108807421066343</v>
      </c>
      <c r="L61" s="5">
        <f>'Baseline System Analysis'!L17</f>
        <v>5.3411527606593001</v>
      </c>
      <c r="M61" s="5">
        <f>'Baseline System Analysis'!M17</f>
        <v>5.4746815796757824</v>
      </c>
      <c r="N61" s="5">
        <f>'Baseline System Analysis'!N17</f>
        <v>5.6115486191676762</v>
      </c>
      <c r="O61" s="5">
        <f>'Baseline System Analysis'!O17</f>
        <v>5.7518373346468676</v>
      </c>
      <c r="P61" s="5">
        <f>'Baseline System Analysis'!P17</f>
        <v>5.8956332680130386</v>
      </c>
      <c r="Q61" s="5">
        <f>'Baseline System Analysis'!Q17</f>
        <v>6.0430240997133637</v>
      </c>
      <c r="R61" s="5">
        <f>'Baseline System Analysis'!R17</f>
        <v>6.1940997022061977</v>
      </c>
      <c r="S61" s="5">
        <f>'Baseline System Analysis'!S17</f>
        <v>6.3489521947613516</v>
      </c>
      <c r="T61" s="5">
        <f>'Baseline System Analysis'!T17</f>
        <v>6.5076759996303846</v>
      </c>
      <c r="U61" s="5">
        <f>'Baseline System Analysis'!U17</f>
        <v>6.6703678996211435</v>
      </c>
      <c r="V61" s="5">
        <f>'Baseline System Analysis'!V17</f>
        <v>6.8371270971116713</v>
      </c>
      <c r="W61" s="5">
        <f>'Baseline System Analysis'!W17</f>
        <v>7.0080552745394629</v>
      </c>
      <c r="X61" s="5">
        <f>'Baseline System Analysis'!X17</f>
        <v>7.183256656402949</v>
      </c>
      <c r="Y61" s="5">
        <f>'Baseline System Analysis'!Y17</f>
        <v>7.3628380728130223</v>
      </c>
      <c r="Z61" s="5">
        <f>'Baseline System Analysis'!Z17</f>
        <v>7.5469090246333472</v>
      </c>
      <c r="AA61" s="5">
        <f>'Baseline System Analysis'!AA17</f>
        <v>7.7355817502491799</v>
      </c>
      <c r="AB61" s="5">
        <f>'Baseline System Analysis'!AB17</f>
        <v>7.9289712940054091</v>
      </c>
      <c r="AC61" s="5">
        <f>'Baseline System Analysis'!AC17</f>
        <v>8.1271955763555432</v>
      </c>
      <c r="AD61" s="5">
        <f>'Baseline System Analysis'!AD17</f>
        <v>8.3303754657644316</v>
      </c>
      <c r="AE61" s="5">
        <f>'Baseline System Analysis'!AE17</f>
        <v>8.538634852408542</v>
      </c>
    </row>
    <row r="62" spans="1:31" x14ac:dyDescent="0.35">
      <c r="A62" s="87" t="str">
        <f>'Baseline System Analysis'!A18</f>
        <v>Residential</v>
      </c>
      <c r="B62" s="87" t="str">
        <f>'Baseline System Analysis'!B18</f>
        <v>Cost of Reliability (N-0)</v>
      </c>
      <c r="C62" s="87" t="str">
        <f>'Baseline System Analysis'!C18</f>
        <v>$/kWh</v>
      </c>
      <c r="D62" s="5">
        <f>'Baseline System Analysis'!D18</f>
        <v>3.6995132812499993</v>
      </c>
      <c r="E62" s="5">
        <f>'Baseline System Analysis'!E18</f>
        <v>3.7920011132812488</v>
      </c>
      <c r="F62" s="5">
        <f>'Baseline System Analysis'!F18</f>
        <v>3.8868011411132795</v>
      </c>
      <c r="G62" s="5">
        <f>'Baseline System Analysis'!G18</f>
        <v>3.9839711696411113</v>
      </c>
      <c r="H62" s="5">
        <f>'Baseline System Analysis'!H18</f>
        <v>4.0835704488821385</v>
      </c>
      <c r="I62" s="5">
        <f>'Baseline System Analysis'!I18</f>
        <v>4.1856597101041917</v>
      </c>
      <c r="J62" s="5">
        <f>'Baseline System Analysis'!J18</f>
        <v>4.2903012028567957</v>
      </c>
      <c r="K62" s="5">
        <f>'Baseline System Analysis'!K18</f>
        <v>4.3975587329282151</v>
      </c>
      <c r="L62" s="5">
        <f>'Baseline System Analysis'!L18</f>
        <v>4.5074977012514204</v>
      </c>
      <c r="M62" s="5">
        <f>'Baseline System Analysis'!M18</f>
        <v>4.6201851437827051</v>
      </c>
      <c r="N62" s="5">
        <f>'Baseline System Analysis'!N18</f>
        <v>4.7356897723772722</v>
      </c>
      <c r="O62" s="5">
        <f>'Baseline System Analysis'!O18</f>
        <v>4.8540820166867036</v>
      </c>
      <c r="P62" s="5">
        <f>'Baseline System Analysis'!P18</f>
        <v>4.9754340671038708</v>
      </c>
      <c r="Q62" s="5">
        <f>'Baseline System Analysis'!Q18</f>
        <v>5.099819918781467</v>
      </c>
      <c r="R62" s="5">
        <f>'Baseline System Analysis'!R18</f>
        <v>5.2273154167510034</v>
      </c>
      <c r="S62" s="5">
        <f>'Baseline System Analysis'!S18</f>
        <v>5.3579983021697783</v>
      </c>
      <c r="T62" s="5">
        <f>'Baseline System Analysis'!T18</f>
        <v>5.4919482597240226</v>
      </c>
      <c r="U62" s="5">
        <f>'Baseline System Analysis'!U18</f>
        <v>5.6292469662171225</v>
      </c>
      <c r="V62" s="5">
        <f>'Baseline System Analysis'!V18</f>
        <v>5.7699781403725501</v>
      </c>
      <c r="W62" s="5">
        <f>'Baseline System Analysis'!W18</f>
        <v>5.9142275938818631</v>
      </c>
      <c r="X62" s="5">
        <f>'Baseline System Analysis'!X18</f>
        <v>6.0620832837289091</v>
      </c>
      <c r="Y62" s="5">
        <f>'Baseline System Analysis'!Y18</f>
        <v>6.2136353658221317</v>
      </c>
      <c r="Z62" s="5">
        <f>'Baseline System Analysis'!Z18</f>
        <v>6.3689762499676847</v>
      </c>
      <c r="AA62" s="5">
        <f>'Baseline System Analysis'!AA18</f>
        <v>6.5282006562168764</v>
      </c>
      <c r="AB62" s="5">
        <f>'Baseline System Analysis'!AB18</f>
        <v>6.6914056726222979</v>
      </c>
      <c r="AC62" s="5">
        <f>'Baseline System Analysis'!AC18</f>
        <v>6.8586908144378551</v>
      </c>
      <c r="AD62" s="5">
        <f>'Baseline System Analysis'!AD18</f>
        <v>7.030158084798801</v>
      </c>
      <c r="AE62" s="5">
        <f>'Baseline System Analysis'!AE18</f>
        <v>7.2059120369187708</v>
      </c>
    </row>
    <row r="63" spans="1:31" x14ac:dyDescent="0.35">
      <c r="A63" s="87" t="str">
        <f>'Baseline System Analysis'!A19</f>
        <v>Commerical</v>
      </c>
      <c r="B63" s="87" t="str">
        <f>'Baseline System Analysis'!B19</f>
        <v>Cost of Reliability (N-1)</v>
      </c>
      <c r="C63" s="87" t="str">
        <f>'Baseline System Analysis'!C19</f>
        <v>$/kWh</v>
      </c>
      <c r="D63" s="5">
        <f>'Baseline System Analysis'!D19</f>
        <v>162.53431406249996</v>
      </c>
      <c r="E63" s="5">
        <f>'Baseline System Analysis'!E19</f>
        <v>166.59767191406243</v>
      </c>
      <c r="F63" s="5">
        <f>'Baseline System Analysis'!F19</f>
        <v>170.76261371191399</v>
      </c>
      <c r="G63" s="5">
        <f>'Baseline System Analysis'!G19</f>
        <v>175.03167905471182</v>
      </c>
      <c r="H63" s="5">
        <f>'Baseline System Analysis'!H19</f>
        <v>179.40747103107961</v>
      </c>
      <c r="I63" s="5">
        <f>'Baseline System Analysis'!I19</f>
        <v>183.89265780685659</v>
      </c>
      <c r="J63" s="5">
        <f>'Baseline System Analysis'!J19</f>
        <v>188.48997425202799</v>
      </c>
      <c r="K63" s="5">
        <f>'Baseline System Analysis'!K19</f>
        <v>193.20222360832867</v>
      </c>
      <c r="L63" s="5">
        <f>'Baseline System Analysis'!L19</f>
        <v>198.03227919853686</v>
      </c>
      <c r="M63" s="5">
        <f>'Baseline System Analysis'!M19</f>
        <v>202.98308617850026</v>
      </c>
      <c r="N63" s="5">
        <f>'Baseline System Analysis'!N19</f>
        <v>208.05766333296273</v>
      </c>
      <c r="O63" s="5">
        <f>'Baseline System Analysis'!O19</f>
        <v>213.25910491628679</v>
      </c>
      <c r="P63" s="5">
        <f>'Baseline System Analysis'!P19</f>
        <v>218.59058253919395</v>
      </c>
      <c r="Q63" s="5">
        <f>'Baseline System Analysis'!Q19</f>
        <v>224.05534710267378</v>
      </c>
      <c r="R63" s="5">
        <f>'Baseline System Analysis'!R19</f>
        <v>229.65673078024059</v>
      </c>
      <c r="S63" s="5">
        <f>'Baseline System Analysis'!S19</f>
        <v>235.39814904974659</v>
      </c>
      <c r="T63" s="5">
        <f>'Baseline System Analysis'!T19</f>
        <v>241.28310277599024</v>
      </c>
      <c r="U63" s="5">
        <f>'Baseline System Analysis'!U19</f>
        <v>247.31518034538999</v>
      </c>
      <c r="V63" s="5">
        <f>'Baseline System Analysis'!V19</f>
        <v>253.49805985402472</v>
      </c>
      <c r="W63" s="5">
        <f>'Baseline System Analysis'!W19</f>
        <v>259.83551135037533</v>
      </c>
      <c r="X63" s="5">
        <f>'Baseline System Analysis'!X19</f>
        <v>266.3313991341347</v>
      </c>
      <c r="Y63" s="5">
        <f>'Baseline System Analysis'!Y19</f>
        <v>272.98968411248802</v>
      </c>
      <c r="Z63" s="5">
        <f>'Baseline System Analysis'!Z19</f>
        <v>279.81442621530022</v>
      </c>
      <c r="AA63" s="5">
        <f>'Baseline System Analysis'!AA19</f>
        <v>286.80978687068267</v>
      </c>
      <c r="AB63" s="5">
        <f>'Baseline System Analysis'!AB19</f>
        <v>293.98003154244969</v>
      </c>
      <c r="AC63" s="5">
        <f>'Baseline System Analysis'!AC19</f>
        <v>301.32953233101091</v>
      </c>
      <c r="AD63" s="5">
        <f>'Baseline System Analysis'!AD19</f>
        <v>308.86277063928617</v>
      </c>
      <c r="AE63" s="5">
        <f>'Baseline System Analysis'!AE19</f>
        <v>316.58433990526828</v>
      </c>
    </row>
    <row r="64" spans="1:31" x14ac:dyDescent="0.35">
      <c r="A64" s="87" t="str">
        <f>'Baseline System Analysis'!A20</f>
        <v>Commerical</v>
      </c>
      <c r="B64" s="87" t="str">
        <f>'Baseline System Analysis'!B20</f>
        <v>Cost of Reliability (N-0)</v>
      </c>
      <c r="C64" s="87" t="str">
        <f>'Baseline System Analysis'!C20</f>
        <v>$/kWh</v>
      </c>
      <c r="D64" s="5">
        <f>'Baseline System Analysis'!D20</f>
        <v>150.08506445312503</v>
      </c>
      <c r="E64" s="5">
        <f>'Baseline System Analysis'!E20</f>
        <v>153.83719106445315</v>
      </c>
      <c r="F64" s="5">
        <f>'Baseline System Analysis'!F20</f>
        <v>157.68312084106446</v>
      </c>
      <c r="G64" s="5">
        <f>'Baseline System Analysis'!G20</f>
        <v>161.62519886209105</v>
      </c>
      <c r="H64" s="5">
        <f>'Baseline System Analysis'!H20</f>
        <v>165.6658288336433</v>
      </c>
      <c r="I64" s="5">
        <f>'Baseline System Analysis'!I20</f>
        <v>169.80747455448437</v>
      </c>
      <c r="J64" s="5">
        <f>'Baseline System Analysis'!J20</f>
        <v>174.05266141834647</v>
      </c>
      <c r="K64" s="5">
        <f>'Baseline System Analysis'!K20</f>
        <v>178.40397795380511</v>
      </c>
      <c r="L64" s="5">
        <f>'Baseline System Analysis'!L20</f>
        <v>182.86407740265022</v>
      </c>
      <c r="M64" s="5">
        <f>'Baseline System Analysis'!M20</f>
        <v>187.43567933771646</v>
      </c>
      <c r="N64" s="5">
        <f>'Baseline System Analysis'!N20</f>
        <v>192.12157132115937</v>
      </c>
      <c r="O64" s="5">
        <f>'Baseline System Analysis'!O20</f>
        <v>196.92461060418833</v>
      </c>
      <c r="P64" s="5">
        <f>'Baseline System Analysis'!P20</f>
        <v>201.84772586929301</v>
      </c>
      <c r="Q64" s="5">
        <f>'Baseline System Analysis'!Q20</f>
        <v>206.89391901602534</v>
      </c>
      <c r="R64" s="5">
        <f>'Baseline System Analysis'!R20</f>
        <v>212.06626699142595</v>
      </c>
      <c r="S64" s="5">
        <f>'Baseline System Analysis'!S20</f>
        <v>217.36792366621157</v>
      </c>
      <c r="T64" s="5">
        <f>'Baseline System Analysis'!T20</f>
        <v>222.80212175786684</v>
      </c>
      <c r="U64" s="5">
        <f>'Baseline System Analysis'!U20</f>
        <v>228.37217480181349</v>
      </c>
      <c r="V64" s="5">
        <f>'Baseline System Analysis'!V20</f>
        <v>234.0814791718588</v>
      </c>
      <c r="W64" s="5">
        <f>'Baseline System Analysis'!W20</f>
        <v>239.93351615115526</v>
      </c>
      <c r="X64" s="5">
        <f>'Baseline System Analysis'!X20</f>
        <v>245.93185405493412</v>
      </c>
      <c r="Y64" s="5">
        <f>'Baseline System Analysis'!Y20</f>
        <v>252.08015040630744</v>
      </c>
      <c r="Z64" s="5">
        <f>'Baseline System Analysis'!Z20</f>
        <v>258.38215416646511</v>
      </c>
      <c r="AA64" s="5">
        <f>'Baseline System Analysis'!AA20</f>
        <v>264.8417080206267</v>
      </c>
      <c r="AB64" s="5">
        <f>'Baseline System Analysis'!AB20</f>
        <v>271.46275072114236</v>
      </c>
      <c r="AC64" s="5">
        <f>'Baseline System Analysis'!AC20</f>
        <v>278.24931948917089</v>
      </c>
      <c r="AD64" s="5">
        <f>'Baseline System Analysis'!AD20</f>
        <v>285.20555247640016</v>
      </c>
      <c r="AE64" s="5">
        <f>'Baseline System Analysis'!AE20</f>
        <v>292.33569128831016</v>
      </c>
    </row>
    <row r="66" spans="1:31" x14ac:dyDescent="0.35">
      <c r="A66" s="87" t="s">
        <v>117</v>
      </c>
      <c r="B66" s="87" t="s">
        <v>31</v>
      </c>
      <c r="C66" s="17">
        <f>NPV('Cost Assumptions'!$B$3,D66:AE66)</f>
        <v>1998483.6242588235</v>
      </c>
      <c r="D66" s="5">
        <f>'Baseline System Analysis'!D24-D35</f>
        <v>187.10218016144017</v>
      </c>
      <c r="E66" s="5">
        <f>'Baseline System Analysis'!E24-E35</f>
        <v>-3318.6678851585366</v>
      </c>
      <c r="F66" s="5">
        <f>'Baseline System Analysis'!F24-F35</f>
        <v>-2257.4366414652122</v>
      </c>
      <c r="G66" s="5">
        <f>'Baseline System Analysis'!G24-G35</f>
        <v>-1196.2053977718861</v>
      </c>
      <c r="H66" s="5">
        <f>'Baseline System Analysis'!H24-H35</f>
        <v>-134.9741540785617</v>
      </c>
      <c r="I66" s="5">
        <f>'Baseline System Analysis'!I24-I35</f>
        <v>926.2570896147663</v>
      </c>
      <c r="J66" s="5">
        <f>'Baseline System Analysis'!J24-J35</f>
        <v>1987.4883333080943</v>
      </c>
      <c r="K66" s="5">
        <f>'Baseline System Analysis'!K24-K35</f>
        <v>3048.719577001415</v>
      </c>
      <c r="L66" s="5">
        <f>'Baseline System Analysis'!L24-L35</f>
        <v>54874.027192528301</v>
      </c>
      <c r="M66" s="5">
        <f>'Baseline System Analysis'!M24-M35</f>
        <v>106699.3348080552</v>
      </c>
      <c r="N66" s="5">
        <f>'Baseline System Analysis'!N24-N35</f>
        <v>158524.64242358209</v>
      </c>
      <c r="O66" s="5">
        <f>'Baseline System Analysis'!O24-O35</f>
        <v>210349.95003910892</v>
      </c>
      <c r="P66" s="5">
        <f>'Baseline System Analysis'!P24-P35</f>
        <v>134649.37242106133</v>
      </c>
      <c r="Q66" s="5">
        <f>'Baseline System Analysis'!Q24-Q35</f>
        <v>168954.98293976247</v>
      </c>
      <c r="R66" s="5">
        <f>'Baseline System Analysis'!R24-R35</f>
        <v>203260.5934584635</v>
      </c>
      <c r="S66" s="5">
        <f>'Baseline System Analysis'!S24-S35</f>
        <v>237566.20397716446</v>
      </c>
      <c r="T66" s="5">
        <f>'Baseline System Analysis'!T24-T35</f>
        <v>271871.81449586549</v>
      </c>
      <c r="U66" s="5">
        <f>'Baseline System Analysis'!U24-U35</f>
        <v>416183.61315131537</v>
      </c>
      <c r="V66" s="5">
        <f>'Baseline System Analysis'!V24-V35</f>
        <v>585100.03354499815</v>
      </c>
      <c r="W66" s="5">
        <f>'Baseline System Analysis'!W24-W35</f>
        <v>754016.4539386807</v>
      </c>
      <c r="X66" s="5">
        <f>'Baseline System Analysis'!X24-X35</f>
        <v>922932.87433236325</v>
      </c>
      <c r="Y66" s="5">
        <f>'Baseline System Analysis'!Y24-Y35</f>
        <v>1091849.2947260458</v>
      </c>
      <c r="Z66" s="5">
        <f>'Baseline System Analysis'!Z24-Z35</f>
        <v>1260765.7151197288</v>
      </c>
      <c r="AA66" s="5">
        <f>'Baseline System Analysis'!AA24-AA35</f>
        <v>1563422.4877916344</v>
      </c>
      <c r="AB66" s="5">
        <f>'Baseline System Analysis'!AB24-AB35</f>
        <v>1866079.26046354</v>
      </c>
      <c r="AC66" s="5">
        <f>'Baseline System Analysis'!AC24-AC35</f>
        <v>2168736.0331354453</v>
      </c>
      <c r="AD66" s="5">
        <f>'Baseline System Analysis'!AD24-AD35</f>
        <v>2471392.8058073507</v>
      </c>
      <c r="AE66" s="5">
        <f>'Baseline System Analysis'!AE24-AE35</f>
        <v>2774049.5784792574</v>
      </c>
    </row>
    <row r="67" spans="1:31" x14ac:dyDescent="0.35">
      <c r="A67" s="87" t="s">
        <v>119</v>
      </c>
      <c r="B67" s="87" t="s">
        <v>31</v>
      </c>
      <c r="C67" s="17">
        <f>NPV('Cost Assumptions'!$B$3,D67:AE67)</f>
        <v>8292679.4782387698</v>
      </c>
      <c r="D67" s="5">
        <f>'Baseline System Analysis'!D25-D36</f>
        <v>776.3778451444341</v>
      </c>
      <c r="E67" s="5">
        <f>'Baseline System Analysis'!E25-E36</f>
        <v>-13770.76536043713</v>
      </c>
      <c r="F67" s="5">
        <f>'Baseline System Analysis'!F25-F36</f>
        <v>-9367.2013534989965</v>
      </c>
      <c r="G67" s="5">
        <f>'Baseline System Analysis'!G25-G36</f>
        <v>-4963.6373465608485</v>
      </c>
      <c r="H67" s="5">
        <f>'Baseline System Analysis'!H25-H36</f>
        <v>-560.07333962272969</v>
      </c>
      <c r="I67" s="5">
        <f>'Baseline System Analysis'!I25-I36</f>
        <v>3843.4906673154037</v>
      </c>
      <c r="J67" s="5">
        <f>'Baseline System Analysis'!J25-J36</f>
        <v>8247.0546742535371</v>
      </c>
      <c r="K67" s="5">
        <f>'Baseline System Analysis'!K25-K36</f>
        <v>12650.61868119167</v>
      </c>
      <c r="L67" s="5">
        <f>'Baseline System Analysis'!L25-L36</f>
        <v>227698.9982124875</v>
      </c>
      <c r="M67" s="5">
        <f>'Baseline System Analysis'!M25-M36</f>
        <v>442747.37774378335</v>
      </c>
      <c r="N67" s="5">
        <f>'Baseline System Analysis'!N25-N36</f>
        <v>657795.75727507914</v>
      </c>
      <c r="O67" s="5">
        <f>'Baseline System Analysis'!O25-O36</f>
        <v>872844.13680637511</v>
      </c>
      <c r="P67" s="5">
        <f>'Baseline System Analysis'!P25-P36</f>
        <v>558725.66273740609</v>
      </c>
      <c r="Q67" s="5">
        <f>'Baseline System Analysis'!Q25-Q36</f>
        <v>701076.30743803037</v>
      </c>
      <c r="R67" s="5">
        <f>'Baseline System Analysis'!R25-R36</f>
        <v>843426.95213865489</v>
      </c>
      <c r="S67" s="5">
        <f>'Baseline System Analysis'!S25-S36</f>
        <v>985777.5968392794</v>
      </c>
      <c r="T67" s="5">
        <f>'Baseline System Analysis'!T25-T36</f>
        <v>1128128.2415399039</v>
      </c>
      <c r="U67" s="5">
        <f>'Baseline System Analysis'!U25-U36</f>
        <v>1726948.005010122</v>
      </c>
      <c r="V67" s="5">
        <f>'Baseline System Analysis'!V25-V36</f>
        <v>2427864.2977096671</v>
      </c>
      <c r="W67" s="5">
        <f>'Baseline System Analysis'!W25-W36</f>
        <v>3128780.5904092109</v>
      </c>
      <c r="X67" s="5">
        <f>'Baseline System Analysis'!X25-X36</f>
        <v>3829696.8831087546</v>
      </c>
      <c r="Y67" s="5">
        <f>'Baseline System Analysis'!Y25-Y36</f>
        <v>4530613.1758082984</v>
      </c>
      <c r="Z67" s="5">
        <f>'Baseline System Analysis'!Z25-Z36</f>
        <v>5231529.468507845</v>
      </c>
      <c r="AA67" s="5">
        <f>'Baseline System Analysis'!AA25-AA36</f>
        <v>6487399.4577438664</v>
      </c>
      <c r="AB67" s="5">
        <f>'Baseline System Analysis'!AB25-AB36</f>
        <v>7743269.4469798878</v>
      </c>
      <c r="AC67" s="5">
        <f>'Baseline System Analysis'!AC25-AC36</f>
        <v>8999139.4362159111</v>
      </c>
      <c r="AD67" s="5">
        <f>'Baseline System Analysis'!AD25-AD36</f>
        <v>10255009.425451932</v>
      </c>
      <c r="AE67" s="5">
        <f>'Baseline System Analysis'!AE25-AE36</f>
        <v>11510879.414687952</v>
      </c>
    </row>
    <row r="68" spans="1:31" x14ac:dyDescent="0.35">
      <c r="A68" s="87" t="s">
        <v>24</v>
      </c>
      <c r="B68" s="87" t="s">
        <v>31</v>
      </c>
      <c r="C68" s="17">
        <f>NPV('Cost Assumptions'!$B$3,D68:AE68)</f>
        <v>10291163.102497593</v>
      </c>
      <c r="D68" s="5">
        <f>SUM(D66:D67)</f>
        <v>963.48002530587428</v>
      </c>
      <c r="E68" s="5">
        <f>SUM(E66:E67)</f>
        <v>-17089.433245595668</v>
      </c>
      <c r="F68" s="5">
        <f t="shared" ref="F68:AE68" si="46">SUM(F66:F67)</f>
        <v>-11624.637994964209</v>
      </c>
      <c r="G68" s="5">
        <f t="shared" si="46"/>
        <v>-6159.8427443327346</v>
      </c>
      <c r="H68" s="5">
        <f t="shared" si="46"/>
        <v>-695.04749370129139</v>
      </c>
      <c r="I68" s="5">
        <f t="shared" si="46"/>
        <v>4769.74775693017</v>
      </c>
      <c r="J68" s="5">
        <f t="shared" si="46"/>
        <v>10234.543007561631</v>
      </c>
      <c r="K68" s="5">
        <f t="shared" si="46"/>
        <v>15699.338258193085</v>
      </c>
      <c r="L68" s="5">
        <f t="shared" si="46"/>
        <v>282573.0254050158</v>
      </c>
      <c r="M68" s="5">
        <f t="shared" si="46"/>
        <v>549446.71255183849</v>
      </c>
      <c r="N68" s="5">
        <f t="shared" si="46"/>
        <v>816320.39969866117</v>
      </c>
      <c r="O68" s="5">
        <f t="shared" si="46"/>
        <v>1083194.0868454841</v>
      </c>
      <c r="P68" s="5">
        <f t="shared" si="46"/>
        <v>693375.03515846748</v>
      </c>
      <c r="Q68" s="5">
        <f t="shared" si="46"/>
        <v>870031.2903777929</v>
      </c>
      <c r="R68" s="5">
        <f t="shared" si="46"/>
        <v>1046687.5455971183</v>
      </c>
      <c r="S68" s="5">
        <f t="shared" si="46"/>
        <v>1223343.8008164437</v>
      </c>
      <c r="T68" s="5">
        <f t="shared" si="46"/>
        <v>1400000.0560357694</v>
      </c>
      <c r="U68" s="5">
        <f t="shared" si="46"/>
        <v>2143131.6181614371</v>
      </c>
      <c r="V68" s="5">
        <f t="shared" si="46"/>
        <v>3012964.3312546653</v>
      </c>
      <c r="W68" s="5">
        <f t="shared" si="46"/>
        <v>3882797.0443478916</v>
      </c>
      <c r="X68" s="5">
        <f t="shared" si="46"/>
        <v>4752629.7574411184</v>
      </c>
      <c r="Y68" s="5">
        <f t="shared" si="46"/>
        <v>5622462.4705343442</v>
      </c>
      <c r="Z68" s="5">
        <f t="shared" si="46"/>
        <v>6492295.1836275738</v>
      </c>
      <c r="AA68" s="5">
        <f t="shared" si="46"/>
        <v>8050821.9455355005</v>
      </c>
      <c r="AB68" s="5">
        <f t="shared" si="46"/>
        <v>9609348.7074434273</v>
      </c>
      <c r="AC68" s="5">
        <f t="shared" si="46"/>
        <v>11167875.469351357</v>
      </c>
      <c r="AD68" s="5">
        <f t="shared" si="46"/>
        <v>12726402.231259283</v>
      </c>
      <c r="AE68" s="5">
        <f t="shared" si="46"/>
        <v>14284928.99316721</v>
      </c>
    </row>
    <row r="69" spans="1:31" x14ac:dyDescent="0.35">
      <c r="A69" s="87"/>
      <c r="B69" s="87"/>
      <c r="C69" s="8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5">
      <c r="A70" s="87" t="s">
        <v>120</v>
      </c>
      <c r="B70" s="87" t="s">
        <v>31</v>
      </c>
      <c r="C70" s="17">
        <f>NPV('Cost Assumptions'!$B$3,D70:AE70)</f>
        <v>96402545.707265571</v>
      </c>
      <c r="D70" s="5">
        <f>'Baseline System Analysis'!D28-D33</f>
        <v>310386.79798866023</v>
      </c>
      <c r="E70" s="5">
        <f>'Baseline System Analysis'!E28-E33</f>
        <v>817408.12222421367</v>
      </c>
      <c r="F70" s="5">
        <f>'Baseline System Analysis'!F28-F33</f>
        <v>1334522.6987350811</v>
      </c>
      <c r="G70" s="5">
        <f>'Baseline System Analysis'!G28-G33</f>
        <v>1839795.5479560234</v>
      </c>
      <c r="H70" s="5">
        <f>'Baseline System Analysis'!H28-H33</f>
        <v>2286697.9912531795</v>
      </c>
      <c r="I70" s="5">
        <f>'Baseline System Analysis'!I28-I33</f>
        <v>2696419.0538857356</v>
      </c>
      <c r="J70" s="5">
        <f>'Baseline System Analysis'!J28-J33</f>
        <v>3587048.7001477713</v>
      </c>
      <c r="K70" s="5">
        <f>'Baseline System Analysis'!K28-K33</f>
        <v>4534084.5657563498</v>
      </c>
      <c r="L70" s="5">
        <f>'Baseline System Analysis'!L28-L33</f>
        <v>5693348.9186131302</v>
      </c>
      <c r="M70" s="5">
        <f>'Baseline System Analysis'!M28-M33</f>
        <v>7548985.0743932622</v>
      </c>
      <c r="N70" s="5">
        <f>'Baseline System Analysis'!N28-N33</f>
        <v>9794691.5976483021</v>
      </c>
      <c r="O70" s="5">
        <f>'Baseline System Analysis'!O28-O33</f>
        <v>12474348.375717288</v>
      </c>
      <c r="P70" s="5">
        <f>'Baseline System Analysis'!P28-P33</f>
        <v>15347020.983958816</v>
      </c>
      <c r="Q70" s="5">
        <f>'Baseline System Analysis'!Q28-Q33</f>
        <v>17695946.149409708</v>
      </c>
      <c r="R70" s="5">
        <f>'Baseline System Analysis'!R28-R33</f>
        <v>20218511.499962803</v>
      </c>
      <c r="S70" s="5">
        <f>'Baseline System Analysis'!S28-S33</f>
        <v>23300217.604992669</v>
      </c>
      <c r="T70" s="5">
        <f>'Baseline System Analysis'!T28-T33</f>
        <v>26253074.637853872</v>
      </c>
      <c r="U70" s="5">
        <f>'Baseline System Analysis'!U28-U33</f>
        <v>29714707.982169021</v>
      </c>
      <c r="V70" s="5">
        <f>'Baseline System Analysis'!V28-V33</f>
        <v>32623251.318482492</v>
      </c>
      <c r="W70" s="5">
        <f>'Baseline System Analysis'!W28-W33</f>
        <v>36416570.017613836</v>
      </c>
      <c r="X70" s="5">
        <f>'Baseline System Analysis'!X28-X33</f>
        <v>38596786.981258549</v>
      </c>
      <c r="Y70" s="5">
        <f>'Baseline System Analysis'!Y28-Y33</f>
        <v>40056175.464361742</v>
      </c>
      <c r="Z70" s="5">
        <f>'Baseline System Analysis'!Z28-Z33</f>
        <v>40800814.874151923</v>
      </c>
      <c r="AA70" s="5">
        <f>'Baseline System Analysis'!AA28-AA33</f>
        <v>41483742.674552053</v>
      </c>
      <c r="AB70" s="5">
        <f>'Baseline System Analysis'!AB28-AB33</f>
        <v>43855454.522259206</v>
      </c>
      <c r="AC70" s="5">
        <f>'Baseline System Analysis'!AC28-AC33</f>
        <v>44664089.964030102</v>
      </c>
      <c r="AD70" s="5">
        <f>'Baseline System Analysis'!AD28-AD33</f>
        <v>44012832.357887097</v>
      </c>
      <c r="AE70" s="5">
        <f>'Baseline System Analysis'!AE28-AE33</f>
        <v>46089292.121282928</v>
      </c>
    </row>
    <row r="71" spans="1:31" x14ac:dyDescent="0.35">
      <c r="A71" s="87" t="s">
        <v>121</v>
      </c>
      <c r="B71" s="87" t="s">
        <v>31</v>
      </c>
      <c r="C71" s="17">
        <f>NPV('Cost Assumptions'!$B$3,D71:AE71)</f>
        <v>412520351.24099195</v>
      </c>
      <c r="D71" s="5">
        <f>'Baseline System Analysis'!D29-D34</f>
        <v>1628153.2445022203</v>
      </c>
      <c r="E71" s="5">
        <f>'Baseline System Analysis'!E29-E34</f>
        <v>4276437.722523096</v>
      </c>
      <c r="F71" s="5">
        <f>'Baseline System Analysis'!F29-F34</f>
        <v>6406619.8340516584</v>
      </c>
      <c r="G71" s="5">
        <f>'Baseline System Analysis'!G29-G34</f>
        <v>8961966.1784057487</v>
      </c>
      <c r="H71" s="5">
        <f>'Baseline System Analysis'!H29-H34</f>
        <v>10695561.997562293</v>
      </c>
      <c r="I71" s="5">
        <f>'Baseline System Analysis'!I29-I34</f>
        <v>11935292.094424136</v>
      </c>
      <c r="J71" s="5">
        <f>'Baseline System Analysis'!J29-J34</f>
        <v>15941642.32252172</v>
      </c>
      <c r="K71" s="5">
        <f>'Baseline System Analysis'!K29-K34</f>
        <v>19613619.815275714</v>
      </c>
      <c r="L71" s="5">
        <f>'Baseline System Analysis'!L29-L34</f>
        <v>24661704.485005222</v>
      </c>
      <c r="M71" s="5">
        <f>'Baseline System Analysis'!M29-M34</f>
        <v>32796387.723990619</v>
      </c>
      <c r="N71" s="5">
        <f>'Baseline System Analysis'!N29-N34</f>
        <v>43151911.473019019</v>
      </c>
      <c r="O71" s="5">
        <f>'Baseline System Analysis'!O29-O34</f>
        <v>55866474.738844089</v>
      </c>
      <c r="P71" s="5">
        <f>'Baseline System Analysis'!P29-P34</f>
        <v>68637387.043348879</v>
      </c>
      <c r="Q71" s="5">
        <f>'Baseline System Analysis'!Q29-Q34</f>
        <v>76655071.337018058</v>
      </c>
      <c r="R71" s="5">
        <f>'Baseline System Analysis'!R29-R34</f>
        <v>85951569.301666319</v>
      </c>
      <c r="S71" s="5">
        <f>'Baseline System Analysis'!S29-S34</f>
        <v>99816223.893695965</v>
      </c>
      <c r="T71" s="5">
        <f>'Baseline System Analysis'!T29-T34</f>
        <v>112573831.41872194</v>
      </c>
      <c r="U71" s="5">
        <f>'Baseline System Analysis'!U29-U34</f>
        <v>127085490.37284487</v>
      </c>
      <c r="V71" s="5">
        <f>'Baseline System Analysis'!V29-V34</f>
        <v>138664373.54681361</v>
      </c>
      <c r="W71" s="5">
        <f>'Baseline System Analysis'!W29-W34</f>
        <v>155748490.34828621</v>
      </c>
      <c r="X71" s="5">
        <f>'Baseline System Analysis'!X29-X34</f>
        <v>161382226.45146424</v>
      </c>
      <c r="Y71" s="5">
        <f>'Baseline System Analysis'!Y29-Y34</f>
        <v>167060241.05104139</v>
      </c>
      <c r="Z71" s="5">
        <f>'Baseline System Analysis'!Z29-Z34</f>
        <v>168099643.03247851</v>
      </c>
      <c r="AA71" s="5">
        <f>'Baseline System Analysis'!AA29-AA34</f>
        <v>168694107.64502063</v>
      </c>
      <c r="AB71" s="5">
        <f>'Baseline System Analysis'!AB29-AB34</f>
        <v>181966441.72107214</v>
      </c>
      <c r="AC71" s="5">
        <f>'Baseline System Analysis'!AC29-AC34</f>
        <v>185484423.81832653</v>
      </c>
      <c r="AD71" s="5">
        <f>'Baseline System Analysis'!AD29-AD34</f>
        <v>175922427.05979976</v>
      </c>
      <c r="AE71" s="5">
        <f>'Baseline System Analysis'!AE29-AE34</f>
        <v>180365012.18898475</v>
      </c>
    </row>
    <row r="72" spans="1:31" x14ac:dyDescent="0.35">
      <c r="A72" s="87" t="s">
        <v>24</v>
      </c>
      <c r="B72" s="87" t="s">
        <v>31</v>
      </c>
      <c r="C72" s="17">
        <f>NPV('Cost Assumptions'!$B$3,D72:AE72)</f>
        <v>508922896.94825751</v>
      </c>
      <c r="D72" s="5">
        <f>SUM(D70:D71)</f>
        <v>1938540.0424908805</v>
      </c>
      <c r="E72" s="5">
        <f>SUM(E70:E71)</f>
        <v>5093845.8447473096</v>
      </c>
      <c r="F72" s="5">
        <f t="shared" ref="F72:AE72" si="47">SUM(F70:F71)</f>
        <v>7741142.53278674</v>
      </c>
      <c r="G72" s="5">
        <f t="shared" si="47"/>
        <v>10801761.726361772</v>
      </c>
      <c r="H72" s="5">
        <f t="shared" si="47"/>
        <v>12982259.988815472</v>
      </c>
      <c r="I72" s="5">
        <f t="shared" si="47"/>
        <v>14631711.148309872</v>
      </c>
      <c r="J72" s="5">
        <f t="shared" si="47"/>
        <v>19528691.02266949</v>
      </c>
      <c r="K72" s="5">
        <f t="shared" si="47"/>
        <v>24147704.381032065</v>
      </c>
      <c r="L72" s="5">
        <f t="shared" si="47"/>
        <v>30355053.403618351</v>
      </c>
      <c r="M72" s="5">
        <f t="shared" si="47"/>
        <v>40345372.798383884</v>
      </c>
      <c r="N72" s="5">
        <f t="shared" si="47"/>
        <v>52946603.070667319</v>
      </c>
      <c r="O72" s="5">
        <f t="shared" si="47"/>
        <v>68340823.114561379</v>
      </c>
      <c r="P72" s="5">
        <f t="shared" si="47"/>
        <v>83984408.027307689</v>
      </c>
      <c r="Q72" s="5">
        <f t="shared" si="47"/>
        <v>94351017.486427769</v>
      </c>
      <c r="R72" s="5">
        <f t="shared" si="47"/>
        <v>106170080.80162913</v>
      </c>
      <c r="S72" s="5">
        <f t="shared" si="47"/>
        <v>123116441.49868864</v>
      </c>
      <c r="T72" s="5">
        <f t="shared" si="47"/>
        <v>138826906.0565758</v>
      </c>
      <c r="U72" s="5">
        <f t="shared" si="47"/>
        <v>156800198.35501391</v>
      </c>
      <c r="V72" s="5">
        <f t="shared" si="47"/>
        <v>171287624.8652961</v>
      </c>
      <c r="W72" s="5">
        <f t="shared" si="47"/>
        <v>192165060.36590004</v>
      </c>
      <c r="X72" s="5">
        <f t="shared" si="47"/>
        <v>199979013.43272278</v>
      </c>
      <c r="Y72" s="5">
        <f t="shared" si="47"/>
        <v>207116416.51540315</v>
      </c>
      <c r="Z72" s="5">
        <f t="shared" si="47"/>
        <v>208900457.90663043</v>
      </c>
      <c r="AA72" s="5">
        <f t="shared" si="47"/>
        <v>210177850.31957269</v>
      </c>
      <c r="AB72" s="5">
        <f t="shared" si="47"/>
        <v>225821896.24333134</v>
      </c>
      <c r="AC72" s="5">
        <f t="shared" si="47"/>
        <v>230148513.78235662</v>
      </c>
      <c r="AD72" s="5">
        <f t="shared" si="47"/>
        <v>219935259.41768685</v>
      </c>
      <c r="AE72" s="5">
        <f t="shared" si="47"/>
        <v>226454304.31026769</v>
      </c>
    </row>
    <row r="74" spans="1:31" x14ac:dyDescent="0.35">
      <c r="A74" s="87" t="s">
        <v>117</v>
      </c>
      <c r="B74" s="87" t="s">
        <v>144</v>
      </c>
      <c r="C74" s="17">
        <f>NPV('Cost Assumptions'!$B$3,D74:AE74)</f>
        <v>635671269.58357632</v>
      </c>
      <c r="D74" s="61">
        <f>ABS((D50*D61*1000*'Cost Assumptions'!$B$6)/'Cost Assumptions'!$B$14)</f>
        <v>8238114.0346640144</v>
      </c>
      <c r="E74" s="61">
        <f>ABS((E50*E61*1000*'Cost Assumptions'!$B$6)/'Cost Assumptions'!$B$14)</f>
        <v>12799582.047870226</v>
      </c>
      <c r="F74" s="61">
        <f>ABS((F50*F61*1000*'Cost Assumptions'!$B$6)/'Cost Assumptions'!$B$14)</f>
        <v>17583974.640465081</v>
      </c>
      <c r="G74" s="61">
        <f>ABS((G50*G61*1000*'Cost Assumptions'!$B$6)/'Cost Assumptions'!$B$14)</f>
        <v>22599587.12390976</v>
      </c>
      <c r="H74" s="61">
        <f>ABS((H50*H61*1000*'Cost Assumptions'!$B$6)/'Cost Assumptions'!$B$14)</f>
        <v>27854990.247376382</v>
      </c>
      <c r="I74" s="61">
        <f>ABS((I50*I61*1000*'Cost Assumptions'!$B$6)/'Cost Assumptions'!$B$14)</f>
        <v>33359038.785063896</v>
      </c>
      <c r="J74" s="61">
        <f>ABS((J50*J61*1000*'Cost Assumptions'!$B$6)/'Cost Assumptions'!$B$14)</f>
        <v>39120880.380731165</v>
      </c>
      <c r="K74" s="61">
        <f>ABS((K50*K61*1000*'Cost Assumptions'!$B$6)/'Cost Assumptions'!$B$14)</f>
        <v>45149964.656941138</v>
      </c>
      <c r="L74" s="61">
        <f>ABS((L50*L61*1000*'Cost Assumptions'!$B$6)/'Cost Assumptions'!$B$14)</f>
        <v>51456052.596723646</v>
      </c>
      <c r="M74" s="61">
        <f>ABS((M50*M61*1000*'Cost Assumptions'!$B$6)/'Cost Assumptions'!$B$14)</f>
        <v>58049226.205584705</v>
      </c>
      <c r="N74" s="61">
        <f>ABS((N50*N61*1000*'Cost Assumptions'!$B$6)/'Cost Assumptions'!$B$14)</f>
        <v>64939898.462015845</v>
      </c>
      <c r="O74" s="61">
        <f>ABS((O50*O61*1000*'Cost Assumptions'!$B$6)/'Cost Assumptions'!$B$14)</f>
        <v>72138823.564890057</v>
      </c>
      <c r="P74" s="61">
        <f>ABS((P50*P61*1000*'Cost Assumptions'!$B$6)/'Cost Assumptions'!$B$14)</f>
        <v>79657107.486369222</v>
      </c>
      <c r="Q74" s="61">
        <f>ABS((Q50*Q61*1000*'Cost Assumptions'!$B$6)/'Cost Assumptions'!$B$14)</f>
        <v>87506218.839194283</v>
      </c>
      <c r="R74" s="61">
        <f>ABS((R50*R61*1000*'Cost Assumptions'!$B$6)/'Cost Assumptions'!$B$14)</f>
        <v>95698000.067481622</v>
      </c>
      <c r="S74" s="61">
        <f>ABS((S50*S61*1000*'Cost Assumptions'!$B$6)/'Cost Assumptions'!$B$14)</f>
        <v>112342613.08517589</v>
      </c>
      <c r="T74" s="61">
        <f>ABS((T50*T61*1000*'Cost Assumptions'!$B$6)/'Cost Assumptions'!$B$14)</f>
        <v>129759645.50371274</v>
      </c>
      <c r="U74" s="61">
        <f>ABS((U50*U61*1000*'Cost Assumptions'!$B$6)/'Cost Assumptions'!$B$14)</f>
        <v>147977315.40999812</v>
      </c>
      <c r="V74" s="61">
        <f>ABS((V50*V61*1000*'Cost Assumptions'!$B$6)/'Cost Assumptions'!$B$14)</f>
        <v>167024769.03315806</v>
      </c>
      <c r="W74" s="61">
        <f>ABS((W50*W61*1000*'Cost Assumptions'!$B$6)/'Cost Assumptions'!$B$14)</f>
        <v>186932109.51534462</v>
      </c>
      <c r="X74" s="61">
        <f>ABS((X50*X61*1000*'Cost Assumptions'!$B$6)/'Cost Assumptions'!$B$14)</f>
        <v>207730426.54099485</v>
      </c>
      <c r="Y74" s="61">
        <f>ABS((Y50*Y61*1000*'Cost Assumptions'!$B$6)/'Cost Assumptions'!$B$14)</f>
        <v>229451826.84948051</v>
      </c>
      <c r="Z74" s="61">
        <f>ABS((Z50*Z61*1000*'Cost Assumptions'!$B$6)/'Cost Assumptions'!$B$14)</f>
        <v>252129465.6568023</v>
      </c>
      <c r="AA74" s="61">
        <f>ABS((AA50*AA61*1000*'Cost Assumptions'!$B$6)/'Cost Assumptions'!$B$14)</f>
        <v>275797579.01270926</v>
      </c>
      <c r="AB74" s="61">
        <f>ABS((AB50*AB61*1000*'Cost Assumptions'!$B$6)/'Cost Assumptions'!$B$14)</f>
        <v>300491517.12037611</v>
      </c>
      <c r="AC74" s="61">
        <f>ABS((AC50*AC61*1000*'Cost Assumptions'!$B$6)/'Cost Assumptions'!$B$14)</f>
        <v>326247778.64654326</v>
      </c>
      <c r="AD74" s="61">
        <f>ABS((AD50*AD61*1000*'Cost Assumptions'!$B$6)/'Cost Assumptions'!$B$14)</f>
        <v>353104046.05081862</v>
      </c>
      <c r="AE74" s="61">
        <f>ABS((AE50*AE61*1000*'Cost Assumptions'!$B$6)/'Cost Assumptions'!$B$14)</f>
        <v>381099221.9636535</v>
      </c>
    </row>
    <row r="75" spans="1:31" x14ac:dyDescent="0.35">
      <c r="A75" s="87" t="s">
        <v>119</v>
      </c>
      <c r="B75" s="87" t="s">
        <v>144</v>
      </c>
      <c r="C75" s="17">
        <f>NPV('Cost Assumptions'!$B$3,D75:AE75)</f>
        <v>2618732030.6971078</v>
      </c>
      <c r="D75" s="61">
        <f>ABS((D50*D63*1000*'Cost Assumptions'!$B$7)/'Cost Assumptions'!$B$14)</f>
        <v>33938002.435193636</v>
      </c>
      <c r="E75" s="61">
        <f>ABS((E50*E63*1000*'Cost Assumptions'!$B$7)/'Cost Assumptions'!$B$14)</f>
        <v>52729574.376157179</v>
      </c>
      <c r="F75" s="61">
        <f>ABS((F50*F63*1000*'Cost Assumptions'!$B$7)/'Cost Assumptions'!$B$14)</f>
        <v>72439513.662646905</v>
      </c>
      <c r="G75" s="61">
        <f>ABS((G50*G63*1000*'Cost Assumptions'!$B$7)/'Cost Assumptions'!$B$14)</f>
        <v>93101993.929476008</v>
      </c>
      <c r="H75" s="61">
        <f>ABS((H50*H63*1000*'Cost Assumptions'!$B$7)/'Cost Assumptions'!$B$14)</f>
        <v>114752323.51360743</v>
      </c>
      <c r="I75" s="61">
        <f>ABS((I50*I63*1000*'Cost Assumptions'!$B$7)/'Cost Assumptions'!$B$14)</f>
        <v>137426980.83073947</v>
      </c>
      <c r="J75" s="61">
        <f>ABS((J50*J63*1000*'Cost Assumptions'!$B$7)/'Cost Assumptions'!$B$14)</f>
        <v>161163650.81153214</v>
      </c>
      <c r="K75" s="61">
        <f>ABS((K50*K63*1000*'Cost Assumptions'!$B$7)/'Cost Assumptions'!$B$14)</f>
        <v>186001262.42834517</v>
      </c>
      <c r="L75" s="61">
        <f>ABS((L50*L63*1000*'Cost Assumptions'!$B$7)/'Cost Assumptions'!$B$14)</f>
        <v>211980027.34424165</v>
      </c>
      <c r="M75" s="61">
        <f>ABS((M50*M63*1000*'Cost Assumptions'!$B$7)/'Cost Assumptions'!$B$14)</f>
        <v>239141479.71691528</v>
      </c>
      <c r="N75" s="61">
        <f>ABS((N50*N63*1000*'Cost Assumptions'!$B$7)/'Cost Assumptions'!$B$14)</f>
        <v>267528517.1911324</v>
      </c>
      <c r="O75" s="61">
        <f>ABS((O50*O63*1000*'Cost Assumptions'!$B$7)/'Cost Assumptions'!$B$14)</f>
        <v>297185443.11423731</v>
      </c>
      <c r="P75" s="61">
        <f>ABS((P50*P63*1000*'Cost Assumptions'!$B$7)/'Cost Assumptions'!$B$14)</f>
        <v>328158010.01025301</v>
      </c>
      <c r="Q75" s="61">
        <f>ABS((Q50*Q63*1000*'Cost Assumptions'!$B$7)/'Cost Assumptions'!$B$14)</f>
        <v>360493464.34912306</v>
      </c>
      <c r="R75" s="61">
        <f>ABS((R50*R63*1000*'Cost Assumptions'!$B$7)/'Cost Assumptions'!$B$14)</f>
        <v>394240592.64868033</v>
      </c>
      <c r="S75" s="61">
        <f>ABS((S50*S63*1000*'Cost Assumptions'!$B$7)/'Cost Assumptions'!$B$14)</f>
        <v>462810281.62730604</v>
      </c>
      <c r="T75" s="61">
        <f>ABS((T50*T63*1000*'Cost Assumptions'!$B$7)/'Cost Assumptions'!$B$14)</f>
        <v>534562054.68445802</v>
      </c>
      <c r="U75" s="61">
        <f>ABS((U50*U63*1000*'Cost Assumptions'!$B$7)/'Cost Assumptions'!$B$14)</f>
        <v>609612159.96845007</v>
      </c>
      <c r="V75" s="61">
        <f>ABS((V50*V63*1000*'Cost Assumptions'!$B$7)/'Cost Assumptions'!$B$14)</f>
        <v>688080669.23246443</v>
      </c>
      <c r="W75" s="61">
        <f>ABS((W50*W63*1000*'Cost Assumptions'!$B$7)/'Cost Assumptions'!$B$14)</f>
        <v>770091596.35969889</v>
      </c>
      <c r="X75" s="61">
        <f>ABS((X50*X63*1000*'Cost Assumptions'!$B$7)/'Cost Assumptions'!$B$14)</f>
        <v>855773019.42502475</v>
      </c>
      <c r="Y75" s="61">
        <f>ABS((Y50*Y63*1000*'Cost Assumptions'!$B$7)/'Cost Assumptions'!$B$14)</f>
        <v>945257206.39589214</v>
      </c>
      <c r="Z75" s="61">
        <f>ABS((Z50*Z63*1000*'Cost Assumptions'!$B$7)/'Cost Assumptions'!$B$14)</f>
        <v>1038680744.5781623</v>
      </c>
      <c r="AA75" s="61">
        <f>ABS((AA50*AA63*1000*'Cost Assumptions'!$B$7)/'Cost Assumptions'!$B$14)</f>
        <v>1136184673.9155486</v>
      </c>
      <c r="AB75" s="61">
        <f>ABS((AB50*AB63*1000*'Cost Assumptions'!$B$7)/'Cost Assumptions'!$B$14)</f>
        <v>1237914624.2544425</v>
      </c>
      <c r="AC75" s="61">
        <f>ABS((AC50*AC63*1000*'Cost Assumptions'!$B$7)/'Cost Assumptions'!$B$14)</f>
        <v>1344020956.6890841</v>
      </c>
      <c r="AD75" s="61">
        <f>ABS((AD50*AD63*1000*'Cost Assumptions'!$B$7)/'Cost Assumptions'!$B$14)</f>
        <v>1454658909.1052988</v>
      </c>
      <c r="AE75" s="61">
        <f>ABS((AE50*AE63*1000*'Cost Assumptions'!$B$7)/'Cost Assumptions'!$B$14)</f>
        <v>1569988746.0443931</v>
      </c>
    </row>
    <row r="76" spans="1:31" x14ac:dyDescent="0.35">
      <c r="A76" s="87" t="s">
        <v>24</v>
      </c>
      <c r="B76" s="87" t="s">
        <v>144</v>
      </c>
      <c r="C76" s="17">
        <f>NPV('Cost Assumptions'!$B$3,D76:AE76)</f>
        <v>3254403300.280684</v>
      </c>
      <c r="D76" s="61">
        <f>SUM(D74:D75)</f>
        <v>42176116.469857648</v>
      </c>
      <c r="E76" s="61">
        <f>SUM(E74:E75)</f>
        <v>65529156.424027406</v>
      </c>
      <c r="F76" s="61">
        <f t="shared" ref="F76:AE76" si="48">SUM(F74:F75)</f>
        <v>90023488.303111985</v>
      </c>
      <c r="G76" s="61">
        <f t="shared" si="48"/>
        <v>115701581.05338576</v>
      </c>
      <c r="H76" s="61">
        <f t="shared" si="48"/>
        <v>142607313.76098382</v>
      </c>
      <c r="I76" s="61">
        <f t="shared" si="48"/>
        <v>170786019.61580336</v>
      </c>
      <c r="J76" s="61">
        <f t="shared" si="48"/>
        <v>200284531.19226331</v>
      </c>
      <c r="K76" s="61">
        <f t="shared" si="48"/>
        <v>231151227.08528632</v>
      </c>
      <c r="L76" s="61">
        <f t="shared" si="48"/>
        <v>263436079.94096529</v>
      </c>
      <c r="M76" s="61">
        <f t="shared" si="48"/>
        <v>297190705.92250001</v>
      </c>
      <c r="N76" s="61">
        <f t="shared" si="48"/>
        <v>332468415.65314823</v>
      </c>
      <c r="O76" s="61">
        <f t="shared" si="48"/>
        <v>369324266.67912734</v>
      </c>
      <c r="P76" s="61">
        <f t="shared" si="48"/>
        <v>407815117.4966222</v>
      </c>
      <c r="Q76" s="61">
        <f t="shared" si="48"/>
        <v>447999683.18831736</v>
      </c>
      <c r="R76" s="61">
        <f t="shared" si="48"/>
        <v>489938592.71616197</v>
      </c>
      <c r="S76" s="61">
        <f t="shared" si="48"/>
        <v>575152894.71248198</v>
      </c>
      <c r="T76" s="61">
        <f t="shared" si="48"/>
        <v>664321700.18817079</v>
      </c>
      <c r="U76" s="61">
        <f t="shared" si="48"/>
        <v>757589475.37844825</v>
      </c>
      <c r="V76" s="61">
        <f t="shared" si="48"/>
        <v>855105438.2656225</v>
      </c>
      <c r="W76" s="61">
        <f t="shared" si="48"/>
        <v>957023705.87504351</v>
      </c>
      <c r="X76" s="61">
        <f t="shared" si="48"/>
        <v>1063503445.9660196</v>
      </c>
      <c r="Y76" s="61">
        <f t="shared" si="48"/>
        <v>1174709033.2453728</v>
      </c>
      <c r="Z76" s="61">
        <f t="shared" si="48"/>
        <v>1290810210.2349646</v>
      </c>
      <c r="AA76" s="61">
        <f t="shared" si="48"/>
        <v>1411982252.9282579</v>
      </c>
      <c r="AB76" s="61">
        <f t="shared" si="48"/>
        <v>1538406141.3748186</v>
      </c>
      <c r="AC76" s="61">
        <f t="shared" si="48"/>
        <v>1670268735.3356273</v>
      </c>
      <c r="AD76" s="61">
        <f t="shared" si="48"/>
        <v>1807762955.1561174</v>
      </c>
      <c r="AE76" s="61">
        <f t="shared" si="48"/>
        <v>1951087968.0080466</v>
      </c>
    </row>
    <row r="77" spans="1:31" x14ac:dyDescent="0.35">
      <c r="A77" s="87"/>
      <c r="B77" s="87"/>
      <c r="C77" s="1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35">
      <c r="A78" s="87" t="s">
        <v>117</v>
      </c>
      <c r="B78" s="87" t="s">
        <v>152</v>
      </c>
      <c r="C78" s="17">
        <f>NPV('Cost Assumptions'!$B$3,D78:AE78)</f>
        <v>0</v>
      </c>
      <c r="D78" s="61">
        <f>ABS(((MIN(ABS(D51),'Baseline System Analysis'!D14)*D62*1000*'Cost Assumptions'!$B$6)*'Cost Assumptions'!$B$13))</f>
        <v>0</v>
      </c>
      <c r="E78" s="61">
        <f>ABS(((MIN(ABS(E51),'Baseline System Analysis'!E14)*E62*1000*'Cost Assumptions'!$B$6)*'Cost Assumptions'!$B$13))</f>
        <v>0</v>
      </c>
      <c r="F78" s="61">
        <f>ABS(((MIN(ABS(F51),'Baseline System Analysis'!F14)*F62*1000*'Cost Assumptions'!$B$6)*'Cost Assumptions'!$B$13))</f>
        <v>0</v>
      </c>
      <c r="G78" s="61">
        <f>ABS(((MIN(ABS(G51),'Baseline System Analysis'!G14)*G62*1000*'Cost Assumptions'!$B$6)*'Cost Assumptions'!$B$13))</f>
        <v>0</v>
      </c>
      <c r="H78" s="61">
        <f>ABS(((MIN(ABS(H51),'Baseline System Analysis'!H14)*H62*1000*'Cost Assumptions'!$B$6)*'Cost Assumptions'!$B$13))</f>
        <v>0</v>
      </c>
      <c r="I78" s="61">
        <f>ABS(((MIN(ABS(I51),'Baseline System Analysis'!I14)*I62*1000*'Cost Assumptions'!$B$6)*'Cost Assumptions'!$B$13))</f>
        <v>0</v>
      </c>
      <c r="J78" s="61">
        <f>ABS(((MIN(ABS(J51),'Baseline System Analysis'!J14)*J62*1000*'Cost Assumptions'!$B$6)*'Cost Assumptions'!$B$13))</f>
        <v>0</v>
      </c>
      <c r="K78" s="61">
        <f>ABS(((MIN(ABS(K51),'Baseline System Analysis'!K14)*K62*1000*'Cost Assumptions'!$B$6)*'Cost Assumptions'!$B$13))</f>
        <v>0</v>
      </c>
      <c r="L78" s="61">
        <f>ABS(((MIN(ABS(L51),'Baseline System Analysis'!L14)*L62*1000*'Cost Assumptions'!$B$6)*'Cost Assumptions'!$B$13))</f>
        <v>0</v>
      </c>
      <c r="M78" s="61">
        <f>ABS(((MIN(ABS(M51),'Baseline System Analysis'!M14)*M62*1000*'Cost Assumptions'!$B$6)*'Cost Assumptions'!$B$13))</f>
        <v>0</v>
      </c>
      <c r="N78" s="61">
        <f>ABS(((MIN(ABS(N51),'Baseline System Analysis'!N14)*N62*1000*'Cost Assumptions'!$B$6)*'Cost Assumptions'!$B$13))</f>
        <v>0</v>
      </c>
      <c r="O78" s="61">
        <f>ABS(((MIN(ABS(O51),'Baseline System Analysis'!O14)*O62*1000*'Cost Assumptions'!$B$6)*'Cost Assumptions'!$B$13))</f>
        <v>0</v>
      </c>
      <c r="P78" s="61">
        <f>ABS(((MIN(ABS(P51),'Baseline System Analysis'!P14)*P62*1000*'Cost Assumptions'!$B$6)*'Cost Assumptions'!$B$13))</f>
        <v>0</v>
      </c>
      <c r="Q78" s="61">
        <f>ABS(((MIN(ABS(Q51),'Baseline System Analysis'!Q14)*Q62*1000*'Cost Assumptions'!$B$6)*'Cost Assumptions'!$B$13))</f>
        <v>0</v>
      </c>
      <c r="R78" s="61">
        <f>ABS(((MIN(ABS(R51),'Baseline System Analysis'!R14)*R62*1000*'Cost Assumptions'!$B$6)*'Cost Assumptions'!$B$13))</f>
        <v>0</v>
      </c>
      <c r="S78" s="61">
        <f>ABS(((MIN(ABS(S51),'Baseline System Analysis'!S14)*S62*1000*'Cost Assumptions'!$B$6)*'Cost Assumptions'!$B$13))</f>
        <v>0</v>
      </c>
      <c r="T78" s="61">
        <f>ABS(((MIN(ABS(T51),'Baseline System Analysis'!T14)*T62*1000*'Cost Assumptions'!$B$6)*'Cost Assumptions'!$B$13))</f>
        <v>0</v>
      </c>
      <c r="U78" s="61">
        <f>ABS(((MIN(ABS(U51),'Baseline System Analysis'!U14)*U62*1000*'Cost Assumptions'!$B$6)*'Cost Assumptions'!$B$13))</f>
        <v>0</v>
      </c>
      <c r="V78" s="61">
        <f>ABS(((MIN(ABS(V51),'Baseline System Analysis'!V14)*V62*1000*'Cost Assumptions'!$B$6)*'Cost Assumptions'!$B$13))</f>
        <v>0</v>
      </c>
      <c r="W78" s="61">
        <f>ABS(((MIN(ABS(W51),'Baseline System Analysis'!W14)*W62*1000*'Cost Assumptions'!$B$6)*'Cost Assumptions'!$B$13))</f>
        <v>0</v>
      </c>
      <c r="X78" s="61">
        <f>ABS(((MIN(ABS(X51),'Baseline System Analysis'!X14)*X62*1000*'Cost Assumptions'!$B$6)*'Cost Assumptions'!$B$13))</f>
        <v>0</v>
      </c>
      <c r="Y78" s="61">
        <f>ABS(((MIN(ABS(Y51),'Baseline System Analysis'!Y14)*Y62*1000*'Cost Assumptions'!$B$6)*'Cost Assumptions'!$B$13))</f>
        <v>0</v>
      </c>
      <c r="Z78" s="61">
        <f>ABS(((MIN(ABS(Z51),'Baseline System Analysis'!Z14)*Z62*1000*'Cost Assumptions'!$B$6)*'Cost Assumptions'!$B$13))</f>
        <v>0</v>
      </c>
      <c r="AA78" s="61">
        <f>ABS(((MIN(ABS(AA51),'Baseline System Analysis'!AA14)*AA62*1000*'Cost Assumptions'!$B$6)*'Cost Assumptions'!$B$13))</f>
        <v>0</v>
      </c>
      <c r="AB78" s="61">
        <f>ABS(((MIN(ABS(AB51),'Baseline System Analysis'!AB14)*AB62*1000*'Cost Assumptions'!$B$6)*'Cost Assumptions'!$B$13))</f>
        <v>0</v>
      </c>
      <c r="AC78" s="61">
        <f>ABS(((MIN(ABS(AC51),'Baseline System Analysis'!AC14)*AC62*1000*'Cost Assumptions'!$B$6)*'Cost Assumptions'!$B$13))</f>
        <v>0</v>
      </c>
      <c r="AD78" s="61">
        <f>ABS(((MIN(ABS(AD51),'Baseline System Analysis'!AD14)*AD62*1000*'Cost Assumptions'!$B$6)*'Cost Assumptions'!$B$13))</f>
        <v>0</v>
      </c>
      <c r="AE78" s="61">
        <f>ABS(((MIN(ABS(AE51),'Baseline System Analysis'!AE14)*AE62*1000*'Cost Assumptions'!$B$6)*'Cost Assumptions'!$B$13))</f>
        <v>0</v>
      </c>
    </row>
    <row r="79" spans="1:31" x14ac:dyDescent="0.35">
      <c r="A79" s="87" t="s">
        <v>119</v>
      </c>
      <c r="B79" s="87" t="s">
        <v>152</v>
      </c>
      <c r="C79" s="17">
        <f>NPV('Cost Assumptions'!$B$3,D79:AE79)</f>
        <v>0</v>
      </c>
      <c r="D79" s="61">
        <f>ABS(((MIN(ABS(D51),'Baseline System Analysis'!D14)*D64*1000*'Cost Assumptions'!$B$6)*'Cost Assumptions'!$B$13))</f>
        <v>0</v>
      </c>
      <c r="E79" s="61">
        <f>ABS(((MIN(ABS(E51),'Baseline System Analysis'!E14)*E64*1000*'Cost Assumptions'!$B$6)*'Cost Assumptions'!$B$13))</f>
        <v>0</v>
      </c>
      <c r="F79" s="61">
        <f>ABS(((MIN(ABS(F51),'Baseline System Analysis'!F14)*F64*1000*'Cost Assumptions'!$B$6)*'Cost Assumptions'!$B$13))</f>
        <v>0</v>
      </c>
      <c r="G79" s="61">
        <f>ABS(((MIN(ABS(G51),'Baseline System Analysis'!G14)*G64*1000*'Cost Assumptions'!$B$6)*'Cost Assumptions'!$B$13))</f>
        <v>0</v>
      </c>
      <c r="H79" s="61">
        <f>ABS(((MIN(ABS(H51),'Baseline System Analysis'!H14)*H64*1000*'Cost Assumptions'!$B$6)*'Cost Assumptions'!$B$13))</f>
        <v>0</v>
      </c>
      <c r="I79" s="61">
        <f>ABS(((MIN(ABS(I51),'Baseline System Analysis'!I14)*I64*1000*'Cost Assumptions'!$B$6)*'Cost Assumptions'!$B$13))</f>
        <v>0</v>
      </c>
      <c r="J79" s="61">
        <f>ABS(((MIN(ABS(J51),'Baseline System Analysis'!J14)*J64*1000*'Cost Assumptions'!$B$6)*'Cost Assumptions'!$B$13))</f>
        <v>0</v>
      </c>
      <c r="K79" s="61">
        <f>ABS(((MIN(ABS(K51),'Baseline System Analysis'!K14)*K64*1000*'Cost Assumptions'!$B$6)*'Cost Assumptions'!$B$13))</f>
        <v>0</v>
      </c>
      <c r="L79" s="61">
        <f>ABS(((MIN(ABS(L51),'Baseline System Analysis'!L14)*L64*1000*'Cost Assumptions'!$B$6)*'Cost Assumptions'!$B$13))</f>
        <v>0</v>
      </c>
      <c r="M79" s="61">
        <f>ABS(((MIN(ABS(M51),'Baseline System Analysis'!M14)*M64*1000*'Cost Assumptions'!$B$6)*'Cost Assumptions'!$B$13))</f>
        <v>0</v>
      </c>
      <c r="N79" s="61">
        <f>ABS(((MIN(ABS(N51),'Baseline System Analysis'!N14)*N64*1000*'Cost Assumptions'!$B$6)*'Cost Assumptions'!$B$13))</f>
        <v>0</v>
      </c>
      <c r="O79" s="61">
        <f>ABS(((MIN(ABS(O51),'Baseline System Analysis'!O14)*O64*1000*'Cost Assumptions'!$B$6)*'Cost Assumptions'!$B$13))</f>
        <v>0</v>
      </c>
      <c r="P79" s="61">
        <f>ABS(((MIN(ABS(P51),'Baseline System Analysis'!P14)*P64*1000*'Cost Assumptions'!$B$6)*'Cost Assumptions'!$B$13))</f>
        <v>0</v>
      </c>
      <c r="Q79" s="61">
        <f>ABS(((MIN(ABS(Q51),'Baseline System Analysis'!Q14)*Q64*1000*'Cost Assumptions'!$B$6)*'Cost Assumptions'!$B$13))</f>
        <v>0</v>
      </c>
      <c r="R79" s="61">
        <f>ABS(((MIN(ABS(R51),'Baseline System Analysis'!R14)*R64*1000*'Cost Assumptions'!$B$6)*'Cost Assumptions'!$B$13))</f>
        <v>0</v>
      </c>
      <c r="S79" s="61">
        <f>ABS(((MIN(ABS(S51),'Baseline System Analysis'!S14)*S64*1000*'Cost Assumptions'!$B$6)*'Cost Assumptions'!$B$13))</f>
        <v>0</v>
      </c>
      <c r="T79" s="61">
        <f>ABS(((MIN(ABS(T51),'Baseline System Analysis'!T14)*T64*1000*'Cost Assumptions'!$B$6)*'Cost Assumptions'!$B$13))</f>
        <v>0</v>
      </c>
      <c r="U79" s="61">
        <f>ABS(((MIN(ABS(U51),'Baseline System Analysis'!U14)*U64*1000*'Cost Assumptions'!$B$6)*'Cost Assumptions'!$B$13))</f>
        <v>0</v>
      </c>
      <c r="V79" s="61">
        <f>ABS(((MIN(ABS(V51),'Baseline System Analysis'!V14)*V64*1000*'Cost Assumptions'!$B$6)*'Cost Assumptions'!$B$13))</f>
        <v>0</v>
      </c>
      <c r="W79" s="61">
        <f>ABS(((MIN(ABS(W51),'Baseline System Analysis'!W14)*W64*1000*'Cost Assumptions'!$B$6)*'Cost Assumptions'!$B$13))</f>
        <v>0</v>
      </c>
      <c r="X79" s="61">
        <f>ABS(((MIN(ABS(X51),'Baseline System Analysis'!X14)*X64*1000*'Cost Assumptions'!$B$6)*'Cost Assumptions'!$B$13))</f>
        <v>0</v>
      </c>
      <c r="Y79" s="61">
        <f>ABS(((MIN(ABS(Y51),'Baseline System Analysis'!Y14)*Y64*1000*'Cost Assumptions'!$B$6)*'Cost Assumptions'!$B$13))</f>
        <v>0</v>
      </c>
      <c r="Z79" s="61">
        <f>ABS(((MIN(ABS(Z51),'Baseline System Analysis'!Z14)*Z64*1000*'Cost Assumptions'!$B$6)*'Cost Assumptions'!$B$13))</f>
        <v>0</v>
      </c>
      <c r="AA79" s="61">
        <f>ABS(((MIN(ABS(AA51),'Baseline System Analysis'!AA14)*AA64*1000*'Cost Assumptions'!$B$6)*'Cost Assumptions'!$B$13))</f>
        <v>0</v>
      </c>
      <c r="AB79" s="61">
        <f>ABS(((MIN(ABS(AB51),'Baseline System Analysis'!AB14)*AB64*1000*'Cost Assumptions'!$B$6)*'Cost Assumptions'!$B$13))</f>
        <v>0</v>
      </c>
      <c r="AC79" s="61">
        <f>ABS(((MIN(ABS(AC51),'Baseline System Analysis'!AC14)*AC64*1000*'Cost Assumptions'!$B$6)*'Cost Assumptions'!$B$13))</f>
        <v>0</v>
      </c>
      <c r="AD79" s="61">
        <f>ABS(((MIN(ABS(AD51),'Baseline System Analysis'!AD14)*AD64*1000*'Cost Assumptions'!$B$6)*'Cost Assumptions'!$B$13))</f>
        <v>0</v>
      </c>
      <c r="AE79" s="61">
        <f>ABS(((MIN(ABS(AE51),'Baseline System Analysis'!AE14)*AE64*1000*'Cost Assumptions'!$B$6)*'Cost Assumptions'!$B$13))</f>
        <v>0</v>
      </c>
    </row>
    <row r="80" spans="1:31" s="60" customFormat="1" ht="29" x14ac:dyDescent="0.35">
      <c r="A80" s="3" t="s">
        <v>146</v>
      </c>
      <c r="B80" s="87" t="s">
        <v>152</v>
      </c>
      <c r="C80" s="17">
        <f>NPV('Cost Assumptions'!$B$3,D80:AE80)</f>
        <v>0</v>
      </c>
      <c r="D80" s="61">
        <f>SUM(D78:D79)</f>
        <v>0</v>
      </c>
      <c r="E80" s="61">
        <f>SUM(E78:E79)</f>
        <v>0</v>
      </c>
      <c r="F80" s="61">
        <f t="shared" ref="F80:AE80" si="49">SUM(F78:F79)</f>
        <v>0</v>
      </c>
      <c r="G80" s="61">
        <f t="shared" si="49"/>
        <v>0</v>
      </c>
      <c r="H80" s="61">
        <f t="shared" si="49"/>
        <v>0</v>
      </c>
      <c r="I80" s="61">
        <f t="shared" si="49"/>
        <v>0</v>
      </c>
      <c r="J80" s="61">
        <f t="shared" si="49"/>
        <v>0</v>
      </c>
      <c r="K80" s="61">
        <f t="shared" si="49"/>
        <v>0</v>
      </c>
      <c r="L80" s="61">
        <f t="shared" si="49"/>
        <v>0</v>
      </c>
      <c r="M80" s="61">
        <f t="shared" si="49"/>
        <v>0</v>
      </c>
      <c r="N80" s="61">
        <f t="shared" si="49"/>
        <v>0</v>
      </c>
      <c r="O80" s="61">
        <f t="shared" si="49"/>
        <v>0</v>
      </c>
      <c r="P80" s="61">
        <f t="shared" si="49"/>
        <v>0</v>
      </c>
      <c r="Q80" s="61">
        <f t="shared" si="49"/>
        <v>0</v>
      </c>
      <c r="R80" s="61">
        <f t="shared" si="49"/>
        <v>0</v>
      </c>
      <c r="S80" s="61">
        <f t="shared" si="49"/>
        <v>0</v>
      </c>
      <c r="T80" s="61">
        <f t="shared" si="49"/>
        <v>0</v>
      </c>
      <c r="U80" s="61">
        <f t="shared" si="49"/>
        <v>0</v>
      </c>
      <c r="V80" s="61">
        <f t="shared" si="49"/>
        <v>0</v>
      </c>
      <c r="W80" s="61">
        <f t="shared" si="49"/>
        <v>0</v>
      </c>
      <c r="X80" s="61">
        <f t="shared" si="49"/>
        <v>0</v>
      </c>
      <c r="Y80" s="61">
        <f t="shared" si="49"/>
        <v>0</v>
      </c>
      <c r="Z80" s="61">
        <f t="shared" si="49"/>
        <v>0</v>
      </c>
      <c r="AA80" s="61">
        <f t="shared" si="49"/>
        <v>0</v>
      </c>
      <c r="AB80" s="61">
        <f t="shared" si="49"/>
        <v>0</v>
      </c>
      <c r="AC80" s="61">
        <f t="shared" si="49"/>
        <v>0</v>
      </c>
      <c r="AD80" s="61">
        <f t="shared" si="49"/>
        <v>0</v>
      </c>
      <c r="AE80" s="61">
        <f t="shared" si="49"/>
        <v>0</v>
      </c>
    </row>
    <row r="81" spans="1:31" s="60" customFormat="1" x14ac:dyDescent="0.35">
      <c r="A81" s="3"/>
      <c r="B81" s="87"/>
      <c r="C81" s="1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s="60" customFormat="1" ht="29" x14ac:dyDescent="0.35">
      <c r="A82" s="3" t="s">
        <v>147</v>
      </c>
      <c r="B82" s="87" t="s">
        <v>148</v>
      </c>
      <c r="C82" s="17">
        <f>NPV('Cost Assumptions'!$B$3,D82:AE82)</f>
        <v>201421523.7424624</v>
      </c>
      <c r="D82" s="61">
        <f>('Baseline System Analysis'!D42-D37)</f>
        <v>11415404.726474755</v>
      </c>
      <c r="E82" s="61">
        <f>('Baseline System Analysis'!E42-E37)</f>
        <v>12677256.086189514</v>
      </c>
      <c r="F82" s="61">
        <f>('Baseline System Analysis'!F42-F37)</f>
        <v>14005928.33497976</v>
      </c>
      <c r="G82" s="61">
        <f>('Baseline System Analysis'!G42-G37)</f>
        <v>14898443.995636351</v>
      </c>
      <c r="H82" s="61">
        <f>('Baseline System Analysis'!H42-H37)</f>
        <v>16001404.151103705</v>
      </c>
      <c r="I82" s="61">
        <f>('Baseline System Analysis'!I42-I37)</f>
        <v>17079540.657531884</v>
      </c>
      <c r="J82" s="61">
        <f>('Baseline System Analysis'!J42-J37)</f>
        <v>18025564.820723638</v>
      </c>
      <c r="K82" s="61">
        <f>('Baseline System Analysis'!K42-K37)</f>
        <v>19173409.538344882</v>
      </c>
      <c r="L82" s="61">
        <f>('Baseline System Analysis'!L42-L37)</f>
        <v>20408716.377800144</v>
      </c>
      <c r="M82" s="61">
        <f>('Baseline System Analysis'!M42-M37)</f>
        <v>21700257.554819502</v>
      </c>
      <c r="N82" s="61">
        <f>('Baseline System Analysis'!N42-N37)</f>
        <v>23225050.521736037</v>
      </c>
      <c r="O82" s="61">
        <f>('Baseline System Analysis'!O42-O37)</f>
        <v>24562337.309540544</v>
      </c>
      <c r="P82" s="61">
        <f>('Baseline System Analysis'!P42-P37)</f>
        <v>26000278.429442648</v>
      </c>
      <c r="Q82" s="61">
        <f>('Baseline System Analysis'!Q42-Q37)</f>
        <v>27628571.211867087</v>
      </c>
      <c r="R82" s="61">
        <f>('Baseline System Analysis'!R42-R37)</f>
        <v>29216356.105742048</v>
      </c>
      <c r="S82" s="61">
        <f>('Baseline System Analysis'!S42-S37)</f>
        <v>31019684.762876015</v>
      </c>
      <c r="T82" s="61">
        <f>('Baseline System Analysis'!T42-T37)</f>
        <v>32721790.79613499</v>
      </c>
      <c r="U82" s="61">
        <f>('Baseline System Analysis'!U42-U37)</f>
        <v>34498473.537261531</v>
      </c>
      <c r="V82" s="61">
        <f>('Baseline System Analysis'!V42-V37)</f>
        <v>36216597.888129503</v>
      </c>
      <c r="W82" s="61">
        <f>('Baseline System Analysis'!W42-W37)</f>
        <v>38085174.954066977</v>
      </c>
      <c r="X82" s="61">
        <f>('Baseline System Analysis'!X42-X37)</f>
        <v>39829235.050383419</v>
      </c>
      <c r="Y82" s="61">
        <f>('Baseline System Analysis'!Y42-Y37)</f>
        <v>41537971.859504849</v>
      </c>
      <c r="Z82" s="61">
        <f>('Baseline System Analysis'!Z42-Z37)</f>
        <v>43666848.802640006</v>
      </c>
      <c r="AA82" s="61">
        <f>('Baseline System Analysis'!AA42-AA37)</f>
        <v>45674640.509398893</v>
      </c>
      <c r="AB82" s="61">
        <f>('Baseline System Analysis'!AB42-AB37)</f>
        <v>47592810.13016814</v>
      </c>
      <c r="AC82" s="61">
        <f>('Baseline System Analysis'!AC42-AC37)</f>
        <v>49813062.13103693</v>
      </c>
      <c r="AD82" s="61">
        <f>('Baseline System Analysis'!AD42-AD37)</f>
        <v>52005419.753570341</v>
      </c>
      <c r="AE82" s="61">
        <f>('Baseline System Analysis'!AE42-AE37)</f>
        <v>54190723.063085757</v>
      </c>
    </row>
    <row r="83" spans="1:31" s="60" customFormat="1" x14ac:dyDescent="0.3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</row>
    <row r="84" spans="1:31" s="60" customFormat="1" ht="20" thickBot="1" x14ac:dyDescent="0.5">
      <c r="A84" s="145" t="s">
        <v>61</v>
      </c>
      <c r="B84" s="169"/>
      <c r="C84" s="17">
        <f>NPV('Cost Assumptions'!$B$3,D84:AE84)/1000000</f>
        <v>3975.038884073901</v>
      </c>
      <c r="D84" s="61">
        <f>SUM(D68,D72,D76,D80,D82)</f>
        <v>55531024.718848586</v>
      </c>
      <c r="E84" s="61">
        <f>SUM(E68,E72,E76,E80,E82)</f>
        <v>83283168.921718627</v>
      </c>
      <c r="F84" s="61">
        <f t="shared" ref="F84:AE84" si="50">SUM(F68,F72,F76,F80,F82)</f>
        <v>111758934.53288352</v>
      </c>
      <c r="G84" s="61">
        <f t="shared" si="50"/>
        <v>141395626.93263957</v>
      </c>
      <c r="H84" s="61">
        <f t="shared" si="50"/>
        <v>171590282.85340929</v>
      </c>
      <c r="I84" s="61">
        <f t="shared" si="50"/>
        <v>202502041.16940206</v>
      </c>
      <c r="J84" s="61">
        <f t="shared" si="50"/>
        <v>237849021.578664</v>
      </c>
      <c r="K84" s="61">
        <f t="shared" si="50"/>
        <v>274488040.34292144</v>
      </c>
      <c r="L84" s="61">
        <f t="shared" si="50"/>
        <v>314482422.74778885</v>
      </c>
      <c r="M84" s="61">
        <f t="shared" si="50"/>
        <v>359785782.98825526</v>
      </c>
      <c r="N84" s="61">
        <f t="shared" si="50"/>
        <v>409456389.64525026</v>
      </c>
      <c r="O84" s="61">
        <f t="shared" si="50"/>
        <v>463310621.19007474</v>
      </c>
      <c r="P84" s="61">
        <f t="shared" si="50"/>
        <v>518493178.98853099</v>
      </c>
      <c r="Q84" s="61">
        <f t="shared" si="50"/>
        <v>570849303.17699003</v>
      </c>
      <c r="R84" s="61">
        <f t="shared" si="50"/>
        <v>626371717.16913033</v>
      </c>
      <c r="S84" s="61">
        <f t="shared" si="50"/>
        <v>730512364.77486312</v>
      </c>
      <c r="T84" s="61">
        <f t="shared" si="50"/>
        <v>837270397.09691727</v>
      </c>
      <c r="U84" s="61">
        <f t="shared" si="50"/>
        <v>951031278.88888502</v>
      </c>
      <c r="V84" s="61">
        <f t="shared" si="50"/>
        <v>1065622625.3503027</v>
      </c>
      <c r="W84" s="61">
        <f t="shared" si="50"/>
        <v>1191156738.2393584</v>
      </c>
      <c r="X84" s="61">
        <f t="shared" si="50"/>
        <v>1308064324.2065668</v>
      </c>
      <c r="Y84" s="61">
        <f t="shared" si="50"/>
        <v>1428985884.0908153</v>
      </c>
      <c r="Z84" s="61">
        <f t="shared" si="50"/>
        <v>1549869812.1278625</v>
      </c>
      <c r="AA84" s="61">
        <f t="shared" si="50"/>
        <v>1675885565.702765</v>
      </c>
      <c r="AB84" s="61">
        <f t="shared" si="50"/>
        <v>1821430196.4557614</v>
      </c>
      <c r="AC84" s="61">
        <f t="shared" si="50"/>
        <v>1961398186.7183723</v>
      </c>
      <c r="AD84" s="61">
        <f t="shared" si="50"/>
        <v>2092430036.5586338</v>
      </c>
      <c r="AE84" s="61">
        <f t="shared" si="50"/>
        <v>2246017924.374567</v>
      </c>
    </row>
    <row r="85" spans="1:31" s="60" customFormat="1" ht="20.5" thickTop="1" thickBot="1" x14ac:dyDescent="0.5">
      <c r="A85" s="145" t="s">
        <v>149</v>
      </c>
      <c r="B85" s="145"/>
      <c r="C85" s="17">
        <f>NPV('Cost Assumptions'!$B$3,D85:AE85)/1000000</f>
        <v>3975.3942673325137</v>
      </c>
      <c r="D85" s="61">
        <f>D84+D44</f>
        <v>55545376.718848541</v>
      </c>
      <c r="E85" s="61">
        <f t="shared" ref="E85:AE85" si="51">E84+E44</f>
        <v>83299923.571718618</v>
      </c>
      <c r="F85" s="61">
        <f t="shared" si="51"/>
        <v>111777913.10370082</v>
      </c>
      <c r="G85" s="61">
        <f t="shared" si="51"/>
        <v>141416930.14865878</v>
      </c>
      <c r="H85" s="61">
        <f t="shared" si="51"/>
        <v>171614015.08528376</v>
      </c>
      <c r="I85" s="61">
        <f t="shared" si="51"/>
        <v>202528310.55341455</v>
      </c>
      <c r="J85" s="61">
        <f t="shared" si="51"/>
        <v>237877940.1397765</v>
      </c>
      <c r="K85" s="61">
        <f t="shared" si="51"/>
        <v>274519724.12162387</v>
      </c>
      <c r="L85" s="61">
        <f t="shared" si="51"/>
        <v>314516991.9308601</v>
      </c>
      <c r="M85" s="61">
        <f t="shared" si="51"/>
        <v>359823362.04355204</v>
      </c>
      <c r="N85" s="61">
        <f t="shared" si="51"/>
        <v>409497107.46064442</v>
      </c>
      <c r="O85" s="61">
        <f t="shared" si="51"/>
        <v>463354611.21666163</v>
      </c>
      <c r="P85" s="61">
        <f t="shared" si="51"/>
        <v>518540579.38823557</v>
      </c>
      <c r="Q85" s="61">
        <f t="shared" si="51"/>
        <v>570900256.97470164</v>
      </c>
      <c r="R85" s="61">
        <f t="shared" si="51"/>
        <v>626426372.40949941</v>
      </c>
      <c r="S85" s="61">
        <f t="shared" si="51"/>
        <v>730571451.88642216</v>
      </c>
      <c r="T85" s="61">
        <f t="shared" si="51"/>
        <v>837334103.51370049</v>
      </c>
      <c r="U85" s="61">
        <f t="shared" si="51"/>
        <v>951099798.64670897</v>
      </c>
      <c r="V85" s="61">
        <f t="shared" si="51"/>
        <v>1065696159.299709</v>
      </c>
      <c r="W85" s="61">
        <f t="shared" si="51"/>
        <v>1191235494.2650774</v>
      </c>
      <c r="X85" s="61">
        <f t="shared" si="51"/>
        <v>1308148517.4536958</v>
      </c>
      <c r="Y85" s="61">
        <f t="shared" si="51"/>
        <v>1429075737.1979086</v>
      </c>
      <c r="Z85" s="61">
        <f t="shared" si="51"/>
        <v>1549965555.467139</v>
      </c>
      <c r="AA85" s="61">
        <f t="shared" si="51"/>
        <v>1675987437.6276419</v>
      </c>
      <c r="AB85" s="61">
        <f t="shared" si="51"/>
        <v>1821538443.5559316</v>
      </c>
      <c r="AC85" s="61">
        <f t="shared" si="51"/>
        <v>1961513064.0826476</v>
      </c>
      <c r="AD85" s="61">
        <f t="shared" si="51"/>
        <v>2092551808.0457816</v>
      </c>
      <c r="AE85" s="61">
        <f t="shared" si="51"/>
        <v>2246146862.8923783</v>
      </c>
    </row>
    <row r="86" spans="1:31" ht="15" thickTop="1" x14ac:dyDescent="0.35">
      <c r="A86" s="87"/>
      <c r="B86" s="87"/>
      <c r="C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20" thickBot="1" x14ac:dyDescent="0.5">
      <c r="A87" s="145" t="s">
        <v>150</v>
      </c>
      <c r="B87" s="145"/>
      <c r="C87" s="17">
        <f>Summary!$D$17</f>
        <v>400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15" thickTop="1" x14ac:dyDescent="0.35">
      <c r="A88" s="87"/>
      <c r="B88" s="87"/>
      <c r="C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20" thickBot="1" x14ac:dyDescent="0.5">
      <c r="A89" s="145" t="s">
        <v>7</v>
      </c>
      <c r="B89" s="145"/>
      <c r="C89" s="50">
        <f>C85/C87</f>
        <v>9.9384856683312837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15" thickTop="1" x14ac:dyDescent="0.35">
      <c r="A90" s="87"/>
      <c r="B90" s="87"/>
      <c r="C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  <row r="91" spans="1:31" s="60" customFormat="1" ht="42.65" customHeight="1" thickBot="1" x14ac:dyDescent="0.5">
      <c r="A91" s="168" t="s">
        <v>156</v>
      </c>
      <c r="B91" s="168"/>
      <c r="C91" s="87"/>
      <c r="D91" s="87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>
        <v>4200.5673070522153</v>
      </c>
      <c r="T91" s="61">
        <v>5051.1320551218041</v>
      </c>
      <c r="U91" s="61">
        <v>5901.696803191393</v>
      </c>
      <c r="V91" s="61">
        <v>6752.2615512609818</v>
      </c>
      <c r="W91" s="61">
        <v>7602.8262993305707</v>
      </c>
      <c r="X91" s="61">
        <v>8453.3910474001586</v>
      </c>
      <c r="Y91" s="61">
        <v>8851.808143501441</v>
      </c>
      <c r="Z91" s="61">
        <v>9250.2252396027234</v>
      </c>
      <c r="AA91" s="61">
        <v>9648.6423357040057</v>
      </c>
      <c r="AB91" s="61">
        <v>10047.059431805288</v>
      </c>
      <c r="AC91" s="61">
        <v>10445.476527906569</v>
      </c>
      <c r="AD91" s="61">
        <v>10561.057462016666</v>
      </c>
      <c r="AE91" s="61">
        <v>10676.638396126764</v>
      </c>
    </row>
    <row r="92" spans="1:31" ht="15" thickTop="1" x14ac:dyDescent="0.35">
      <c r="A92" s="87"/>
      <c r="B92" s="87"/>
      <c r="C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</row>
  </sheetData>
  <mergeCells count="8">
    <mergeCell ref="B2:B15"/>
    <mergeCell ref="B18:B32"/>
    <mergeCell ref="A91:B91"/>
    <mergeCell ref="A59:AE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91"/>
  <sheetViews>
    <sheetView zoomScale="84" zoomScaleNormal="84" workbookViewId="0"/>
  </sheetViews>
  <sheetFormatPr defaultRowHeight="14.5" x14ac:dyDescent="0.35"/>
  <cols>
    <col min="1" max="1" width="21" customWidth="1"/>
    <col min="2" max="2" width="26.7265625" bestFit="1" customWidth="1"/>
    <col min="3" max="3" width="22.81640625" customWidth="1"/>
    <col min="4" max="4" width="17.81640625" style="87" customWidth="1"/>
    <col min="5" max="5" width="14.26953125" bestFit="1" customWidth="1"/>
    <col min="6" max="7" width="13.1796875" bestFit="1" customWidth="1"/>
    <col min="8" max="8" width="15.1796875" bestFit="1" customWidth="1"/>
    <col min="9" max="12" width="13.1796875" bestFit="1" customWidth="1"/>
    <col min="13" max="15" width="14" bestFit="1" customWidth="1"/>
    <col min="16" max="31" width="14.179687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3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3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3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3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3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3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3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3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3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3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3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3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3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21</v>
      </c>
      <c r="C18" s="87" t="s">
        <v>107</v>
      </c>
      <c r="D18" s="61">
        <v>44182.400000000191</v>
      </c>
      <c r="E18" s="61">
        <v>44715.005000000368</v>
      </c>
      <c r="F18" s="61">
        <v>45093.431391724785</v>
      </c>
      <c r="G18" s="61">
        <v>45471.857783449203</v>
      </c>
      <c r="H18" s="61">
        <v>45850.28417517362</v>
      </c>
      <c r="I18" s="61">
        <v>46228.710566898037</v>
      </c>
      <c r="J18" s="61">
        <v>46607.136958622454</v>
      </c>
      <c r="K18" s="61">
        <v>46985.563350346871</v>
      </c>
      <c r="L18" s="61">
        <v>47363.989742071288</v>
      </c>
      <c r="M18" s="61">
        <v>47742.416133795705</v>
      </c>
      <c r="N18" s="61">
        <v>48120.842525520122</v>
      </c>
      <c r="O18" s="61">
        <v>48499.268917244539</v>
      </c>
      <c r="P18" s="61">
        <v>48877.695308968956</v>
      </c>
      <c r="Q18" s="61">
        <f>P18+(($AE18-$P$18)/(COLUMN($AE18)-COLUMN($P$18)))</f>
        <v>49249.20358773919</v>
      </c>
      <c r="R18" s="61">
        <f t="shared" ref="R18:AD18" si="0">Q18+(($AE18-$P$18)/(COLUMN($AE18)-COLUMN($P$18)))</f>
        <v>49620.711866509424</v>
      </c>
      <c r="S18" s="61">
        <f t="shared" si="0"/>
        <v>49992.220145279658</v>
      </c>
      <c r="T18" s="61">
        <f t="shared" si="0"/>
        <v>50363.728424049892</v>
      </c>
      <c r="U18" s="61">
        <f t="shared" si="0"/>
        <v>50735.236702820126</v>
      </c>
      <c r="V18" s="61">
        <f t="shared" si="0"/>
        <v>51106.74498159036</v>
      </c>
      <c r="W18" s="61">
        <f t="shared" si="0"/>
        <v>51478.253260360594</v>
      </c>
      <c r="X18" s="61">
        <f t="shared" si="0"/>
        <v>51849.761539130828</v>
      </c>
      <c r="Y18" s="61">
        <f t="shared" si="0"/>
        <v>52221.269817901062</v>
      </c>
      <c r="Z18" s="61">
        <f t="shared" si="0"/>
        <v>52592.778096671296</v>
      </c>
      <c r="AA18" s="61">
        <f t="shared" si="0"/>
        <v>52964.28637544153</v>
      </c>
      <c r="AB18" s="61">
        <f t="shared" si="0"/>
        <v>53335.794654211764</v>
      </c>
      <c r="AC18" s="61">
        <f t="shared" si="0"/>
        <v>53707.302932981998</v>
      </c>
      <c r="AD18" s="61">
        <f t="shared" si="0"/>
        <v>54078.811211752232</v>
      </c>
      <c r="AE18" s="61">
        <v>54450.319490522459</v>
      </c>
    </row>
    <row r="19" spans="1:31" x14ac:dyDescent="0.35">
      <c r="A19" s="87" t="s">
        <v>30</v>
      </c>
      <c r="B19" s="167"/>
      <c r="C19" s="87" t="s">
        <v>31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</row>
    <row r="20" spans="1:31" x14ac:dyDescent="0.35">
      <c r="A20" s="87" t="s">
        <v>30</v>
      </c>
      <c r="B20" s="167"/>
      <c r="C20" s="87" t="s">
        <v>32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</row>
    <row r="21" spans="1:31" x14ac:dyDescent="0.35">
      <c r="A21" s="87" t="s">
        <v>30</v>
      </c>
      <c r="B21" s="167"/>
      <c r="C21" s="87" t="s">
        <v>33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</row>
    <row r="22" spans="1:31" x14ac:dyDescent="0.35">
      <c r="A22" s="87" t="s">
        <v>30</v>
      </c>
      <c r="B22" s="167"/>
      <c r="C22" s="87" t="s">
        <v>34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</row>
    <row r="23" spans="1:31" x14ac:dyDescent="0.35">
      <c r="A23" s="87" t="s">
        <v>30</v>
      </c>
      <c r="B23" s="167"/>
      <c r="C23" s="87" t="s">
        <v>35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</row>
    <row r="24" spans="1:31" x14ac:dyDescent="0.35">
      <c r="A24" s="87" t="s">
        <v>30</v>
      </c>
      <c r="B24" s="167"/>
      <c r="C24" s="87" t="s">
        <v>108</v>
      </c>
      <c r="D24" s="61">
        <v>2696.9807372804617</v>
      </c>
      <c r="E24" s="61">
        <v>5667.5887774993689</v>
      </c>
      <c r="F24" s="61">
        <v>7543.278668777516</v>
      </c>
      <c r="G24" s="61">
        <v>9418.9685600556622</v>
      </c>
      <c r="H24" s="61">
        <v>11294.658451333809</v>
      </c>
      <c r="I24" s="61">
        <v>13170.348342611956</v>
      </c>
      <c r="J24" s="61">
        <v>15046.038233890104</v>
      </c>
      <c r="K24" s="61">
        <v>16921.728125168251</v>
      </c>
      <c r="L24" s="61">
        <v>18797.418016446398</v>
      </c>
      <c r="M24" s="61">
        <v>20673.107907724541</v>
      </c>
      <c r="N24" s="61">
        <v>22548.797799002685</v>
      </c>
      <c r="O24" s="61">
        <v>24424.487690280828</v>
      </c>
      <c r="P24" s="61">
        <v>26300.177581558972</v>
      </c>
      <c r="Q24" s="61">
        <v>28175.867472837115</v>
      </c>
      <c r="R24" s="61">
        <v>30051.557364115259</v>
      </c>
      <c r="S24" s="61">
        <v>31927.247255393402</v>
      </c>
      <c r="T24" s="61">
        <v>33802.937146671546</v>
      </c>
      <c r="U24" s="61">
        <v>35678.627037949685</v>
      </c>
      <c r="V24" s="61">
        <v>37554.316929227833</v>
      </c>
      <c r="W24" s="61">
        <v>37854.650292612227</v>
      </c>
      <c r="X24" s="61">
        <v>38154.983655996628</v>
      </c>
      <c r="Y24" s="61">
        <v>38455.317019381029</v>
      </c>
      <c r="Z24" s="61">
        <v>38755.650382765431</v>
      </c>
      <c r="AA24" s="61">
        <v>39055.983746149832</v>
      </c>
      <c r="AB24" s="61">
        <v>39356.317109534233</v>
      </c>
      <c r="AC24" s="61">
        <v>39656.650472918634</v>
      </c>
      <c r="AD24" s="61">
        <v>39956.983836303036</v>
      </c>
      <c r="AE24" s="61">
        <v>40257.31719968743</v>
      </c>
    </row>
    <row r="25" spans="1:31" x14ac:dyDescent="0.35">
      <c r="A25" s="87" t="s">
        <v>30</v>
      </c>
      <c r="B25" s="167"/>
      <c r="C25" s="87" t="s">
        <v>109</v>
      </c>
      <c r="D25" s="61">
        <v>58391.351911115744</v>
      </c>
      <c r="E25" s="61">
        <v>60909.150504943776</v>
      </c>
      <c r="F25" s="61">
        <v>63468.753367712336</v>
      </c>
      <c r="G25" s="61">
        <v>65012.952285041625</v>
      </c>
      <c r="H25" s="61">
        <v>66580.82335419365</v>
      </c>
      <c r="I25" s="61">
        <v>68152.862173075948</v>
      </c>
      <c r="J25" s="61">
        <v>69883.551040792649</v>
      </c>
      <c r="K25" s="61">
        <v>71621.924675320377</v>
      </c>
      <c r="L25" s="61">
        <v>73383.275497671653</v>
      </c>
      <c r="M25" s="61">
        <v>75162.750143605503</v>
      </c>
      <c r="N25" s="61">
        <v>76998.362104659056</v>
      </c>
      <c r="O25" s="61">
        <v>78847.700626364865</v>
      </c>
      <c r="P25" s="61">
        <v>80725.588226702908</v>
      </c>
      <c r="Q25" s="61">
        <v>82598.750650400805</v>
      </c>
      <c r="R25" s="61">
        <v>84416.531348807272</v>
      </c>
      <c r="S25" s="61">
        <v>86236.712105856917</v>
      </c>
      <c r="T25" s="61">
        <v>88071.45430896274</v>
      </c>
      <c r="U25" s="61">
        <v>89891.635066012444</v>
      </c>
      <c r="V25" s="61">
        <v>91580.762808554369</v>
      </c>
      <c r="W25" s="61">
        <v>93269.890551096469</v>
      </c>
      <c r="X25" s="61">
        <v>94959.018293638379</v>
      </c>
      <c r="Y25" s="61">
        <v>96633.58459012401</v>
      </c>
      <c r="Z25" s="61">
        <v>98133.41353393282</v>
      </c>
      <c r="AA25" s="61">
        <v>99618.681031685221</v>
      </c>
      <c r="AB25" s="61">
        <v>101103.94852943775</v>
      </c>
      <c r="AC25" s="61">
        <v>102603.77747324655</v>
      </c>
      <c r="AD25" s="61">
        <v>103870.62328015312</v>
      </c>
      <c r="AE25" s="61">
        <v>105137.46908705951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13056.452104756365</v>
      </c>
      <c r="E26" s="61">
        <v>15232.4908473902</v>
      </c>
      <c r="F26" s="61">
        <v>17633.375955618649</v>
      </c>
      <c r="G26" s="61">
        <v>19168.776771090066</v>
      </c>
      <c r="H26" s="61">
        <v>20799.344355950776</v>
      </c>
      <c r="I26" s="61">
        <v>22493.116314552764</v>
      </c>
      <c r="J26" s="61">
        <v>24426.860585441867</v>
      </c>
      <c r="K26" s="61">
        <v>26412.564909570901</v>
      </c>
      <c r="L26" s="61">
        <v>28514.234352736457</v>
      </c>
      <c r="M26" s="61">
        <v>30698.916532699823</v>
      </c>
      <c r="N26" s="61">
        <v>33011.400291448415</v>
      </c>
      <c r="O26" s="61">
        <v>35402.838557713192</v>
      </c>
      <c r="P26" s="61">
        <v>37912.638371722911</v>
      </c>
      <c r="Q26" s="61">
        <v>40486.061351785007</v>
      </c>
      <c r="R26" s="61">
        <v>43070.278167445882</v>
      </c>
      <c r="S26" s="61">
        <v>45740.946424269248</v>
      </c>
      <c r="T26" s="61">
        <v>48535.539925329882</v>
      </c>
      <c r="U26" s="61">
        <v>51366.924752137616</v>
      </c>
      <c r="V26" s="61">
        <v>54079.05437439683</v>
      </c>
      <c r="W26" s="61">
        <v>56865.731760017268</v>
      </c>
      <c r="X26" s="61">
        <v>59745.092001846911</v>
      </c>
      <c r="Y26" s="61">
        <v>62682.88224177518</v>
      </c>
      <c r="Z26" s="61">
        <v>65409.910442245244</v>
      </c>
      <c r="AA26" s="61">
        <v>68165.941757309483</v>
      </c>
      <c r="AB26" s="61">
        <v>70986.202759624735</v>
      </c>
      <c r="AC26" s="61">
        <v>73871.086609997961</v>
      </c>
      <c r="AD26" s="61">
        <v>76355.41764855785</v>
      </c>
      <c r="AE26" s="61">
        <v>78883.491331473211</v>
      </c>
    </row>
    <row r="27" spans="1:31" x14ac:dyDescent="0.35">
      <c r="A27" s="87" t="s">
        <v>39</v>
      </c>
      <c r="B27" s="167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</row>
    <row r="28" spans="1:31" x14ac:dyDescent="0.35">
      <c r="A28" s="87" t="s">
        <v>39</v>
      </c>
      <c r="B28" s="167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</row>
    <row r="29" spans="1:31" x14ac:dyDescent="0.35">
      <c r="A29" s="87" t="s">
        <v>39</v>
      </c>
      <c r="B29" s="167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</row>
    <row r="30" spans="1:31" x14ac:dyDescent="0.35">
      <c r="A30" s="87" t="s">
        <v>39</v>
      </c>
      <c r="B30" s="167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</row>
    <row r="31" spans="1:31" x14ac:dyDescent="0.35">
      <c r="A31" s="87" t="s">
        <v>39</v>
      </c>
      <c r="B31" s="167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</row>
    <row r="34" spans="1:31" s="60" customFormat="1" x14ac:dyDescent="0.35">
      <c r="A34" s="87" t="s">
        <v>133</v>
      </c>
      <c r="B34" s="87" t="s">
        <v>111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</row>
    <row r="35" spans="1:31" s="60" customFormat="1" x14ac:dyDescent="0.35">
      <c r="A35" s="87" t="s">
        <v>133</v>
      </c>
      <c r="B35" s="87" t="s">
        <v>132</v>
      </c>
      <c r="C35" s="87" t="s">
        <v>131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3966989.8422696237</v>
      </c>
      <c r="E36" s="61">
        <v>4707050.096467088</v>
      </c>
      <c r="F36" s="61">
        <v>5543241.2373743523</v>
      </c>
      <c r="G36" s="61">
        <v>6095692.5942402631</v>
      </c>
      <c r="H36" s="61">
        <v>6811876.7156352019</v>
      </c>
      <c r="I36" s="61">
        <v>7457565.8589565828</v>
      </c>
      <c r="J36" s="61">
        <v>8272370.8012944646</v>
      </c>
      <c r="K36" s="61">
        <v>9159673.3030878901</v>
      </c>
      <c r="L36" s="61">
        <v>9932379.8140484635</v>
      </c>
      <c r="M36" s="61">
        <v>10912742.266035732</v>
      </c>
      <c r="N36" s="61">
        <v>12065920.797822045</v>
      </c>
      <c r="O36" s="61">
        <v>13154935.418626778</v>
      </c>
      <c r="P36" s="61">
        <v>14285891.83482568</v>
      </c>
      <c r="Q36" s="61">
        <v>15646720.814857818</v>
      </c>
      <c r="R36" s="61">
        <v>16958054.597929701</v>
      </c>
      <c r="S36" s="61">
        <v>18437737.930425454</v>
      </c>
      <c r="T36" s="61">
        <v>19885747.602311935</v>
      </c>
      <c r="U36" s="61">
        <v>21543950.101561975</v>
      </c>
      <c r="V36" s="61">
        <v>22934114.793186031</v>
      </c>
      <c r="W36" s="61">
        <v>24733588.444500979</v>
      </c>
      <c r="X36" s="61">
        <v>26583755.411002006</v>
      </c>
      <c r="Y36" s="61">
        <v>28522121.910714325</v>
      </c>
      <c r="Z36" s="61">
        <v>30500906.118104178</v>
      </c>
      <c r="AA36" s="61">
        <v>32447439.829188958</v>
      </c>
      <c r="AB36" s="61">
        <v>34585804.049316026</v>
      </c>
      <c r="AC36" s="61">
        <v>36812303.018602028</v>
      </c>
      <c r="AD36" s="61">
        <v>38950786.871240333</v>
      </c>
      <c r="AE36" s="61">
        <v>41143738.427535012</v>
      </c>
    </row>
    <row r="37" spans="1:31" x14ac:dyDescent="0.35">
      <c r="A37" s="87"/>
      <c r="B37" s="87"/>
      <c r="C37" s="87"/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8">
        <f>H38*'Cost Assumptions'!$B$5</f>
        <v>45.256328515624986</v>
      </c>
      <c r="J38" s="8">
        <f>I38*'Cost Assumptions'!$B$5</f>
        <v>46.387736728515605</v>
      </c>
      <c r="K38" s="8">
        <f>J38*'Cost Assumptions'!$B$5</f>
        <v>47.547430146728495</v>
      </c>
      <c r="L38" s="8">
        <f>K38*'Cost Assumptions'!$B$5</f>
        <v>48.736115900396705</v>
      </c>
      <c r="M38" s="8">
        <f>L38*'Cost Assumptions'!$B$5</f>
        <v>49.954518797906616</v>
      </c>
      <c r="N38" s="8">
        <f>M38*'Cost Assumptions'!$B$5</f>
        <v>51.203381767854275</v>
      </c>
      <c r="O38" s="8">
        <f>N38*'Cost Assumptions'!$B$5</f>
        <v>52.483466312050624</v>
      </c>
      <c r="P38" s="8">
        <f>O38*'Cost Assumptions'!$B$5</f>
        <v>53.795552969851883</v>
      </c>
      <c r="Q38" s="8">
        <f>P38*'Cost Assumptions'!$B$5</f>
        <v>55.140441794098173</v>
      </c>
      <c r="R38" s="8">
        <f>Q38*'Cost Assumptions'!$B$5</f>
        <v>56.518952838950625</v>
      </c>
      <c r="S38" s="8">
        <f>R38*'Cost Assumptions'!$B$5</f>
        <v>57.931926659924386</v>
      </c>
      <c r="T38" s="8">
        <f>S38*'Cost Assumptions'!$B$5</f>
        <v>59.380224826422491</v>
      </c>
      <c r="U38" s="8">
        <f>T38*'Cost Assumptions'!$B$5</f>
        <v>60.864730447083048</v>
      </c>
      <c r="V38" s="8">
        <f>U38*'Cost Assumptions'!$B$5</f>
        <v>62.386348708260115</v>
      </c>
      <c r="W38" s="8">
        <f>V38*'Cost Assumptions'!$B$5</f>
        <v>63.946007425966613</v>
      </c>
      <c r="X38" s="8">
        <f>W38*'Cost Assumptions'!$B$5</f>
        <v>65.544657611615776</v>
      </c>
      <c r="Y38" s="8">
        <f>X38*'Cost Assumptions'!$B$5</f>
        <v>67.183274051906167</v>
      </c>
      <c r="Z38" s="8">
        <f>Y38*'Cost Assumptions'!$B$5</f>
        <v>68.862855903203823</v>
      </c>
      <c r="AA38" s="8">
        <f>Z38*'Cost Assumptions'!$B$5</f>
        <v>70.584427300783915</v>
      </c>
      <c r="AB38" s="8">
        <f>AA38*'Cost Assumptions'!$B$5</f>
        <v>72.349037983303504</v>
      </c>
      <c r="AC38" s="8">
        <f>AB38*'Cost Assumptions'!$B$5</f>
        <v>74.157763932886084</v>
      </c>
      <c r="AD38" s="8">
        <f>AC38*'Cost Assumptions'!$B$5</f>
        <v>76.011708031208229</v>
      </c>
      <c r="AE38" s="8">
        <f>AD38*'Cost Assumptions'!$B$5</f>
        <v>77.912000731988428</v>
      </c>
    </row>
    <row r="39" spans="1:31" x14ac:dyDescent="0.35">
      <c r="A39" s="87"/>
      <c r="B39" s="87"/>
      <c r="C39" s="8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Assumptions'!$B$3,'SDG&amp;E and Central BESS in VS'!D42:'SDG&amp;E and Central BESS in VS'!AE42)</f>
        <v>71526.745369632248</v>
      </c>
      <c r="C42" s="87" t="s">
        <v>107</v>
      </c>
      <c r="D42" s="61">
        <f t="shared" ref="D42" si="1">D2-D18</f>
        <v>5899.3499999992855</v>
      </c>
      <c r="E42" s="61">
        <f t="shared" ref="E42:AE42" si="2">E2-E18</f>
        <v>6173.0449999994235</v>
      </c>
      <c r="F42" s="61">
        <f t="shared" si="2"/>
        <v>6391.1224544288634</v>
      </c>
      <c r="G42" s="61">
        <f t="shared" si="2"/>
        <v>6609.1999088583034</v>
      </c>
      <c r="H42" s="61">
        <f t="shared" si="2"/>
        <v>6827.2773632877434</v>
      </c>
      <c r="I42" s="61">
        <f t="shared" si="2"/>
        <v>7045.3548177171833</v>
      </c>
      <c r="J42" s="61">
        <f t="shared" si="2"/>
        <v>7263.4322721466233</v>
      </c>
      <c r="K42" s="61">
        <f t="shared" si="2"/>
        <v>7481.5097265760633</v>
      </c>
      <c r="L42" s="61">
        <f t="shared" si="2"/>
        <v>7699.5871810055032</v>
      </c>
      <c r="M42" s="61">
        <f t="shared" si="2"/>
        <v>7917.6646354349432</v>
      </c>
      <c r="N42" s="61">
        <f t="shared" si="2"/>
        <v>8135.7420898643832</v>
      </c>
      <c r="O42" s="61">
        <f t="shared" si="2"/>
        <v>8353.8195442938231</v>
      </c>
      <c r="P42" s="61">
        <f t="shared" si="2"/>
        <v>8571.8969987232631</v>
      </c>
      <c r="Q42" s="61">
        <f t="shared" si="2"/>
        <v>8796.8925661068861</v>
      </c>
      <c r="R42" s="61">
        <f t="shared" si="2"/>
        <v>9021.8881334905091</v>
      </c>
      <c r="S42" s="61">
        <f t="shared" si="2"/>
        <v>9246.883700874132</v>
      </c>
      <c r="T42" s="61">
        <f t="shared" si="2"/>
        <v>9471.879268257755</v>
      </c>
      <c r="U42" s="61">
        <f t="shared" si="2"/>
        <v>9696.874835641378</v>
      </c>
      <c r="V42" s="61">
        <f t="shared" si="2"/>
        <v>9921.870403025001</v>
      </c>
      <c r="W42" s="61">
        <f t="shared" si="2"/>
        <v>10146.865970408624</v>
      </c>
      <c r="X42" s="61">
        <f t="shared" si="2"/>
        <v>10371.861537792247</v>
      </c>
      <c r="Y42" s="61">
        <f t="shared" si="2"/>
        <v>10596.85710517587</v>
      </c>
      <c r="Z42" s="61">
        <f t="shared" si="2"/>
        <v>10821.852672559493</v>
      </c>
      <c r="AA42" s="61">
        <f t="shared" si="2"/>
        <v>11046.848239943116</v>
      </c>
      <c r="AB42" s="61">
        <f t="shared" si="2"/>
        <v>11271.843807326739</v>
      </c>
      <c r="AC42" s="61">
        <f t="shared" si="2"/>
        <v>11496.839374710362</v>
      </c>
      <c r="AD42" s="61">
        <f t="shared" si="2"/>
        <v>11721.834942093985</v>
      </c>
      <c r="AE42" s="61">
        <f t="shared" si="2"/>
        <v>11946.830509477535</v>
      </c>
    </row>
    <row r="43" spans="1:31" x14ac:dyDescent="0.35">
      <c r="A43" s="87"/>
      <c r="B43" s="9">
        <f>NPV('Cost Assumptions'!$B$3,'SDG&amp;E and Central BESS in VS'!D43:'SDG&amp;E and Central BESS in VS'!AE43)</f>
        <v>3659341.4519993956</v>
      </c>
      <c r="C43" s="87" t="s">
        <v>139</v>
      </c>
      <c r="D43" s="61">
        <f t="shared" ref="D43" si="3">D42*D38</f>
        <v>235973.99999997142</v>
      </c>
      <c r="E43" s="61">
        <f t="shared" ref="E43:AE43" si="4">E42*E38</f>
        <v>253094.84499997637</v>
      </c>
      <c r="F43" s="61">
        <f t="shared" si="4"/>
        <v>268586.92114737298</v>
      </c>
      <c r="G43" s="61">
        <f t="shared" si="4"/>
        <v>284695.41682401445</v>
      </c>
      <c r="H43" s="61">
        <f t="shared" si="4"/>
        <v>301441.47045877081</v>
      </c>
      <c r="I43" s="61">
        <f t="shared" si="4"/>
        <v>318846.89213975007</v>
      </c>
      <c r="J43" s="61">
        <f t="shared" si="4"/>
        <v>336934.18398574146</v>
      </c>
      <c r="K43" s="61">
        <f t="shared" si="4"/>
        <v>355726.56111644517</v>
      </c>
      <c r="L43" s="61">
        <f t="shared" si="4"/>
        <v>375247.97323869297</v>
      </c>
      <c r="M43" s="61">
        <f t="shared" si="4"/>
        <v>395523.12686635531</v>
      </c>
      <c r="N43" s="61">
        <f t="shared" si="4"/>
        <v>416577.50819212658</v>
      </c>
      <c r="O43" s="61">
        <f t="shared" si="4"/>
        <v>438437.40662989498</v>
      </c>
      <c r="P43" s="61">
        <f t="shared" si="4"/>
        <v>461129.93904693169</v>
      </c>
      <c r="Q43" s="61">
        <f t="shared" si="4"/>
        <v>485064.54251035169</v>
      </c>
      <c r="R43" s="61">
        <f t="shared" si="4"/>
        <v>509907.66993503837</v>
      </c>
      <c r="S43" s="61">
        <f t="shared" si="4"/>
        <v>535689.78839189035</v>
      </c>
      <c r="T43" s="61">
        <f t="shared" si="4"/>
        <v>562442.32047787565</v>
      </c>
      <c r="U43" s="61">
        <f t="shared" si="4"/>
        <v>590197.67305041524</v>
      </c>
      <c r="V43" s="61">
        <f t="shared" si="4"/>
        <v>618989.266801283</v>
      </c>
      <c r="W43" s="61">
        <f t="shared" si="4"/>
        <v>648851.56669403776</v>
      </c>
      <c r="X43" s="61">
        <f t="shared" si="4"/>
        <v>679820.11328967952</v>
      </c>
      <c r="Y43" s="61">
        <f t="shared" si="4"/>
        <v>711931.5549859195</v>
      </c>
      <c r="Z43" s="61">
        <f t="shared" si="4"/>
        <v>745223.6811961655</v>
      </c>
      <c r="AA43" s="61">
        <f t="shared" si="4"/>
        <v>779735.45649505756</v>
      </c>
      <c r="AB43" s="61">
        <f t="shared" si="4"/>
        <v>815507.05575814657</v>
      </c>
      <c r="AC43" s="61">
        <f t="shared" si="4"/>
        <v>852579.90032408072</v>
      </c>
      <c r="AD43" s="61">
        <f t="shared" si="4"/>
        <v>890996.69520846265</v>
      </c>
      <c r="AE43" s="61">
        <f t="shared" si="4"/>
        <v>930801.46739935537</v>
      </c>
    </row>
    <row r="44" spans="1:31" x14ac:dyDescent="0.35">
      <c r="A44" s="87" t="s">
        <v>30</v>
      </c>
      <c r="B44" s="9">
        <f>NPV('Cost Assumptions'!$B$3,'SDG&amp;E and Central BESS in VS'!D44:'SDG&amp;E and Central BESS in VS'!AE44)</f>
        <v>9653.5934301640063</v>
      </c>
      <c r="C44" s="87" t="s">
        <v>31</v>
      </c>
      <c r="D44" s="61">
        <f t="shared" ref="D44" si="5">D3-D19</f>
        <v>18</v>
      </c>
      <c r="E44" s="61">
        <f t="shared" ref="E44:AE44" si="6">E3-E19</f>
        <v>40</v>
      </c>
      <c r="F44" s="61">
        <f t="shared" si="6"/>
        <v>71.833333333333343</v>
      </c>
      <c r="G44" s="61">
        <f t="shared" si="6"/>
        <v>103.66666666666669</v>
      </c>
      <c r="H44" s="61">
        <f t="shared" si="6"/>
        <v>135.50000000000003</v>
      </c>
      <c r="I44" s="61">
        <f t="shared" si="6"/>
        <v>167.33333333333337</v>
      </c>
      <c r="J44" s="61">
        <f t="shared" si="6"/>
        <v>199.16666666666671</v>
      </c>
      <c r="K44" s="61">
        <f t="shared" si="6"/>
        <v>231.00000000000003</v>
      </c>
      <c r="L44" s="61">
        <f t="shared" si="6"/>
        <v>348.1</v>
      </c>
      <c r="M44" s="61">
        <f t="shared" si="6"/>
        <v>465.20000000000005</v>
      </c>
      <c r="N44" s="61">
        <f t="shared" si="6"/>
        <v>582.30000000000007</v>
      </c>
      <c r="O44" s="61">
        <f t="shared" si="6"/>
        <v>699.4</v>
      </c>
      <c r="P44" s="61">
        <f t="shared" si="6"/>
        <v>988.65</v>
      </c>
      <c r="Q44" s="61">
        <f t="shared" si="6"/>
        <v>1277.9000000000001</v>
      </c>
      <c r="R44" s="61">
        <f t="shared" si="6"/>
        <v>1567.15</v>
      </c>
      <c r="S44" s="61">
        <f t="shared" si="6"/>
        <v>1856.4</v>
      </c>
      <c r="T44" s="61">
        <f t="shared" si="6"/>
        <v>2145.65</v>
      </c>
      <c r="U44" s="61">
        <f t="shared" si="6"/>
        <v>2434.9</v>
      </c>
      <c r="V44" s="61">
        <f t="shared" si="6"/>
        <v>3114.9700000000003</v>
      </c>
      <c r="W44" s="61">
        <f t="shared" si="6"/>
        <v>3795.04</v>
      </c>
      <c r="X44" s="61">
        <f t="shared" si="6"/>
        <v>4475.1099999999997</v>
      </c>
      <c r="Y44" s="61">
        <f t="shared" si="6"/>
        <v>5155.1799999999994</v>
      </c>
      <c r="Z44" s="61">
        <f t="shared" si="6"/>
        <v>5262.7000000000007</v>
      </c>
      <c r="AA44" s="61">
        <f t="shared" si="6"/>
        <v>6057.2800000000007</v>
      </c>
      <c r="AB44" s="61">
        <f t="shared" si="6"/>
        <v>6851.8600000000006</v>
      </c>
      <c r="AC44" s="61">
        <f t="shared" si="6"/>
        <v>7646.4400000000005</v>
      </c>
      <c r="AD44" s="61">
        <f t="shared" si="6"/>
        <v>8441.02</v>
      </c>
      <c r="AE44" s="61">
        <f t="shared" si="6"/>
        <v>9235.5999999999985</v>
      </c>
    </row>
    <row r="45" spans="1:31" x14ac:dyDescent="0.35">
      <c r="A45" s="87" t="s">
        <v>30</v>
      </c>
      <c r="B45" s="9">
        <f>NPV('Cost Assumptions'!$B$3,'SDG&amp;E and Central BESS in VS'!D45:'SDG&amp;E and Central BESS in VS'!AE45)</f>
        <v>265.9402306105701</v>
      </c>
      <c r="C45" s="87" t="s">
        <v>32</v>
      </c>
      <c r="D45" s="61">
        <f t="shared" ref="D45" si="7">D4-D20</f>
        <v>3.5</v>
      </c>
      <c r="E45" s="61">
        <f t="shared" ref="E45:AE45" si="8">E4-E20</f>
        <v>6</v>
      </c>
      <c r="F45" s="61">
        <f t="shared" si="8"/>
        <v>8.8833333333333346</v>
      </c>
      <c r="G45" s="61">
        <f t="shared" si="8"/>
        <v>11.766666666666669</v>
      </c>
      <c r="H45" s="61">
        <f t="shared" si="8"/>
        <v>14.650000000000004</v>
      </c>
      <c r="I45" s="61">
        <f t="shared" si="8"/>
        <v>17.533333333333339</v>
      </c>
      <c r="J45" s="61">
        <f t="shared" si="8"/>
        <v>20.416666666666675</v>
      </c>
      <c r="K45" s="61">
        <f t="shared" si="8"/>
        <v>23.300000000000011</v>
      </c>
      <c r="L45" s="61">
        <f t="shared" si="8"/>
        <v>26.250000000000014</v>
      </c>
      <c r="M45" s="61">
        <f t="shared" si="8"/>
        <v>29.200000000000017</v>
      </c>
      <c r="N45" s="61">
        <f t="shared" si="8"/>
        <v>32.15000000000002</v>
      </c>
      <c r="O45" s="61">
        <f t="shared" si="8"/>
        <v>35.100000000000023</v>
      </c>
      <c r="P45" s="61">
        <f t="shared" si="8"/>
        <v>39.500000000000021</v>
      </c>
      <c r="Q45" s="61">
        <f t="shared" si="8"/>
        <v>43.90000000000002</v>
      </c>
      <c r="R45" s="61">
        <f t="shared" si="8"/>
        <v>48.300000000000018</v>
      </c>
      <c r="S45" s="61">
        <f t="shared" si="8"/>
        <v>52.700000000000017</v>
      </c>
      <c r="T45" s="61">
        <f t="shared" si="8"/>
        <v>57.100000000000016</v>
      </c>
      <c r="U45" s="61">
        <f t="shared" si="8"/>
        <v>61.5</v>
      </c>
      <c r="V45" s="61">
        <f t="shared" si="8"/>
        <v>63.48</v>
      </c>
      <c r="W45" s="61">
        <f t="shared" si="8"/>
        <v>65.459999999999994</v>
      </c>
      <c r="X45" s="61">
        <f t="shared" si="8"/>
        <v>67.439999999999984</v>
      </c>
      <c r="Y45" s="61">
        <f t="shared" si="8"/>
        <v>69.419999999999973</v>
      </c>
      <c r="Z45" s="61">
        <f t="shared" si="8"/>
        <v>71.399999999999977</v>
      </c>
      <c r="AA45" s="61">
        <f t="shared" si="8"/>
        <v>82.799999999999983</v>
      </c>
      <c r="AB45" s="61">
        <f t="shared" si="8"/>
        <v>94.199999999999989</v>
      </c>
      <c r="AC45" s="61">
        <f t="shared" si="8"/>
        <v>105.6</v>
      </c>
      <c r="AD45" s="61">
        <f t="shared" si="8"/>
        <v>117</v>
      </c>
      <c r="AE45" s="61">
        <f t="shared" si="8"/>
        <v>128.40000000000003</v>
      </c>
    </row>
    <row r="46" spans="1:31" x14ac:dyDescent="0.35">
      <c r="A46" s="87" t="s">
        <v>30</v>
      </c>
      <c r="B46" s="9">
        <f>NPV('Cost Assumptions'!$B$3,'SDG&amp;E and Central BESS in VS'!D46:'SDG&amp;E and Central BESS in VS'!AE46)</f>
        <v>1137.6462621520034</v>
      </c>
      <c r="C46" s="87" t="s">
        <v>33</v>
      </c>
      <c r="D46" s="61">
        <f t="shared" ref="D46" si="9">D5-D21</f>
        <v>0.20339500662097962</v>
      </c>
      <c r="E46" s="61">
        <f t="shared" ref="E46:AE46" si="10">E5-E21</f>
        <v>0.45604357175421173</v>
      </c>
      <c r="F46" s="61">
        <f t="shared" si="10"/>
        <v>1.1323955044854586</v>
      </c>
      <c r="G46" s="61">
        <f t="shared" si="10"/>
        <v>1.8087474372167054</v>
      </c>
      <c r="H46" s="61">
        <f t="shared" si="10"/>
        <v>2.4850993699479522</v>
      </c>
      <c r="I46" s="61">
        <f t="shared" si="10"/>
        <v>3.161451302679199</v>
      </c>
      <c r="J46" s="61">
        <f t="shared" si="10"/>
        <v>3.8378032354104459</v>
      </c>
      <c r="K46" s="61">
        <f t="shared" si="10"/>
        <v>4.5141551681416932</v>
      </c>
      <c r="L46" s="61">
        <f t="shared" si="10"/>
        <v>9.7534462457669928</v>
      </c>
      <c r="M46" s="61">
        <f t="shared" si="10"/>
        <v>14.992737323392292</v>
      </c>
      <c r="N46" s="61">
        <f t="shared" si="10"/>
        <v>20.232028401017594</v>
      </c>
      <c r="O46" s="61">
        <f t="shared" si="10"/>
        <v>25.47131947864289</v>
      </c>
      <c r="P46" s="61">
        <f t="shared" si="10"/>
        <v>54.136770269638852</v>
      </c>
      <c r="Q46" s="61">
        <f t="shared" si="10"/>
        <v>82.802221060634821</v>
      </c>
      <c r="R46" s="61">
        <f t="shared" si="10"/>
        <v>111.46767185163078</v>
      </c>
      <c r="S46" s="61">
        <f t="shared" si="10"/>
        <v>140.13312264262674</v>
      </c>
      <c r="T46" s="61">
        <f t="shared" si="10"/>
        <v>168.79857343362272</v>
      </c>
      <c r="U46" s="61">
        <f t="shared" si="10"/>
        <v>197.46402422461867</v>
      </c>
      <c r="V46" s="61">
        <f t="shared" si="10"/>
        <v>305.59912830497183</v>
      </c>
      <c r="W46" s="61">
        <f t="shared" si="10"/>
        <v>413.73423238532496</v>
      </c>
      <c r="X46" s="61">
        <f t="shared" si="10"/>
        <v>521.86933646567809</v>
      </c>
      <c r="Y46" s="61">
        <f t="shared" si="10"/>
        <v>630.00444054603122</v>
      </c>
      <c r="Z46" s="61">
        <f t="shared" si="10"/>
        <v>738.13954462638446</v>
      </c>
      <c r="AA46" s="61">
        <f t="shared" si="10"/>
        <v>977.35685377183961</v>
      </c>
      <c r="AB46" s="61">
        <f t="shared" si="10"/>
        <v>1216.5741629172949</v>
      </c>
      <c r="AC46" s="61">
        <f t="shared" si="10"/>
        <v>1455.79147206275</v>
      </c>
      <c r="AD46" s="61">
        <f t="shared" si="10"/>
        <v>1695.0087812082052</v>
      </c>
      <c r="AE46" s="61">
        <f t="shared" si="10"/>
        <v>1934.2260903536601</v>
      </c>
    </row>
    <row r="47" spans="1:31" x14ac:dyDescent="0.35">
      <c r="A47" s="87" t="s">
        <v>30</v>
      </c>
      <c r="B47" s="9">
        <f>NPV('Cost Assumptions'!$B$3,'SDG&amp;E and Central BESS in VS'!D47:'SDG&amp;E and Central BESS in VS'!AE47)</f>
        <v>8.5082199214814409</v>
      </c>
      <c r="C47" s="87" t="s">
        <v>34</v>
      </c>
      <c r="D47" s="61">
        <f t="shared" ref="D47" si="11">D6-D22</f>
        <v>1.4005750795433276E-2</v>
      </c>
      <c r="E47" s="61">
        <f t="shared" ref="E47:AE47" si="12">E6-E22</f>
        <v>3.0923092581675603E-2</v>
      </c>
      <c r="F47" s="61">
        <f t="shared" si="12"/>
        <v>5.759084080794194E-2</v>
      </c>
      <c r="G47" s="61">
        <f t="shared" si="12"/>
        <v>8.425858903420827E-2</v>
      </c>
      <c r="H47" s="61">
        <f t="shared" si="12"/>
        <v>0.1109263372604746</v>
      </c>
      <c r="I47" s="61">
        <f t="shared" si="12"/>
        <v>0.13759408548674093</v>
      </c>
      <c r="J47" s="61">
        <f t="shared" si="12"/>
        <v>0.16426183371300726</v>
      </c>
      <c r="K47" s="61">
        <f t="shared" si="12"/>
        <v>0.19092958193927362</v>
      </c>
      <c r="L47" s="61">
        <f t="shared" si="12"/>
        <v>0.29587438223639861</v>
      </c>
      <c r="M47" s="61">
        <f t="shared" si="12"/>
        <v>0.40081918253352361</v>
      </c>
      <c r="N47" s="61">
        <f t="shared" si="12"/>
        <v>0.50576398283064861</v>
      </c>
      <c r="O47" s="61">
        <f t="shared" si="12"/>
        <v>0.61070878312777355</v>
      </c>
      <c r="P47" s="61">
        <f t="shared" si="12"/>
        <v>0.87239668235874701</v>
      </c>
      <c r="Q47" s="61">
        <f t="shared" si="12"/>
        <v>1.1340845815897205</v>
      </c>
      <c r="R47" s="61">
        <f t="shared" si="12"/>
        <v>1.3957724808206939</v>
      </c>
      <c r="S47" s="61">
        <f t="shared" si="12"/>
        <v>1.6574603800516674</v>
      </c>
      <c r="T47" s="61">
        <f t="shared" si="12"/>
        <v>1.9191482792826409</v>
      </c>
      <c r="U47" s="61">
        <f t="shared" si="12"/>
        <v>2.1808361785136139</v>
      </c>
      <c r="V47" s="61">
        <f t="shared" si="12"/>
        <v>2.7006647240796955</v>
      </c>
      <c r="W47" s="61">
        <f t="shared" si="12"/>
        <v>3.2204932696457771</v>
      </c>
      <c r="X47" s="61">
        <f t="shared" si="12"/>
        <v>3.7403218152118587</v>
      </c>
      <c r="Y47" s="61">
        <f t="shared" si="12"/>
        <v>4.2601503607779403</v>
      </c>
      <c r="Z47" s="61">
        <f t="shared" si="12"/>
        <v>4.779978906344021</v>
      </c>
      <c r="AA47" s="61">
        <f t="shared" si="12"/>
        <v>5.5135775055585849</v>
      </c>
      <c r="AB47" s="61">
        <f t="shared" si="12"/>
        <v>6.2471761047731489</v>
      </c>
      <c r="AC47" s="61">
        <f t="shared" si="12"/>
        <v>6.9807747039877128</v>
      </c>
      <c r="AD47" s="61">
        <f t="shared" si="12"/>
        <v>7.7143733032022768</v>
      </c>
      <c r="AE47" s="61">
        <f t="shared" si="12"/>
        <v>8.4479719024168425</v>
      </c>
    </row>
    <row r="48" spans="1:31" x14ac:dyDescent="0.35">
      <c r="A48" s="87" t="s">
        <v>30</v>
      </c>
      <c r="B48" s="9">
        <f>NPV('Cost Assumptions'!$B$3,'SDG&amp;E and Central BESS in VS'!D48:'SDG&amp;E and Central BESS in VS'!AE48)</f>
        <v>703.64349599702848</v>
      </c>
      <c r="C48" s="87" t="s">
        <v>35</v>
      </c>
      <c r="D48" s="61">
        <f t="shared" ref="D48" si="13">D7-D23</f>
        <v>18</v>
      </c>
      <c r="E48" s="61">
        <f t="shared" ref="E48:AE48" si="14">E7-E23</f>
        <v>28</v>
      </c>
      <c r="F48" s="61">
        <f t="shared" si="14"/>
        <v>33.333333333333336</v>
      </c>
      <c r="G48" s="61">
        <f t="shared" si="14"/>
        <v>38.666666666666671</v>
      </c>
      <c r="H48" s="61">
        <f t="shared" si="14"/>
        <v>44.000000000000007</v>
      </c>
      <c r="I48" s="61">
        <f t="shared" si="14"/>
        <v>49.333333333333343</v>
      </c>
      <c r="J48" s="61">
        <f t="shared" si="14"/>
        <v>54.666666666666679</v>
      </c>
      <c r="K48" s="61">
        <f t="shared" si="14"/>
        <v>60</v>
      </c>
      <c r="L48" s="61">
        <f t="shared" si="14"/>
        <v>67</v>
      </c>
      <c r="M48" s="61">
        <f t="shared" si="14"/>
        <v>74</v>
      </c>
      <c r="N48" s="61">
        <f t="shared" si="14"/>
        <v>81</v>
      </c>
      <c r="O48" s="61">
        <f t="shared" si="14"/>
        <v>88</v>
      </c>
      <c r="P48" s="61">
        <f t="shared" si="14"/>
        <v>97.833333333333329</v>
      </c>
      <c r="Q48" s="61">
        <f t="shared" si="14"/>
        <v>107.66666666666666</v>
      </c>
      <c r="R48" s="61">
        <f t="shared" si="14"/>
        <v>117.49999999999999</v>
      </c>
      <c r="S48" s="61">
        <f t="shared" si="14"/>
        <v>127.33333333333331</v>
      </c>
      <c r="T48" s="61">
        <f t="shared" si="14"/>
        <v>137.16666666666666</v>
      </c>
      <c r="U48" s="61">
        <f t="shared" si="14"/>
        <v>147</v>
      </c>
      <c r="V48" s="61">
        <f t="shared" si="14"/>
        <v>158.4</v>
      </c>
      <c r="W48" s="61">
        <f t="shared" si="14"/>
        <v>169.8</v>
      </c>
      <c r="X48" s="61">
        <f t="shared" si="14"/>
        <v>181.20000000000002</v>
      </c>
      <c r="Y48" s="61">
        <f t="shared" si="14"/>
        <v>192.60000000000002</v>
      </c>
      <c r="Z48" s="61">
        <f t="shared" si="14"/>
        <v>204</v>
      </c>
      <c r="AA48" s="61">
        <f t="shared" si="14"/>
        <v>215.4</v>
      </c>
      <c r="AB48" s="61">
        <f t="shared" si="14"/>
        <v>226.8</v>
      </c>
      <c r="AC48" s="61">
        <f t="shared" si="14"/>
        <v>238.20000000000002</v>
      </c>
      <c r="AD48" s="61">
        <f t="shared" si="14"/>
        <v>249.60000000000002</v>
      </c>
      <c r="AE48" s="61">
        <f t="shared" si="14"/>
        <v>261</v>
      </c>
    </row>
    <row r="49" spans="1:31" s="60" customFormat="1" x14ac:dyDescent="0.35">
      <c r="A49" s="87" t="s">
        <v>30</v>
      </c>
      <c r="B49" s="9">
        <f>NPV('Cost Assumptions'!$B$3,'SDG&amp;E and Central BESS in VS'!D49:'SDG&amp;E and Central BESS in VS'!AE49)</f>
        <v>133288.85703131763</v>
      </c>
      <c r="C49" s="85" t="s">
        <v>140</v>
      </c>
      <c r="D49" s="61">
        <f t="shared" ref="D49:E51" si="15">D13-D24</f>
        <v>3630.0532319783788</v>
      </c>
      <c r="E49" s="61">
        <f t="shared" si="15"/>
        <v>3922.9783635497124</v>
      </c>
      <c r="F49" s="61">
        <f t="shared" ref="F49:AE49" si="16">F13-F24</f>
        <v>5310.8216440618062</v>
      </c>
      <c r="G49" s="61">
        <f t="shared" si="16"/>
        <v>6698.6649245739009</v>
      </c>
      <c r="H49" s="61">
        <f t="shared" si="16"/>
        <v>8086.5082050859928</v>
      </c>
      <c r="I49" s="61">
        <f t="shared" si="16"/>
        <v>9474.3514855980866</v>
      </c>
      <c r="J49" s="61">
        <f t="shared" si="16"/>
        <v>10862.19476611018</v>
      </c>
      <c r="K49" s="61">
        <f t="shared" si="16"/>
        <v>12250.038046622274</v>
      </c>
      <c r="L49" s="61">
        <f t="shared" si="16"/>
        <v>13637.881327134368</v>
      </c>
      <c r="M49" s="61">
        <f t="shared" si="16"/>
        <v>15025.724607646462</v>
      </c>
      <c r="N49" s="61">
        <f t="shared" si="16"/>
        <v>16413.567888158555</v>
      </c>
      <c r="O49" s="61">
        <f t="shared" si="16"/>
        <v>17801.411168670649</v>
      </c>
      <c r="P49" s="61">
        <f t="shared" si="16"/>
        <v>19189.254449182743</v>
      </c>
      <c r="Q49" s="61">
        <f t="shared" si="16"/>
        <v>20577.097729694837</v>
      </c>
      <c r="R49" s="61">
        <f t="shared" si="16"/>
        <v>21964.941010206931</v>
      </c>
      <c r="S49" s="61">
        <f t="shared" si="16"/>
        <v>23352.784290719024</v>
      </c>
      <c r="T49" s="61">
        <f t="shared" si="16"/>
        <v>24740.627571231118</v>
      </c>
      <c r="U49" s="61">
        <f t="shared" si="16"/>
        <v>26128.470851743215</v>
      </c>
      <c r="V49" s="61">
        <f t="shared" si="16"/>
        <v>27516.314132255306</v>
      </c>
      <c r="W49" s="61">
        <f t="shared" si="16"/>
        <v>30479.513940661149</v>
      </c>
      <c r="X49" s="61">
        <f t="shared" si="16"/>
        <v>33442.713749066992</v>
      </c>
      <c r="Y49" s="61">
        <f t="shared" si="16"/>
        <v>36405.913557472835</v>
      </c>
      <c r="Z49" s="61">
        <f t="shared" si="16"/>
        <v>39369.113365878678</v>
      </c>
      <c r="AA49" s="61">
        <f t="shared" si="16"/>
        <v>42332.313174284522</v>
      </c>
      <c r="AB49" s="61">
        <f t="shared" si="16"/>
        <v>45295.512982690365</v>
      </c>
      <c r="AC49" s="61">
        <f t="shared" si="16"/>
        <v>48258.712791096208</v>
      </c>
      <c r="AD49" s="61">
        <f t="shared" si="16"/>
        <v>51221.912599502051</v>
      </c>
      <c r="AE49" s="61">
        <f t="shared" si="16"/>
        <v>54185.112407907902</v>
      </c>
    </row>
    <row r="50" spans="1:31" s="60" customFormat="1" x14ac:dyDescent="0.35">
      <c r="A50" s="87" t="s">
        <v>30</v>
      </c>
      <c r="B50" s="9">
        <f>NPV('Cost Assumptions'!$B$3,'SDG&amp;E and Central BESS in VS'!D50:'SDG&amp;E and Central BESS in VS'!AE50)</f>
        <v>1302863.5903623584</v>
      </c>
      <c r="C50" s="85" t="s">
        <v>141</v>
      </c>
      <c r="D50" s="61">
        <f t="shared" si="15"/>
        <v>136221.18392951219</v>
      </c>
      <c r="E50" s="61">
        <f t="shared" si="15"/>
        <v>137060.53678582463</v>
      </c>
      <c r="F50" s="61">
        <f t="shared" ref="F50:AE50" si="17">F14-F25</f>
        <v>137858.08537319655</v>
      </c>
      <c r="G50" s="61">
        <f t="shared" si="17"/>
        <v>138307.72767244806</v>
      </c>
      <c r="H50" s="61">
        <f t="shared" si="17"/>
        <v>138750.7391977965</v>
      </c>
      <c r="I50" s="61">
        <f t="shared" si="17"/>
        <v>139172.54159549496</v>
      </c>
      <c r="J50" s="61">
        <f t="shared" si="17"/>
        <v>139606.10772355419</v>
      </c>
      <c r="K50" s="61">
        <f t="shared" si="17"/>
        <v>140014.94770688278</v>
      </c>
      <c r="L50" s="61">
        <f t="shared" si="17"/>
        <v>140400.81050238758</v>
      </c>
      <c r="M50" s="61">
        <f t="shared" si="17"/>
        <v>140768.54947431025</v>
      </c>
      <c r="N50" s="61">
        <f t="shared" si="17"/>
        <v>141131.27526487171</v>
      </c>
      <c r="O50" s="61">
        <f t="shared" si="17"/>
        <v>141480.27449478052</v>
      </c>
      <c r="P50" s="61">
        <f t="shared" si="17"/>
        <v>141817.76602397673</v>
      </c>
      <c r="Q50" s="61">
        <f t="shared" si="17"/>
        <v>142142.94135189359</v>
      </c>
      <c r="R50" s="61">
        <f t="shared" si="17"/>
        <v>142455.33289342426</v>
      </c>
      <c r="S50" s="61">
        <f t="shared" si="17"/>
        <v>142765.32437631127</v>
      </c>
      <c r="T50" s="61">
        <f t="shared" si="17"/>
        <v>143077.79579106177</v>
      </c>
      <c r="U50" s="61">
        <f t="shared" si="17"/>
        <v>143387.78727394884</v>
      </c>
      <c r="V50" s="61">
        <f t="shared" si="17"/>
        <v>143675.45937006848</v>
      </c>
      <c r="W50" s="61">
        <f t="shared" si="17"/>
        <v>143963.13146618759</v>
      </c>
      <c r="X50" s="61">
        <f t="shared" si="17"/>
        <v>144250.80356230721</v>
      </c>
      <c r="Y50" s="61">
        <f t="shared" si="17"/>
        <v>144535.99572656333</v>
      </c>
      <c r="Z50" s="61">
        <f t="shared" si="17"/>
        <v>144791.42870846245</v>
      </c>
      <c r="AA50" s="61">
        <f t="shared" si="17"/>
        <v>145044.38175849844</v>
      </c>
      <c r="AB50" s="61">
        <f t="shared" si="17"/>
        <v>145297.33480853424</v>
      </c>
      <c r="AC50" s="61">
        <f t="shared" si="17"/>
        <v>145552.76779043337</v>
      </c>
      <c r="AD50" s="61">
        <f t="shared" si="17"/>
        <v>145768.52186252273</v>
      </c>
      <c r="AE50" s="61">
        <f t="shared" si="17"/>
        <v>145984.27593461261</v>
      </c>
    </row>
    <row r="51" spans="1:31" s="80" customFormat="1" x14ac:dyDescent="0.35">
      <c r="A51" s="87" t="s">
        <v>30</v>
      </c>
      <c r="B51" s="9">
        <f>NPV('Cost Assumptions'!$B$3,'SDG&amp;E and Central BESS in VS'!D51:'SDG&amp;E and Central BESS in VS'!AE51)</f>
        <v>691943.58470832056</v>
      </c>
      <c r="C51" s="85" t="s">
        <v>142</v>
      </c>
      <c r="D51" s="61">
        <f t="shared" si="15"/>
        <v>47957.512784948107</v>
      </c>
      <c r="E51" s="61">
        <f t="shared" si="15"/>
        <v>52277.789055557485</v>
      </c>
      <c r="F51" s="61">
        <f t="shared" ref="F51:AE51" si="18">F15-F26</f>
        <v>56744.1987543004</v>
      </c>
      <c r="G51" s="61">
        <f t="shared" si="18"/>
        <v>59449.449258163324</v>
      </c>
      <c r="H51" s="61">
        <f t="shared" si="18"/>
        <v>62189.637165555891</v>
      </c>
      <c r="I51" s="61">
        <f t="shared" si="18"/>
        <v>64896.286962622849</v>
      </c>
      <c r="J51" s="61">
        <f t="shared" si="18"/>
        <v>67894.45505397713</v>
      </c>
      <c r="K51" s="61">
        <f t="shared" si="18"/>
        <v>70947.96330730131</v>
      </c>
      <c r="L51" s="61">
        <f t="shared" si="18"/>
        <v>74044.119921432371</v>
      </c>
      <c r="M51" s="61">
        <f t="shared" si="18"/>
        <v>77204.082579136812</v>
      </c>
      <c r="N51" s="61">
        <f t="shared" si="18"/>
        <v>80498.881992434792</v>
      </c>
      <c r="O51" s="61">
        <f t="shared" si="18"/>
        <v>83812.706041589088</v>
      </c>
      <c r="P51" s="61">
        <f t="shared" si="18"/>
        <v>87190.68016390613</v>
      </c>
      <c r="Q51" s="61">
        <f t="shared" si="18"/>
        <v>90575.591851126926</v>
      </c>
      <c r="R51" s="61">
        <f t="shared" si="18"/>
        <v>93857.099963111716</v>
      </c>
      <c r="S51" s="61">
        <f t="shared" si="18"/>
        <v>97187.522750503456</v>
      </c>
      <c r="T51" s="61">
        <f t="shared" si="18"/>
        <v>100560.68987294604</v>
      </c>
      <c r="U51" s="61">
        <f t="shared" si="18"/>
        <v>103988.95869147126</v>
      </c>
      <c r="V51" s="61">
        <f t="shared" si="18"/>
        <v>107208.66629863993</v>
      </c>
      <c r="W51" s="61">
        <f t="shared" si="18"/>
        <v>110464.81960061965</v>
      </c>
      <c r="X51" s="61">
        <f t="shared" si="18"/>
        <v>113740.33948497142</v>
      </c>
      <c r="Y51" s="61">
        <f t="shared" si="18"/>
        <v>117054.68321161617</v>
      </c>
      <c r="Z51" s="61">
        <f t="shared" si="18"/>
        <v>119988.0212032228</v>
      </c>
      <c r="AA51" s="61">
        <f t="shared" si="18"/>
        <v>122894.94780210481</v>
      </c>
      <c r="AB51" s="61">
        <f t="shared" si="18"/>
        <v>125819.0324188404</v>
      </c>
      <c r="AC51" s="61">
        <f t="shared" si="18"/>
        <v>128815.54428115758</v>
      </c>
      <c r="AD51" s="61">
        <f t="shared" si="18"/>
        <v>131371.42136532674</v>
      </c>
      <c r="AE51" s="61">
        <f t="shared" si="18"/>
        <v>133939.23694365658</v>
      </c>
    </row>
    <row r="52" spans="1:31" x14ac:dyDescent="0.35">
      <c r="A52" s="87" t="s">
        <v>39</v>
      </c>
      <c r="B52" s="9">
        <f>NPV('Cost Assumptions'!$B$3,'SDG&amp;E and Central BESS in VS'!D52:'SDG&amp;E and Central BESS in VS'!AE52)</f>
        <v>21183.807598459298</v>
      </c>
      <c r="C52" s="87" t="s">
        <v>31</v>
      </c>
      <c r="D52" s="61">
        <f t="shared" ref="D52" si="19">D8-D27</f>
        <v>49.800000000000182</v>
      </c>
      <c r="E52" s="61">
        <f t="shared" ref="E52:AE52" si="20">E8-E27</f>
        <v>129.00000000000023</v>
      </c>
      <c r="F52" s="61">
        <f t="shared" si="20"/>
        <v>258.75000000000023</v>
      </c>
      <c r="G52" s="61">
        <f t="shared" si="20"/>
        <v>388.50000000000023</v>
      </c>
      <c r="H52" s="61">
        <f t="shared" si="20"/>
        <v>518.25000000000023</v>
      </c>
      <c r="I52" s="61">
        <f t="shared" si="20"/>
        <v>648.00000000000023</v>
      </c>
      <c r="J52" s="61">
        <f t="shared" si="20"/>
        <v>777.75000000000023</v>
      </c>
      <c r="K52" s="61">
        <f t="shared" si="20"/>
        <v>907.5</v>
      </c>
      <c r="L52" s="61">
        <f t="shared" si="20"/>
        <v>1246.7</v>
      </c>
      <c r="M52" s="61">
        <f t="shared" si="20"/>
        <v>1585.9</v>
      </c>
      <c r="N52" s="61">
        <f t="shared" si="20"/>
        <v>1925.1000000000001</v>
      </c>
      <c r="O52" s="61">
        <f t="shared" si="20"/>
        <v>2264.3000000000002</v>
      </c>
      <c r="P52" s="61">
        <f t="shared" si="20"/>
        <v>2843.6833333333334</v>
      </c>
      <c r="Q52" s="61">
        <f t="shared" si="20"/>
        <v>3423.0666666666666</v>
      </c>
      <c r="R52" s="61">
        <f t="shared" si="20"/>
        <v>4002.45</v>
      </c>
      <c r="S52" s="61">
        <f t="shared" si="20"/>
        <v>4581.833333333333</v>
      </c>
      <c r="T52" s="61">
        <f t="shared" si="20"/>
        <v>5161.2166666666662</v>
      </c>
      <c r="U52" s="61">
        <f t="shared" si="20"/>
        <v>5740.5999999999995</v>
      </c>
      <c r="V52" s="61">
        <f t="shared" si="20"/>
        <v>6569.9999999999991</v>
      </c>
      <c r="W52" s="61">
        <f t="shared" si="20"/>
        <v>7399.3999999999987</v>
      </c>
      <c r="X52" s="61">
        <f t="shared" si="20"/>
        <v>8228.7999999999993</v>
      </c>
      <c r="Y52" s="61">
        <f t="shared" si="20"/>
        <v>9058.1999999999989</v>
      </c>
      <c r="Z52" s="61">
        <f t="shared" si="20"/>
        <v>9887.5999999999985</v>
      </c>
      <c r="AA52" s="61">
        <f t="shared" si="20"/>
        <v>10814.56</v>
      </c>
      <c r="AB52" s="61">
        <f t="shared" si="20"/>
        <v>11741.52</v>
      </c>
      <c r="AC52" s="61">
        <f t="shared" si="20"/>
        <v>12668.480000000001</v>
      </c>
      <c r="AD52" s="61">
        <f t="shared" si="20"/>
        <v>13595.440000000002</v>
      </c>
      <c r="AE52" s="61">
        <f t="shared" si="20"/>
        <v>14522.400000000003</v>
      </c>
    </row>
    <row r="53" spans="1:31" x14ac:dyDescent="0.35">
      <c r="A53" s="87" t="s">
        <v>39</v>
      </c>
      <c r="B53" s="9">
        <f>NPV('Cost Assumptions'!$B$3,'SDG&amp;E and Central BESS in VS'!D53:'SDG&amp;E and Central BESS in VS'!AE53)</f>
        <v>1335.7023826118307</v>
      </c>
      <c r="C53" s="87" t="s">
        <v>32</v>
      </c>
      <c r="D53" s="61">
        <f t="shared" ref="D53" si="21">D9-D28</f>
        <v>22.400000000000091</v>
      </c>
      <c r="E53" s="61">
        <f t="shared" ref="E53:AE53" si="22">E9-E28</f>
        <v>42.200000000000045</v>
      </c>
      <c r="F53" s="61">
        <f t="shared" si="22"/>
        <v>57.06666666666672</v>
      </c>
      <c r="G53" s="61">
        <f t="shared" si="22"/>
        <v>71.933333333333394</v>
      </c>
      <c r="H53" s="61">
        <f t="shared" si="22"/>
        <v>86.800000000000068</v>
      </c>
      <c r="I53" s="61">
        <f t="shared" si="22"/>
        <v>101.66666666666674</v>
      </c>
      <c r="J53" s="61">
        <f t="shared" si="22"/>
        <v>116.53333333333342</v>
      </c>
      <c r="K53" s="61">
        <f t="shared" si="22"/>
        <v>131.40000000000009</v>
      </c>
      <c r="L53" s="61">
        <f t="shared" si="22"/>
        <v>146.05000000000007</v>
      </c>
      <c r="M53" s="61">
        <f t="shared" si="22"/>
        <v>160.70000000000005</v>
      </c>
      <c r="N53" s="61">
        <f t="shared" si="22"/>
        <v>175.35000000000002</v>
      </c>
      <c r="O53" s="61">
        <f t="shared" si="22"/>
        <v>190</v>
      </c>
      <c r="P53" s="61">
        <f t="shared" si="22"/>
        <v>205</v>
      </c>
      <c r="Q53" s="61">
        <f t="shared" si="22"/>
        <v>220</v>
      </c>
      <c r="R53" s="61">
        <f t="shared" si="22"/>
        <v>235</v>
      </c>
      <c r="S53" s="61">
        <f t="shared" si="22"/>
        <v>250</v>
      </c>
      <c r="T53" s="61">
        <f t="shared" si="22"/>
        <v>265</v>
      </c>
      <c r="U53" s="61">
        <f t="shared" si="22"/>
        <v>280</v>
      </c>
      <c r="V53" s="61">
        <f t="shared" si="22"/>
        <v>293.68</v>
      </c>
      <c r="W53" s="61">
        <f t="shared" si="22"/>
        <v>307.36</v>
      </c>
      <c r="X53" s="61">
        <f t="shared" si="22"/>
        <v>321.04000000000002</v>
      </c>
      <c r="Y53" s="61">
        <f t="shared" si="22"/>
        <v>334.72</v>
      </c>
      <c r="Z53" s="61">
        <f t="shared" si="22"/>
        <v>348.40000000000009</v>
      </c>
      <c r="AA53" s="61">
        <f t="shared" si="22"/>
        <v>360.84000000000003</v>
      </c>
      <c r="AB53" s="61">
        <f t="shared" si="22"/>
        <v>373.28</v>
      </c>
      <c r="AC53" s="61">
        <f t="shared" si="22"/>
        <v>385.71999999999991</v>
      </c>
      <c r="AD53" s="61">
        <f t="shared" si="22"/>
        <v>398.15999999999985</v>
      </c>
      <c r="AE53" s="61">
        <f t="shared" si="22"/>
        <v>410.59999999999991</v>
      </c>
    </row>
    <row r="54" spans="1:31" x14ac:dyDescent="0.35">
      <c r="A54" s="87" t="s">
        <v>39</v>
      </c>
      <c r="B54" s="9">
        <f>NPV('Cost Assumptions'!$B$3,'SDG&amp;E and Central BESS in VS'!D54:'SDG&amp;E and Central BESS in VS'!AE54)</f>
        <v>1756.8124401485429</v>
      </c>
      <c r="C54" s="87" t="s">
        <v>33</v>
      </c>
      <c r="D54" s="61">
        <f t="shared" ref="D54" si="23">D10-D29</f>
        <v>0.21200232326290805</v>
      </c>
      <c r="E54" s="61">
        <f t="shared" ref="E54:AE54" si="24">E10-E29</f>
        <v>0.68645330574586072</v>
      </c>
      <c r="F54" s="61">
        <f t="shared" si="24"/>
        <v>3.6304865724427344</v>
      </c>
      <c r="G54" s="61">
        <f t="shared" si="24"/>
        <v>6.574519839139608</v>
      </c>
      <c r="H54" s="61">
        <f t="shared" si="24"/>
        <v>9.5185531058364816</v>
      </c>
      <c r="I54" s="61">
        <f t="shared" si="24"/>
        <v>12.462586372533355</v>
      </c>
      <c r="J54" s="61">
        <f t="shared" si="24"/>
        <v>15.406619639230229</v>
      </c>
      <c r="K54" s="61">
        <f t="shared" si="24"/>
        <v>18.350652905927102</v>
      </c>
      <c r="L54" s="61">
        <f t="shared" si="24"/>
        <v>36.053857953636381</v>
      </c>
      <c r="M54" s="61">
        <f t="shared" si="24"/>
        <v>53.757063001345664</v>
      </c>
      <c r="N54" s="61">
        <f t="shared" si="24"/>
        <v>71.460268049054946</v>
      </c>
      <c r="O54" s="61">
        <f t="shared" si="24"/>
        <v>89.163473096764235</v>
      </c>
      <c r="P54" s="61">
        <f t="shared" si="24"/>
        <v>144.562613999387</v>
      </c>
      <c r="Q54" s="61">
        <f t="shared" si="24"/>
        <v>199.96175490200974</v>
      </c>
      <c r="R54" s="61">
        <f t="shared" si="24"/>
        <v>255.36089580463249</v>
      </c>
      <c r="S54" s="61">
        <f t="shared" si="24"/>
        <v>310.76003670725527</v>
      </c>
      <c r="T54" s="61">
        <f t="shared" si="24"/>
        <v>366.15917760987804</v>
      </c>
      <c r="U54" s="61">
        <f t="shared" si="24"/>
        <v>421.5583185125007</v>
      </c>
      <c r="V54" s="61">
        <f t="shared" si="24"/>
        <v>551.91714225219016</v>
      </c>
      <c r="W54" s="61">
        <f t="shared" si="24"/>
        <v>682.27596599187962</v>
      </c>
      <c r="X54" s="61">
        <f t="shared" si="24"/>
        <v>812.63478973156907</v>
      </c>
      <c r="Y54" s="61">
        <f t="shared" si="24"/>
        <v>942.99361347125853</v>
      </c>
      <c r="Z54" s="61">
        <f t="shared" si="24"/>
        <v>1073.352437210948</v>
      </c>
      <c r="AA54" s="61">
        <f t="shared" si="24"/>
        <v>1297.6248419255464</v>
      </c>
      <c r="AB54" s="61">
        <f t="shared" si="24"/>
        <v>1521.8972466401449</v>
      </c>
      <c r="AC54" s="61">
        <f t="shared" si="24"/>
        <v>1746.1696513547433</v>
      </c>
      <c r="AD54" s="61">
        <f t="shared" si="24"/>
        <v>1970.4420560693418</v>
      </c>
      <c r="AE54" s="61">
        <f t="shared" si="24"/>
        <v>2194.71446078394</v>
      </c>
    </row>
    <row r="55" spans="1:31" x14ac:dyDescent="0.35">
      <c r="A55" s="87" t="s">
        <v>39</v>
      </c>
      <c r="B55" s="9">
        <f>NPV('Cost Assumptions'!$B$3,'SDG&amp;E and Central BESS in VS'!D55:'SDG&amp;E and Central BESS in VS'!AE55)</f>
        <v>22.545263184878515</v>
      </c>
      <c r="C55" s="87" t="s">
        <v>34</v>
      </c>
      <c r="D55" s="61">
        <f t="shared" ref="D55" si="25">D11-D30</f>
        <v>5.3000580815727012E-2</v>
      </c>
      <c r="E55" s="61">
        <f t="shared" ref="E55:AE55" si="26">E11-E30</f>
        <v>0.13729066114917213</v>
      </c>
      <c r="F55" s="61">
        <f t="shared" si="26"/>
        <v>0.27537952381665309</v>
      </c>
      <c r="G55" s="61">
        <f t="shared" si="26"/>
        <v>0.41346838648413409</v>
      </c>
      <c r="H55" s="61">
        <f t="shared" si="26"/>
        <v>0.55155724915161508</v>
      </c>
      <c r="I55" s="61">
        <f t="shared" si="26"/>
        <v>0.68964611181909607</v>
      </c>
      <c r="J55" s="61">
        <f t="shared" si="26"/>
        <v>0.82773497448657707</v>
      </c>
      <c r="K55" s="61">
        <f t="shared" si="26"/>
        <v>0.96582383715405795</v>
      </c>
      <c r="L55" s="61">
        <f t="shared" si="26"/>
        <v>1.3268237771680045</v>
      </c>
      <c r="M55" s="61">
        <f t="shared" si="26"/>
        <v>1.687823717181951</v>
      </c>
      <c r="N55" s="61">
        <f t="shared" si="26"/>
        <v>2.0488236571958973</v>
      </c>
      <c r="O55" s="61">
        <f t="shared" si="26"/>
        <v>2.4098235972098441</v>
      </c>
      <c r="P55" s="61">
        <f t="shared" si="26"/>
        <v>3.0264431390094124</v>
      </c>
      <c r="Q55" s="61">
        <f t="shared" si="26"/>
        <v>3.6430626808089812</v>
      </c>
      <c r="R55" s="61">
        <f t="shared" si="26"/>
        <v>4.25968222260855</v>
      </c>
      <c r="S55" s="61">
        <f t="shared" si="26"/>
        <v>4.8763017644081188</v>
      </c>
      <c r="T55" s="61">
        <f t="shared" si="26"/>
        <v>5.4929213062076876</v>
      </c>
      <c r="U55" s="61">
        <f t="shared" si="26"/>
        <v>6.1095408480072555</v>
      </c>
      <c r="V55" s="61">
        <f t="shared" si="26"/>
        <v>6.9922453003880554</v>
      </c>
      <c r="W55" s="61">
        <f t="shared" si="26"/>
        <v>7.8749497527688552</v>
      </c>
      <c r="X55" s="61">
        <f t="shared" si="26"/>
        <v>8.7576542051496542</v>
      </c>
      <c r="Y55" s="61">
        <f t="shared" si="26"/>
        <v>9.6403586575304541</v>
      </c>
      <c r="Z55" s="61">
        <f t="shared" si="26"/>
        <v>10.523063109911254</v>
      </c>
      <c r="AA55" s="61">
        <f t="shared" si="26"/>
        <v>11.509597615793707</v>
      </c>
      <c r="AB55" s="61">
        <f t="shared" si="26"/>
        <v>12.49613212167616</v>
      </c>
      <c r="AC55" s="61">
        <f t="shared" si="26"/>
        <v>13.482666627558613</v>
      </c>
      <c r="AD55" s="61">
        <f t="shared" si="26"/>
        <v>14.469201133441066</v>
      </c>
      <c r="AE55" s="61">
        <f t="shared" si="26"/>
        <v>15.455735639323521</v>
      </c>
    </row>
    <row r="56" spans="1:31" x14ac:dyDescent="0.35">
      <c r="A56" s="87" t="s">
        <v>39</v>
      </c>
      <c r="B56" s="9">
        <f>NPV('Cost Assumptions'!$B$3,'SDG&amp;E and Central BESS in VS'!D56:'SDG&amp;E and Central BESS in VS'!AE56)</f>
        <v>284.37326230940391</v>
      </c>
      <c r="C56" s="87" t="s">
        <v>35</v>
      </c>
      <c r="D56" s="61">
        <f t="shared" ref="D56" si="27">D12-D31</f>
        <v>4</v>
      </c>
      <c r="E56" s="61">
        <f t="shared" ref="E56:AE56" si="28">E12-E31</f>
        <v>5</v>
      </c>
      <c r="F56" s="61">
        <f t="shared" si="28"/>
        <v>7.3333333333333339</v>
      </c>
      <c r="G56" s="61">
        <f t="shared" si="28"/>
        <v>9.6666666666666679</v>
      </c>
      <c r="H56" s="61">
        <f t="shared" si="28"/>
        <v>12.000000000000002</v>
      </c>
      <c r="I56" s="61">
        <f t="shared" si="28"/>
        <v>14.333333333333336</v>
      </c>
      <c r="J56" s="61">
        <f t="shared" si="28"/>
        <v>16.666666666666668</v>
      </c>
      <c r="K56" s="61">
        <f t="shared" si="28"/>
        <v>19</v>
      </c>
      <c r="L56" s="61">
        <f t="shared" si="28"/>
        <v>23.5</v>
      </c>
      <c r="M56" s="61">
        <f t="shared" si="28"/>
        <v>28</v>
      </c>
      <c r="N56" s="61">
        <f t="shared" si="28"/>
        <v>32.5</v>
      </c>
      <c r="O56" s="61">
        <f t="shared" si="28"/>
        <v>37</v>
      </c>
      <c r="P56" s="61">
        <f t="shared" si="28"/>
        <v>42.333333333333336</v>
      </c>
      <c r="Q56" s="61">
        <f t="shared" si="28"/>
        <v>47.666666666666671</v>
      </c>
      <c r="R56" s="61">
        <f t="shared" si="28"/>
        <v>53.000000000000007</v>
      </c>
      <c r="S56" s="61">
        <f t="shared" si="28"/>
        <v>58.333333333333343</v>
      </c>
      <c r="T56" s="61">
        <f t="shared" si="28"/>
        <v>63.666666666666679</v>
      </c>
      <c r="U56" s="61">
        <f t="shared" si="28"/>
        <v>69</v>
      </c>
      <c r="V56" s="61">
        <f t="shared" si="28"/>
        <v>75.599999999999994</v>
      </c>
      <c r="W56" s="61">
        <f t="shared" si="28"/>
        <v>82.199999999999989</v>
      </c>
      <c r="X56" s="61">
        <f t="shared" si="28"/>
        <v>88.799999999999983</v>
      </c>
      <c r="Y56" s="61">
        <f t="shared" si="28"/>
        <v>95.399999999999977</v>
      </c>
      <c r="Z56" s="61">
        <f t="shared" si="28"/>
        <v>102</v>
      </c>
      <c r="AA56" s="61">
        <f t="shared" si="28"/>
        <v>110</v>
      </c>
      <c r="AB56" s="61">
        <f t="shared" si="28"/>
        <v>118</v>
      </c>
      <c r="AC56" s="61">
        <f t="shared" si="28"/>
        <v>126</v>
      </c>
      <c r="AD56" s="61">
        <f t="shared" si="28"/>
        <v>134</v>
      </c>
      <c r="AE56" s="61">
        <f t="shared" si="28"/>
        <v>142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4652002.7758050347</v>
      </c>
      <c r="D65" s="5">
        <f>'Baseline System Analysis'!D24-D34</f>
        <v>2664.1723479509105</v>
      </c>
      <c r="E65" s="5">
        <f>'Baseline System Analysis'!E24-E34</f>
        <v>6696.6564957916835</v>
      </c>
      <c r="F65" s="5">
        <f>'Baseline System Analysis'!F24-F34</f>
        <v>15296.141952645759</v>
      </c>
      <c r="G65" s="5">
        <f>'Baseline System Analysis'!G24-G34</f>
        <v>23895.627409499837</v>
      </c>
      <c r="H65" s="5">
        <f>'Baseline System Analysis'!H24-H34</f>
        <v>32495.112866353913</v>
      </c>
      <c r="I65" s="5">
        <f>'Baseline System Analysis'!I24-I34</f>
        <v>41094.598323207989</v>
      </c>
      <c r="J65" s="5">
        <f>'Baseline System Analysis'!J24-J34</f>
        <v>49694.083780062065</v>
      </c>
      <c r="K65" s="5">
        <f>'Baseline System Analysis'!K24-K34</f>
        <v>58293.569236916141</v>
      </c>
      <c r="L65" s="5">
        <f>'Baseline System Analysis'!L24-L34</f>
        <v>105854.92342039704</v>
      </c>
      <c r="M65" s="5">
        <f>'Baseline System Analysis'!M24-M34</f>
        <v>153416.27760387794</v>
      </c>
      <c r="N65" s="5">
        <f>'Baseline System Analysis'!N24-N34</f>
        <v>200977.63178735884</v>
      </c>
      <c r="O65" s="5">
        <f>'Baseline System Analysis'!O24-O34</f>
        <v>248538.98597083971</v>
      </c>
      <c r="P65" s="5">
        <f>'Baseline System Analysis'!P24-P34</f>
        <v>392537.65548732539</v>
      </c>
      <c r="Q65" s="5">
        <f>'Baseline System Analysis'!Q24-Q34</f>
        <v>536536.32500381116</v>
      </c>
      <c r="R65" s="5">
        <f>'Baseline System Analysis'!R24-R34</f>
        <v>680534.99452029681</v>
      </c>
      <c r="S65" s="5">
        <f>'Baseline System Analysis'!S24-S34</f>
        <v>824533.66403678246</v>
      </c>
      <c r="T65" s="5">
        <f>'Baseline System Analysis'!T24-T34</f>
        <v>968532.33355326811</v>
      </c>
      <c r="U65" s="5">
        <f>'Baseline System Analysis'!U24-U34</f>
        <v>1112531.003069754</v>
      </c>
      <c r="V65" s="5">
        <f>'Baseline System Analysis'!V24-V34</f>
        <v>1456952.4967023456</v>
      </c>
      <c r="W65" s="5">
        <f>'Baseline System Analysis'!W24-W34</f>
        <v>1801373.9903349369</v>
      </c>
      <c r="X65" s="5">
        <f>'Baseline System Analysis'!X24-X34</f>
        <v>2145795.4839675282</v>
      </c>
      <c r="Y65" s="5">
        <f>'Baseline System Analysis'!Y24-Y34</f>
        <v>2490216.9776001195</v>
      </c>
      <c r="Z65" s="5">
        <f>'Baseline System Analysis'!Z24-Z34</f>
        <v>2834638.4712327113</v>
      </c>
      <c r="AA65" s="5">
        <f>'Baseline System Analysis'!AA24-AA34</f>
        <v>3388540.2700453186</v>
      </c>
      <c r="AB65" s="5">
        <f>'Baseline System Analysis'!AB24-AB34</f>
        <v>3942442.0688579259</v>
      </c>
      <c r="AC65" s="5">
        <f>'Baseline System Analysis'!AC24-AC34</f>
        <v>4496343.8676705332</v>
      </c>
      <c r="AD65" s="5">
        <f>'Baseline System Analysis'!AD24-AD34</f>
        <v>5050245.6664831406</v>
      </c>
      <c r="AE65" s="5">
        <f>'Baseline System Analysis'!AE24-AE34</f>
        <v>5604147.4652957488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19303419.594411455</v>
      </c>
      <c r="D66" s="5">
        <f>'Baseline System Analysis'!D25-D35</f>
        <v>11054.945403686945</v>
      </c>
      <c r="E66" s="5">
        <f>'Baseline System Analysis'!E25-E35</f>
        <v>27787.681230593829</v>
      </c>
      <c r="F66" s="5">
        <f>'Baseline System Analysis'!F25-F35</f>
        <v>63471.124270020417</v>
      </c>
      <c r="G66" s="5">
        <f>'Baseline System Analysis'!G25-G35</f>
        <v>99154.567309447011</v>
      </c>
      <c r="H66" s="5">
        <f>'Baseline System Analysis'!H25-H35</f>
        <v>134838.01034887359</v>
      </c>
      <c r="I66" s="5">
        <f>'Baseline System Analysis'!I25-I35</f>
        <v>170521.45338830017</v>
      </c>
      <c r="J66" s="5">
        <f>'Baseline System Analysis'!J25-J35</f>
        <v>206204.89642772675</v>
      </c>
      <c r="K66" s="5">
        <f>'Baseline System Analysis'!K25-K35</f>
        <v>241888.33946715333</v>
      </c>
      <c r="L66" s="5">
        <f>'Baseline System Analysis'!L25-L35</f>
        <v>439243.50465689693</v>
      </c>
      <c r="M66" s="5">
        <f>'Baseline System Analysis'!M25-M35</f>
        <v>636598.66984664055</v>
      </c>
      <c r="N66" s="5">
        <f>'Baseline System Analysis'!N25-N35</f>
        <v>833953.83503638417</v>
      </c>
      <c r="O66" s="5">
        <f>'Baseline System Analysis'!O25-O35</f>
        <v>1031309.0002261278</v>
      </c>
      <c r="P66" s="5">
        <f>'Baseline System Analysis'!P25-P35</f>
        <v>1628829.4387715852</v>
      </c>
      <c r="Q66" s="5">
        <f>'Baseline System Analysis'!Q25-Q35</f>
        <v>2226349.8773170426</v>
      </c>
      <c r="R66" s="5">
        <f>'Baseline System Analysis'!R25-R35</f>
        <v>2823870.3158625001</v>
      </c>
      <c r="S66" s="5">
        <f>'Baseline System Analysis'!S25-S35</f>
        <v>3421390.7544079577</v>
      </c>
      <c r="T66" s="5">
        <f>'Baseline System Analysis'!T25-T35</f>
        <v>4018911.1929534152</v>
      </c>
      <c r="U66" s="5">
        <f>'Baseline System Analysis'!U25-U35</f>
        <v>4616431.6314988723</v>
      </c>
      <c r="V66" s="5">
        <f>'Baseline System Analysis'!V25-V35</f>
        <v>6045603.7385110594</v>
      </c>
      <c r="W66" s="5">
        <f>'Baseline System Analysis'!W25-W35</f>
        <v>7474775.8455232456</v>
      </c>
      <c r="X66" s="5">
        <f>'Baseline System Analysis'!X25-X35</f>
        <v>8903947.9525354318</v>
      </c>
      <c r="Y66" s="5">
        <f>'Baseline System Analysis'!Y25-Y35</f>
        <v>10333120.059547618</v>
      </c>
      <c r="Z66" s="5">
        <f>'Baseline System Analysis'!Z25-Z35</f>
        <v>11762292.166559806</v>
      </c>
      <c r="AA66" s="5">
        <f>'Baseline System Analysis'!AA25-AA35</f>
        <v>14060699.831359351</v>
      </c>
      <c r="AB66" s="5">
        <f>'Baseline System Analysis'!AB25-AB35</f>
        <v>16359107.496158896</v>
      </c>
      <c r="AC66" s="5">
        <f>'Baseline System Analysis'!AC25-AC35</f>
        <v>18657515.160958443</v>
      </c>
      <c r="AD66" s="5">
        <f>'Baseline System Analysis'!AD25-AD35</f>
        <v>20955922.825757988</v>
      </c>
      <c r="AE66" s="5">
        <f>'Baseline System Analysis'!AE25-AE35</f>
        <v>23254330.490557533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23955422.370216489</v>
      </c>
      <c r="D67" s="5">
        <f>SUM(D65:D66)</f>
        <v>13719.117751637856</v>
      </c>
      <c r="E67" s="5">
        <f>SUM(E65:E66)</f>
        <v>34484.337726385515</v>
      </c>
      <c r="F67" s="5">
        <f t="shared" ref="F67:AE67" si="29">SUM(F65:F66)</f>
        <v>78767.266222666178</v>
      </c>
      <c r="G67" s="5">
        <f t="shared" si="29"/>
        <v>123050.19471894685</v>
      </c>
      <c r="H67" s="5">
        <f t="shared" si="29"/>
        <v>167333.1232152275</v>
      </c>
      <c r="I67" s="5">
        <f t="shared" si="29"/>
        <v>211616.05171150816</v>
      </c>
      <c r="J67" s="5">
        <f t="shared" si="29"/>
        <v>255898.98020778882</v>
      </c>
      <c r="K67" s="5">
        <f t="shared" si="29"/>
        <v>300181.90870406944</v>
      </c>
      <c r="L67" s="5">
        <f t="shared" si="29"/>
        <v>545098.42807729403</v>
      </c>
      <c r="M67" s="5">
        <f t="shared" si="29"/>
        <v>790014.94745051849</v>
      </c>
      <c r="N67" s="5">
        <f t="shared" si="29"/>
        <v>1034931.466823743</v>
      </c>
      <c r="O67" s="5">
        <f t="shared" si="29"/>
        <v>1279847.9861969675</v>
      </c>
      <c r="P67" s="5">
        <f t="shared" si="29"/>
        <v>2021367.0942589105</v>
      </c>
      <c r="Q67" s="5">
        <f t="shared" si="29"/>
        <v>2762886.2023208537</v>
      </c>
      <c r="R67" s="5">
        <f t="shared" si="29"/>
        <v>3504405.3103827969</v>
      </c>
      <c r="S67" s="5">
        <f t="shared" si="29"/>
        <v>4245924.4184447397</v>
      </c>
      <c r="T67" s="5">
        <f t="shared" si="29"/>
        <v>4987443.5265066829</v>
      </c>
      <c r="U67" s="5">
        <f t="shared" si="29"/>
        <v>5728962.6345686261</v>
      </c>
      <c r="V67" s="5">
        <f t="shared" si="29"/>
        <v>7502556.2352134045</v>
      </c>
      <c r="W67" s="5">
        <f t="shared" si="29"/>
        <v>9276149.835858183</v>
      </c>
      <c r="X67" s="5">
        <f t="shared" si="29"/>
        <v>11049743.43650296</v>
      </c>
      <c r="Y67" s="5">
        <f t="shared" si="29"/>
        <v>12823337.037147738</v>
      </c>
      <c r="Z67" s="5">
        <f t="shared" si="29"/>
        <v>14596930.637792516</v>
      </c>
      <c r="AA67" s="5">
        <f t="shared" si="29"/>
        <v>17449240.101404671</v>
      </c>
      <c r="AB67" s="5">
        <f t="shared" si="29"/>
        <v>20301549.565016821</v>
      </c>
      <c r="AC67" s="5">
        <f t="shared" si="29"/>
        <v>23153859.028628975</v>
      </c>
      <c r="AD67" s="5">
        <f t="shared" si="29"/>
        <v>26006168.492241129</v>
      </c>
      <c r="AE67" s="5">
        <f t="shared" si="29"/>
        <v>28858477.955853283</v>
      </c>
    </row>
    <row r="68" spans="1:31" x14ac:dyDescent="0.35">
      <c r="A68" s="87"/>
      <c r="B68" s="87"/>
      <c r="C68" s="8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122402385.45052689</v>
      </c>
      <c r="D69" s="5">
        <f>'Baseline System Analysis'!D28-D32</f>
        <v>310386.79798866023</v>
      </c>
      <c r="E69" s="5">
        <f>'Baseline System Analysis'!E28-E32</f>
        <v>817408.12222421367</v>
      </c>
      <c r="F69" s="5">
        <f>'Baseline System Analysis'!F28-F32</f>
        <v>1334522.6987350811</v>
      </c>
      <c r="G69" s="5">
        <f>'Baseline System Analysis'!G28-G32</f>
        <v>1839795.5479560234</v>
      </c>
      <c r="H69" s="5">
        <f>'Baseline System Analysis'!H28-H32</f>
        <v>2286697.9912531795</v>
      </c>
      <c r="I69" s="5">
        <f>'Baseline System Analysis'!I28-I32</f>
        <v>2696419.0538857356</v>
      </c>
      <c r="J69" s="5">
        <f>'Baseline System Analysis'!J28-J32</f>
        <v>3587048.7001477713</v>
      </c>
      <c r="K69" s="5">
        <f>'Baseline System Analysis'!K28-K32</f>
        <v>4534084.5657563498</v>
      </c>
      <c r="L69" s="5">
        <f>'Baseline System Analysis'!L28-L32</f>
        <v>5693348.9186131302</v>
      </c>
      <c r="M69" s="5">
        <f>'Baseline System Analysis'!M28-M32</f>
        <v>7548985.0743932622</v>
      </c>
      <c r="N69" s="5">
        <f>'Baseline System Analysis'!N28-N32</f>
        <v>9794691.5976483021</v>
      </c>
      <c r="O69" s="5">
        <f>'Baseline System Analysis'!O28-O32</f>
        <v>12474348.375717288</v>
      </c>
      <c r="P69" s="5">
        <f>'Baseline System Analysis'!P28-P32</f>
        <v>15347020.983958816</v>
      </c>
      <c r="Q69" s="5">
        <f>'Baseline System Analysis'!Q28-Q32</f>
        <v>17866466.956706397</v>
      </c>
      <c r="R69" s="5">
        <f>'Baseline System Analysis'!R28-R32</f>
        <v>20996797.786055777</v>
      </c>
      <c r="S69" s="5">
        <f>'Baseline System Analysis'!S28-S32</f>
        <v>24698098.988227863</v>
      </c>
      <c r="T69" s="5">
        <f>'Baseline System Analysis'!T28-T32</f>
        <v>28840317.341671247</v>
      </c>
      <c r="U69" s="5">
        <f>'Baseline System Analysis'!U28-U32</f>
        <v>33541217.353331745</v>
      </c>
      <c r="V69" s="5">
        <f>'Baseline System Analysis'!V28-V32</f>
        <v>38471074.127916157</v>
      </c>
      <c r="W69" s="5">
        <f>'Baseline System Analysis'!W28-W32</f>
        <v>44538095.497219943</v>
      </c>
      <c r="X69" s="5">
        <f>'Baseline System Analysis'!X28-X32</f>
        <v>50065147.454451628</v>
      </c>
      <c r="Y69" s="5">
        <f>'Baseline System Analysis'!Y28-Y32</f>
        <v>56027611.218482688</v>
      </c>
      <c r="Z69" s="5">
        <f>'Baseline System Analysis'!Z28-Z32</f>
        <v>61953016.92696394</v>
      </c>
      <c r="AA69" s="5">
        <f>'Baseline System Analysis'!AA28-AA32</f>
        <v>68192076.492750496</v>
      </c>
      <c r="AB69" s="5">
        <f>'Baseline System Analysis'!AB28-AB32</f>
        <v>75753576.054779172</v>
      </c>
      <c r="AC69" s="5">
        <f>'Baseline System Analysis'!AC28-AC32</f>
        <v>84072896.775216386</v>
      </c>
      <c r="AD69" s="5">
        <f>'Baseline System Analysis'!AD28-AD32</f>
        <v>90296154.735241339</v>
      </c>
      <c r="AE69" s="5">
        <f>'Baseline System Analysis'!AE28-AE32</f>
        <v>99941321.925509945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524690134.18495488</v>
      </c>
      <c r="D70" s="5">
        <f>'Baseline System Analysis'!D29-D33</f>
        <v>1628153.2445022203</v>
      </c>
      <c r="E70" s="5">
        <f>'Baseline System Analysis'!E29-E33</f>
        <v>4276437.722523096</v>
      </c>
      <c r="F70" s="5">
        <f>'Baseline System Analysis'!F29-F33</f>
        <v>6406619.8340516584</v>
      </c>
      <c r="G70" s="5">
        <f>'Baseline System Analysis'!G29-G33</f>
        <v>8961966.1784057487</v>
      </c>
      <c r="H70" s="5">
        <f>'Baseline System Analysis'!H29-H33</f>
        <v>10695561.997562293</v>
      </c>
      <c r="I70" s="5">
        <f>'Baseline System Analysis'!I29-I33</f>
        <v>11935292.094424136</v>
      </c>
      <c r="J70" s="5">
        <f>'Baseline System Analysis'!J29-J33</f>
        <v>15941642.32252172</v>
      </c>
      <c r="K70" s="5">
        <f>'Baseline System Analysis'!K29-K33</f>
        <v>19613619.815275714</v>
      </c>
      <c r="L70" s="5">
        <f>'Baseline System Analysis'!L29-L33</f>
        <v>24661704.485005222</v>
      </c>
      <c r="M70" s="5">
        <f>'Baseline System Analysis'!M29-M33</f>
        <v>32796387.723990619</v>
      </c>
      <c r="N70" s="5">
        <f>'Baseline System Analysis'!N29-N33</f>
        <v>43151911.473019019</v>
      </c>
      <c r="O70" s="5">
        <f>'Baseline System Analysis'!O29-O33</f>
        <v>55866474.738844089</v>
      </c>
      <c r="P70" s="5">
        <f>'Baseline System Analysis'!P29-P33</f>
        <v>68637387.043348879</v>
      </c>
      <c r="Q70" s="5">
        <f>'Baseline System Analysis'!Q29-Q33</f>
        <v>77675195.110624015</v>
      </c>
      <c r="R70" s="5">
        <f>'Baseline System Analysis'!R29-R33</f>
        <v>90392543.566104695</v>
      </c>
      <c r="S70" s="5">
        <f>'Baseline System Analysis'!S29-S33</f>
        <v>106694968.75578959</v>
      </c>
      <c r="T70" s="5">
        <f>'Baseline System Analysis'!T29-T33</f>
        <v>124345366.11087258</v>
      </c>
      <c r="U70" s="5">
        <f>'Baseline System Analysis'!U29-U33</f>
        <v>143712431.51196387</v>
      </c>
      <c r="V70" s="5">
        <f>'Baseline System Analysis'!V29-V33</f>
        <v>164558346.42944998</v>
      </c>
      <c r="W70" s="5">
        <f>'Baseline System Analysis'!W29-W33</f>
        <v>190732503.36979601</v>
      </c>
      <c r="X70" s="5">
        <f>'Baseline System Analysis'!X29-X33</f>
        <v>211736495.75619063</v>
      </c>
      <c r="Y70" s="5">
        <f>'Baseline System Analysis'!Y29-Y33</f>
        <v>237640870.29091629</v>
      </c>
      <c r="Z70" s="5">
        <f>'Baseline System Analysis'!Z29-Z33</f>
        <v>261024283.43241259</v>
      </c>
      <c r="AA70" s="5">
        <f>'Baseline System Analysis'!AA29-AA33</f>
        <v>285410828.68515736</v>
      </c>
      <c r="AB70" s="5">
        <f>'Baseline System Analysis'!AB29-AB33</f>
        <v>316389312.35185409</v>
      </c>
      <c r="AC70" s="5">
        <f>'Baseline System Analysis'!AC29-AC33</f>
        <v>351526819.46737939</v>
      </c>
      <c r="AD70" s="5">
        <f>'Baseline System Analysis'!AD29-AD33</f>
        <v>372036180.3666203</v>
      </c>
      <c r="AE70" s="5">
        <f>'Baseline System Analysis'!AE29-AE33</f>
        <v>405152985.56203926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647092519.63548172</v>
      </c>
      <c r="D71" s="5">
        <f>SUM(D69:D70)</f>
        <v>1938540.0424908805</v>
      </c>
      <c r="E71" s="5">
        <f>SUM(E69:E70)</f>
        <v>5093845.8447473096</v>
      </c>
      <c r="F71" s="5">
        <f t="shared" ref="F71:AE71" si="30">SUM(F69:F70)</f>
        <v>7741142.53278674</v>
      </c>
      <c r="G71" s="5">
        <f t="shared" si="30"/>
        <v>10801761.726361772</v>
      </c>
      <c r="H71" s="5">
        <f t="shared" si="30"/>
        <v>12982259.988815472</v>
      </c>
      <c r="I71" s="5">
        <f t="shared" si="30"/>
        <v>14631711.148309872</v>
      </c>
      <c r="J71" s="5">
        <f t="shared" si="30"/>
        <v>19528691.02266949</v>
      </c>
      <c r="K71" s="5">
        <f t="shared" si="30"/>
        <v>24147704.381032065</v>
      </c>
      <c r="L71" s="5">
        <f t="shared" si="30"/>
        <v>30355053.403618351</v>
      </c>
      <c r="M71" s="5">
        <f t="shared" si="30"/>
        <v>40345372.798383884</v>
      </c>
      <c r="N71" s="5">
        <f t="shared" si="30"/>
        <v>52946603.070667319</v>
      </c>
      <c r="O71" s="5">
        <f t="shared" si="30"/>
        <v>68340823.114561379</v>
      </c>
      <c r="P71" s="5">
        <f t="shared" si="30"/>
        <v>83984408.027307689</v>
      </c>
      <c r="Q71" s="5">
        <f t="shared" si="30"/>
        <v>95541662.06733042</v>
      </c>
      <c r="R71" s="5">
        <f t="shared" si="30"/>
        <v>111389341.35216047</v>
      </c>
      <c r="S71" s="5">
        <f t="shared" si="30"/>
        <v>131393067.74401745</v>
      </c>
      <c r="T71" s="5">
        <f t="shared" si="30"/>
        <v>153185683.45254382</v>
      </c>
      <c r="U71" s="5">
        <f t="shared" si="30"/>
        <v>177253648.86529562</v>
      </c>
      <c r="V71" s="5">
        <f t="shared" si="30"/>
        <v>203029420.55736613</v>
      </c>
      <c r="W71" s="5">
        <f t="shared" si="30"/>
        <v>235270598.86701596</v>
      </c>
      <c r="X71" s="5">
        <f t="shared" si="30"/>
        <v>261801643.21064225</v>
      </c>
      <c r="Y71" s="5">
        <f t="shared" si="30"/>
        <v>293668481.509399</v>
      </c>
      <c r="Z71" s="5">
        <f t="shared" si="30"/>
        <v>322977300.35937655</v>
      </c>
      <c r="AA71" s="5">
        <f t="shared" si="30"/>
        <v>353602905.17790782</v>
      </c>
      <c r="AB71" s="5">
        <f t="shared" si="30"/>
        <v>392142888.40663326</v>
      </c>
      <c r="AC71" s="5">
        <f t="shared" si="30"/>
        <v>435599716.24259579</v>
      </c>
      <c r="AD71" s="5">
        <f t="shared" si="30"/>
        <v>462332335.10186166</v>
      </c>
      <c r="AE71" s="5">
        <f t="shared" si="30"/>
        <v>505094307.48754919</v>
      </c>
    </row>
    <row r="73" spans="1:31" x14ac:dyDescent="0.35">
      <c r="A73" s="87" t="s">
        <v>117</v>
      </c>
      <c r="B73" s="87" t="s">
        <v>144</v>
      </c>
      <c r="C73" s="17">
        <f>NPV('Cost Assumptions'!$B$3,D73:AE73)</f>
        <v>741628773.85900819</v>
      </c>
      <c r="D73" s="61">
        <f>ABS((D49*D60*1000*'Cost Assumptions'!$B$6)/'Cost Assumptions'!$B$14)</f>
        <v>14321865.117730765</v>
      </c>
      <c r="E73" s="61">
        <f>ABS((E49*E60*1000*'Cost Assumptions'!$B$6)/'Cost Assumptions'!$B$14)</f>
        <v>15864499.079456342</v>
      </c>
      <c r="F73" s="61">
        <f>ABS((F49*F60*1000*'Cost Assumptions'!$B$6)/'Cost Assumptions'!$B$14)</f>
        <v>22013851.51977155</v>
      </c>
      <c r="G73" s="61">
        <f>ABS((G49*G60*1000*'Cost Assumptions'!$B$6)/'Cost Assumptions'!$B$14)</f>
        <v>28460756.270177852</v>
      </c>
      <c r="H73" s="61">
        <f>ABS((H49*H60*1000*'Cost Assumptions'!$B$6)/'Cost Assumptions'!$B$14)</f>
        <v>35216247.600904606</v>
      </c>
      <c r="I73" s="61">
        <f>ABS((I49*I60*1000*'Cost Assumptions'!$B$6)/'Cost Assumptions'!$B$14)</f>
        <v>42291725.525498845</v>
      </c>
      <c r="J73" s="61">
        <f>ABS((J49*J60*1000*'Cost Assumptions'!$B$6)/'Cost Assumptions'!$B$14)</f>
        <v>49698967.191572219</v>
      </c>
      <c r="K73" s="61">
        <f>ABS((K49*K60*1000*'Cost Assumptions'!$B$6)/'Cost Assumptions'!$B$14)</f>
        <v>57450138.612495825</v>
      </c>
      <c r="L73" s="61">
        <f>ABS((L49*L60*1000*'Cost Assumptions'!$B$6)/'Cost Assumptions'!$B$14)</f>
        <v>65557806.749970883</v>
      </c>
      <c r="M73" s="61">
        <f>ABS((M49*M60*1000*'Cost Assumptions'!$B$6)/'Cost Assumptions'!$B$14)</f>
        <v>74034951.957686886</v>
      </c>
      <c r="N73" s="61">
        <f>ABS((N49*N60*1000*'Cost Assumptions'!$B$6)/'Cost Assumptions'!$B$14)</f>
        <v>82894980.796569943</v>
      </c>
      <c r="O73" s="61">
        <f>ABS((O49*O60*1000*'Cost Assumptions'!$B$6)/'Cost Assumptions'!$B$14)</f>
        <v>92151739.232423618</v>
      </c>
      <c r="P73" s="61">
        <f>ABS((P49*P60*1000*'Cost Assumptions'!$B$6)/'Cost Assumptions'!$B$14)</f>
        <v>101819526.2270721</v>
      </c>
      <c r="Q73" s="61">
        <f>ABS((Q49*Q60*1000*'Cost Assumptions'!$B$6)/'Cost Assumptions'!$B$14)</f>
        <v>111913107.73443274</v>
      </c>
      <c r="R73" s="61">
        <f>ABS((R49*R60*1000*'Cost Assumptions'!$B$6)/'Cost Assumptions'!$B$14)</f>
        <v>122447731.11326951</v>
      </c>
      <c r="S73" s="61">
        <f>ABS((S49*S60*1000*'Cost Assumptions'!$B$6)/'Cost Assumptions'!$B$14)</f>
        <v>133439139.96871407</v>
      </c>
      <c r="T73" s="61">
        <f>ABS((T49*T60*1000*'Cost Assumptions'!$B$6)/'Cost Assumptions'!$B$14)</f>
        <v>144903589.43498507</v>
      </c>
      <c r="U73" s="61">
        <f>ABS((U49*U60*1000*'Cost Assumptions'!$B$6)/'Cost Assumptions'!$B$14)</f>
        <v>156857861.9120892</v>
      </c>
      <c r="V73" s="61">
        <f>ABS((V49*V60*1000*'Cost Assumptions'!$B$6)/'Cost Assumptions'!$B$14)</f>
        <v>169319283.26965165</v>
      </c>
      <c r="W73" s="61">
        <f>ABS((W49*W60*1000*'Cost Assumptions'!$B$6)/'Cost Assumptions'!$B$14)</f>
        <v>192241906.59352452</v>
      </c>
      <c r="X73" s="61">
        <f>ABS((X49*X60*1000*'Cost Assumptions'!$B$6)/'Cost Assumptions'!$B$14)</f>
        <v>216204836.53154749</v>
      </c>
      <c r="Y73" s="61">
        <f>ABS((Y49*Y60*1000*'Cost Assumptions'!$B$6)/'Cost Assumptions'!$B$14)</f>
        <v>241245761.77485067</v>
      </c>
      <c r="Z73" s="61">
        <f>ABS((Z49*Z60*1000*'Cost Assumptions'!$B$6)/'Cost Assumptions'!$B$14)</f>
        <v>267403605.25748682</v>
      </c>
      <c r="AA73" s="61">
        <f>ABS((AA49*AA60*1000*'Cost Assumptions'!$B$6)/'Cost Assumptions'!$B$14)</f>
        <v>294718562.31314552</v>
      </c>
      <c r="AB73" s="61">
        <f>ABS((AB49*AB60*1000*'Cost Assumptions'!$B$6)/'Cost Assumptions'!$B$14)</f>
        <v>323232139.96830112</v>
      </c>
      <c r="AC73" s="61">
        <f>ABS((AC49*AC60*1000*'Cost Assumptions'!$B$6)/'Cost Assumptions'!$B$14)</f>
        <v>352987197.40476882</v>
      </c>
      <c r="AD73" s="61">
        <f>ABS((AD49*AD60*1000*'Cost Assumptions'!$B$6)/'Cost Assumptions'!$B$14)</f>
        <v>384027987.62557971</v>
      </c>
      <c r="AE73" s="61">
        <f>ABS((AE49*AE60*1000*'Cost Assumptions'!$B$6)/'Cost Assumptions'!$B$14)</f>
        <v>416400200.35905325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3055238010.4633012</v>
      </c>
      <c r="D74" s="61">
        <f>ABS((D49*D62*1000*'Cost Assumptions'!$B$7)/'Cost Assumptions'!$B$14)</f>
        <v>59000821.206996664</v>
      </c>
      <c r="E74" s="61">
        <f>ABS((E49*E62*1000*'Cost Assumptions'!$B$7)/'Cost Assumptions'!$B$14)</f>
        <v>65355906.233662039</v>
      </c>
      <c r="F74" s="61">
        <f>ABS((F49*F62*1000*'Cost Assumptions'!$B$7)/'Cost Assumptions'!$B$14)</f>
        <v>90688978.4897798</v>
      </c>
      <c r="G74" s="61">
        <f>ABS((G49*G62*1000*'Cost Assumptions'!$B$7)/'Cost Assumptions'!$B$14)</f>
        <v>117247856.91730739</v>
      </c>
      <c r="H74" s="61">
        <f>ABS((H49*H62*1000*'Cost Assumptions'!$B$7)/'Cost Assumptions'!$B$14)</f>
        <v>145077998.65465525</v>
      </c>
      <c r="I74" s="61">
        <f>ABS((I49*I62*1000*'Cost Assumptions'!$B$7)/'Cost Assumptions'!$B$14)</f>
        <v>174226367.56829721</v>
      </c>
      <c r="J74" s="61">
        <f>ABS((J49*J62*1000*'Cost Assumptions'!$B$7)/'Cost Assumptions'!$B$14)</f>
        <v>204741481.17846206</v>
      </c>
      <c r="K74" s="61">
        <f>ABS((K49*K62*1000*'Cost Assumptions'!$B$7)/'Cost Assumptions'!$B$14)</f>
        <v>236673458.98940495</v>
      </c>
      <c r="L74" s="61">
        <f>ABS((L49*L62*1000*'Cost Assumptions'!$B$7)/'Cost Assumptions'!$B$14)</f>
        <v>270074072.26515847</v>
      </c>
      <c r="M74" s="61">
        <f>ABS((M49*M62*1000*'Cost Assumptions'!$B$7)/'Cost Assumptions'!$B$14)</f>
        <v>304996795.2928313</v>
      </c>
      <c r="N74" s="61">
        <f>ABS((N49*N62*1000*'Cost Assumptions'!$B$7)/'Cost Assumptions'!$B$14)</f>
        <v>341496858.17672205</v>
      </c>
      <c r="O74" s="61">
        <f>ABS((O49*O62*1000*'Cost Assumptions'!$B$7)/'Cost Assumptions'!$B$14)</f>
        <v>379631301.20774931</v>
      </c>
      <c r="P74" s="61">
        <f>ABS((P49*P62*1000*'Cost Assumptions'!$B$7)/'Cost Assumptions'!$B$14)</f>
        <v>419459030.85396737</v>
      </c>
      <c r="Q74" s="61">
        <f>ABS((Q49*Q62*1000*'Cost Assumptions'!$B$7)/'Cost Assumptions'!$B$14)</f>
        <v>461040877.41924161</v>
      </c>
      <c r="R74" s="61">
        <f>ABS((R49*R62*1000*'Cost Assumptions'!$B$7)/'Cost Assumptions'!$B$14)</f>
        <v>504439654.41849571</v>
      </c>
      <c r="S74" s="61">
        <f>ABS((S49*S62*1000*'Cost Assumptions'!$B$7)/'Cost Assumptions'!$B$14)</f>
        <v>549720219.71932566</v>
      </c>
      <c r="T74" s="61">
        <f>ABS((T49*T62*1000*'Cost Assumptions'!$B$7)/'Cost Assumptions'!$B$14)</f>
        <v>596949538.50118542</v>
      </c>
      <c r="U74" s="61">
        <f>ABS((U49*U62*1000*'Cost Assumptions'!$B$7)/'Cost Assumptions'!$B$14)</f>
        <v>646196748.08481371</v>
      </c>
      <c r="V74" s="61">
        <f>ABS((V49*V62*1000*'Cost Assumptions'!$B$7)/'Cost Assumptions'!$B$14)</f>
        <v>697533224.68606007</v>
      </c>
      <c r="W74" s="61">
        <f>ABS((W49*W62*1000*'Cost Assumptions'!$B$7)/'Cost Assumptions'!$B$14)</f>
        <v>791966009.04825819</v>
      </c>
      <c r="X74" s="61">
        <f>ABS((X49*X62*1000*'Cost Assumptions'!$B$7)/'Cost Assumptions'!$B$14)</f>
        <v>890684474.36313748</v>
      </c>
      <c r="Y74" s="61">
        <f>ABS((Y49*Y62*1000*'Cost Assumptions'!$B$7)/'Cost Assumptions'!$B$14)</f>
        <v>993843884.18810523</v>
      </c>
      <c r="Z74" s="61">
        <f>ABS((Z49*Z62*1000*'Cost Assumptions'!$B$7)/'Cost Assumptions'!$B$14)</f>
        <v>1101604586.7078447</v>
      </c>
      <c r="AA74" s="61">
        <f>ABS((AA49*AA62*1000*'Cost Assumptions'!$B$7)/'Cost Assumptions'!$B$14)</f>
        <v>1214132171.9259534</v>
      </c>
      <c r="AB74" s="61">
        <f>ABS((AB49*AB62*1000*'Cost Assumptions'!$B$7)/'Cost Assumptions'!$B$14)</f>
        <v>1331597633.538275</v>
      </c>
      <c r="AC74" s="61">
        <f>ABS((AC49*AC62*1000*'Cost Assumptions'!$B$7)/'Cost Assumptions'!$B$14)</f>
        <v>1454177535.623759</v>
      </c>
      <c r="AD74" s="61">
        <f>ABS((AD49*AD62*1000*'Cost Assumptions'!$B$7)/'Cost Assumptions'!$B$14)</f>
        <v>1582054184.2925563</v>
      </c>
      <c r="AE74" s="61">
        <f>ABS((AE49*AE62*1000*'Cost Assumptions'!$B$7)/'Cost Assumptions'!$B$14)</f>
        <v>1715415804.4350281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3796866784.322309</v>
      </c>
      <c r="D75" s="61">
        <f>SUM(D73:D74)</f>
        <v>73322686.324727431</v>
      </c>
      <c r="E75" s="61">
        <f>SUM(E73:E74)</f>
        <v>81220405.313118383</v>
      </c>
      <c r="F75" s="61">
        <f t="shared" ref="F75:AE75" si="31">SUM(F73:F74)</f>
        <v>112702830.00955135</v>
      </c>
      <c r="G75" s="61">
        <f t="shared" si="31"/>
        <v>145708613.18748525</v>
      </c>
      <c r="H75" s="61">
        <f t="shared" si="31"/>
        <v>180294246.25555986</v>
      </c>
      <c r="I75" s="61">
        <f t="shared" si="31"/>
        <v>216518093.09379604</v>
      </c>
      <c r="J75" s="61">
        <f t="shared" si="31"/>
        <v>254440448.37003428</v>
      </c>
      <c r="K75" s="61">
        <f t="shared" si="31"/>
        <v>294123597.60190076</v>
      </c>
      <c r="L75" s="61">
        <f t="shared" si="31"/>
        <v>335631879.01512933</v>
      </c>
      <c r="M75" s="61">
        <f t="shared" si="31"/>
        <v>379031747.2505182</v>
      </c>
      <c r="N75" s="61">
        <f t="shared" si="31"/>
        <v>424391838.97329199</v>
      </c>
      <c r="O75" s="61">
        <f t="shared" si="31"/>
        <v>471783040.44017291</v>
      </c>
      <c r="P75" s="61">
        <f t="shared" si="31"/>
        <v>521278557.08103949</v>
      </c>
      <c r="Q75" s="61">
        <f t="shared" si="31"/>
        <v>572953985.15367436</v>
      </c>
      <c r="R75" s="61">
        <f t="shared" si="31"/>
        <v>626887385.53176522</v>
      </c>
      <c r="S75" s="61">
        <f t="shared" si="31"/>
        <v>683159359.68803978</v>
      </c>
      <c r="T75" s="61">
        <f t="shared" si="31"/>
        <v>741853127.93617046</v>
      </c>
      <c r="U75" s="61">
        <f t="shared" si="31"/>
        <v>803054609.99690294</v>
      </c>
      <c r="V75" s="61">
        <f t="shared" si="31"/>
        <v>866852507.95571172</v>
      </c>
      <c r="W75" s="61">
        <f t="shared" si="31"/>
        <v>984207915.64178276</v>
      </c>
      <c r="X75" s="61">
        <f t="shared" si="31"/>
        <v>1106889310.894685</v>
      </c>
      <c r="Y75" s="61">
        <f t="shared" si="31"/>
        <v>1235089645.962956</v>
      </c>
      <c r="Z75" s="61">
        <f t="shared" si="31"/>
        <v>1369008191.9653316</v>
      </c>
      <c r="AA75" s="61">
        <f t="shared" si="31"/>
        <v>1508850734.239099</v>
      </c>
      <c r="AB75" s="61">
        <f t="shared" si="31"/>
        <v>1654829773.5065761</v>
      </c>
      <c r="AC75" s="61">
        <f t="shared" si="31"/>
        <v>1807164733.0285277</v>
      </c>
      <c r="AD75" s="61">
        <f t="shared" si="31"/>
        <v>1966082171.9181361</v>
      </c>
      <c r="AE75" s="61">
        <f t="shared" si="31"/>
        <v>2131816004.7940812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53721266.010462157</v>
      </c>
      <c r="D77" s="61">
        <f>ABS(D50)*D61*1000*'Cost Assumptions'!$B$6*'Cost Assumptions'!$B$13</f>
        <v>4535568.7122134641</v>
      </c>
      <c r="E77" s="61">
        <f>ABS(E50)*E61*1000*'Cost Assumptions'!$B$6*'Cost Assumptions'!$B$13</f>
        <v>4677603.372708953</v>
      </c>
      <c r="F77" s="61">
        <f>ABS(F50)*F61*1000*'Cost Assumptions'!$B$6*'Cost Assumptions'!$B$13</f>
        <v>4822442.6718620909</v>
      </c>
      <c r="G77" s="61">
        <f>ABS(G50)*G61*1000*'Cost Assumptions'!$B$6*'Cost Assumptions'!$B$13</f>
        <v>4959125.9962704647</v>
      </c>
      <c r="H77" s="61">
        <f>ABS(H50)*H61*1000*'Cost Assumptions'!$B$6*'Cost Assumptions'!$B$13</f>
        <v>5099385.7651380701</v>
      </c>
      <c r="I77" s="61">
        <f>ABS(I50)*I61*1000*'Cost Assumptions'!$B$6*'Cost Assumptions'!$B$13</f>
        <v>5242760.100981568</v>
      </c>
      <c r="J77" s="61">
        <f>ABS(J50)*J61*1000*'Cost Assumptions'!$B$6*'Cost Assumptions'!$B$13</f>
        <v>5390570.2670326782</v>
      </c>
      <c r="K77" s="61">
        <f>ABS(K50)*K61*1000*'Cost Assumptions'!$B$6*'Cost Assumptions'!$B$13</f>
        <v>5541515.6042600088</v>
      </c>
      <c r="L77" s="61">
        <f>ABS(L50)*L61*1000*'Cost Assumptions'!$B$6*'Cost Assumptions'!$B$13</f>
        <v>5695706.9753401354</v>
      </c>
      <c r="M77" s="61">
        <f>ABS(M50)*M61*1000*'Cost Assumptions'!$B$6*'Cost Assumptions'!$B$13</f>
        <v>5853390.8489374397</v>
      </c>
      <c r="N77" s="61">
        <f>ABS(N50)*N61*1000*'Cost Assumptions'!$B$6*'Cost Assumptions'!$B$13</f>
        <v>6015185.4315097313</v>
      </c>
      <c r="O77" s="61">
        <f>ABS(O50)*O61*1000*'Cost Assumptions'!$B$6*'Cost Assumptions'!$B$13</f>
        <v>6180811.7052691141</v>
      </c>
      <c r="P77" s="61">
        <f>ABS(P50)*P61*1000*'Cost Assumptions'!$B$6*'Cost Assumptions'!$B$13</f>
        <v>6350444.499566338</v>
      </c>
      <c r="Q77" s="61">
        <f>ABS(Q50)*Q61*1000*'Cost Assumptions'!$B$6*'Cost Assumptions'!$B$13</f>
        <v>6524130.6325851558</v>
      </c>
      <c r="R77" s="61">
        <f>ABS(R50)*R61*1000*'Cost Assumptions'!$B$6*'Cost Assumptions'!$B$13</f>
        <v>6701930.620489737</v>
      </c>
      <c r="S77" s="61">
        <f>ABS(S50)*S61*1000*'Cost Assumptions'!$B$6*'Cost Assumptions'!$B$13</f>
        <v>6884427.2905529421</v>
      </c>
      <c r="T77" s="61">
        <f>ABS(T50)*T61*1000*'Cost Assumptions'!$B$6*'Cost Assumptions'!$B$13</f>
        <v>7071982.664398836</v>
      </c>
      <c r="U77" s="61">
        <f>ABS(U50)*U61*1000*'Cost Assumptions'!$B$6*'Cost Assumptions'!$B$13</f>
        <v>7264487.3985401634</v>
      </c>
      <c r="V77" s="61">
        <f>ABS(V50)*V61*1000*'Cost Assumptions'!$B$6*'Cost Assumptions'!$B$13</f>
        <v>7461038.3388595162</v>
      </c>
      <c r="W77" s="61">
        <f>ABS(W50)*W61*1000*'Cost Assumptions'!$B$6*'Cost Assumptions'!$B$13</f>
        <v>7662876.5215707207</v>
      </c>
      <c r="X77" s="61">
        <f>ABS(X50)*X61*1000*'Cost Assumptions'!$B$6*'Cost Assumptions'!$B$13</f>
        <v>7870143.4644557247</v>
      </c>
      <c r="Y77" s="61">
        <f>ABS(Y50)*Y61*1000*'Cost Assumptions'!$B$6*'Cost Assumptions'!$B$13</f>
        <v>8082845.7721280148</v>
      </c>
      <c r="Z77" s="61">
        <f>ABS(Z50)*Z61*1000*'Cost Assumptions'!$B$6*'Cost Assumptions'!$B$13</f>
        <v>8299558.5357877789</v>
      </c>
      <c r="AA77" s="61">
        <f>ABS(AA50)*AA61*1000*'Cost Assumptions'!$B$6*'Cost Assumptions'!$B$13</f>
        <v>8521909.4535876065</v>
      </c>
      <c r="AB77" s="61">
        <f>ABS(AB50)*AB61*1000*'Cost Assumptions'!$B$6*'Cost Assumptions'!$B$13</f>
        <v>8750190.6931925453</v>
      </c>
      <c r="AC77" s="61">
        <f>ABS(AC50)*AC61*1000*'Cost Assumptions'!$B$6*'Cost Assumptions'!$B$13</f>
        <v>8984712.8831422627</v>
      </c>
      <c r="AD77" s="61">
        <f>ABS(AD50)*AD61*1000*'Cost Assumptions'!$B$6*'Cost Assumptions'!$B$13</f>
        <v>9222981.7723288648</v>
      </c>
      <c r="AE77" s="61">
        <f>ABS(AE50)*AE61*1000*'Cost Assumptions'!$B$6*'Cost Assumptions'!$B$13</f>
        <v>9467548.6604228672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242156769.72510719</v>
      </c>
      <c r="D78" s="61">
        <f>ABS(D50)*D63*1000*'Cost Assumptions'!$B$7*'Cost Assumptions'!$B$13</f>
        <v>20444765.169941828</v>
      </c>
      <c r="E78" s="61">
        <f>ABS(E50)*E63*1000*'Cost Assumptions'!$B$7*'Cost Assumptions'!$B$13</f>
        <v>21085007.984917406</v>
      </c>
      <c r="F78" s="61">
        <f>ABS(F50)*F63*1000*'Cost Assumptions'!$B$7*'Cost Assumptions'!$B$13</f>
        <v>21737893.134819534</v>
      </c>
      <c r="G78" s="61">
        <f>ABS(G50)*G63*1000*'Cost Assumptions'!$B$7*'Cost Assumptions'!$B$13</f>
        <v>22354013.989223354</v>
      </c>
      <c r="H78" s="61">
        <f>ABS(H50)*H63*1000*'Cost Assumptions'!$B$7*'Cost Assumptions'!$B$13</f>
        <v>22986256.210483633</v>
      </c>
      <c r="I78" s="61">
        <f>ABS(I50)*I63*1000*'Cost Assumptions'!$B$7*'Cost Assumptions'!$B$13</f>
        <v>23632537.815659925</v>
      </c>
      <c r="J78" s="61">
        <f>ABS(J50)*J63*1000*'Cost Assumptions'!$B$7*'Cost Assumptions'!$B$13</f>
        <v>24298814.599540979</v>
      </c>
      <c r="K78" s="61">
        <f>ABS(K50)*K63*1000*'Cost Assumptions'!$B$7*'Cost Assumptions'!$B$13</f>
        <v>24979223.643901888</v>
      </c>
      <c r="L78" s="61">
        <f>ABS(L50)*L63*1000*'Cost Assumptions'!$B$7*'Cost Assumptions'!$B$13</f>
        <v>25674264.679103427</v>
      </c>
      <c r="M78" s="61">
        <f>ABS(M50)*M63*1000*'Cost Assumptions'!$B$7*'Cost Assumptions'!$B$13</f>
        <v>26385048.700102288</v>
      </c>
      <c r="N78" s="61">
        <f>ABS(N50)*N63*1000*'Cost Assumptions'!$B$7*'Cost Assumptions'!$B$13</f>
        <v>27114362.366446223</v>
      </c>
      <c r="O78" s="61">
        <f>ABS(O50)*O63*1000*'Cost Assumptions'!$B$7*'Cost Assumptions'!$B$13</f>
        <v>27860947.963058323</v>
      </c>
      <c r="P78" s="61">
        <f>ABS(P50)*P63*1000*'Cost Assumptions'!$B$7*'Cost Assumptions'!$B$13</f>
        <v>28625593.559803188</v>
      </c>
      <c r="Q78" s="61">
        <f>ABS(Q50)*Q63*1000*'Cost Assumptions'!$B$7*'Cost Assumptions'!$B$13</f>
        <v>29408510.196758304</v>
      </c>
      <c r="R78" s="61">
        <f>ABS(R50)*R63*1000*'Cost Assumptions'!$B$7*'Cost Assumptions'!$B$13</f>
        <v>30209970.659729365</v>
      </c>
      <c r="S78" s="61">
        <f>ABS(S50)*S63*1000*'Cost Assumptions'!$B$7*'Cost Assumptions'!$B$13</f>
        <v>31032602.131211959</v>
      </c>
      <c r="T78" s="61">
        <f>ABS(T50)*T63*1000*'Cost Assumptions'!$B$7*'Cost Assumptions'!$B$13</f>
        <v>31878036.47868735</v>
      </c>
      <c r="U78" s="61">
        <f>ABS(U50)*U63*1000*'Cost Assumptions'!$B$7*'Cost Assumptions'!$B$13</f>
        <v>32745780.819771487</v>
      </c>
      <c r="V78" s="61">
        <f>ABS(V50)*V63*1000*'Cost Assumptions'!$B$7*'Cost Assumptions'!$B$13</f>
        <v>33631764.050041921</v>
      </c>
      <c r="W78" s="61">
        <f>ABS(W50)*W63*1000*'Cost Assumptions'!$B$7*'Cost Assumptions'!$B$13</f>
        <v>34541580.328813404</v>
      </c>
      <c r="X78" s="61">
        <f>ABS(X50)*X63*1000*'Cost Assumptions'!$B$7*'Cost Assumptions'!$B$13</f>
        <v>35475867.568992302</v>
      </c>
      <c r="Y78" s="61">
        <f>ABS(Y50)*Y63*1000*'Cost Assumptions'!$B$7*'Cost Assumptions'!$B$13</f>
        <v>36434655.541877493</v>
      </c>
      <c r="Z78" s="61">
        <f>ABS(Z50)*Z63*1000*'Cost Assumptions'!$B$7*'Cost Assumptions'!$B$13</f>
        <v>37411521.25453268</v>
      </c>
      <c r="AA78" s="61">
        <f>ABS(AA50)*AA63*1000*'Cost Assumptions'!$B$7*'Cost Assumptions'!$B$13</f>
        <v>38413801.803716548</v>
      </c>
      <c r="AB78" s="61">
        <f>ABS(AB50)*AB63*1000*'Cost Assumptions'!$B$7*'Cost Assumptions'!$B$13</f>
        <v>39442814.179575488</v>
      </c>
      <c r="AC78" s="61">
        <f>ABS(AC50)*AC63*1000*'Cost Assumptions'!$B$7*'Cost Assumptions'!$B$13</f>
        <v>40499958.587453388</v>
      </c>
      <c r="AD78" s="61">
        <f>ABS(AD50)*AD63*1000*'Cost Assumptions'!$B$7*'Cost Assumptions'!$B$13</f>
        <v>41573991.811469004</v>
      </c>
      <c r="AE78" s="61">
        <f>ABS(AE50)*AE63*1000*'Cost Assumptions'!$B$7*'Cost Assumptions'!$B$13</f>
        <v>42676414.222568385</v>
      </c>
    </row>
    <row r="79" spans="1:31" s="60" customFormat="1" ht="29" x14ac:dyDescent="0.35">
      <c r="A79" s="3" t="s">
        <v>146</v>
      </c>
      <c r="B79" s="87" t="s">
        <v>152</v>
      </c>
      <c r="C79" s="17">
        <f>NPV('Cost Assumptions'!$B$3,D79:AE79)</f>
        <v>295878035.7355693</v>
      </c>
      <c r="D79" s="61">
        <f>SUM(D77:D78)</f>
        <v>24980333.882155292</v>
      </c>
      <c r="E79" s="61">
        <f>SUM(E77:E78)</f>
        <v>25762611.35762636</v>
      </c>
      <c r="F79" s="61">
        <f t="shared" ref="F79:AE79" si="32">SUM(F77:F78)</f>
        <v>26560335.806681626</v>
      </c>
      <c r="G79" s="61">
        <f t="shared" si="32"/>
        <v>27313139.985493816</v>
      </c>
      <c r="H79" s="61">
        <f t="shared" si="32"/>
        <v>28085641.975621704</v>
      </c>
      <c r="I79" s="61">
        <f t="shared" si="32"/>
        <v>28875297.916641492</v>
      </c>
      <c r="J79" s="61">
        <f t="shared" si="32"/>
        <v>29689384.866573658</v>
      </c>
      <c r="K79" s="61">
        <f t="shared" si="32"/>
        <v>30520739.248161897</v>
      </c>
      <c r="L79" s="61">
        <f t="shared" si="32"/>
        <v>31369971.654443562</v>
      </c>
      <c r="M79" s="61">
        <f t="shared" si="32"/>
        <v>32238439.549039729</v>
      </c>
      <c r="N79" s="61">
        <f t="shared" si="32"/>
        <v>33129547.797955953</v>
      </c>
      <c r="O79" s="61">
        <f t="shared" si="32"/>
        <v>34041759.668327436</v>
      </c>
      <c r="P79" s="61">
        <f t="shared" si="32"/>
        <v>34976038.059369527</v>
      </c>
      <c r="Q79" s="61">
        <f t="shared" si="32"/>
        <v>35932640.829343461</v>
      </c>
      <c r="R79" s="61">
        <f t="shared" si="32"/>
        <v>36911901.2802191</v>
      </c>
      <c r="S79" s="61">
        <f t="shared" si="32"/>
        <v>37917029.421764903</v>
      </c>
      <c r="T79" s="61">
        <f t="shared" si="32"/>
        <v>38950019.143086188</v>
      </c>
      <c r="U79" s="61">
        <f t="shared" si="32"/>
        <v>40010268.218311653</v>
      </c>
      <c r="V79" s="61">
        <f t="shared" si="32"/>
        <v>41092802.388901435</v>
      </c>
      <c r="W79" s="61">
        <f t="shared" si="32"/>
        <v>42204456.850384124</v>
      </c>
      <c r="X79" s="61">
        <f t="shared" si="32"/>
        <v>43346011.033448026</v>
      </c>
      <c r="Y79" s="61">
        <f t="shared" si="32"/>
        <v>44517501.314005509</v>
      </c>
      <c r="Z79" s="61">
        <f t="shared" si="32"/>
        <v>45711079.790320456</v>
      </c>
      <c r="AA79" s="61">
        <f t="shared" si="32"/>
        <v>46935711.257304154</v>
      </c>
      <c r="AB79" s="61">
        <f t="shared" si="32"/>
        <v>48193004.87276803</v>
      </c>
      <c r="AC79" s="61">
        <f t="shared" si="32"/>
        <v>49484671.47059565</v>
      </c>
      <c r="AD79" s="61">
        <f t="shared" si="32"/>
        <v>50796973.583797872</v>
      </c>
      <c r="AE79" s="61">
        <f t="shared" si="32"/>
        <v>52143962.882991254</v>
      </c>
    </row>
    <row r="80" spans="1:31" s="60" customForma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224127689.70391449</v>
      </c>
      <c r="D81" s="61">
        <f>('Baseline System Analysis'!D42-D36)</f>
        <v>12558789.105584813</v>
      </c>
      <c r="E81" s="61">
        <f>('Baseline System Analysis'!E42-E36)</f>
        <v>13985303.570864048</v>
      </c>
      <c r="F81" s="61">
        <f>('Baseline System Analysis'!F42-F36)</f>
        <v>15430197.689718453</v>
      </c>
      <c r="G81" s="61">
        <f>('Baseline System Analysis'!G42-G36)</f>
        <v>16547939.398202203</v>
      </c>
      <c r="H81" s="61">
        <f>('Baseline System Analysis'!H42-H36)</f>
        <v>17680564.149154782</v>
      </c>
      <c r="I81" s="61">
        <f>('Baseline System Analysis'!I42-I36)</f>
        <v>18855023.544942681</v>
      </c>
      <c r="J81" s="61">
        <f>('Baseline System Analysis'!J42-J36)</f>
        <v>19925861.836750291</v>
      </c>
      <c r="K81" s="61">
        <f>('Baseline System Analysis'!K42-K36)</f>
        <v>21230261.293814443</v>
      </c>
      <c r="L81" s="61">
        <f>('Baseline System Analysis'!L42-L36)</f>
        <v>22736496.623289786</v>
      </c>
      <c r="M81" s="61">
        <f>('Baseline System Analysis'!M42-M36)</f>
        <v>24118345.295649115</v>
      </c>
      <c r="N81" s="61">
        <f>('Baseline System Analysis'!N42-N36)</f>
        <v>25763498.439406902</v>
      </c>
      <c r="O81" s="61">
        <f>('Baseline System Analysis'!O42-O36)</f>
        <v>27305447.881265312</v>
      </c>
      <c r="P81" s="61">
        <f>('Baseline System Analysis'!P42-P36)</f>
        <v>29042391.329290166</v>
      </c>
      <c r="Q81" s="61">
        <f>('Baseline System Analysis'!Q42-Q36)</f>
        <v>30748240.095262021</v>
      </c>
      <c r="R81" s="61">
        <f>('Baseline System Analysis'!R42-R36)</f>
        <v>32490302.594352432</v>
      </c>
      <c r="S81" s="61">
        <f>('Baseline System Analysis'!S42-S36)</f>
        <v>34399376.329900295</v>
      </c>
      <c r="T81" s="61">
        <f>('Baseline System Analysis'!T42-T36)</f>
        <v>36436611.237356231</v>
      </c>
      <c r="U81" s="61">
        <f>('Baseline System Analysis'!U42-U36)</f>
        <v>38458325.508611068</v>
      </c>
      <c r="V81" s="61">
        <f>('Baseline System Analysis'!V42-V36)</f>
        <v>40717480.151108041</v>
      </c>
      <c r="W81" s="61">
        <f>('Baseline System Analysis'!W42-W36)</f>
        <v>42794975.153881326</v>
      </c>
      <c r="X81" s="61">
        <f>('Baseline System Analysis'!X42-X36)</f>
        <v>44811792.788033217</v>
      </c>
      <c r="Y81" s="61">
        <f>('Baseline System Analysis'!Y42-Y36)</f>
        <v>46859292.202179655</v>
      </c>
      <c r="Z81" s="61">
        <f>('Baseline System Analysis'!Z42-Z36)</f>
        <v>49166383.976319</v>
      </c>
      <c r="AA81" s="61">
        <f>('Baseline System Analysis'!AA42-AA36)</f>
        <v>51585337.796378106</v>
      </c>
      <c r="AB81" s="61">
        <f>('Baseline System Analysis'!AB42-AB36)</f>
        <v>53813434.087562643</v>
      </c>
      <c r="AC81" s="61">
        <f>('Baseline System Analysis'!AC42-AC36)</f>
        <v>56293607.559520826</v>
      </c>
      <c r="AD81" s="61">
        <f>('Baseline System Analysis'!AD42-AD36)</f>
        <v>58427079.122196615</v>
      </c>
      <c r="AE81" s="61">
        <f>('Baseline System Analysis'!AE42-AE36)</f>
        <v>60998683.944275334</v>
      </c>
    </row>
    <row r="82" spans="1:31" s="60" customFormat="1" x14ac:dyDescent="0.3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</row>
    <row r="83" spans="1:31" s="60" customFormat="1" ht="20" thickBot="1" x14ac:dyDescent="0.5">
      <c r="A83" s="145" t="s">
        <v>61</v>
      </c>
      <c r="B83" s="169"/>
      <c r="C83" s="17">
        <f>NPV('Cost Assumptions'!$B$3,D83:AE83)/1000000</f>
        <v>4987.9204517674925</v>
      </c>
      <c r="D83" s="61">
        <f>SUM(D67,D71,D75,D79,D81)</f>
        <v>112814068.47271006</v>
      </c>
      <c r="E83" s="61">
        <f>SUM(E67,E71,E75,E79,E81)</f>
        <v>126096650.42408249</v>
      </c>
      <c r="F83" s="61">
        <f t="shared" ref="F83:AE83" si="33">SUM(F67,F71,F75,F79,F81)</f>
        <v>162513273.30496085</v>
      </c>
      <c r="G83" s="61">
        <f t="shared" si="33"/>
        <v>200494504.49226198</v>
      </c>
      <c r="H83" s="61">
        <f t="shared" si="33"/>
        <v>239210045.49236703</v>
      </c>
      <c r="I83" s="61">
        <f t="shared" si="33"/>
        <v>279091741.75540161</v>
      </c>
      <c r="J83" s="61">
        <f t="shared" si="33"/>
        <v>323840285.07623547</v>
      </c>
      <c r="K83" s="61">
        <f t="shared" si="33"/>
        <v>370322484.43361324</v>
      </c>
      <c r="L83" s="61">
        <f t="shared" si="33"/>
        <v>420638499.12455833</v>
      </c>
      <c r="M83" s="61">
        <f t="shared" si="33"/>
        <v>476523919.84104145</v>
      </c>
      <c r="N83" s="61">
        <f t="shared" si="33"/>
        <v>537266419.74814594</v>
      </c>
      <c r="O83" s="61">
        <f t="shared" si="33"/>
        <v>602750919.09052396</v>
      </c>
      <c r="P83" s="61">
        <f t="shared" si="33"/>
        <v>671302761.5912658</v>
      </c>
      <c r="Q83" s="61">
        <f t="shared" si="33"/>
        <v>737939414.34793115</v>
      </c>
      <c r="R83" s="61">
        <f t="shared" si="33"/>
        <v>811183336.06888008</v>
      </c>
      <c r="S83" s="61">
        <f t="shared" si="33"/>
        <v>891114757.60216713</v>
      </c>
      <c r="T83" s="61">
        <f t="shared" si="33"/>
        <v>975412885.29566336</v>
      </c>
      <c r="U83" s="61">
        <f t="shared" si="33"/>
        <v>1064505815.2236899</v>
      </c>
      <c r="V83" s="61">
        <f t="shared" si="33"/>
        <v>1159194767.2883008</v>
      </c>
      <c r="W83" s="61">
        <f t="shared" si="33"/>
        <v>1313754096.3489225</v>
      </c>
      <c r="X83" s="61">
        <f t="shared" si="33"/>
        <v>1467898501.3633115</v>
      </c>
      <c r="Y83" s="61">
        <f t="shared" si="33"/>
        <v>1632958258.0256879</v>
      </c>
      <c r="Z83" s="61">
        <f t="shared" si="33"/>
        <v>1801459886.72914</v>
      </c>
      <c r="AA83" s="61">
        <f t="shared" si="33"/>
        <v>1978423928.572094</v>
      </c>
      <c r="AB83" s="61">
        <f t="shared" si="33"/>
        <v>2169280650.4385567</v>
      </c>
      <c r="AC83" s="61">
        <f t="shared" si="33"/>
        <v>2371696587.3298688</v>
      </c>
      <c r="AD83" s="61">
        <f t="shared" si="33"/>
        <v>2563644728.2182336</v>
      </c>
      <c r="AE83" s="61">
        <f t="shared" si="33"/>
        <v>2778911437.0647502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4991.5797932194901</v>
      </c>
      <c r="D84" s="61">
        <f>D83+D43</f>
        <v>113050042.47271003</v>
      </c>
      <c r="E84" s="61">
        <f t="shared" ref="E84:AE84" si="34">E83+E43</f>
        <v>126349745.26908246</v>
      </c>
      <c r="F84" s="61">
        <f t="shared" si="34"/>
        <v>162781860.22610822</v>
      </c>
      <c r="G84" s="61">
        <f t="shared" si="34"/>
        <v>200779199.90908599</v>
      </c>
      <c r="H84" s="61">
        <f t="shared" si="34"/>
        <v>239511486.9628258</v>
      </c>
      <c r="I84" s="61">
        <f t="shared" si="34"/>
        <v>279410588.64754134</v>
      </c>
      <c r="J84" s="61">
        <f t="shared" si="34"/>
        <v>324177219.26022124</v>
      </c>
      <c r="K84" s="61">
        <f t="shared" si="34"/>
        <v>370678210.9947297</v>
      </c>
      <c r="L84" s="61">
        <f t="shared" si="34"/>
        <v>421013747.09779704</v>
      </c>
      <c r="M84" s="61">
        <f t="shared" si="34"/>
        <v>476919442.96790779</v>
      </c>
      <c r="N84" s="61">
        <f t="shared" si="34"/>
        <v>537682997.25633812</v>
      </c>
      <c r="O84" s="61">
        <f t="shared" si="34"/>
        <v>603189356.49715388</v>
      </c>
      <c r="P84" s="61">
        <f t="shared" si="34"/>
        <v>671763891.53031278</v>
      </c>
      <c r="Q84" s="61">
        <f t="shared" si="34"/>
        <v>738424478.89044154</v>
      </c>
      <c r="R84" s="61">
        <f t="shared" si="34"/>
        <v>811693243.73881507</v>
      </c>
      <c r="S84" s="61">
        <f t="shared" si="34"/>
        <v>891650447.39055908</v>
      </c>
      <c r="T84" s="61">
        <f t="shared" si="34"/>
        <v>975975327.6161412</v>
      </c>
      <c r="U84" s="61">
        <f t="shared" si="34"/>
        <v>1065096012.8967403</v>
      </c>
      <c r="V84" s="61">
        <f t="shared" si="34"/>
        <v>1159813756.5551021</v>
      </c>
      <c r="W84" s="61">
        <f t="shared" si="34"/>
        <v>1314402947.9156165</v>
      </c>
      <c r="X84" s="61">
        <f t="shared" si="34"/>
        <v>1468578321.4766011</v>
      </c>
      <c r="Y84" s="61">
        <f t="shared" si="34"/>
        <v>1633670189.5806739</v>
      </c>
      <c r="Z84" s="61">
        <f t="shared" si="34"/>
        <v>1802205110.4103363</v>
      </c>
      <c r="AA84" s="61">
        <f t="shared" si="34"/>
        <v>1979203664.028589</v>
      </c>
      <c r="AB84" s="61">
        <f t="shared" si="34"/>
        <v>2170096157.4943147</v>
      </c>
      <c r="AC84" s="61">
        <f t="shared" si="34"/>
        <v>2372549167.2301927</v>
      </c>
      <c r="AD84" s="61">
        <f t="shared" si="34"/>
        <v>2564535724.9134421</v>
      </c>
      <c r="AE84" s="61">
        <f t="shared" si="34"/>
        <v>2779842238.5321493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Summary!$D$18</f>
        <v>701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7.1206559104414984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s="60" customFormat="1" ht="42.65" customHeight="1" thickBot="1" x14ac:dyDescent="0.5">
      <c r="A90" s="168" t="s">
        <v>156</v>
      </c>
      <c r="B90" s="168"/>
      <c r="C90" s="87"/>
      <c r="D90" s="87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>
        <v>4243.9732368692567</v>
      </c>
      <c r="R90" s="61">
        <v>5387.0045979010974</v>
      </c>
      <c r="S90" s="61">
        <v>6530.0359589329382</v>
      </c>
      <c r="T90" s="61">
        <v>7673.067319964779</v>
      </c>
      <c r="U90" s="61">
        <v>8816.0986809966198</v>
      </c>
      <c r="V90" s="61">
        <v>9729.2913725390135</v>
      </c>
      <c r="W90" s="61">
        <v>10642.484064081407</v>
      </c>
      <c r="X90" s="61">
        <v>11555.676755623801</v>
      </c>
      <c r="Y90" s="61">
        <v>12468.869447166195</v>
      </c>
      <c r="Z90" s="61">
        <v>13382.062138708587</v>
      </c>
      <c r="AA90" s="61">
        <v>13535.675677338377</v>
      </c>
      <c r="AB90" s="61">
        <v>13689.289215968167</v>
      </c>
      <c r="AC90" s="61">
        <v>13842.902754597957</v>
      </c>
      <c r="AD90" s="61">
        <v>13996.516293227747</v>
      </c>
      <c r="AE90" s="61">
        <v>14150.129831857535</v>
      </c>
    </row>
    <row r="91" spans="1:31" ht="15" thickTop="1" x14ac:dyDescent="0.35">
      <c r="A91" s="87"/>
      <c r="B91" s="87"/>
      <c r="C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</row>
  </sheetData>
  <mergeCells count="9">
    <mergeCell ref="B2:B15"/>
    <mergeCell ref="B18:B31"/>
    <mergeCell ref="A90:B90"/>
    <mergeCell ref="B40:AE40"/>
    <mergeCell ref="A58:AE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90"/>
  <sheetViews>
    <sheetView zoomScale="73" zoomScaleNormal="73" workbookViewId="0"/>
  </sheetViews>
  <sheetFormatPr defaultColWidth="8.81640625" defaultRowHeight="14.5" x14ac:dyDescent="0.35"/>
  <cols>
    <col min="1" max="1" width="16.54296875" style="60" bestFit="1" customWidth="1"/>
    <col min="2" max="2" width="29.453125" style="60" customWidth="1"/>
    <col min="3" max="3" width="19.26953125" style="60" customWidth="1"/>
    <col min="4" max="4" width="15.7265625" style="87" bestFit="1" customWidth="1"/>
    <col min="5" max="5" width="15.7265625" style="60" bestFit="1" customWidth="1"/>
    <col min="6" max="26" width="16.81640625" style="60" bestFit="1" customWidth="1"/>
    <col min="27" max="31" width="18.54296875" style="60" bestFit="1" customWidth="1"/>
    <col min="32" max="32" width="11.54296875" style="60" bestFit="1" customWidth="1"/>
    <col min="33" max="16384" width="8.81640625" style="60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87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87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87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87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87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87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87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87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87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87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x14ac:dyDescent="0.35">
      <c r="A13" s="87" t="s">
        <v>30</v>
      </c>
      <c r="B13" s="87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x14ac:dyDescent="0.35">
      <c r="A14" s="87" t="s">
        <v>30</v>
      </c>
      <c r="B14" s="87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x14ac:dyDescent="0.35">
      <c r="A15" s="87" t="s">
        <v>30</v>
      </c>
      <c r="B15" s="87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2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  <c r="AF17" s="87"/>
    </row>
    <row r="18" spans="1:32" ht="49.75" customHeight="1" thickTop="1" x14ac:dyDescent="0.35">
      <c r="A18" s="87"/>
      <c r="B18" s="28" t="s">
        <v>11</v>
      </c>
      <c r="C18" s="87" t="s">
        <v>107</v>
      </c>
      <c r="D18" s="61">
        <v>49722.950000000521</v>
      </c>
      <c r="E18" s="61">
        <v>50479.400000000103</v>
      </c>
      <c r="F18" s="61">
        <v>51032.951923077046</v>
      </c>
      <c r="G18" s="61">
        <v>51586.503846153944</v>
      </c>
      <c r="H18" s="61">
        <v>52140.055769230843</v>
      </c>
      <c r="I18" s="61">
        <v>52693.607692307742</v>
      </c>
      <c r="J18" s="61">
        <v>53247.15961538464</v>
      </c>
      <c r="K18" s="61">
        <v>53800.711538461539</v>
      </c>
      <c r="L18" s="61">
        <v>54354.263461538438</v>
      </c>
      <c r="M18" s="61">
        <v>54907.815384615336</v>
      </c>
      <c r="N18" s="61">
        <v>55461.367307692235</v>
      </c>
      <c r="O18" s="61">
        <v>56014.919230769134</v>
      </c>
      <c r="P18" s="61">
        <v>56568.471153846032</v>
      </c>
      <c r="Q18" s="61">
        <v>57122.023076922931</v>
      </c>
      <c r="R18" s="61">
        <v>57675.57499999983</v>
      </c>
      <c r="S18" s="61">
        <v>58229.126923076728</v>
      </c>
      <c r="T18" s="61">
        <v>58782.678846153627</v>
      </c>
      <c r="U18" s="61">
        <v>59336.230769230526</v>
      </c>
      <c r="V18" s="61">
        <v>59889.782692307424</v>
      </c>
      <c r="W18" s="61">
        <v>60443.334615384323</v>
      </c>
      <c r="X18" s="61">
        <v>60996.886538461222</v>
      </c>
      <c r="Y18" s="61">
        <v>61550.43846153812</v>
      </c>
      <c r="Z18" s="61">
        <v>62103.990384615019</v>
      </c>
      <c r="AA18" s="61">
        <v>62657.542307691918</v>
      </c>
      <c r="AB18" s="61">
        <v>63211.094230768816</v>
      </c>
      <c r="AC18" s="61">
        <v>63764.646153845715</v>
      </c>
      <c r="AD18" s="61">
        <v>64318.198076922614</v>
      </c>
      <c r="AE18" s="61">
        <v>64871.749999999534</v>
      </c>
      <c r="AF18" s="87"/>
    </row>
    <row r="19" spans="1:32" x14ac:dyDescent="0.35">
      <c r="A19" s="87" t="s">
        <v>30</v>
      </c>
      <c r="B19" s="87"/>
      <c r="C19" s="87" t="s">
        <v>31</v>
      </c>
      <c r="D19" s="61">
        <v>12.400000000000006</v>
      </c>
      <c r="E19" s="61">
        <v>31.900000000000006</v>
      </c>
      <c r="F19" s="61">
        <v>62.63333333333334</v>
      </c>
      <c r="G19" s="61">
        <v>93.366666666666674</v>
      </c>
      <c r="H19" s="61">
        <v>124.10000000000001</v>
      </c>
      <c r="I19" s="61">
        <v>154.83333333333334</v>
      </c>
      <c r="J19" s="61">
        <v>185.56666666666669</v>
      </c>
      <c r="K19" s="61">
        <v>216.30000000000004</v>
      </c>
      <c r="L19" s="61">
        <v>328.58</v>
      </c>
      <c r="M19" s="61">
        <v>440.8599999999999</v>
      </c>
      <c r="N19" s="61">
        <v>553.13999999999987</v>
      </c>
      <c r="O19" s="61">
        <v>665.41999999999985</v>
      </c>
      <c r="P19" s="61">
        <v>777.69999999999982</v>
      </c>
      <c r="Q19" s="61">
        <v>1050.8599999999997</v>
      </c>
      <c r="R19" s="61">
        <v>1324.0199999999995</v>
      </c>
      <c r="S19" s="61">
        <v>1597.1799999999994</v>
      </c>
      <c r="T19" s="61">
        <v>1870.3399999999992</v>
      </c>
      <c r="U19" s="61">
        <v>2143.4999999999995</v>
      </c>
      <c r="V19" s="61">
        <v>2618.12</v>
      </c>
      <c r="W19" s="61">
        <v>3092.7400000000002</v>
      </c>
      <c r="X19" s="61">
        <v>3567.3600000000006</v>
      </c>
      <c r="Y19" s="61">
        <v>4041.9800000000009</v>
      </c>
      <c r="Z19" s="61">
        <v>4516.6000000000013</v>
      </c>
      <c r="AA19" s="61">
        <v>5149.7800000000016</v>
      </c>
      <c r="AB19" s="61">
        <v>5782.9600000000019</v>
      </c>
      <c r="AC19" s="61">
        <v>6416.1400000000021</v>
      </c>
      <c r="AD19" s="61">
        <v>7049.3200000000024</v>
      </c>
      <c r="AE19" s="61">
        <v>7682.5000000000018</v>
      </c>
      <c r="AF19" s="87"/>
    </row>
    <row r="20" spans="1:32" x14ac:dyDescent="0.35">
      <c r="A20" s="87" t="s">
        <v>30</v>
      </c>
      <c r="B20" s="87"/>
      <c r="C20" s="87" t="s">
        <v>32</v>
      </c>
      <c r="D20" s="61">
        <v>5.9000000000000057</v>
      </c>
      <c r="E20" s="61">
        <v>10.300000000000011</v>
      </c>
      <c r="F20" s="61">
        <v>13.300000000000011</v>
      </c>
      <c r="G20" s="61">
        <v>16.300000000000011</v>
      </c>
      <c r="H20" s="61">
        <v>19.300000000000011</v>
      </c>
      <c r="I20" s="61">
        <v>22.300000000000011</v>
      </c>
      <c r="J20" s="61">
        <v>25.300000000000011</v>
      </c>
      <c r="K20" s="61">
        <v>28.300000000000011</v>
      </c>
      <c r="L20" s="61">
        <v>31.04000000000001</v>
      </c>
      <c r="M20" s="61">
        <v>33.780000000000008</v>
      </c>
      <c r="N20" s="61">
        <v>36.520000000000003</v>
      </c>
      <c r="O20" s="61">
        <v>39.26</v>
      </c>
      <c r="P20" s="61">
        <v>42</v>
      </c>
      <c r="Q20" s="61">
        <v>45.18</v>
      </c>
      <c r="R20" s="61">
        <v>48.36</v>
      </c>
      <c r="S20" s="61">
        <v>51.54</v>
      </c>
      <c r="T20" s="61">
        <v>54.72</v>
      </c>
      <c r="U20" s="61">
        <v>57.9</v>
      </c>
      <c r="V20" s="61">
        <v>61.760000000000005</v>
      </c>
      <c r="W20" s="61">
        <v>65.620000000000019</v>
      </c>
      <c r="X20" s="61">
        <v>69.480000000000032</v>
      </c>
      <c r="Y20" s="61">
        <v>73.340000000000046</v>
      </c>
      <c r="Z20" s="61">
        <v>77.200000000000045</v>
      </c>
      <c r="AA20" s="61">
        <v>88.760000000000034</v>
      </c>
      <c r="AB20" s="61">
        <v>100.32000000000002</v>
      </c>
      <c r="AC20" s="61">
        <v>111.88000000000001</v>
      </c>
      <c r="AD20" s="61">
        <v>123.44</v>
      </c>
      <c r="AE20" s="61">
        <v>135</v>
      </c>
      <c r="AF20" s="87"/>
    </row>
    <row r="21" spans="1:32" x14ac:dyDescent="0.35">
      <c r="A21" s="87" t="s">
        <v>30</v>
      </c>
      <c r="B21" s="87"/>
      <c r="C21" s="87" t="s">
        <v>33</v>
      </c>
      <c r="D21" s="61">
        <v>4.5307405466112567E-2</v>
      </c>
      <c r="E21" s="61">
        <v>0.14569619298074499</v>
      </c>
      <c r="F21" s="61">
        <v>0.86574350096853603</v>
      </c>
      <c r="G21" s="61">
        <v>1.5857908089563271</v>
      </c>
      <c r="H21" s="61">
        <v>2.305838116944118</v>
      </c>
      <c r="I21" s="61">
        <v>3.0258854249319089</v>
      </c>
      <c r="J21" s="61">
        <v>3.7459327329196999</v>
      </c>
      <c r="K21" s="61">
        <v>4.4659800409074917</v>
      </c>
      <c r="L21" s="61">
        <v>9.460193065372609</v>
      </c>
      <c r="M21" s="61">
        <v>14.454406089837725</v>
      </c>
      <c r="N21" s="61">
        <v>19.448619114302844</v>
      </c>
      <c r="O21" s="61">
        <v>24.442832138767962</v>
      </c>
      <c r="P21" s="61">
        <v>29.43704516323308</v>
      </c>
      <c r="Q21" s="61">
        <v>54.627817552493411</v>
      </c>
      <c r="R21" s="61">
        <v>79.818589941753743</v>
      </c>
      <c r="S21" s="61">
        <v>105.00936233101407</v>
      </c>
      <c r="T21" s="61">
        <v>130.20013472027441</v>
      </c>
      <c r="U21" s="61">
        <v>155.39090710953474</v>
      </c>
      <c r="V21" s="61">
        <v>225.175234827998</v>
      </c>
      <c r="W21" s="61">
        <v>294.95956254646126</v>
      </c>
      <c r="X21" s="61">
        <v>364.74389026492452</v>
      </c>
      <c r="Y21" s="61">
        <v>434.52821798338778</v>
      </c>
      <c r="Z21" s="61">
        <v>504.31254570185098</v>
      </c>
      <c r="AA21" s="61">
        <v>637.58944578808473</v>
      </c>
      <c r="AB21" s="61">
        <v>770.86634587431854</v>
      </c>
      <c r="AC21" s="61">
        <v>904.14324596055235</v>
      </c>
      <c r="AD21" s="61">
        <v>1037.4201460467862</v>
      </c>
      <c r="AE21" s="61">
        <v>1170.69704613302</v>
      </c>
      <c r="AF21" s="87"/>
    </row>
    <row r="22" spans="1:32" x14ac:dyDescent="0.35">
      <c r="A22" s="87" t="s">
        <v>30</v>
      </c>
      <c r="B22" s="87"/>
      <c r="C22" s="87" t="s">
        <v>34</v>
      </c>
      <c r="D22" s="61">
        <v>1.1326851366528142E-2</v>
      </c>
      <c r="E22" s="61">
        <v>2.9139238596149E-2</v>
      </c>
      <c r="F22" s="61">
        <v>5.7235907484224954E-2</v>
      </c>
      <c r="G22" s="61">
        <v>8.5332576372300906E-2</v>
      </c>
      <c r="H22" s="61">
        <v>0.11342924526037686</v>
      </c>
      <c r="I22" s="61">
        <v>0.14152591414845281</v>
      </c>
      <c r="J22" s="61">
        <v>0.16962258303652877</v>
      </c>
      <c r="K22" s="61">
        <v>0.19771925192460471</v>
      </c>
      <c r="L22" s="61">
        <v>0.30223201187473303</v>
      </c>
      <c r="M22" s="61">
        <v>0.40674477182486135</v>
      </c>
      <c r="N22" s="61">
        <v>0.51125753177498967</v>
      </c>
      <c r="O22" s="61">
        <v>0.61577029172511799</v>
      </c>
      <c r="P22" s="61">
        <v>0.72028305167524642</v>
      </c>
      <c r="Q22" s="61">
        <v>0.97703844770030757</v>
      </c>
      <c r="R22" s="61">
        <v>1.2337938437253686</v>
      </c>
      <c r="S22" s="61">
        <v>1.4905492397504296</v>
      </c>
      <c r="T22" s="61">
        <v>1.7473046357754907</v>
      </c>
      <c r="U22" s="61">
        <v>2.0040600318005519</v>
      </c>
      <c r="V22" s="61">
        <v>2.4537898657634023</v>
      </c>
      <c r="W22" s="61">
        <v>2.9035196997262527</v>
      </c>
      <c r="X22" s="61">
        <v>3.3532495336891031</v>
      </c>
      <c r="Y22" s="61">
        <v>3.8029793676519534</v>
      </c>
      <c r="Z22" s="61">
        <v>4.2527092016148034</v>
      </c>
      <c r="AA22" s="61">
        <v>4.8525401177908556</v>
      </c>
      <c r="AB22" s="61">
        <v>5.4523710339669078</v>
      </c>
      <c r="AC22" s="61">
        <v>6.05220195014296</v>
      </c>
      <c r="AD22" s="61">
        <v>6.6520328663190122</v>
      </c>
      <c r="AE22" s="61">
        <v>7.2518637824950662</v>
      </c>
      <c r="AF22" s="87"/>
    </row>
    <row r="23" spans="1:32" x14ac:dyDescent="0.35">
      <c r="A23" s="87" t="s">
        <v>30</v>
      </c>
      <c r="B23" s="87"/>
      <c r="C23" s="87" t="s">
        <v>35</v>
      </c>
      <c r="D23" s="61">
        <v>4</v>
      </c>
      <c r="E23" s="61">
        <v>5</v>
      </c>
      <c r="F23" s="61">
        <v>8</v>
      </c>
      <c r="G23" s="61">
        <v>11</v>
      </c>
      <c r="H23" s="61">
        <v>14</v>
      </c>
      <c r="I23" s="61">
        <v>17</v>
      </c>
      <c r="J23" s="61">
        <v>20</v>
      </c>
      <c r="K23" s="61">
        <v>23</v>
      </c>
      <c r="L23" s="61">
        <v>27.2</v>
      </c>
      <c r="M23" s="61">
        <v>31.4</v>
      </c>
      <c r="N23" s="61">
        <v>35.6</v>
      </c>
      <c r="O23" s="61">
        <v>39.800000000000004</v>
      </c>
      <c r="P23" s="61">
        <v>44</v>
      </c>
      <c r="Q23" s="61">
        <v>52.6</v>
      </c>
      <c r="R23" s="61">
        <v>61.2</v>
      </c>
      <c r="S23" s="61">
        <v>69.8</v>
      </c>
      <c r="T23" s="61">
        <v>78.399999999999991</v>
      </c>
      <c r="U23" s="61">
        <v>87</v>
      </c>
      <c r="V23" s="61">
        <v>95.4</v>
      </c>
      <c r="W23" s="61">
        <v>103.80000000000001</v>
      </c>
      <c r="X23" s="61">
        <v>112.20000000000002</v>
      </c>
      <c r="Y23" s="61">
        <v>120.60000000000002</v>
      </c>
      <c r="Z23" s="61">
        <v>129</v>
      </c>
      <c r="AA23" s="61">
        <v>138.80000000000001</v>
      </c>
      <c r="AB23" s="61">
        <v>148.60000000000002</v>
      </c>
      <c r="AC23" s="61">
        <v>158.40000000000003</v>
      </c>
      <c r="AD23" s="61">
        <v>168.20000000000005</v>
      </c>
      <c r="AE23" s="61">
        <v>178</v>
      </c>
      <c r="AF23" s="87"/>
    </row>
    <row r="24" spans="1:32" x14ac:dyDescent="0.35">
      <c r="A24" s="87" t="s">
        <v>30</v>
      </c>
      <c r="B24" s="87"/>
      <c r="C24" s="87" t="s">
        <v>108</v>
      </c>
      <c r="D24" s="61">
        <v>4238.9824318989613</v>
      </c>
      <c r="E24" s="61">
        <v>6425.4824330612555</v>
      </c>
      <c r="F24" s="61">
        <v>8611.9824342235497</v>
      </c>
      <c r="G24" s="61">
        <v>10798.482435385844</v>
      </c>
      <c r="H24" s="61">
        <v>12984.982436548136</v>
      </c>
      <c r="I24" s="61">
        <v>15171.482437710431</v>
      </c>
      <c r="J24" s="61">
        <v>17357.982438872725</v>
      </c>
      <c r="K24" s="61">
        <v>19544.482440035019</v>
      </c>
      <c r="L24" s="61">
        <v>21730.982441197313</v>
      </c>
      <c r="M24" s="61">
        <v>23917.482442359604</v>
      </c>
      <c r="N24" s="61">
        <v>26103.982443521894</v>
      </c>
      <c r="O24" s="61">
        <v>28290.482444684185</v>
      </c>
      <c r="P24" s="61">
        <v>30476.982445846475</v>
      </c>
      <c r="Q24" s="61">
        <v>32663.482447008766</v>
      </c>
      <c r="R24" s="61">
        <v>34849.982448171053</v>
      </c>
      <c r="S24" s="61">
        <v>37036.482449333344</v>
      </c>
      <c r="T24" s="61">
        <v>39222.982450495634</v>
      </c>
      <c r="U24" s="61">
        <v>41409.482451657925</v>
      </c>
      <c r="V24" s="61">
        <v>43595.982452820215</v>
      </c>
      <c r="W24" s="61">
        <v>45782.482453982506</v>
      </c>
      <c r="X24" s="61">
        <v>47968.982455144811</v>
      </c>
      <c r="Y24" s="61">
        <v>50155.482456307102</v>
      </c>
      <c r="Z24" s="61">
        <v>52341.982457469407</v>
      </c>
      <c r="AA24" s="61">
        <v>54528.482458631697</v>
      </c>
      <c r="AB24" s="61">
        <v>56714.982459794002</v>
      </c>
      <c r="AC24" s="61">
        <v>58901.482460956293</v>
      </c>
      <c r="AD24" s="61">
        <v>61087.982462118598</v>
      </c>
      <c r="AE24" s="61">
        <v>63274.482463280889</v>
      </c>
      <c r="AF24" s="87"/>
    </row>
    <row r="25" spans="1:32" x14ac:dyDescent="0.35">
      <c r="A25" s="87" t="s">
        <v>30</v>
      </c>
      <c r="B25" s="8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  <c r="AF25" s="87"/>
    </row>
    <row r="26" spans="1:32" s="80" customFormat="1" x14ac:dyDescent="0.35">
      <c r="A26" s="87" t="s">
        <v>30</v>
      </c>
      <c r="B26" s="8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55356.343854525418</v>
      </c>
      <c r="T26" s="61">
        <v>58553.288177258051</v>
      </c>
      <c r="U26" s="61">
        <v>61842.499031107713</v>
      </c>
      <c r="V26" s="61">
        <v>65024.885300951166</v>
      </c>
      <c r="W26" s="61">
        <v>68293.268833520342</v>
      </c>
      <c r="X26" s="61">
        <v>71656.49099181639</v>
      </c>
      <c r="Y26" s="61">
        <v>75060.951475304391</v>
      </c>
      <c r="Z26" s="61">
        <v>78184.812939843832</v>
      </c>
      <c r="AA26" s="61">
        <v>81331.701489298488</v>
      </c>
      <c r="AB26" s="61">
        <v>84513.987783635414</v>
      </c>
      <c r="AC26" s="61">
        <v>87765.435092958593</v>
      </c>
      <c r="AD26" s="61">
        <v>90580.769838002132</v>
      </c>
      <c r="AE26" s="61">
        <v>93440.683251971685</v>
      </c>
      <c r="AF26" s="87"/>
    </row>
    <row r="27" spans="1:32" s="80" customFormat="1" x14ac:dyDescent="0.35">
      <c r="A27" s="87" t="s">
        <v>39</v>
      </c>
      <c r="B27" s="87"/>
      <c r="C27" s="87" t="s">
        <v>153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4.7999999999999545</v>
      </c>
      <c r="T27" s="61">
        <v>42.150000000000077</v>
      </c>
      <c r="U27" s="61">
        <v>79.500000000000199</v>
      </c>
      <c r="V27" s="61">
        <v>149.00000000000017</v>
      </c>
      <c r="W27" s="61">
        <v>218.50000000000011</v>
      </c>
      <c r="X27" s="61">
        <v>288.00000000000006</v>
      </c>
      <c r="Y27" s="61">
        <v>357.5</v>
      </c>
      <c r="Z27" s="61">
        <v>427</v>
      </c>
      <c r="AA27" s="61">
        <v>542.17999999999995</v>
      </c>
      <c r="AB27" s="61">
        <v>657.3599999999999</v>
      </c>
      <c r="AC27" s="61">
        <v>772.53999999999985</v>
      </c>
      <c r="AD27" s="61">
        <v>887.7199999999998</v>
      </c>
      <c r="AE27" s="61">
        <v>1002.9</v>
      </c>
      <c r="AF27" s="87"/>
    </row>
    <row r="28" spans="1:32" x14ac:dyDescent="0.35">
      <c r="A28" s="87" t="s">
        <v>39</v>
      </c>
      <c r="B28" s="87"/>
      <c r="C28" s="87" t="s">
        <v>154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76.150000000000006</v>
      </c>
      <c r="N28" s="61">
        <v>152.30000000000001</v>
      </c>
      <c r="O28" s="61">
        <v>228.45000000000002</v>
      </c>
      <c r="P28" s="61">
        <v>304.60000000000002</v>
      </c>
      <c r="Q28" s="61">
        <v>721.28</v>
      </c>
      <c r="R28" s="61">
        <v>1137.96</v>
      </c>
      <c r="S28" s="61">
        <v>1554.64</v>
      </c>
      <c r="T28" s="61">
        <v>1971.3200000000002</v>
      </c>
      <c r="U28" s="61">
        <v>2388</v>
      </c>
      <c r="V28" s="61">
        <v>3345.9466666666667</v>
      </c>
      <c r="W28" s="61">
        <v>4303.8933333333334</v>
      </c>
      <c r="X28" s="61">
        <v>5261.84</v>
      </c>
      <c r="Y28" s="61">
        <v>6219.7866666666669</v>
      </c>
      <c r="Z28" s="61">
        <v>7719</v>
      </c>
      <c r="AA28" s="61">
        <v>8977.5163636363632</v>
      </c>
      <c r="AB28" s="61">
        <v>10236.032727272726</v>
      </c>
      <c r="AC28" s="61">
        <v>11494.54909090909</v>
      </c>
      <c r="AD28" s="61">
        <v>12753.065454545453</v>
      </c>
      <c r="AE28" s="61">
        <v>15815</v>
      </c>
      <c r="AF28" s="8"/>
    </row>
    <row r="29" spans="1:32" x14ac:dyDescent="0.35">
      <c r="A29" s="87" t="s">
        <v>39</v>
      </c>
      <c r="B29" s="87"/>
      <c r="C29" s="87" t="s">
        <v>32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13.899999999999977</v>
      </c>
      <c r="N29" s="61">
        <v>27.799999999999955</v>
      </c>
      <c r="O29" s="61">
        <v>41.699999999999932</v>
      </c>
      <c r="P29" s="61">
        <v>55.599999999999909</v>
      </c>
      <c r="Q29" s="61">
        <v>72.959999999999923</v>
      </c>
      <c r="R29" s="61">
        <v>90.319999999999936</v>
      </c>
      <c r="S29" s="61">
        <v>107.67999999999995</v>
      </c>
      <c r="T29" s="61">
        <v>125.03999999999996</v>
      </c>
      <c r="U29" s="61">
        <v>172.99999999999991</v>
      </c>
      <c r="V29" s="61">
        <v>200.45999999999989</v>
      </c>
      <c r="W29" s="61">
        <v>227.9199999999999</v>
      </c>
      <c r="X29" s="61">
        <v>255.37999999999988</v>
      </c>
      <c r="Y29" s="61">
        <v>282.83999999999992</v>
      </c>
      <c r="Z29" s="61">
        <v>309.59999999999991</v>
      </c>
      <c r="AA29" s="61">
        <v>335.10181818181809</v>
      </c>
      <c r="AB29" s="61">
        <v>360.60363636363627</v>
      </c>
      <c r="AC29" s="61">
        <v>386.10545454545445</v>
      </c>
      <c r="AD29" s="61">
        <v>411.60727272727269</v>
      </c>
      <c r="AE29" s="61">
        <v>432.79999999999995</v>
      </c>
      <c r="AF29" s="8"/>
    </row>
    <row r="30" spans="1:32" x14ac:dyDescent="0.35">
      <c r="A30" s="87" t="s">
        <v>39</v>
      </c>
      <c r="B30" s="87"/>
      <c r="C30" s="87" t="s">
        <v>33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1.1630628763457589</v>
      </c>
      <c r="N30" s="61">
        <v>2.3261257526915178</v>
      </c>
      <c r="O30" s="61">
        <v>3.4891886290372769</v>
      </c>
      <c r="P30" s="61">
        <v>4.6522515053830356</v>
      </c>
      <c r="Q30" s="61">
        <v>31.777701204306428</v>
      </c>
      <c r="R30" s="61">
        <v>58.903150903229822</v>
      </c>
      <c r="S30" s="61">
        <v>86.028600602153219</v>
      </c>
      <c r="T30" s="61">
        <v>113.15405030107661</v>
      </c>
      <c r="U30" s="61">
        <v>140.69409519668969</v>
      </c>
      <c r="V30" s="61">
        <v>268.11419881483289</v>
      </c>
      <c r="W30" s="61">
        <v>395.53430243297606</v>
      </c>
      <c r="X30" s="61">
        <v>522.95440605111924</v>
      </c>
      <c r="Y30" s="61">
        <v>650.37450966926247</v>
      </c>
      <c r="Z30" s="61">
        <v>876.91032187163614</v>
      </c>
      <c r="AA30" s="61">
        <v>1122.7972625590144</v>
      </c>
      <c r="AB30" s="61">
        <v>1368.6842032463926</v>
      </c>
      <c r="AC30" s="61">
        <v>1614.5711439337708</v>
      </c>
      <c r="AD30" s="61">
        <v>1860.4580846211491</v>
      </c>
      <c r="AE30" s="61">
        <v>2797.2718663544711</v>
      </c>
      <c r="AF30" s="87"/>
    </row>
    <row r="31" spans="1:32" x14ac:dyDescent="0.35">
      <c r="A31" s="87" t="s">
        <v>39</v>
      </c>
      <c r="B31" s="87"/>
      <c r="C31" s="87" t="s">
        <v>34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0.15173275</v>
      </c>
      <c r="N31" s="61">
        <v>0.3034655</v>
      </c>
      <c r="O31" s="61">
        <v>0.45519825000000003</v>
      </c>
      <c r="P31" s="61">
        <v>0.606931</v>
      </c>
      <c r="Q31" s="61">
        <v>1.0466607999999999</v>
      </c>
      <c r="R31" s="61">
        <v>1.4863906</v>
      </c>
      <c r="S31" s="61">
        <v>1.9261204000000001</v>
      </c>
      <c r="T31" s="61">
        <v>2.3658502000000001</v>
      </c>
      <c r="U31" s="61">
        <v>2.8746791994482805</v>
      </c>
      <c r="V31" s="61">
        <v>4.051252309028853</v>
      </c>
      <c r="W31" s="61">
        <v>5.2278254186094246</v>
      </c>
      <c r="X31" s="61">
        <v>6.4043985281899971</v>
      </c>
      <c r="Y31" s="61">
        <v>7.5809716377705687</v>
      </c>
      <c r="Z31" s="61">
        <v>9.4339805806844765</v>
      </c>
      <c r="AA31" s="61">
        <v>10.494611830332255</v>
      </c>
      <c r="AB31" s="61">
        <v>11.555243079980034</v>
      </c>
      <c r="AC31" s="61">
        <v>12.615874329627815</v>
      </c>
      <c r="AD31" s="61">
        <v>13.676505579275593</v>
      </c>
      <c r="AE31" s="61">
        <v>13.803262919832463</v>
      </c>
      <c r="AF31" s="87"/>
    </row>
    <row r="32" spans="1:32" x14ac:dyDescent="0.35">
      <c r="A32" s="87" t="s">
        <v>39</v>
      </c>
      <c r="B32" s="87"/>
      <c r="C32" s="87" t="s">
        <v>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3.25</v>
      </c>
      <c r="N32" s="61">
        <v>6.5</v>
      </c>
      <c r="O32" s="61">
        <v>9.75</v>
      </c>
      <c r="P32" s="61">
        <v>13</v>
      </c>
      <c r="Q32" s="61">
        <v>20.399999999999999</v>
      </c>
      <c r="R32" s="61">
        <v>27.799999999999997</v>
      </c>
      <c r="S32" s="61">
        <v>35.199999999999996</v>
      </c>
      <c r="T32" s="61">
        <v>42.599999999999994</v>
      </c>
      <c r="U32" s="61">
        <v>56</v>
      </c>
      <c r="V32" s="61">
        <v>65.3</v>
      </c>
      <c r="W32" s="61">
        <v>74.599999999999994</v>
      </c>
      <c r="X32" s="61">
        <v>83.9</v>
      </c>
      <c r="Y32" s="61">
        <v>93.200000000000017</v>
      </c>
      <c r="Z32" s="61">
        <v>104</v>
      </c>
      <c r="AA32" s="61">
        <v>115.27272727272727</v>
      </c>
      <c r="AB32" s="61">
        <v>126.54545454545455</v>
      </c>
      <c r="AC32" s="61">
        <v>137.81818181818181</v>
      </c>
      <c r="AD32" s="61">
        <v>149.09090909090909</v>
      </c>
      <c r="AE32" s="61">
        <v>165</v>
      </c>
      <c r="AF32" s="87"/>
    </row>
    <row r="33" spans="1:31" x14ac:dyDescent="0.35">
      <c r="A33" s="87" t="s">
        <v>130</v>
      </c>
      <c r="B33" s="87" t="s">
        <v>111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121943.83442853339</v>
      </c>
      <c r="N33" s="61">
        <v>557395.44274705369</v>
      </c>
      <c r="O33" s="61">
        <v>1230664.83752293</v>
      </c>
      <c r="P33" s="61">
        <v>2104893.3349523866</v>
      </c>
      <c r="Q33" s="61">
        <v>3208711.8359935149</v>
      </c>
      <c r="R33" s="61">
        <v>5074358.4431536924</v>
      </c>
      <c r="S33" s="61">
        <v>7356481.1196575072</v>
      </c>
      <c r="T33" s="61">
        <v>10946144.543459812</v>
      </c>
      <c r="U33" s="61">
        <v>15806399.704231363</v>
      </c>
      <c r="V33" s="61">
        <v>21496447.996870615</v>
      </c>
      <c r="W33" s="61">
        <v>27112613.082384851</v>
      </c>
      <c r="X33" s="61">
        <v>34384929.451952584</v>
      </c>
      <c r="Y33" s="61">
        <v>42810474.239801645</v>
      </c>
      <c r="Z33" s="61">
        <v>51429515.327035882</v>
      </c>
      <c r="AA33" s="61">
        <v>61762709.929890886</v>
      </c>
      <c r="AB33" s="61">
        <v>72801144.712340772</v>
      </c>
      <c r="AC33" s="61">
        <v>85069521.142370462</v>
      </c>
      <c r="AD33" s="61">
        <v>97078203.876336932</v>
      </c>
      <c r="AE33" s="61">
        <v>109941014.36183544</v>
      </c>
    </row>
    <row r="34" spans="1:31" x14ac:dyDescent="0.35">
      <c r="A34" s="87" t="s">
        <v>130</v>
      </c>
      <c r="B34" s="87" t="s">
        <v>132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729516.86376182805</v>
      </c>
      <c r="N34" s="61">
        <v>3180050.453262188</v>
      </c>
      <c r="O34" s="61">
        <v>6467576.6035457356</v>
      </c>
      <c r="P34" s="61">
        <v>9571528.7893473189</v>
      </c>
      <c r="Q34" s="61">
        <v>13952844.538153317</v>
      </c>
      <c r="R34" s="61">
        <v>22407387.649255473</v>
      </c>
      <c r="S34" s="61">
        <v>31774221.802992538</v>
      </c>
      <c r="T34" s="61">
        <v>48563777.192480639</v>
      </c>
      <c r="U34" s="61">
        <v>70557078.107897893</v>
      </c>
      <c r="V34" s="61">
        <v>95534054.126368478</v>
      </c>
      <c r="W34" s="61">
        <v>116645008.96351308</v>
      </c>
      <c r="X34" s="61">
        <v>146394121.43085304</v>
      </c>
      <c r="Y34" s="61">
        <v>182921292.13724172</v>
      </c>
      <c r="Z34" s="61">
        <v>217158766.24231121</v>
      </c>
      <c r="AA34" s="61">
        <v>259884344.52650124</v>
      </c>
      <c r="AB34" s="61">
        <v>305303925.34434187</v>
      </c>
      <c r="AC34" s="61">
        <v>356576854.92369294</v>
      </c>
      <c r="AD34" s="61">
        <v>403428367.15892369</v>
      </c>
      <c r="AE34" s="61">
        <v>455603388.65070391</v>
      </c>
    </row>
    <row r="35" spans="1:31" x14ac:dyDescent="0.35">
      <c r="A35" s="87" t="s">
        <v>133</v>
      </c>
      <c r="B35" s="87" t="s">
        <v>111</v>
      </c>
      <c r="C35" s="87" t="s">
        <v>131</v>
      </c>
      <c r="D35" s="61">
        <v>2647.9025931542647</v>
      </c>
      <c r="E35" s="61">
        <v>10044.4023997474</v>
      </c>
      <c r="F35" s="40">
        <v>17440.902206340535</v>
      </c>
      <c r="G35" s="40">
        <v>24837.402012933671</v>
      </c>
      <c r="H35" s="40">
        <v>32233.901819526807</v>
      </c>
      <c r="I35" s="40">
        <v>39630.401626119943</v>
      </c>
      <c r="J35" s="40">
        <v>47026.901432713079</v>
      </c>
      <c r="K35" s="61">
        <v>54423.401239306208</v>
      </c>
      <c r="L35" s="40">
        <v>95034.22727807684</v>
      </c>
      <c r="M35" s="40">
        <v>135645.05331684748</v>
      </c>
      <c r="N35" s="40">
        <v>176255.87935561809</v>
      </c>
      <c r="O35" s="40">
        <v>216866.7053943887</v>
      </c>
      <c r="P35" s="61">
        <v>257477.53143315934</v>
      </c>
      <c r="Q35" s="40">
        <v>381974.23915217625</v>
      </c>
      <c r="R35" s="40">
        <v>506470.94687119313</v>
      </c>
      <c r="S35" s="40">
        <v>630967.65459021006</v>
      </c>
      <c r="T35" s="40">
        <v>755464.362309227</v>
      </c>
      <c r="U35" s="61">
        <v>879961.07002824382</v>
      </c>
      <c r="V35" s="40">
        <v>1146479.2724289009</v>
      </c>
      <c r="W35" s="40">
        <v>1412997.4748295578</v>
      </c>
      <c r="X35" s="40">
        <v>1679515.6772302147</v>
      </c>
      <c r="Y35" s="40">
        <v>1946033.8796308716</v>
      </c>
      <c r="Z35" s="61">
        <v>2212552.0820315289</v>
      </c>
      <c r="AA35" s="40">
        <v>2636500.6420433475</v>
      </c>
      <c r="AB35" s="40">
        <v>3060449.202055166</v>
      </c>
      <c r="AC35" s="40">
        <v>3484397.7620669845</v>
      </c>
      <c r="AD35" s="40">
        <v>3908346.3220788031</v>
      </c>
      <c r="AE35" s="61">
        <v>4332294.8820906207</v>
      </c>
    </row>
    <row r="36" spans="1:31" x14ac:dyDescent="0.35">
      <c r="A36" s="87" t="s">
        <v>133</v>
      </c>
      <c r="B36" s="87" t="s">
        <v>132</v>
      </c>
      <c r="C36" s="87" t="s">
        <v>131</v>
      </c>
      <c r="D36" s="61">
        <v>10987.434286717866</v>
      </c>
      <c r="E36" s="61">
        <v>41676.716615048615</v>
      </c>
      <c r="F36" s="40">
        <v>72365.998943379367</v>
      </c>
      <c r="G36" s="40">
        <v>103055.28127171012</v>
      </c>
      <c r="H36" s="40">
        <v>133744.56360004086</v>
      </c>
      <c r="I36" s="40">
        <v>164433.84592837159</v>
      </c>
      <c r="J36" s="40">
        <v>195123.12825670233</v>
      </c>
      <c r="K36" s="61">
        <v>225812.41058503313</v>
      </c>
      <c r="L36" s="40">
        <v>394329.80205870548</v>
      </c>
      <c r="M36" s="40">
        <v>562847.19353237783</v>
      </c>
      <c r="N36" s="40">
        <v>731364.58500605018</v>
      </c>
      <c r="O36" s="40">
        <v>899881.97647972254</v>
      </c>
      <c r="P36" s="61">
        <v>1068399.367953395</v>
      </c>
      <c r="Q36" s="40">
        <v>1584996.692383647</v>
      </c>
      <c r="R36" s="40">
        <v>2101594.0168138989</v>
      </c>
      <c r="S36" s="40">
        <v>2618191.3412441509</v>
      </c>
      <c r="T36" s="40">
        <v>3134788.6656744028</v>
      </c>
      <c r="U36" s="61">
        <v>3651385.9901046548</v>
      </c>
      <c r="V36" s="40">
        <v>4757299.4941218281</v>
      </c>
      <c r="W36" s="40">
        <v>5863212.9981390014</v>
      </c>
      <c r="X36" s="40">
        <v>6969126.5021561747</v>
      </c>
      <c r="Y36" s="40">
        <v>8075040.0061733481</v>
      </c>
      <c r="Z36" s="61">
        <v>9180953.5101905204</v>
      </c>
      <c r="AA36" s="40">
        <v>10940122.052160803</v>
      </c>
      <c r="AB36" s="40">
        <v>12699290.594131086</v>
      </c>
      <c r="AC36" s="40">
        <v>14458459.136101369</v>
      </c>
      <c r="AD36" s="40">
        <v>16217627.678071652</v>
      </c>
      <c r="AE36" s="61">
        <v>17976796.220041938</v>
      </c>
    </row>
    <row r="37" spans="1:31" ht="29" x14ac:dyDescent="0.35">
      <c r="A37" s="3" t="s">
        <v>134</v>
      </c>
      <c r="B37" s="3" t="s">
        <v>135</v>
      </c>
      <c r="C37" s="87" t="s">
        <v>131</v>
      </c>
      <c r="D37" s="61">
        <v>5110374.2213796834</v>
      </c>
      <c r="E37" s="61">
        <v>6015097.5811416227</v>
      </c>
      <c r="F37" s="61">
        <v>6967510.592113046</v>
      </c>
      <c r="G37" s="61">
        <v>7745187.9968061158</v>
      </c>
      <c r="H37" s="61">
        <v>8491036.71368628</v>
      </c>
      <c r="I37" s="61">
        <v>9233048.74636738</v>
      </c>
      <c r="J37" s="61">
        <v>10172667.817321118</v>
      </c>
      <c r="K37" s="61">
        <v>11216525.058557451</v>
      </c>
      <c r="L37" s="61">
        <v>12260160.059538106</v>
      </c>
      <c r="M37" s="61">
        <v>13330830.006865343</v>
      </c>
      <c r="N37" s="61">
        <v>14604368.715492908</v>
      </c>
      <c r="O37" s="61">
        <v>15898045.990351547</v>
      </c>
      <c r="P37" s="61">
        <v>17328004.734673198</v>
      </c>
      <c r="Q37" s="61">
        <v>18766389.698252752</v>
      </c>
      <c r="R37" s="61">
        <v>20232001.086540084</v>
      </c>
      <c r="S37" s="61">
        <v>21817429.49744973</v>
      </c>
      <c r="T37" s="61">
        <v>23600568.043533172</v>
      </c>
      <c r="U37" s="61">
        <v>25503802.072911512</v>
      </c>
      <c r="V37" s="61">
        <v>27434997.056164566</v>
      </c>
      <c r="W37" s="61">
        <v>29443388.644315328</v>
      </c>
      <c r="X37" s="61">
        <v>31566313.148651812</v>
      </c>
      <c r="Y37" s="61">
        <v>33843442.253389135</v>
      </c>
      <c r="Z37" s="61">
        <v>36000441.291783169</v>
      </c>
      <c r="AA37" s="61">
        <v>38358137.116168171</v>
      </c>
      <c r="AB37" s="61">
        <v>40806428.006710529</v>
      </c>
      <c r="AC37" s="61">
        <v>43292848.447085924</v>
      </c>
      <c r="AD37" s="61">
        <v>45372446.239866607</v>
      </c>
      <c r="AE37" s="61">
        <v>47951699.30872459</v>
      </c>
    </row>
    <row r="39" spans="1:31" x14ac:dyDescent="0.35">
      <c r="A39" s="87"/>
      <c r="B39" s="87"/>
      <c r="C39" s="87" t="s">
        <v>136</v>
      </c>
      <c r="D39" s="61">
        <f>'Cost Assumptions'!$B$4</f>
        <v>40</v>
      </c>
      <c r="E39" s="61">
        <f>D39*'Cost Assumptions'!$B$5</f>
        <v>41</v>
      </c>
      <c r="F39" s="61">
        <f>E39*'Cost Assumptions'!$B$5</f>
        <v>42.024999999999999</v>
      </c>
      <c r="G39" s="61">
        <f>F39*'Cost Assumptions'!$B$5</f>
        <v>43.075624999999995</v>
      </c>
      <c r="H39" s="61">
        <f>G39*'Cost Assumptions'!$B$5</f>
        <v>44.152515624999992</v>
      </c>
      <c r="I39" s="8">
        <f>H39*'Cost Assumptions'!$B$5</f>
        <v>45.256328515624986</v>
      </c>
      <c r="J39" s="8">
        <f>I39*'Cost Assumptions'!$B$5</f>
        <v>46.387736728515605</v>
      </c>
      <c r="K39" s="8">
        <f>J39*'Cost Assumptions'!$B$5</f>
        <v>47.547430146728495</v>
      </c>
      <c r="L39" s="8">
        <f>K39*'Cost Assumptions'!$B$5</f>
        <v>48.736115900396705</v>
      </c>
      <c r="M39" s="8">
        <f>L39*'Cost Assumptions'!$B$5</f>
        <v>49.954518797906616</v>
      </c>
      <c r="N39" s="8">
        <f>M39*'Cost Assumptions'!$B$5</f>
        <v>51.203381767854275</v>
      </c>
      <c r="O39" s="8">
        <f>N39*'Cost Assumptions'!$B$5</f>
        <v>52.483466312050624</v>
      </c>
      <c r="P39" s="8">
        <f>O39*'Cost Assumptions'!$B$5</f>
        <v>53.795552969851883</v>
      </c>
      <c r="Q39" s="8">
        <f>P39*'Cost Assumptions'!$B$5</f>
        <v>55.140441794098173</v>
      </c>
      <c r="R39" s="8">
        <f>Q39*'Cost Assumptions'!$B$5</f>
        <v>56.518952838950625</v>
      </c>
      <c r="S39" s="8">
        <f>R39*'Cost Assumptions'!$B$5</f>
        <v>57.931926659924386</v>
      </c>
      <c r="T39" s="8">
        <f>S39*'Cost Assumptions'!$B$5</f>
        <v>59.380224826422491</v>
      </c>
      <c r="U39" s="8">
        <f>T39*'Cost Assumptions'!$B$5</f>
        <v>60.864730447083048</v>
      </c>
      <c r="V39" s="8">
        <f>U39*'Cost Assumptions'!$B$5</f>
        <v>62.386348708260115</v>
      </c>
      <c r="W39" s="8">
        <f>V39*'Cost Assumptions'!$B$5</f>
        <v>63.946007425966613</v>
      </c>
      <c r="X39" s="8">
        <f>W39*'Cost Assumptions'!$B$5</f>
        <v>65.544657611615776</v>
      </c>
      <c r="Y39" s="8">
        <f>X39*'Cost Assumptions'!$B$5</f>
        <v>67.183274051906167</v>
      </c>
      <c r="Z39" s="8">
        <f>Y39*'Cost Assumptions'!$B$5</f>
        <v>68.862855903203823</v>
      </c>
      <c r="AA39" s="8">
        <f>Z39*'Cost Assumptions'!$B$5</f>
        <v>70.584427300783915</v>
      </c>
      <c r="AB39" s="8">
        <f>AA39*'Cost Assumptions'!$B$5</f>
        <v>72.349037983303504</v>
      </c>
      <c r="AC39" s="8">
        <f>AB39*'Cost Assumptions'!$B$5</f>
        <v>74.157763932886084</v>
      </c>
      <c r="AD39" s="8">
        <f>AC39*'Cost Assumptions'!$B$5</f>
        <v>76.011708031208229</v>
      </c>
      <c r="AE39" s="8">
        <f>AD39*'Cost Assumptions'!$B$5</f>
        <v>77.912000731988428</v>
      </c>
    </row>
    <row r="40" spans="1:31" x14ac:dyDescent="0.35">
      <c r="A40" s="87"/>
      <c r="B40" s="87"/>
      <c r="C40" s="87"/>
      <c r="E40" s="87"/>
      <c r="F40" s="87"/>
      <c r="G40" s="87"/>
      <c r="H40" s="6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23.5" x14ac:dyDescent="0.55000000000000004">
      <c r="A41" s="87"/>
      <c r="B41" s="165" t="s">
        <v>137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</row>
    <row r="42" spans="1:31" ht="20" thickBot="1" x14ac:dyDescent="0.5">
      <c r="A42" s="120"/>
      <c r="B42" s="125" t="s">
        <v>138</v>
      </c>
      <c r="C42" s="120" t="s">
        <v>105</v>
      </c>
      <c r="D42" s="120">
        <v>2021</v>
      </c>
      <c r="E42" s="120">
        <v>2022</v>
      </c>
      <c r="F42" s="120">
        <v>2023</v>
      </c>
      <c r="G42" s="120">
        <v>2024</v>
      </c>
      <c r="H42" s="120">
        <v>2025</v>
      </c>
      <c r="I42" s="120">
        <v>2026</v>
      </c>
      <c r="J42" s="120">
        <v>2027</v>
      </c>
      <c r="K42" s="120">
        <v>2028</v>
      </c>
      <c r="L42" s="120">
        <v>2029</v>
      </c>
      <c r="M42" s="120">
        <v>2030</v>
      </c>
      <c r="N42" s="120">
        <v>2031</v>
      </c>
      <c r="O42" s="120">
        <v>2032</v>
      </c>
      <c r="P42" s="120">
        <v>2033</v>
      </c>
      <c r="Q42" s="120">
        <v>2034</v>
      </c>
      <c r="R42" s="120">
        <v>2035</v>
      </c>
      <c r="S42" s="120">
        <v>2036</v>
      </c>
      <c r="T42" s="120">
        <v>2037</v>
      </c>
      <c r="U42" s="120">
        <v>2038</v>
      </c>
      <c r="V42" s="120">
        <v>2039</v>
      </c>
      <c r="W42" s="120">
        <v>2040</v>
      </c>
      <c r="X42" s="120">
        <v>2041</v>
      </c>
      <c r="Y42" s="120">
        <v>2042</v>
      </c>
      <c r="Z42" s="120">
        <v>2043</v>
      </c>
      <c r="AA42" s="120">
        <v>2044</v>
      </c>
      <c r="AB42" s="120">
        <v>2045</v>
      </c>
      <c r="AC42" s="120">
        <v>2046</v>
      </c>
      <c r="AD42" s="120">
        <v>2047</v>
      </c>
      <c r="AE42" s="120">
        <v>2048</v>
      </c>
    </row>
    <row r="43" spans="1:31" ht="15" thickTop="1" x14ac:dyDescent="0.35">
      <c r="A43" s="87"/>
      <c r="B43" s="9">
        <f>NPV('Cost Assumptions'!$B$3,'Valley South to Valley North'!D43:'Valley South to Valley North'!AE43)</f>
        <v>6560.5113212408824</v>
      </c>
      <c r="C43" s="87" t="s">
        <v>107</v>
      </c>
      <c r="D43" s="61">
        <f t="shared" ref="D43" si="0">D2-D18</f>
        <v>358.79999999895517</v>
      </c>
      <c r="E43" s="61">
        <f t="shared" ref="E43:AE43" si="1">E2-E18</f>
        <v>408.64999999968859</v>
      </c>
      <c r="F43" s="61">
        <f t="shared" si="1"/>
        <v>451.60192307660327</v>
      </c>
      <c r="G43" s="61">
        <f t="shared" si="1"/>
        <v>494.55384615356161</v>
      </c>
      <c r="H43" s="61">
        <f t="shared" si="1"/>
        <v>537.50576923051995</v>
      </c>
      <c r="I43" s="61">
        <f t="shared" si="1"/>
        <v>580.45769230747828</v>
      </c>
      <c r="J43" s="61">
        <f t="shared" si="1"/>
        <v>623.40961538443662</v>
      </c>
      <c r="K43" s="61">
        <f t="shared" si="1"/>
        <v>666.36153846139496</v>
      </c>
      <c r="L43" s="61">
        <f t="shared" si="1"/>
        <v>709.31346153835329</v>
      </c>
      <c r="M43" s="61">
        <f t="shared" si="1"/>
        <v>752.26538461531163</v>
      </c>
      <c r="N43" s="61">
        <f t="shared" si="1"/>
        <v>795.21730769226997</v>
      </c>
      <c r="O43" s="61">
        <f t="shared" si="1"/>
        <v>838.16923076922831</v>
      </c>
      <c r="P43" s="61">
        <f t="shared" si="1"/>
        <v>881.12115384618664</v>
      </c>
      <c r="Q43" s="61">
        <f t="shared" si="1"/>
        <v>924.07307692314498</v>
      </c>
      <c r="R43" s="61">
        <f t="shared" si="1"/>
        <v>967.02500000010332</v>
      </c>
      <c r="S43" s="61">
        <f t="shared" si="1"/>
        <v>1009.9769230770617</v>
      </c>
      <c r="T43" s="61">
        <f t="shared" si="1"/>
        <v>1052.92884615402</v>
      </c>
      <c r="U43" s="61">
        <f t="shared" si="1"/>
        <v>1095.8807692309783</v>
      </c>
      <c r="V43" s="61">
        <f t="shared" si="1"/>
        <v>1138.8326923079367</v>
      </c>
      <c r="W43" s="61">
        <f t="shared" si="1"/>
        <v>1181.784615384895</v>
      </c>
      <c r="X43" s="61">
        <f t="shared" si="1"/>
        <v>1224.7365384618533</v>
      </c>
      <c r="Y43" s="61">
        <f t="shared" si="1"/>
        <v>1267.6884615388117</v>
      </c>
      <c r="Z43" s="61">
        <f t="shared" si="1"/>
        <v>1310.64038461577</v>
      </c>
      <c r="AA43" s="61">
        <f t="shared" si="1"/>
        <v>1353.5923076927284</v>
      </c>
      <c r="AB43" s="61">
        <f t="shared" si="1"/>
        <v>1396.5442307696867</v>
      </c>
      <c r="AC43" s="61">
        <f t="shared" si="1"/>
        <v>1439.496153846645</v>
      </c>
      <c r="AD43" s="61">
        <f t="shared" si="1"/>
        <v>1482.4480769236034</v>
      </c>
      <c r="AE43" s="61">
        <f t="shared" si="1"/>
        <v>1525.4000000004598</v>
      </c>
    </row>
    <row r="44" spans="1:31" x14ac:dyDescent="0.35">
      <c r="A44" s="87"/>
      <c r="B44" s="9">
        <f>NPV('Cost Assumptions'!$B$3,'Valley South to Valley North'!D44:'Valley South to Valley North'!AE44)</f>
        <v>348715.33143486211</v>
      </c>
      <c r="C44" s="87" t="s">
        <v>139</v>
      </c>
      <c r="D44" s="61">
        <f>D43*D39</f>
        <v>14351.999999958207</v>
      </c>
      <c r="E44" s="61">
        <f>E43*E39</f>
        <v>16754.649999987232</v>
      </c>
      <c r="F44" s="61">
        <f>F43*F39</f>
        <v>18978.57081729425</v>
      </c>
      <c r="G44" s="61">
        <f>G43*G39</f>
        <v>21303.216019218511</v>
      </c>
      <c r="H44" s="61">
        <f>H43*H39</f>
        <v>23732.231874478173</v>
      </c>
      <c r="I44" s="61">
        <f t="shared" ref="I44:AE44" si="2">I43*I39</f>
        <v>26269.384012488805</v>
      </c>
      <c r="J44" s="61">
        <f t="shared" si="2"/>
        <v>28918.561112478419</v>
      </c>
      <c r="K44" s="61">
        <f t="shared" si="2"/>
        <v>31683.778702459709</v>
      </c>
      <c r="L44" s="61">
        <f t="shared" si="2"/>
        <v>34569.18307124477</v>
      </c>
      <c r="M44" s="61">
        <f t="shared" si="2"/>
        <v>37579.055296780032</v>
      </c>
      <c r="N44" s="61">
        <f t="shared" si="2"/>
        <v>40717.81539417254</v>
      </c>
      <c r="O44" s="61">
        <f t="shared" si="2"/>
        <v>43990.026586874177</v>
      </c>
      <c r="P44" s="61">
        <f t="shared" si="2"/>
        <v>47400.399704589545</v>
      </c>
      <c r="Q44" s="61">
        <f t="shared" si="2"/>
        <v>50953.797711573883</v>
      </c>
      <c r="R44" s="61">
        <f t="shared" si="2"/>
        <v>54655.240369092069</v>
      </c>
      <c r="S44" s="61">
        <f t="shared" si="2"/>
        <v>58509.909035916426</v>
      </c>
      <c r="T44" s="61">
        <f t="shared" si="2"/>
        <v>62523.151610851324</v>
      </c>
      <c r="U44" s="61">
        <f t="shared" si="2"/>
        <v>66700.487621385517</v>
      </c>
      <c r="V44" s="61">
        <f t="shared" si="2"/>
        <v>71047.613462689638</v>
      </c>
      <c r="W44" s="61">
        <f t="shared" si="2"/>
        <v>75570.407791295598</v>
      </c>
      <c r="X44" s="61">
        <f t="shared" si="2"/>
        <v>80274.937077917668</v>
      </c>
      <c r="Y44" s="61">
        <f t="shared" si="2"/>
        <v>85167.461324001299</v>
      </c>
      <c r="Z44" s="61">
        <f t="shared" si="2"/>
        <v>90254.4399467154</v>
      </c>
      <c r="AA44" s="61">
        <f t="shared" si="2"/>
        <v>95542.537837237716</v>
      </c>
      <c r="AB44" s="61">
        <f t="shared" si="2"/>
        <v>101038.63159731943</v>
      </c>
      <c r="AC44" s="61">
        <f t="shared" si="2"/>
        <v>106749.81595925697</v>
      </c>
      <c r="AD44" s="61">
        <f t="shared" si="2"/>
        <v>112683.41039454305</v>
      </c>
      <c r="AE44" s="61">
        <f t="shared" si="2"/>
        <v>118846.96591661098</v>
      </c>
    </row>
    <row r="45" spans="1:31" x14ac:dyDescent="0.35">
      <c r="A45" s="87" t="s">
        <v>30</v>
      </c>
      <c r="B45" s="9">
        <f>NPV('Cost Assumptions'!$B$3,'Valley South to Valley North'!D45:'Valley South to Valley North'!AE45)</f>
        <v>1471.0441040403673</v>
      </c>
      <c r="C45" s="87" t="s">
        <v>31</v>
      </c>
      <c r="D45" s="61">
        <f t="shared" ref="D45" si="3">D3-D19</f>
        <v>5.5999999999999943</v>
      </c>
      <c r="E45" s="61">
        <f t="shared" ref="E45:AE45" si="4">E3-E19</f>
        <v>8.0999999999999943</v>
      </c>
      <c r="F45" s="61">
        <f t="shared" si="4"/>
        <v>9.2000000000000028</v>
      </c>
      <c r="G45" s="61">
        <f t="shared" si="4"/>
        <v>10.300000000000011</v>
      </c>
      <c r="H45" s="61">
        <f t="shared" si="4"/>
        <v>11.40000000000002</v>
      </c>
      <c r="I45" s="61">
        <f t="shared" si="4"/>
        <v>12.500000000000028</v>
      </c>
      <c r="J45" s="61">
        <f t="shared" si="4"/>
        <v>13.600000000000023</v>
      </c>
      <c r="K45" s="61">
        <f t="shared" si="4"/>
        <v>14.699999999999989</v>
      </c>
      <c r="L45" s="61">
        <f t="shared" si="4"/>
        <v>19.520000000000039</v>
      </c>
      <c r="M45" s="61">
        <f t="shared" si="4"/>
        <v>24.340000000000146</v>
      </c>
      <c r="N45" s="61">
        <f t="shared" si="4"/>
        <v>29.160000000000196</v>
      </c>
      <c r="O45" s="61">
        <f t="shared" si="4"/>
        <v>33.980000000000132</v>
      </c>
      <c r="P45" s="61">
        <f t="shared" si="4"/>
        <v>210.95000000000016</v>
      </c>
      <c r="Q45" s="61">
        <f t="shared" si="4"/>
        <v>227.04000000000042</v>
      </c>
      <c r="R45" s="61">
        <f t="shared" si="4"/>
        <v>243.13000000000056</v>
      </c>
      <c r="S45" s="61">
        <f t="shared" si="4"/>
        <v>259.22000000000071</v>
      </c>
      <c r="T45" s="61">
        <f t="shared" si="4"/>
        <v>275.31000000000085</v>
      </c>
      <c r="U45" s="61">
        <f t="shared" si="4"/>
        <v>291.40000000000055</v>
      </c>
      <c r="V45" s="61">
        <f t="shared" si="4"/>
        <v>496.85000000000036</v>
      </c>
      <c r="W45" s="61">
        <f t="shared" si="4"/>
        <v>702.29999999999973</v>
      </c>
      <c r="X45" s="61">
        <f t="shared" si="4"/>
        <v>907.74999999999909</v>
      </c>
      <c r="Y45" s="61">
        <f t="shared" si="4"/>
        <v>1113.1999999999985</v>
      </c>
      <c r="Z45" s="61">
        <f t="shared" si="4"/>
        <v>746.09999999999945</v>
      </c>
      <c r="AA45" s="61">
        <f t="shared" si="4"/>
        <v>907.49999999999909</v>
      </c>
      <c r="AB45" s="61">
        <f t="shared" si="4"/>
        <v>1068.8999999999987</v>
      </c>
      <c r="AC45" s="61">
        <f t="shared" si="4"/>
        <v>1230.2999999999984</v>
      </c>
      <c r="AD45" s="61">
        <f t="shared" si="4"/>
        <v>1391.699999999998</v>
      </c>
      <c r="AE45" s="61">
        <f t="shared" si="4"/>
        <v>1553.0999999999967</v>
      </c>
    </row>
    <row r="46" spans="1:31" x14ac:dyDescent="0.35">
      <c r="A46" s="87" t="s">
        <v>30</v>
      </c>
      <c r="B46" s="9">
        <f>NPV('Cost Assumptions'!$B$3,'Valley South to Valley North'!D46:'Valley South to Valley North'!AE46)</f>
        <v>-32.718999124342567</v>
      </c>
      <c r="C46" s="87" t="s">
        <v>32</v>
      </c>
      <c r="D46" s="61">
        <f t="shared" ref="D46" si="5">D4-D20</f>
        <v>-2.4000000000000057</v>
      </c>
      <c r="E46" s="61">
        <f t="shared" ref="E46:AE46" si="6">E4-E20</f>
        <v>-4.3000000000000114</v>
      </c>
      <c r="F46" s="61">
        <f t="shared" si="6"/>
        <v>-4.4166666666666767</v>
      </c>
      <c r="G46" s="61">
        <f t="shared" si="6"/>
        <v>-4.5333333333333421</v>
      </c>
      <c r="H46" s="61">
        <f t="shared" si="6"/>
        <v>-4.6500000000000075</v>
      </c>
      <c r="I46" s="61">
        <f t="shared" si="6"/>
        <v>-4.7666666666666728</v>
      </c>
      <c r="J46" s="61">
        <f t="shared" si="6"/>
        <v>-4.8833333333333364</v>
      </c>
      <c r="K46" s="61">
        <f t="shared" si="6"/>
        <v>-5</v>
      </c>
      <c r="L46" s="61">
        <f t="shared" si="6"/>
        <v>-4.7899999999999956</v>
      </c>
      <c r="M46" s="61">
        <f t="shared" si="6"/>
        <v>-4.5799999999999912</v>
      </c>
      <c r="N46" s="61">
        <f t="shared" si="6"/>
        <v>-4.3699999999999832</v>
      </c>
      <c r="O46" s="61">
        <f t="shared" si="6"/>
        <v>-4.1599999999999753</v>
      </c>
      <c r="P46" s="61">
        <f t="shared" si="6"/>
        <v>-2.4999999999999787</v>
      </c>
      <c r="Q46" s="61">
        <f t="shared" si="6"/>
        <v>-1.2799999999999798</v>
      </c>
      <c r="R46" s="61">
        <f t="shared" si="6"/>
        <v>-5.9999999999980957E-2</v>
      </c>
      <c r="S46" s="61">
        <f t="shared" si="6"/>
        <v>1.1600000000000179</v>
      </c>
      <c r="T46" s="61">
        <f t="shared" si="6"/>
        <v>2.3800000000000168</v>
      </c>
      <c r="U46" s="61">
        <f t="shared" si="6"/>
        <v>3.6000000000000014</v>
      </c>
      <c r="V46" s="61">
        <f t="shared" si="6"/>
        <v>1.7199999999999918</v>
      </c>
      <c r="W46" s="61">
        <f t="shared" si="6"/>
        <v>-0.16000000000002501</v>
      </c>
      <c r="X46" s="61">
        <f t="shared" si="6"/>
        <v>-2.0400000000000489</v>
      </c>
      <c r="Y46" s="61">
        <f t="shared" si="6"/>
        <v>-3.9200000000000728</v>
      </c>
      <c r="Z46" s="61">
        <f t="shared" si="6"/>
        <v>-5.8000000000000682</v>
      </c>
      <c r="AA46" s="61">
        <f t="shared" si="6"/>
        <v>-5.9600000000000506</v>
      </c>
      <c r="AB46" s="61">
        <f t="shared" si="6"/>
        <v>-6.120000000000033</v>
      </c>
      <c r="AC46" s="61">
        <f t="shared" si="6"/>
        <v>-6.2800000000000153</v>
      </c>
      <c r="AD46" s="61">
        <f t="shared" si="6"/>
        <v>-6.4399999999999977</v>
      </c>
      <c r="AE46" s="61">
        <f t="shared" si="6"/>
        <v>-6.5999999999999659</v>
      </c>
    </row>
    <row r="47" spans="1:31" x14ac:dyDescent="0.35">
      <c r="A47" s="87" t="s">
        <v>30</v>
      </c>
      <c r="B47" s="9">
        <f>NPV('Cost Assumptions'!$B$3,'Valley South to Valley North'!D47:'Valley South to Valley North'!AE47)</f>
        <v>374.13028185809554</v>
      </c>
      <c r="C47" s="87" t="s">
        <v>33</v>
      </c>
      <c r="D47" s="61">
        <f t="shared" ref="D47" si="7">D5-D21</f>
        <v>0.15808760115486706</v>
      </c>
      <c r="E47" s="61">
        <f t="shared" ref="E47:AE47" si="8">E5-E21</f>
        <v>0.31034737877346674</v>
      </c>
      <c r="F47" s="61">
        <f t="shared" si="8"/>
        <v>0.26665200351692253</v>
      </c>
      <c r="G47" s="61">
        <f t="shared" si="8"/>
        <v>0.22295662826037832</v>
      </c>
      <c r="H47" s="61">
        <f t="shared" si="8"/>
        <v>0.17926125300383422</v>
      </c>
      <c r="I47" s="61">
        <f t="shared" si="8"/>
        <v>0.13556587774729012</v>
      </c>
      <c r="J47" s="61">
        <f t="shared" si="8"/>
        <v>9.187050249074602E-2</v>
      </c>
      <c r="K47" s="61">
        <f t="shared" si="8"/>
        <v>4.8175127234201476E-2</v>
      </c>
      <c r="L47" s="61">
        <f t="shared" si="8"/>
        <v>0.29325318039438386</v>
      </c>
      <c r="M47" s="61">
        <f t="shared" si="8"/>
        <v>0.53833123355456713</v>
      </c>
      <c r="N47" s="61">
        <f t="shared" si="8"/>
        <v>0.78340928671475041</v>
      </c>
      <c r="O47" s="61">
        <f t="shared" si="8"/>
        <v>1.0284873398749284</v>
      </c>
      <c r="P47" s="61">
        <f t="shared" si="8"/>
        <v>24.699725106405772</v>
      </c>
      <c r="Q47" s="61">
        <f t="shared" si="8"/>
        <v>28.17440350814141</v>
      </c>
      <c r="R47" s="61">
        <f t="shared" si="8"/>
        <v>31.64908190987704</v>
      </c>
      <c r="S47" s="61">
        <f t="shared" si="8"/>
        <v>35.123760311612671</v>
      </c>
      <c r="T47" s="61">
        <f t="shared" si="8"/>
        <v>38.598438713348315</v>
      </c>
      <c r="U47" s="61">
        <f t="shared" si="8"/>
        <v>42.073117115083932</v>
      </c>
      <c r="V47" s="61">
        <f t="shared" si="8"/>
        <v>80.423893476973831</v>
      </c>
      <c r="W47" s="61">
        <f t="shared" si="8"/>
        <v>118.7746698388637</v>
      </c>
      <c r="X47" s="61">
        <f t="shared" si="8"/>
        <v>157.12544620075357</v>
      </c>
      <c r="Y47" s="61">
        <f t="shared" si="8"/>
        <v>195.47622256264344</v>
      </c>
      <c r="Z47" s="61">
        <f t="shared" si="8"/>
        <v>233.82699892453348</v>
      </c>
      <c r="AA47" s="61">
        <f t="shared" si="8"/>
        <v>339.76740798375488</v>
      </c>
      <c r="AB47" s="61">
        <f t="shared" si="8"/>
        <v>445.70781704297633</v>
      </c>
      <c r="AC47" s="61">
        <f t="shared" si="8"/>
        <v>551.64822610219767</v>
      </c>
      <c r="AD47" s="61">
        <f t="shared" si="8"/>
        <v>657.58863516141901</v>
      </c>
      <c r="AE47" s="61">
        <f t="shared" si="8"/>
        <v>763.52904422064012</v>
      </c>
    </row>
    <row r="48" spans="1:31" x14ac:dyDescent="0.35">
      <c r="A48" s="87" t="s">
        <v>30</v>
      </c>
      <c r="B48" s="9">
        <f>NPV('Cost Assumptions'!$B$3,'Valley South to Valley North'!D48:'Valley South to Valley North'!AE48)</f>
        <v>0.84873352317780459</v>
      </c>
      <c r="C48" s="87" t="s">
        <v>34</v>
      </c>
      <c r="D48" s="61">
        <f t="shared" ref="D48" si="9">D6-D22</f>
        <v>2.6788994289051338E-3</v>
      </c>
      <c r="E48" s="61">
        <f t="shared" ref="E48:AE48" si="10">E6-E22</f>
        <v>1.7838539855266032E-3</v>
      </c>
      <c r="F48" s="61">
        <f t="shared" si="10"/>
        <v>3.5493332371698549E-4</v>
      </c>
      <c r="G48" s="61">
        <f t="shared" si="10"/>
        <v>-1.0739873380926357E-3</v>
      </c>
      <c r="H48" s="61">
        <f t="shared" si="10"/>
        <v>-2.5029079999022569E-3</v>
      </c>
      <c r="I48" s="61">
        <f t="shared" si="10"/>
        <v>-3.9318286617118781E-3</v>
      </c>
      <c r="J48" s="61">
        <f t="shared" si="10"/>
        <v>-5.3607493235215131E-3</v>
      </c>
      <c r="K48" s="61">
        <f t="shared" si="10"/>
        <v>-6.7896699853310927E-3</v>
      </c>
      <c r="L48" s="61">
        <f t="shared" si="10"/>
        <v>-6.3576296383344166E-3</v>
      </c>
      <c r="M48" s="61">
        <f t="shared" si="10"/>
        <v>-5.9255892913377406E-3</v>
      </c>
      <c r="N48" s="61">
        <f t="shared" si="10"/>
        <v>-5.4935489443410646E-3</v>
      </c>
      <c r="O48" s="61">
        <f t="shared" si="10"/>
        <v>-5.061508597344444E-3</v>
      </c>
      <c r="P48" s="61">
        <f t="shared" si="10"/>
        <v>0.15211363068350059</v>
      </c>
      <c r="Q48" s="61">
        <f t="shared" si="10"/>
        <v>0.15704613388941291</v>
      </c>
      <c r="R48" s="61">
        <f t="shared" si="10"/>
        <v>0.16197863709532534</v>
      </c>
      <c r="S48" s="61">
        <f t="shared" si="10"/>
        <v>0.16691114030123777</v>
      </c>
      <c r="T48" s="61">
        <f t="shared" si="10"/>
        <v>0.1718436435071502</v>
      </c>
      <c r="U48" s="61">
        <f t="shared" si="10"/>
        <v>0.17677614671306197</v>
      </c>
      <c r="V48" s="61">
        <f t="shared" si="10"/>
        <v>0.24687485831629319</v>
      </c>
      <c r="W48" s="61">
        <f t="shared" si="10"/>
        <v>0.31697356991952441</v>
      </c>
      <c r="X48" s="61">
        <f t="shared" si="10"/>
        <v>0.38707228152275563</v>
      </c>
      <c r="Y48" s="61">
        <f t="shared" si="10"/>
        <v>0.45717099312598686</v>
      </c>
      <c r="Z48" s="61">
        <f t="shared" si="10"/>
        <v>0.52726970472921764</v>
      </c>
      <c r="AA48" s="61">
        <f t="shared" si="10"/>
        <v>0.66103738776772936</v>
      </c>
      <c r="AB48" s="61">
        <f t="shared" si="10"/>
        <v>0.79480507080624108</v>
      </c>
      <c r="AC48" s="61">
        <f t="shared" si="10"/>
        <v>0.9285727538447528</v>
      </c>
      <c r="AD48" s="61">
        <f t="shared" si="10"/>
        <v>1.0623404368832645</v>
      </c>
      <c r="AE48" s="61">
        <f t="shared" si="10"/>
        <v>1.1961081199217762</v>
      </c>
    </row>
    <row r="49" spans="1:31" x14ac:dyDescent="0.35">
      <c r="A49" s="87" t="s">
        <v>30</v>
      </c>
      <c r="B49" s="9">
        <f>NPV('Cost Assumptions'!$B$3,'Valley South to Valley North'!D49:'Valley South to Valley North'!AE49)</f>
        <v>364.99053013132732</v>
      </c>
      <c r="C49" s="87" t="s">
        <v>35</v>
      </c>
      <c r="D49" s="61">
        <f t="shared" ref="D49" si="11">D7-D23</f>
        <v>14</v>
      </c>
      <c r="E49" s="61">
        <f t="shared" ref="E49:AE49" si="12">E7-E23</f>
        <v>23</v>
      </c>
      <c r="F49" s="61">
        <f t="shared" si="12"/>
        <v>25.333333333333336</v>
      </c>
      <c r="G49" s="61">
        <f t="shared" si="12"/>
        <v>27.666666666666671</v>
      </c>
      <c r="H49" s="61">
        <f t="shared" si="12"/>
        <v>30.000000000000007</v>
      </c>
      <c r="I49" s="61">
        <f t="shared" si="12"/>
        <v>32.333333333333343</v>
      </c>
      <c r="J49" s="61">
        <f t="shared" si="12"/>
        <v>34.666666666666679</v>
      </c>
      <c r="K49" s="61">
        <f t="shared" si="12"/>
        <v>37</v>
      </c>
      <c r="L49" s="61">
        <f t="shared" si="12"/>
        <v>39.799999999999997</v>
      </c>
      <c r="M49" s="61">
        <f t="shared" si="12"/>
        <v>42.6</v>
      </c>
      <c r="N49" s="61">
        <f t="shared" si="12"/>
        <v>45.4</v>
      </c>
      <c r="O49" s="61">
        <f t="shared" si="12"/>
        <v>48.199999999999996</v>
      </c>
      <c r="P49" s="61">
        <f t="shared" si="12"/>
        <v>53.833333333333329</v>
      </c>
      <c r="Q49" s="61">
        <f t="shared" si="12"/>
        <v>55.066666666666656</v>
      </c>
      <c r="R49" s="61">
        <f t="shared" si="12"/>
        <v>56.299999999999983</v>
      </c>
      <c r="S49" s="61">
        <f t="shared" si="12"/>
        <v>57.533333333333317</v>
      </c>
      <c r="T49" s="61">
        <f t="shared" si="12"/>
        <v>58.766666666666666</v>
      </c>
      <c r="U49" s="61">
        <f t="shared" si="12"/>
        <v>60</v>
      </c>
      <c r="V49" s="61">
        <f t="shared" si="12"/>
        <v>63</v>
      </c>
      <c r="W49" s="61">
        <f t="shared" si="12"/>
        <v>66</v>
      </c>
      <c r="X49" s="61">
        <f t="shared" si="12"/>
        <v>69</v>
      </c>
      <c r="Y49" s="61">
        <f t="shared" si="12"/>
        <v>72</v>
      </c>
      <c r="Z49" s="61">
        <f t="shared" si="12"/>
        <v>75</v>
      </c>
      <c r="AA49" s="61">
        <f t="shared" si="12"/>
        <v>76.599999999999994</v>
      </c>
      <c r="AB49" s="61">
        <f t="shared" si="12"/>
        <v>78.199999999999989</v>
      </c>
      <c r="AC49" s="61">
        <f t="shared" si="12"/>
        <v>79.799999999999983</v>
      </c>
      <c r="AD49" s="61">
        <f t="shared" si="12"/>
        <v>81.399999999999977</v>
      </c>
      <c r="AE49" s="61">
        <f t="shared" si="12"/>
        <v>83</v>
      </c>
    </row>
    <row r="50" spans="1:31" x14ac:dyDescent="0.35">
      <c r="A50" s="87" t="s">
        <v>30</v>
      </c>
      <c r="B50" s="9">
        <f>NPV('Cost Assumptions'!$B$3,'Valley South to Valley North'!D50:'Valley South to Valley North'!AE50)</f>
        <v>98755.574285405048</v>
      </c>
      <c r="C50" s="85" t="s">
        <v>140</v>
      </c>
      <c r="D50" s="61">
        <f t="shared" ref="D50:E52" si="13">D13-D24</f>
        <v>2088.0515373598791</v>
      </c>
      <c r="E50" s="61">
        <f t="shared" si="13"/>
        <v>3165.0847079878258</v>
      </c>
      <c r="F50" s="61">
        <f t="shared" ref="F50:AE50" si="14">F13-F24</f>
        <v>4242.1178786157725</v>
      </c>
      <c r="G50" s="61">
        <f t="shared" si="14"/>
        <v>5319.1510492437192</v>
      </c>
      <c r="H50" s="61">
        <f t="shared" si="14"/>
        <v>6396.1842198716658</v>
      </c>
      <c r="I50" s="61">
        <f t="shared" si="14"/>
        <v>7473.2173904996125</v>
      </c>
      <c r="J50" s="61">
        <f t="shared" si="14"/>
        <v>8550.2505611275592</v>
      </c>
      <c r="K50" s="61">
        <f t="shared" si="14"/>
        <v>9627.2837317555059</v>
      </c>
      <c r="L50" s="61">
        <f t="shared" si="14"/>
        <v>10704.316902383453</v>
      </c>
      <c r="M50" s="61">
        <f t="shared" si="14"/>
        <v>11781.350073011399</v>
      </c>
      <c r="N50" s="61">
        <f t="shared" si="14"/>
        <v>12858.383243639346</v>
      </c>
      <c r="O50" s="61">
        <f t="shared" si="14"/>
        <v>13935.416414267293</v>
      </c>
      <c r="P50" s="61">
        <f t="shared" si="14"/>
        <v>15012.449584895239</v>
      </c>
      <c r="Q50" s="61">
        <f t="shared" si="14"/>
        <v>16089.482755523186</v>
      </c>
      <c r="R50" s="61">
        <f t="shared" si="14"/>
        <v>17166.515926151136</v>
      </c>
      <c r="S50" s="61">
        <f t="shared" si="14"/>
        <v>18243.549096779083</v>
      </c>
      <c r="T50" s="61">
        <f t="shared" si="14"/>
        <v>19320.58226740703</v>
      </c>
      <c r="U50" s="61">
        <f t="shared" si="14"/>
        <v>20397.615438034976</v>
      </c>
      <c r="V50" s="61">
        <f t="shared" si="14"/>
        <v>21474.648608662923</v>
      </c>
      <c r="W50" s="61">
        <f t="shared" si="14"/>
        <v>22551.68177929087</v>
      </c>
      <c r="X50" s="61">
        <f t="shared" si="14"/>
        <v>23628.714949918809</v>
      </c>
      <c r="Y50" s="61">
        <f t="shared" si="14"/>
        <v>24705.748120546763</v>
      </c>
      <c r="Z50" s="61">
        <f t="shared" si="14"/>
        <v>25782.781291174702</v>
      </c>
      <c r="AA50" s="61">
        <f t="shared" si="14"/>
        <v>26859.814461802656</v>
      </c>
      <c r="AB50" s="61">
        <f t="shared" si="14"/>
        <v>27936.847632430596</v>
      </c>
      <c r="AC50" s="61">
        <f t="shared" si="14"/>
        <v>29013.88080305855</v>
      </c>
      <c r="AD50" s="61">
        <f t="shared" si="14"/>
        <v>30090.913973686489</v>
      </c>
      <c r="AE50" s="61">
        <f t="shared" si="14"/>
        <v>31167.947144314443</v>
      </c>
    </row>
    <row r="51" spans="1:31" x14ac:dyDescent="0.35">
      <c r="A51" s="87" t="s">
        <v>30</v>
      </c>
      <c r="B51" s="9">
        <f>NPV('Cost Assumptions'!$B$3,'Valley South to Valley North'!D51:'Valley South to Valley North'!AE51)</f>
        <v>0</v>
      </c>
      <c r="C51" s="85" t="s">
        <v>141</v>
      </c>
      <c r="D51" s="61">
        <f t="shared" si="13"/>
        <v>0</v>
      </c>
      <c r="E51" s="61">
        <f t="shared" si="13"/>
        <v>0</v>
      </c>
      <c r="F51" s="61">
        <f t="shared" ref="F51:AE51" si="15">F14-F25</f>
        <v>0</v>
      </c>
      <c r="G51" s="61">
        <f t="shared" si="15"/>
        <v>0</v>
      </c>
      <c r="H51" s="61">
        <f t="shared" si="15"/>
        <v>0</v>
      </c>
      <c r="I51" s="61">
        <f t="shared" si="15"/>
        <v>0</v>
      </c>
      <c r="J51" s="61">
        <f t="shared" si="15"/>
        <v>0</v>
      </c>
      <c r="K51" s="61">
        <f t="shared" si="15"/>
        <v>0</v>
      </c>
      <c r="L51" s="61">
        <f t="shared" si="15"/>
        <v>0</v>
      </c>
      <c r="M51" s="61">
        <f t="shared" si="15"/>
        <v>0</v>
      </c>
      <c r="N51" s="61">
        <f t="shared" si="15"/>
        <v>0</v>
      </c>
      <c r="O51" s="61">
        <f t="shared" si="15"/>
        <v>0</v>
      </c>
      <c r="P51" s="61">
        <f t="shared" si="15"/>
        <v>0</v>
      </c>
      <c r="Q51" s="61">
        <f t="shared" si="15"/>
        <v>0</v>
      </c>
      <c r="R51" s="61">
        <f t="shared" si="15"/>
        <v>0</v>
      </c>
      <c r="S51" s="61">
        <f t="shared" si="15"/>
        <v>0</v>
      </c>
      <c r="T51" s="61">
        <f t="shared" si="15"/>
        <v>0</v>
      </c>
      <c r="U51" s="61">
        <f t="shared" si="15"/>
        <v>0</v>
      </c>
      <c r="V51" s="61">
        <f t="shared" si="15"/>
        <v>0</v>
      </c>
      <c r="W51" s="61">
        <f t="shared" si="15"/>
        <v>0</v>
      </c>
      <c r="X51" s="61">
        <f t="shared" si="15"/>
        <v>0</v>
      </c>
      <c r="Y51" s="61">
        <f t="shared" si="15"/>
        <v>0</v>
      </c>
      <c r="Z51" s="61">
        <f t="shared" si="15"/>
        <v>0</v>
      </c>
      <c r="AA51" s="61">
        <f t="shared" si="15"/>
        <v>0</v>
      </c>
      <c r="AB51" s="61">
        <f t="shared" si="15"/>
        <v>0</v>
      </c>
      <c r="AC51" s="61">
        <f t="shared" si="15"/>
        <v>0</v>
      </c>
      <c r="AD51" s="61">
        <f t="shared" si="15"/>
        <v>0</v>
      </c>
      <c r="AE51" s="61">
        <f t="shared" si="15"/>
        <v>0</v>
      </c>
    </row>
    <row r="52" spans="1:31" s="80" customFormat="1" x14ac:dyDescent="0.35">
      <c r="A52" s="87" t="s">
        <v>30</v>
      </c>
      <c r="B52" s="9">
        <f>NPV('Cost Assumptions'!$B$3,'Valley South to Valley North'!D52:'Valley South to Valley North'!AE52)</f>
        <v>625479.5609838292</v>
      </c>
      <c r="C52" s="85" t="s">
        <v>142</v>
      </c>
      <c r="D52" s="61">
        <f t="shared" si="13"/>
        <v>43849.644101295453</v>
      </c>
      <c r="E52" s="61">
        <f t="shared" si="13"/>
        <v>47666.191216959465</v>
      </c>
      <c r="F52" s="61">
        <f t="shared" ref="F52:AE52" si="16">F15-F26</f>
        <v>51623.047330972418</v>
      </c>
      <c r="G52" s="61">
        <f t="shared" si="16"/>
        <v>54016.982557012248</v>
      </c>
      <c r="H52" s="61">
        <f t="shared" si="16"/>
        <v>56464.471123255622</v>
      </c>
      <c r="I52" s="61">
        <f t="shared" si="16"/>
        <v>58848.308518997277</v>
      </c>
      <c r="J52" s="61">
        <f t="shared" si="16"/>
        <v>61506.880850817244</v>
      </c>
      <c r="K52" s="61">
        <f t="shared" si="16"/>
        <v>64212.311152410475</v>
      </c>
      <c r="L52" s="61">
        <f t="shared" si="16"/>
        <v>66996.404432384094</v>
      </c>
      <c r="M52" s="61">
        <f t="shared" si="16"/>
        <v>69825.280426255733</v>
      </c>
      <c r="N52" s="61">
        <f t="shared" si="16"/>
        <v>72773.518005164369</v>
      </c>
      <c r="O52" s="61">
        <f t="shared" si="16"/>
        <v>75714.333022317209</v>
      </c>
      <c r="P52" s="61">
        <f t="shared" si="16"/>
        <v>78717.374136003491</v>
      </c>
      <c r="Q52" s="61">
        <f t="shared" si="16"/>
        <v>81702.717287077568</v>
      </c>
      <c r="R52" s="61">
        <f t="shared" si="16"/>
        <v>84628.656557176175</v>
      </c>
      <c r="S52" s="61">
        <f t="shared" si="16"/>
        <v>87572.125320247287</v>
      </c>
      <c r="T52" s="61">
        <f t="shared" si="16"/>
        <v>90542.941621017875</v>
      </c>
      <c r="U52" s="61">
        <f t="shared" si="16"/>
        <v>93513.384412501167</v>
      </c>
      <c r="V52" s="61">
        <f t="shared" si="16"/>
        <v>96262.835372085596</v>
      </c>
      <c r="W52" s="61">
        <f t="shared" si="16"/>
        <v>99037.282527116578</v>
      </c>
      <c r="X52" s="61">
        <f t="shared" si="16"/>
        <v>101828.94049500194</v>
      </c>
      <c r="Y52" s="61">
        <f t="shared" si="16"/>
        <v>104676.61397808696</v>
      </c>
      <c r="Z52" s="61">
        <f t="shared" si="16"/>
        <v>107213.11870562422</v>
      </c>
      <c r="AA52" s="61">
        <f t="shared" si="16"/>
        <v>109729.18807011581</v>
      </c>
      <c r="AB52" s="61">
        <f t="shared" si="16"/>
        <v>112291.24739482973</v>
      </c>
      <c r="AC52" s="61">
        <f t="shared" si="16"/>
        <v>114921.19579819695</v>
      </c>
      <c r="AD52" s="61">
        <f t="shared" si="16"/>
        <v>117146.06917588247</v>
      </c>
      <c r="AE52" s="61">
        <f t="shared" si="16"/>
        <v>119382.04502315809</v>
      </c>
    </row>
    <row r="53" spans="1:31" x14ac:dyDescent="0.35">
      <c r="A53" s="87" t="s">
        <v>39</v>
      </c>
      <c r="B53" s="9">
        <f>NPV('Cost Assumptions'!$B$3,'Valley South to Valley North'!D53:'Valley South to Valley North'!AE53)</f>
        <v>10376.920384782799</v>
      </c>
      <c r="C53" s="87" t="s">
        <v>31</v>
      </c>
      <c r="D53" s="61">
        <f>D8-SUM(D28,D27)</f>
        <v>49.800000000000182</v>
      </c>
      <c r="E53" s="61">
        <f>E8-SUM(E28,E27)</f>
        <v>129.00000000000023</v>
      </c>
      <c r="F53" s="61">
        <f t="shared" ref="F53:AE53" si="17">F8-SUM(F28,F27)</f>
        <v>258.75000000000023</v>
      </c>
      <c r="G53" s="61">
        <f t="shared" si="17"/>
        <v>388.50000000000023</v>
      </c>
      <c r="H53" s="61">
        <f t="shared" si="17"/>
        <v>518.25000000000023</v>
      </c>
      <c r="I53" s="61">
        <f t="shared" si="17"/>
        <v>648.00000000000023</v>
      </c>
      <c r="J53" s="61">
        <f t="shared" si="17"/>
        <v>777.75000000000023</v>
      </c>
      <c r="K53" s="61">
        <f t="shared" si="17"/>
        <v>907.5</v>
      </c>
      <c r="L53" s="61">
        <f t="shared" si="17"/>
        <v>1246.7</v>
      </c>
      <c r="M53" s="61">
        <f t="shared" si="17"/>
        <v>1509.75</v>
      </c>
      <c r="N53" s="61">
        <f t="shared" si="17"/>
        <v>1772.8000000000002</v>
      </c>
      <c r="O53" s="61">
        <f t="shared" si="17"/>
        <v>2035.8500000000001</v>
      </c>
      <c r="P53" s="61">
        <f t="shared" si="17"/>
        <v>2539.0833333333335</v>
      </c>
      <c r="Q53" s="61">
        <f t="shared" si="17"/>
        <v>2701.7866666666669</v>
      </c>
      <c r="R53" s="61">
        <f t="shared" si="17"/>
        <v>2864.49</v>
      </c>
      <c r="S53" s="61">
        <f t="shared" si="17"/>
        <v>3022.393333333333</v>
      </c>
      <c r="T53" s="61">
        <f t="shared" si="17"/>
        <v>3147.746666666666</v>
      </c>
      <c r="U53" s="61">
        <f t="shared" si="17"/>
        <v>3273.0999999999995</v>
      </c>
      <c r="V53" s="61">
        <f t="shared" si="17"/>
        <v>3075.0533333333324</v>
      </c>
      <c r="W53" s="61">
        <f t="shared" si="17"/>
        <v>2877.0066666666653</v>
      </c>
      <c r="X53" s="61">
        <f t="shared" si="17"/>
        <v>2678.9599999999991</v>
      </c>
      <c r="Y53" s="61">
        <f t="shared" si="17"/>
        <v>2480.913333333332</v>
      </c>
      <c r="Z53" s="61">
        <f t="shared" si="17"/>
        <v>1741.5999999999985</v>
      </c>
      <c r="AA53" s="61">
        <f t="shared" si="17"/>
        <v>1294.863636363636</v>
      </c>
      <c r="AB53" s="61">
        <f t="shared" si="17"/>
        <v>848.12727272727352</v>
      </c>
      <c r="AC53" s="61">
        <f t="shared" si="17"/>
        <v>401.39090909091283</v>
      </c>
      <c r="AD53" s="61">
        <f t="shared" si="17"/>
        <v>-45.345454545449684</v>
      </c>
      <c r="AE53" s="61">
        <f t="shared" si="17"/>
        <v>-2295.4999999999982</v>
      </c>
    </row>
    <row r="54" spans="1:31" x14ac:dyDescent="0.35">
      <c r="A54" s="87" t="s">
        <v>39</v>
      </c>
      <c r="B54" s="9">
        <f>NPV('Cost Assumptions'!$B$3,'Valley South to Valley North'!D54:'Valley South to Valley North'!AE54)</f>
        <v>839.48952930342216</v>
      </c>
      <c r="C54" s="87" t="s">
        <v>32</v>
      </c>
      <c r="D54" s="61">
        <f t="shared" ref="D54" si="18">D9-D29</f>
        <v>22.400000000000091</v>
      </c>
      <c r="E54" s="61">
        <f t="shared" ref="E54:AE54" si="19">E9-E29</f>
        <v>42.200000000000045</v>
      </c>
      <c r="F54" s="61">
        <f t="shared" si="19"/>
        <v>57.06666666666672</v>
      </c>
      <c r="G54" s="61">
        <f t="shared" si="19"/>
        <v>71.933333333333394</v>
      </c>
      <c r="H54" s="61">
        <f t="shared" si="19"/>
        <v>86.800000000000068</v>
      </c>
      <c r="I54" s="61">
        <f t="shared" si="19"/>
        <v>101.66666666666674</v>
      </c>
      <c r="J54" s="61">
        <f t="shared" si="19"/>
        <v>116.53333333333342</v>
      </c>
      <c r="K54" s="61">
        <f t="shared" si="19"/>
        <v>131.40000000000009</v>
      </c>
      <c r="L54" s="61">
        <f t="shared" si="19"/>
        <v>146.05000000000007</v>
      </c>
      <c r="M54" s="61">
        <f t="shared" si="19"/>
        <v>146.80000000000007</v>
      </c>
      <c r="N54" s="61">
        <f t="shared" si="19"/>
        <v>147.55000000000007</v>
      </c>
      <c r="O54" s="61">
        <f t="shared" si="19"/>
        <v>148.30000000000007</v>
      </c>
      <c r="P54" s="61">
        <f t="shared" si="19"/>
        <v>149.40000000000009</v>
      </c>
      <c r="Q54" s="61">
        <f t="shared" si="19"/>
        <v>147.04000000000008</v>
      </c>
      <c r="R54" s="61">
        <f t="shared" si="19"/>
        <v>144.68000000000006</v>
      </c>
      <c r="S54" s="61">
        <f t="shared" si="19"/>
        <v>142.32000000000005</v>
      </c>
      <c r="T54" s="61">
        <f t="shared" si="19"/>
        <v>139.96000000000004</v>
      </c>
      <c r="U54" s="61">
        <f t="shared" si="19"/>
        <v>107.00000000000009</v>
      </c>
      <c r="V54" s="61">
        <f t="shared" si="19"/>
        <v>93.220000000000113</v>
      </c>
      <c r="W54" s="61">
        <f t="shared" si="19"/>
        <v>79.440000000000111</v>
      </c>
      <c r="X54" s="61">
        <f t="shared" si="19"/>
        <v>65.660000000000139</v>
      </c>
      <c r="Y54" s="61">
        <f t="shared" si="19"/>
        <v>51.880000000000109</v>
      </c>
      <c r="Z54" s="61">
        <f t="shared" si="19"/>
        <v>38.800000000000182</v>
      </c>
      <c r="AA54" s="61">
        <f t="shared" si="19"/>
        <v>25.738181818181943</v>
      </c>
      <c r="AB54" s="61">
        <f t="shared" si="19"/>
        <v>12.676363636363703</v>
      </c>
      <c r="AC54" s="61">
        <f t="shared" si="19"/>
        <v>-0.38545454545453595</v>
      </c>
      <c r="AD54" s="61">
        <f t="shared" si="19"/>
        <v>-13.447272727272832</v>
      </c>
      <c r="AE54" s="61">
        <f t="shared" si="19"/>
        <v>-22.200000000000045</v>
      </c>
    </row>
    <row r="55" spans="1:31" x14ac:dyDescent="0.35">
      <c r="A55" s="87" t="s">
        <v>39</v>
      </c>
      <c r="B55" s="9">
        <f>NPV('Cost Assumptions'!$B$3,'Valley South to Valley North'!D55:'Valley South to Valley North'!AE55)</f>
        <v>601.40713743353786</v>
      </c>
      <c r="C55" s="87" t="s">
        <v>33</v>
      </c>
      <c r="D55" s="61">
        <f t="shared" ref="D55" si="20">D10-D30</f>
        <v>0.21200232326290805</v>
      </c>
      <c r="E55" s="61">
        <f t="shared" ref="E55:AE55" si="21">E10-E30</f>
        <v>0.68645330574586072</v>
      </c>
      <c r="F55" s="61">
        <f t="shared" si="21"/>
        <v>3.6304865724427344</v>
      </c>
      <c r="G55" s="61">
        <f t="shared" si="21"/>
        <v>6.574519839139608</v>
      </c>
      <c r="H55" s="61">
        <f t="shared" si="21"/>
        <v>9.5185531058364816</v>
      </c>
      <c r="I55" s="61">
        <f t="shared" si="21"/>
        <v>12.462586372533355</v>
      </c>
      <c r="J55" s="61">
        <f t="shared" si="21"/>
        <v>15.406619639230229</v>
      </c>
      <c r="K55" s="61">
        <f t="shared" si="21"/>
        <v>18.350652905927102</v>
      </c>
      <c r="L55" s="61">
        <f t="shared" si="21"/>
        <v>36.053857953636381</v>
      </c>
      <c r="M55" s="61">
        <f t="shared" si="21"/>
        <v>52.594000124999901</v>
      </c>
      <c r="N55" s="61">
        <f t="shared" si="21"/>
        <v>69.134142296363422</v>
      </c>
      <c r="O55" s="61">
        <f t="shared" si="21"/>
        <v>85.674284467726963</v>
      </c>
      <c r="P55" s="61">
        <f t="shared" si="21"/>
        <v>139.91036249400395</v>
      </c>
      <c r="Q55" s="61">
        <f t="shared" si="21"/>
        <v>168.18405369770332</v>
      </c>
      <c r="R55" s="61">
        <f t="shared" si="21"/>
        <v>196.45774490140266</v>
      </c>
      <c r="S55" s="61">
        <f t="shared" si="21"/>
        <v>224.73143610510203</v>
      </c>
      <c r="T55" s="61">
        <f t="shared" si="21"/>
        <v>253.00512730880143</v>
      </c>
      <c r="U55" s="61">
        <f t="shared" si="21"/>
        <v>280.86422331581105</v>
      </c>
      <c r="V55" s="61">
        <f t="shared" si="21"/>
        <v>283.80294343735727</v>
      </c>
      <c r="W55" s="61">
        <f t="shared" si="21"/>
        <v>286.74166355890355</v>
      </c>
      <c r="X55" s="61">
        <f t="shared" si="21"/>
        <v>289.68038368044984</v>
      </c>
      <c r="Y55" s="61">
        <f t="shared" si="21"/>
        <v>292.61910380199606</v>
      </c>
      <c r="Z55" s="61">
        <f t="shared" si="21"/>
        <v>196.44211533931184</v>
      </c>
      <c r="AA55" s="61">
        <f t="shared" si="21"/>
        <v>174.82757936653206</v>
      </c>
      <c r="AB55" s="61">
        <f t="shared" si="21"/>
        <v>153.21304339375229</v>
      </c>
      <c r="AC55" s="61">
        <f t="shared" si="21"/>
        <v>131.59850742097251</v>
      </c>
      <c r="AD55" s="61">
        <f t="shared" si="21"/>
        <v>109.98397144819273</v>
      </c>
      <c r="AE55" s="61">
        <f t="shared" si="21"/>
        <v>-602.55740557053105</v>
      </c>
    </row>
    <row r="56" spans="1:31" x14ac:dyDescent="0.35">
      <c r="A56" s="87" t="s">
        <v>39</v>
      </c>
      <c r="B56" s="9">
        <f>NPV('Cost Assumptions'!$B$3,'Valley South to Valley North'!D56:'Valley South to Valley North'!AE56)</f>
        <v>10.54314041745735</v>
      </c>
      <c r="C56" s="87" t="s">
        <v>34</v>
      </c>
      <c r="D56" s="61">
        <f t="shared" ref="D56" si="22">D11-D31</f>
        <v>5.3000580815727012E-2</v>
      </c>
      <c r="E56" s="61">
        <f t="shared" ref="E56:AE56" si="23">E11-E31</f>
        <v>0.13729066114917213</v>
      </c>
      <c r="F56" s="61">
        <f t="shared" si="23"/>
        <v>0.27537952381665309</v>
      </c>
      <c r="G56" s="61">
        <f t="shared" si="23"/>
        <v>0.41346838648413409</v>
      </c>
      <c r="H56" s="61">
        <f t="shared" si="23"/>
        <v>0.55155724915161508</v>
      </c>
      <c r="I56" s="61">
        <f t="shared" si="23"/>
        <v>0.68964611181909607</v>
      </c>
      <c r="J56" s="61">
        <f t="shared" si="23"/>
        <v>0.82773497448657707</v>
      </c>
      <c r="K56" s="61">
        <f t="shared" si="23"/>
        <v>0.96582383715405795</v>
      </c>
      <c r="L56" s="61">
        <f t="shared" si="23"/>
        <v>1.3268237771680045</v>
      </c>
      <c r="M56" s="61">
        <f t="shared" si="23"/>
        <v>1.5360909671819509</v>
      </c>
      <c r="N56" s="61">
        <f t="shared" si="23"/>
        <v>1.7453581571958974</v>
      </c>
      <c r="O56" s="61">
        <f t="shared" si="23"/>
        <v>1.954625347209844</v>
      </c>
      <c r="P56" s="61">
        <f t="shared" si="23"/>
        <v>2.4195121390094125</v>
      </c>
      <c r="Q56" s="61">
        <f t="shared" si="23"/>
        <v>2.5964018808089815</v>
      </c>
      <c r="R56" s="61">
        <f t="shared" si="23"/>
        <v>2.77329162260855</v>
      </c>
      <c r="S56" s="61">
        <f t="shared" si="23"/>
        <v>2.9501813644081185</v>
      </c>
      <c r="T56" s="61">
        <f t="shared" si="23"/>
        <v>3.1270711062076875</v>
      </c>
      <c r="U56" s="61">
        <f t="shared" si="23"/>
        <v>3.234861648558975</v>
      </c>
      <c r="V56" s="61">
        <f t="shared" si="23"/>
        <v>2.9409929913592023</v>
      </c>
      <c r="W56" s="61">
        <f t="shared" si="23"/>
        <v>2.6471243341594306</v>
      </c>
      <c r="X56" s="61">
        <f t="shared" si="23"/>
        <v>2.3532556769596571</v>
      </c>
      <c r="Y56" s="61">
        <f t="shared" si="23"/>
        <v>2.0593870197598854</v>
      </c>
      <c r="Z56" s="61">
        <f t="shared" si="23"/>
        <v>1.0890825292267774</v>
      </c>
      <c r="AA56" s="61">
        <f t="shared" si="23"/>
        <v>1.0149857854614517</v>
      </c>
      <c r="AB56" s="61">
        <f t="shared" si="23"/>
        <v>0.94088904169612597</v>
      </c>
      <c r="AC56" s="61">
        <f t="shared" si="23"/>
        <v>0.86679229793079848</v>
      </c>
      <c r="AD56" s="61">
        <f t="shared" si="23"/>
        <v>0.79269555416547277</v>
      </c>
      <c r="AE56" s="61">
        <f t="shared" si="23"/>
        <v>1.6524727194910582</v>
      </c>
    </row>
    <row r="57" spans="1:31" x14ac:dyDescent="0.35">
      <c r="A57" s="87" t="s">
        <v>39</v>
      </c>
      <c r="B57" s="9">
        <f>NPV('Cost Assumptions'!$B$3,'Valley South to Valley North'!D57:'Valley South to Valley North'!AE57)</f>
        <v>121.85432653609165</v>
      </c>
      <c r="C57" s="87" t="s">
        <v>35</v>
      </c>
      <c r="D57" s="61">
        <f t="shared" ref="D57" si="24">D12-D32</f>
        <v>4</v>
      </c>
      <c r="E57" s="61">
        <f t="shared" ref="E57:AE57" si="25">E12-E32</f>
        <v>5</v>
      </c>
      <c r="F57" s="61">
        <f t="shared" si="25"/>
        <v>7.3333333333333339</v>
      </c>
      <c r="G57" s="61">
        <f t="shared" si="25"/>
        <v>9.6666666666666679</v>
      </c>
      <c r="H57" s="61">
        <f t="shared" si="25"/>
        <v>12.000000000000002</v>
      </c>
      <c r="I57" s="61">
        <f t="shared" si="25"/>
        <v>14.333333333333336</v>
      </c>
      <c r="J57" s="61">
        <f t="shared" si="25"/>
        <v>16.666666666666668</v>
      </c>
      <c r="K57" s="61">
        <f t="shared" si="25"/>
        <v>19</v>
      </c>
      <c r="L57" s="61">
        <f t="shared" si="25"/>
        <v>23.5</v>
      </c>
      <c r="M57" s="61">
        <f t="shared" si="25"/>
        <v>24.75</v>
      </c>
      <c r="N57" s="61">
        <f t="shared" si="25"/>
        <v>26</v>
      </c>
      <c r="O57" s="61">
        <f t="shared" si="25"/>
        <v>27.25</v>
      </c>
      <c r="P57" s="61">
        <f t="shared" si="25"/>
        <v>29.333333333333336</v>
      </c>
      <c r="Q57" s="61">
        <f t="shared" si="25"/>
        <v>27.266666666666673</v>
      </c>
      <c r="R57" s="61">
        <f t="shared" si="25"/>
        <v>25.20000000000001</v>
      </c>
      <c r="S57" s="61">
        <f t="shared" si="25"/>
        <v>23.133333333333347</v>
      </c>
      <c r="T57" s="61">
        <f t="shared" si="25"/>
        <v>21.066666666666684</v>
      </c>
      <c r="U57" s="61">
        <f t="shared" si="25"/>
        <v>13</v>
      </c>
      <c r="V57" s="61">
        <f t="shared" si="25"/>
        <v>10.299999999999997</v>
      </c>
      <c r="W57" s="61">
        <f t="shared" si="25"/>
        <v>7.5999999999999943</v>
      </c>
      <c r="X57" s="61">
        <f t="shared" si="25"/>
        <v>4.8999999999999773</v>
      </c>
      <c r="Y57" s="61">
        <f t="shared" si="25"/>
        <v>2.1999999999999602</v>
      </c>
      <c r="Z57" s="61">
        <f t="shared" si="25"/>
        <v>-2</v>
      </c>
      <c r="AA57" s="61">
        <f t="shared" si="25"/>
        <v>-5.2727272727272663</v>
      </c>
      <c r="AB57" s="61">
        <f t="shared" si="25"/>
        <v>-8.5454545454545467</v>
      </c>
      <c r="AC57" s="61">
        <f t="shared" si="25"/>
        <v>-11.818181818181813</v>
      </c>
      <c r="AD57" s="61">
        <f t="shared" si="25"/>
        <v>-15.090909090909093</v>
      </c>
      <c r="AE57" s="61">
        <f t="shared" si="25"/>
        <v>-23</v>
      </c>
    </row>
    <row r="58" spans="1:31" x14ac:dyDescent="0.35">
      <c r="A58" s="87"/>
      <c r="B58" s="87"/>
      <c r="C58" s="8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" thickBot="1" x14ac:dyDescent="0.4">
      <c r="A59" s="164" t="s">
        <v>143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.5" thickTop="1" thickBot="1" x14ac:dyDescent="0.4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</row>
    <row r="61" spans="1:31" ht="15" thickTop="1" x14ac:dyDescent="0.35">
      <c r="A61" s="87" t="str">
        <f>'Baseline System Analysis'!A17</f>
        <v>Residential</v>
      </c>
      <c r="B61" s="87" t="str">
        <f>'Baseline System Analysis'!B17</f>
        <v>Cost of Reliability (N-1)</v>
      </c>
      <c r="C61" s="87" t="str">
        <f>'Baseline System Analysis'!C17</f>
        <v>$/kWh</v>
      </c>
      <c r="D61" s="5">
        <f>'Baseline System Analysis'!D17</f>
        <v>4.3837328124999999</v>
      </c>
      <c r="E61" s="5">
        <f>'Baseline System Analysis'!E17</f>
        <v>4.4933261328124994</v>
      </c>
      <c r="F61" s="5">
        <f>'Baseline System Analysis'!F17</f>
        <v>4.6056592861328118</v>
      </c>
      <c r="G61" s="5">
        <f>'Baseline System Analysis'!G17</f>
        <v>4.7208007682861322</v>
      </c>
      <c r="H61" s="5">
        <f>'Baseline System Analysis'!H17</f>
        <v>4.8388207874932849</v>
      </c>
      <c r="I61" s="5">
        <f>'Baseline System Analysis'!I17</f>
        <v>4.959791307180617</v>
      </c>
      <c r="J61" s="5">
        <f>'Baseline System Analysis'!J17</f>
        <v>5.0837860898601317</v>
      </c>
      <c r="K61" s="5">
        <f>'Baseline System Analysis'!K17</f>
        <v>5.2108807421066343</v>
      </c>
      <c r="L61" s="5">
        <f>'Baseline System Analysis'!L17</f>
        <v>5.3411527606593001</v>
      </c>
      <c r="M61" s="5">
        <f>'Baseline System Analysis'!M17</f>
        <v>5.4746815796757824</v>
      </c>
      <c r="N61" s="5">
        <f>'Baseline System Analysis'!N17</f>
        <v>5.6115486191676762</v>
      </c>
      <c r="O61" s="5">
        <f>'Baseline System Analysis'!O17</f>
        <v>5.7518373346468676</v>
      </c>
      <c r="P61" s="5">
        <f>'Baseline System Analysis'!P17</f>
        <v>5.8956332680130386</v>
      </c>
      <c r="Q61" s="5">
        <f>'Baseline System Analysis'!Q17</f>
        <v>6.0430240997133637</v>
      </c>
      <c r="R61" s="5">
        <f>'Baseline System Analysis'!R17</f>
        <v>6.1940997022061977</v>
      </c>
      <c r="S61" s="5">
        <f>'Baseline System Analysis'!S17</f>
        <v>6.3489521947613516</v>
      </c>
      <c r="T61" s="5">
        <f>'Baseline System Analysis'!T17</f>
        <v>6.5076759996303846</v>
      </c>
      <c r="U61" s="5">
        <f>'Baseline System Analysis'!U17</f>
        <v>6.6703678996211435</v>
      </c>
      <c r="V61" s="5">
        <f>'Baseline System Analysis'!V17</f>
        <v>6.8371270971116713</v>
      </c>
      <c r="W61" s="5">
        <f>'Baseline System Analysis'!W17</f>
        <v>7.0080552745394629</v>
      </c>
      <c r="X61" s="5">
        <f>'Baseline System Analysis'!X17</f>
        <v>7.183256656402949</v>
      </c>
      <c r="Y61" s="5">
        <f>'Baseline System Analysis'!Y17</f>
        <v>7.3628380728130223</v>
      </c>
      <c r="Z61" s="5">
        <f>'Baseline System Analysis'!Z17</f>
        <v>7.5469090246333472</v>
      </c>
      <c r="AA61" s="5">
        <f>'Baseline System Analysis'!AA17</f>
        <v>7.7355817502491799</v>
      </c>
      <c r="AB61" s="5">
        <f>'Baseline System Analysis'!AB17</f>
        <v>7.9289712940054091</v>
      </c>
      <c r="AC61" s="5">
        <f>'Baseline System Analysis'!AC17</f>
        <v>8.1271955763555432</v>
      </c>
      <c r="AD61" s="5">
        <f>'Baseline System Analysis'!AD17</f>
        <v>8.3303754657644316</v>
      </c>
      <c r="AE61" s="5">
        <f>'Baseline System Analysis'!AE17</f>
        <v>8.538634852408542</v>
      </c>
    </row>
    <row r="62" spans="1:31" x14ac:dyDescent="0.35">
      <c r="A62" s="87" t="str">
        <f>'Baseline System Analysis'!A18</f>
        <v>Residential</v>
      </c>
      <c r="B62" s="87" t="str">
        <f>'Baseline System Analysis'!B18</f>
        <v>Cost of Reliability (N-0)</v>
      </c>
      <c r="C62" s="87" t="str">
        <f>'Baseline System Analysis'!C18</f>
        <v>$/kWh</v>
      </c>
      <c r="D62" s="5">
        <f>'Baseline System Analysis'!D18</f>
        <v>3.6995132812499993</v>
      </c>
      <c r="E62" s="5">
        <f>'Baseline System Analysis'!E18</f>
        <v>3.7920011132812488</v>
      </c>
      <c r="F62" s="5">
        <f>'Baseline System Analysis'!F18</f>
        <v>3.8868011411132795</v>
      </c>
      <c r="G62" s="5">
        <f>'Baseline System Analysis'!G18</f>
        <v>3.9839711696411113</v>
      </c>
      <c r="H62" s="5">
        <f>'Baseline System Analysis'!H18</f>
        <v>4.0835704488821385</v>
      </c>
      <c r="I62" s="5">
        <f>'Baseline System Analysis'!I18</f>
        <v>4.1856597101041917</v>
      </c>
      <c r="J62" s="5">
        <f>'Baseline System Analysis'!J18</f>
        <v>4.2903012028567957</v>
      </c>
      <c r="K62" s="5">
        <f>'Baseline System Analysis'!K18</f>
        <v>4.3975587329282151</v>
      </c>
      <c r="L62" s="5">
        <f>'Baseline System Analysis'!L18</f>
        <v>4.5074977012514204</v>
      </c>
      <c r="M62" s="5">
        <f>'Baseline System Analysis'!M18</f>
        <v>4.6201851437827051</v>
      </c>
      <c r="N62" s="5">
        <f>'Baseline System Analysis'!N18</f>
        <v>4.7356897723772722</v>
      </c>
      <c r="O62" s="5">
        <f>'Baseline System Analysis'!O18</f>
        <v>4.8540820166867036</v>
      </c>
      <c r="P62" s="5">
        <f>'Baseline System Analysis'!P18</f>
        <v>4.9754340671038708</v>
      </c>
      <c r="Q62" s="5">
        <f>'Baseline System Analysis'!Q18</f>
        <v>5.099819918781467</v>
      </c>
      <c r="R62" s="5">
        <f>'Baseline System Analysis'!R18</f>
        <v>5.2273154167510034</v>
      </c>
      <c r="S62" s="5">
        <f>'Baseline System Analysis'!S18</f>
        <v>5.3579983021697783</v>
      </c>
      <c r="T62" s="5">
        <f>'Baseline System Analysis'!T18</f>
        <v>5.4919482597240226</v>
      </c>
      <c r="U62" s="5">
        <f>'Baseline System Analysis'!U18</f>
        <v>5.6292469662171225</v>
      </c>
      <c r="V62" s="5">
        <f>'Baseline System Analysis'!V18</f>
        <v>5.7699781403725501</v>
      </c>
      <c r="W62" s="5">
        <f>'Baseline System Analysis'!W18</f>
        <v>5.9142275938818631</v>
      </c>
      <c r="X62" s="5">
        <f>'Baseline System Analysis'!X18</f>
        <v>6.0620832837289091</v>
      </c>
      <c r="Y62" s="5">
        <f>'Baseline System Analysis'!Y18</f>
        <v>6.2136353658221317</v>
      </c>
      <c r="Z62" s="5">
        <f>'Baseline System Analysis'!Z18</f>
        <v>6.3689762499676847</v>
      </c>
      <c r="AA62" s="5">
        <f>'Baseline System Analysis'!AA18</f>
        <v>6.5282006562168764</v>
      </c>
      <c r="AB62" s="5">
        <f>'Baseline System Analysis'!AB18</f>
        <v>6.6914056726222979</v>
      </c>
      <c r="AC62" s="5">
        <f>'Baseline System Analysis'!AC18</f>
        <v>6.8586908144378551</v>
      </c>
      <c r="AD62" s="5">
        <f>'Baseline System Analysis'!AD18</f>
        <v>7.030158084798801</v>
      </c>
      <c r="AE62" s="5">
        <f>'Baseline System Analysis'!AE18</f>
        <v>7.2059120369187708</v>
      </c>
    </row>
    <row r="63" spans="1:31" x14ac:dyDescent="0.35">
      <c r="A63" s="87" t="str">
        <f>'Baseline System Analysis'!A19</f>
        <v>Commerical</v>
      </c>
      <c r="B63" s="87" t="str">
        <f>'Baseline System Analysis'!B19</f>
        <v>Cost of Reliability (N-1)</v>
      </c>
      <c r="C63" s="87" t="str">
        <f>'Baseline System Analysis'!C19</f>
        <v>$/kWh</v>
      </c>
      <c r="D63" s="5">
        <f>'Baseline System Analysis'!D19</f>
        <v>162.53431406249996</v>
      </c>
      <c r="E63" s="5">
        <f>'Baseline System Analysis'!E19</f>
        <v>166.59767191406243</v>
      </c>
      <c r="F63" s="5">
        <f>'Baseline System Analysis'!F19</f>
        <v>170.76261371191399</v>
      </c>
      <c r="G63" s="5">
        <f>'Baseline System Analysis'!G19</f>
        <v>175.03167905471182</v>
      </c>
      <c r="H63" s="5">
        <f>'Baseline System Analysis'!H19</f>
        <v>179.40747103107961</v>
      </c>
      <c r="I63" s="5">
        <f>'Baseline System Analysis'!I19</f>
        <v>183.89265780685659</v>
      </c>
      <c r="J63" s="5">
        <f>'Baseline System Analysis'!J19</f>
        <v>188.48997425202799</v>
      </c>
      <c r="K63" s="5">
        <f>'Baseline System Analysis'!K19</f>
        <v>193.20222360832867</v>
      </c>
      <c r="L63" s="5">
        <f>'Baseline System Analysis'!L19</f>
        <v>198.03227919853686</v>
      </c>
      <c r="M63" s="5">
        <f>'Baseline System Analysis'!M19</f>
        <v>202.98308617850026</v>
      </c>
      <c r="N63" s="5">
        <f>'Baseline System Analysis'!N19</f>
        <v>208.05766333296273</v>
      </c>
      <c r="O63" s="5">
        <f>'Baseline System Analysis'!O19</f>
        <v>213.25910491628679</v>
      </c>
      <c r="P63" s="5">
        <f>'Baseline System Analysis'!P19</f>
        <v>218.59058253919395</v>
      </c>
      <c r="Q63" s="5">
        <f>'Baseline System Analysis'!Q19</f>
        <v>224.05534710267378</v>
      </c>
      <c r="R63" s="5">
        <f>'Baseline System Analysis'!R19</f>
        <v>229.65673078024059</v>
      </c>
      <c r="S63" s="5">
        <f>'Baseline System Analysis'!S19</f>
        <v>235.39814904974659</v>
      </c>
      <c r="T63" s="5">
        <f>'Baseline System Analysis'!T19</f>
        <v>241.28310277599024</v>
      </c>
      <c r="U63" s="5">
        <f>'Baseline System Analysis'!U19</f>
        <v>247.31518034538999</v>
      </c>
      <c r="V63" s="5">
        <f>'Baseline System Analysis'!V19</f>
        <v>253.49805985402472</v>
      </c>
      <c r="W63" s="5">
        <f>'Baseline System Analysis'!W19</f>
        <v>259.83551135037533</v>
      </c>
      <c r="X63" s="5">
        <f>'Baseline System Analysis'!X19</f>
        <v>266.3313991341347</v>
      </c>
      <c r="Y63" s="5">
        <f>'Baseline System Analysis'!Y19</f>
        <v>272.98968411248802</v>
      </c>
      <c r="Z63" s="5">
        <f>'Baseline System Analysis'!Z19</f>
        <v>279.81442621530022</v>
      </c>
      <c r="AA63" s="5">
        <f>'Baseline System Analysis'!AA19</f>
        <v>286.80978687068267</v>
      </c>
      <c r="AB63" s="5">
        <f>'Baseline System Analysis'!AB19</f>
        <v>293.98003154244969</v>
      </c>
      <c r="AC63" s="5">
        <f>'Baseline System Analysis'!AC19</f>
        <v>301.32953233101091</v>
      </c>
      <c r="AD63" s="5">
        <f>'Baseline System Analysis'!AD19</f>
        <v>308.86277063928617</v>
      </c>
      <c r="AE63" s="5">
        <f>'Baseline System Analysis'!AE19</f>
        <v>316.58433990526828</v>
      </c>
    </row>
    <row r="64" spans="1:31" x14ac:dyDescent="0.35">
      <c r="A64" s="87" t="str">
        <f>'Baseline System Analysis'!A20</f>
        <v>Commerical</v>
      </c>
      <c r="B64" s="87" t="str">
        <f>'Baseline System Analysis'!B20</f>
        <v>Cost of Reliability (N-0)</v>
      </c>
      <c r="C64" s="87" t="str">
        <f>'Baseline System Analysis'!C20</f>
        <v>$/kWh</v>
      </c>
      <c r="D64" s="5">
        <f>'Baseline System Analysis'!D20</f>
        <v>150.08506445312503</v>
      </c>
      <c r="E64" s="5">
        <f>'Baseline System Analysis'!E20</f>
        <v>153.83719106445315</v>
      </c>
      <c r="F64" s="5">
        <f>'Baseline System Analysis'!F20</f>
        <v>157.68312084106446</v>
      </c>
      <c r="G64" s="5">
        <f>'Baseline System Analysis'!G20</f>
        <v>161.62519886209105</v>
      </c>
      <c r="H64" s="5">
        <f>'Baseline System Analysis'!H20</f>
        <v>165.6658288336433</v>
      </c>
      <c r="I64" s="5">
        <f>'Baseline System Analysis'!I20</f>
        <v>169.80747455448437</v>
      </c>
      <c r="J64" s="5">
        <f>'Baseline System Analysis'!J20</f>
        <v>174.05266141834647</v>
      </c>
      <c r="K64" s="5">
        <f>'Baseline System Analysis'!K20</f>
        <v>178.40397795380511</v>
      </c>
      <c r="L64" s="5">
        <f>'Baseline System Analysis'!L20</f>
        <v>182.86407740265022</v>
      </c>
      <c r="M64" s="5">
        <f>'Baseline System Analysis'!M20</f>
        <v>187.43567933771646</v>
      </c>
      <c r="N64" s="5">
        <f>'Baseline System Analysis'!N20</f>
        <v>192.12157132115937</v>
      </c>
      <c r="O64" s="5">
        <f>'Baseline System Analysis'!O20</f>
        <v>196.92461060418833</v>
      </c>
      <c r="P64" s="5">
        <f>'Baseline System Analysis'!P20</f>
        <v>201.84772586929301</v>
      </c>
      <c r="Q64" s="5">
        <f>'Baseline System Analysis'!Q20</f>
        <v>206.89391901602534</v>
      </c>
      <c r="R64" s="5">
        <f>'Baseline System Analysis'!R20</f>
        <v>212.06626699142595</v>
      </c>
      <c r="S64" s="5">
        <f>'Baseline System Analysis'!S20</f>
        <v>217.36792366621157</v>
      </c>
      <c r="T64" s="5">
        <f>'Baseline System Analysis'!T20</f>
        <v>222.80212175786684</v>
      </c>
      <c r="U64" s="5">
        <f>'Baseline System Analysis'!U20</f>
        <v>228.37217480181349</v>
      </c>
      <c r="V64" s="5">
        <f>'Baseline System Analysis'!V20</f>
        <v>234.0814791718588</v>
      </c>
      <c r="W64" s="5">
        <f>'Baseline System Analysis'!W20</f>
        <v>239.93351615115526</v>
      </c>
      <c r="X64" s="5">
        <f>'Baseline System Analysis'!X20</f>
        <v>245.93185405493412</v>
      </c>
      <c r="Y64" s="5">
        <f>'Baseline System Analysis'!Y20</f>
        <v>252.08015040630744</v>
      </c>
      <c r="Z64" s="5">
        <f>'Baseline System Analysis'!Z20</f>
        <v>258.38215416646511</v>
      </c>
      <c r="AA64" s="5">
        <f>'Baseline System Analysis'!AA20</f>
        <v>264.8417080206267</v>
      </c>
      <c r="AB64" s="5">
        <f>'Baseline System Analysis'!AB20</f>
        <v>271.46275072114236</v>
      </c>
      <c r="AC64" s="5">
        <f>'Baseline System Analysis'!AC20</f>
        <v>278.24931948917089</v>
      </c>
      <c r="AD64" s="5">
        <f>'Baseline System Analysis'!AD20</f>
        <v>285.20555247640016</v>
      </c>
      <c r="AE64" s="5">
        <f>'Baseline System Analysis'!AE20</f>
        <v>292.33569128831016</v>
      </c>
    </row>
    <row r="66" spans="1:31" x14ac:dyDescent="0.35">
      <c r="A66" s="87" t="s">
        <v>117</v>
      </c>
      <c r="B66" s="87" t="s">
        <v>31</v>
      </c>
      <c r="C66" s="17">
        <f>NPV('Cost Assumptions'!$B$3,D66:AE66)</f>
        <v>1002742.6620794707</v>
      </c>
      <c r="D66" s="5">
        <f>'Baseline System Analysis'!D24-D35</f>
        <v>16.269754796645884</v>
      </c>
      <c r="E66" s="5">
        <f>'Baseline System Analysis'!E24-E35</f>
        <v>-3347.7459039557161</v>
      </c>
      <c r="F66" s="5">
        <f>'Baseline System Analysis'!F24-F35</f>
        <v>-2144.7602536947761</v>
      </c>
      <c r="G66" s="5">
        <f>'Baseline System Analysis'!G24-G35</f>
        <v>-941.77460343383427</v>
      </c>
      <c r="H66" s="5">
        <f>'Baseline System Analysis'!H24-H35</f>
        <v>261.21104682710575</v>
      </c>
      <c r="I66" s="5">
        <f>'Baseline System Analysis'!I24-I35</f>
        <v>1464.1966970880458</v>
      </c>
      <c r="J66" s="5">
        <f>'Baseline System Analysis'!J24-J35</f>
        <v>2667.1823473489858</v>
      </c>
      <c r="K66" s="5">
        <f>'Baseline System Analysis'!K24-K35</f>
        <v>3870.1679976099331</v>
      </c>
      <c r="L66" s="5">
        <f>'Baseline System Analysis'!L24-L35</f>
        <v>10820.696142320201</v>
      </c>
      <c r="M66" s="5">
        <f>'Baseline System Analysis'!M24-M35</f>
        <v>17771.224287030462</v>
      </c>
      <c r="N66" s="5">
        <f>'Baseline System Analysis'!N24-N35</f>
        <v>24721.752431740751</v>
      </c>
      <c r="O66" s="5">
        <f>'Baseline System Analysis'!O24-O35</f>
        <v>31672.280576451012</v>
      </c>
      <c r="P66" s="5">
        <f>'Baseline System Analysis'!P24-P35</f>
        <v>135060.12405416605</v>
      </c>
      <c r="Q66" s="5">
        <f>'Baseline System Analysis'!Q24-Q35</f>
        <v>154562.08585163491</v>
      </c>
      <c r="R66" s="5">
        <f>'Baseline System Analysis'!R24-R35</f>
        <v>174064.04764910368</v>
      </c>
      <c r="S66" s="5">
        <f>'Baseline System Analysis'!S24-S35</f>
        <v>193566.0094465724</v>
      </c>
      <c r="T66" s="5">
        <f>'Baseline System Analysis'!T24-T35</f>
        <v>213067.97124404111</v>
      </c>
      <c r="U66" s="5">
        <f>'Baseline System Analysis'!U24-U35</f>
        <v>232569.93304151017</v>
      </c>
      <c r="V66" s="5">
        <f>'Baseline System Analysis'!V24-V35</f>
        <v>310473.22427344462</v>
      </c>
      <c r="W66" s="5">
        <f>'Baseline System Analysis'!W24-W35</f>
        <v>388376.51550537907</v>
      </c>
      <c r="X66" s="5">
        <f>'Baseline System Analysis'!X24-X35</f>
        <v>466279.80673731351</v>
      </c>
      <c r="Y66" s="5">
        <f>'Baseline System Analysis'!Y24-Y35</f>
        <v>544183.09796924796</v>
      </c>
      <c r="Z66" s="5">
        <f>'Baseline System Analysis'!Z24-Z35</f>
        <v>622086.38920118241</v>
      </c>
      <c r="AA66" s="5">
        <f>'Baseline System Analysis'!AA24-AA35</f>
        <v>752039.62800197117</v>
      </c>
      <c r="AB66" s="5">
        <f>'Baseline System Analysis'!AB24-AB35</f>
        <v>881992.86680275993</v>
      </c>
      <c r="AC66" s="5">
        <f>'Baseline System Analysis'!AC24-AC35</f>
        <v>1011946.1056035487</v>
      </c>
      <c r="AD66" s="5">
        <f>'Baseline System Analysis'!AD24-AD35</f>
        <v>1141899.3444043375</v>
      </c>
      <c r="AE66" s="5">
        <f>'Baseline System Analysis'!AE24-AE35</f>
        <v>1271852.5832051281</v>
      </c>
    </row>
    <row r="67" spans="1:31" x14ac:dyDescent="0.35">
      <c r="A67" s="87" t="s">
        <v>119</v>
      </c>
      <c r="B67" s="87" t="s">
        <v>31</v>
      </c>
      <c r="C67" s="17">
        <f>NPV('Cost Assumptions'!$B$3,D67:AE67)</f>
        <v>4160917.7070734934</v>
      </c>
      <c r="D67" s="5">
        <f>'Baseline System Analysis'!D25-D36</f>
        <v>67.511116969079012</v>
      </c>
      <c r="E67" s="5">
        <f>'Baseline System Analysis'!E25-E36</f>
        <v>-13889.035384454786</v>
      </c>
      <c r="F67" s="5">
        <f>'Baseline System Analysis'!F25-F36</f>
        <v>-8894.8746733589505</v>
      </c>
      <c r="G67" s="5">
        <f>'Baseline System Analysis'!G25-G36</f>
        <v>-3900.7139622631075</v>
      </c>
      <c r="H67" s="5">
        <f>'Baseline System Analysis'!H25-H36</f>
        <v>1093.4467488327355</v>
      </c>
      <c r="I67" s="5">
        <f>'Baseline System Analysis'!I25-I36</f>
        <v>6087.6074599285785</v>
      </c>
      <c r="J67" s="5">
        <f>'Baseline System Analysis'!J25-J36</f>
        <v>11081.768171024421</v>
      </c>
      <c r="K67" s="5">
        <f>'Baseline System Analysis'!K25-K36</f>
        <v>16075.928882120206</v>
      </c>
      <c r="L67" s="5">
        <f>'Baseline System Analysis'!L25-L36</f>
        <v>44913.702598191448</v>
      </c>
      <c r="M67" s="5">
        <f>'Baseline System Analysis'!M25-M36</f>
        <v>73751.47631426272</v>
      </c>
      <c r="N67" s="5">
        <f>'Baseline System Analysis'!N25-N36</f>
        <v>102589.25003033399</v>
      </c>
      <c r="O67" s="5">
        <f>'Baseline System Analysis'!O25-O36</f>
        <v>131427.02374640526</v>
      </c>
      <c r="P67" s="5">
        <f>'Baseline System Analysis'!P25-P36</f>
        <v>560430.07081819023</v>
      </c>
      <c r="Q67" s="5">
        <f>'Baseline System Analysis'!Q25-Q36</f>
        <v>641353.18493339559</v>
      </c>
      <c r="R67" s="5">
        <f>'Baseline System Analysis'!R25-R36</f>
        <v>722276.29904860118</v>
      </c>
      <c r="S67" s="5">
        <f>'Baseline System Analysis'!S25-S36</f>
        <v>803199.41316380678</v>
      </c>
      <c r="T67" s="5">
        <f>'Baseline System Analysis'!T25-T36</f>
        <v>884122.52727901237</v>
      </c>
      <c r="U67" s="5">
        <f>'Baseline System Analysis'!U25-U36</f>
        <v>965045.6413942175</v>
      </c>
      <c r="V67" s="5">
        <f>'Baseline System Analysis'!V25-V36</f>
        <v>1288304.2443892313</v>
      </c>
      <c r="W67" s="5">
        <f>'Baseline System Analysis'!W25-W36</f>
        <v>1611562.8473842442</v>
      </c>
      <c r="X67" s="5">
        <f>'Baseline System Analysis'!X25-X36</f>
        <v>1934821.4503792571</v>
      </c>
      <c r="Y67" s="5">
        <f>'Baseline System Analysis'!Y25-Y36</f>
        <v>2258080.05337427</v>
      </c>
      <c r="Z67" s="5">
        <f>'Baseline System Analysis'!Z25-Z36</f>
        <v>2581338.6563692857</v>
      </c>
      <c r="AA67" s="5">
        <f>'Baseline System Analysis'!AA25-AA36</f>
        <v>3120577.7791985478</v>
      </c>
      <c r="AB67" s="5">
        <f>'Baseline System Analysis'!AB25-AB36</f>
        <v>3659816.90202781</v>
      </c>
      <c r="AC67" s="5">
        <f>'Baseline System Analysis'!AC25-AC36</f>
        <v>4199056.024857074</v>
      </c>
      <c r="AD67" s="5">
        <f>'Baseline System Analysis'!AD25-AD36</f>
        <v>4738295.1476863362</v>
      </c>
      <c r="AE67" s="5">
        <f>'Baseline System Analysis'!AE25-AE36</f>
        <v>5277534.2705155946</v>
      </c>
    </row>
    <row r="68" spans="1:31" x14ac:dyDescent="0.35">
      <c r="A68" s="87" t="s">
        <v>24</v>
      </c>
      <c r="B68" s="87" t="s">
        <v>31</v>
      </c>
      <c r="C68" s="17">
        <f>NPV('Cost Assumptions'!$B$3,D68:AE68)</f>
        <v>5163660.3691529641</v>
      </c>
      <c r="D68" s="5">
        <f>SUM(D66:D67)</f>
        <v>83.780871765724896</v>
      </c>
      <c r="E68" s="5">
        <f>SUM(E66:E67)</f>
        <v>-17236.781288410501</v>
      </c>
      <c r="F68" s="5">
        <f t="shared" ref="F68:AE68" si="26">SUM(F66:F67)</f>
        <v>-11039.634927053727</v>
      </c>
      <c r="G68" s="5">
        <f t="shared" si="26"/>
        <v>-4842.4885656969418</v>
      </c>
      <c r="H68" s="5">
        <f t="shared" si="26"/>
        <v>1354.6577956598412</v>
      </c>
      <c r="I68" s="5">
        <f t="shared" si="26"/>
        <v>7551.8041570166242</v>
      </c>
      <c r="J68" s="5">
        <f t="shared" si="26"/>
        <v>13748.950518373407</v>
      </c>
      <c r="K68" s="5">
        <f t="shared" si="26"/>
        <v>19946.096879730139</v>
      </c>
      <c r="L68" s="5">
        <f t="shared" si="26"/>
        <v>55734.39874051165</v>
      </c>
      <c r="M68" s="5">
        <f t="shared" si="26"/>
        <v>91522.700601293182</v>
      </c>
      <c r="N68" s="5">
        <f t="shared" si="26"/>
        <v>127311.00246207474</v>
      </c>
      <c r="O68" s="5">
        <f t="shared" si="26"/>
        <v>163099.30432285627</v>
      </c>
      <c r="P68" s="5">
        <f t="shared" si="26"/>
        <v>695490.19487235625</v>
      </c>
      <c r="Q68" s="5">
        <f t="shared" si="26"/>
        <v>795915.27078503044</v>
      </c>
      <c r="R68" s="5">
        <f t="shared" si="26"/>
        <v>896340.34669770487</v>
      </c>
      <c r="S68" s="5">
        <f t="shared" si="26"/>
        <v>996765.42261037917</v>
      </c>
      <c r="T68" s="5">
        <f t="shared" si="26"/>
        <v>1097190.4985230535</v>
      </c>
      <c r="U68" s="5">
        <f t="shared" si="26"/>
        <v>1197615.5744357277</v>
      </c>
      <c r="V68" s="5">
        <f t="shared" si="26"/>
        <v>1598777.4686626759</v>
      </c>
      <c r="W68" s="5">
        <f t="shared" si="26"/>
        <v>1999939.3628896233</v>
      </c>
      <c r="X68" s="5">
        <f t="shared" si="26"/>
        <v>2401101.2571165706</v>
      </c>
      <c r="Y68" s="5">
        <f t="shared" si="26"/>
        <v>2802263.1513435179</v>
      </c>
      <c r="Z68" s="5">
        <f t="shared" si="26"/>
        <v>3203425.0455704681</v>
      </c>
      <c r="AA68" s="5">
        <f t="shared" si="26"/>
        <v>3872617.407200519</v>
      </c>
      <c r="AB68" s="5">
        <f t="shared" si="26"/>
        <v>4541809.7688305695</v>
      </c>
      <c r="AC68" s="5">
        <f t="shared" si="26"/>
        <v>5211002.1304606227</v>
      </c>
      <c r="AD68" s="5">
        <f t="shared" si="26"/>
        <v>5880194.4920906741</v>
      </c>
      <c r="AE68" s="5">
        <f t="shared" si="26"/>
        <v>6549386.8537207227</v>
      </c>
    </row>
    <row r="69" spans="1:31" x14ac:dyDescent="0.35">
      <c r="A69" s="87"/>
      <c r="B69" s="87"/>
      <c r="C69" s="8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5">
      <c r="A70" s="87" t="s">
        <v>120</v>
      </c>
      <c r="B70" s="87" t="s">
        <v>31</v>
      </c>
      <c r="C70" s="17">
        <f>NPV('Cost Assumptions'!$B$3,D70:AE70)</f>
        <v>54138723.56004224</v>
      </c>
      <c r="D70" s="5">
        <f>'Baseline System Analysis'!D28-D33</f>
        <v>310386.79798866023</v>
      </c>
      <c r="E70" s="5">
        <f>'Baseline System Analysis'!E28-E33</f>
        <v>817408.12222421367</v>
      </c>
      <c r="F70" s="5">
        <f>'Baseline System Analysis'!F28-F33</f>
        <v>1334522.6987350811</v>
      </c>
      <c r="G70" s="5">
        <f>'Baseline System Analysis'!G28-G33</f>
        <v>1839795.5479560234</v>
      </c>
      <c r="H70" s="5">
        <f>'Baseline System Analysis'!H28-H33</f>
        <v>2286697.9912531795</v>
      </c>
      <c r="I70" s="5">
        <f>'Baseline System Analysis'!I28-I33</f>
        <v>2696419.0538857356</v>
      </c>
      <c r="J70" s="5">
        <f>'Baseline System Analysis'!J28-J33</f>
        <v>3587048.7001477713</v>
      </c>
      <c r="K70" s="5">
        <f>'Baseline System Analysis'!K28-K33</f>
        <v>4534084.5657563498</v>
      </c>
      <c r="L70" s="5">
        <f>'Baseline System Analysis'!L28-L33</f>
        <v>5693348.9186131302</v>
      </c>
      <c r="M70" s="5">
        <f>'Baseline System Analysis'!M28-M33</f>
        <v>7427041.2399647292</v>
      </c>
      <c r="N70" s="5">
        <f>'Baseline System Analysis'!N28-N33</f>
        <v>9237296.1549012475</v>
      </c>
      <c r="O70" s="5">
        <f>'Baseline System Analysis'!O28-O33</f>
        <v>11243683.538194358</v>
      </c>
      <c r="P70" s="5">
        <f>'Baseline System Analysis'!P28-P33</f>
        <v>13242127.64900643</v>
      </c>
      <c r="Q70" s="5">
        <f>'Baseline System Analysis'!Q28-Q33</f>
        <v>14657755.120712882</v>
      </c>
      <c r="R70" s="5">
        <f>'Baseline System Analysis'!R28-R33</f>
        <v>15922439.342902085</v>
      </c>
      <c r="S70" s="5">
        <f>'Baseline System Analysis'!S28-S33</f>
        <v>17341617.868570358</v>
      </c>
      <c r="T70" s="5">
        <f>'Baseline System Analysis'!T28-T33</f>
        <v>17894172.798211433</v>
      </c>
      <c r="U70" s="5">
        <f>'Baseline System Analysis'!U28-U33</f>
        <v>17734817.649100382</v>
      </c>
      <c r="V70" s="5">
        <f>'Baseline System Analysis'!V28-V33</f>
        <v>16974626.131045543</v>
      </c>
      <c r="W70" s="5">
        <f>'Baseline System Analysis'!W28-W33</f>
        <v>17425482.414835092</v>
      </c>
      <c r="X70" s="5">
        <f>'Baseline System Analysis'!X28-X33</f>
        <v>15680218.002499044</v>
      </c>
      <c r="Y70" s="5">
        <f>'Baseline System Analysis'!Y28-Y33</f>
        <v>13217136.978681043</v>
      </c>
      <c r="Z70" s="5">
        <f>'Baseline System Analysis'!Z28-Z33</f>
        <v>10523501.599928059</v>
      </c>
      <c r="AA70" s="5">
        <f>'Baseline System Analysis'!AA28-AA33</f>
        <v>6429366.5628596097</v>
      </c>
      <c r="AB70" s="5">
        <f>'Baseline System Analysis'!AB28-AB33</f>
        <v>2952431.3424383998</v>
      </c>
      <c r="AC70" s="5">
        <f>'Baseline System Analysis'!AC28-AC33</f>
        <v>-996624.3671540767</v>
      </c>
      <c r="AD70" s="5">
        <f>'Baseline System Analysis'!AD28-AD33</f>
        <v>-6782049.1410955936</v>
      </c>
      <c r="AE70" s="5">
        <f>'Baseline System Analysis'!AE28-AE33</f>
        <v>-9999692.4363254905</v>
      </c>
    </row>
    <row r="71" spans="1:31" x14ac:dyDescent="0.35">
      <c r="A71" s="87" t="s">
        <v>121</v>
      </c>
      <c r="B71" s="87" t="s">
        <v>31</v>
      </c>
      <c r="C71" s="17">
        <f>NPV('Cost Assumptions'!$B$3,D71:AE71)</f>
        <v>233897115.17175525</v>
      </c>
      <c r="D71" s="5">
        <f>'Baseline System Analysis'!D29-D34</f>
        <v>1628153.2445022203</v>
      </c>
      <c r="E71" s="5">
        <f>'Baseline System Analysis'!E29-E34</f>
        <v>4276437.722523096</v>
      </c>
      <c r="F71" s="5">
        <f>'Baseline System Analysis'!F29-F34</f>
        <v>6406619.8340516584</v>
      </c>
      <c r="G71" s="5">
        <f>'Baseline System Analysis'!G29-G34</f>
        <v>8961966.1784057487</v>
      </c>
      <c r="H71" s="5">
        <f>'Baseline System Analysis'!H29-H34</f>
        <v>10695561.997562293</v>
      </c>
      <c r="I71" s="5">
        <f>'Baseline System Analysis'!I29-I34</f>
        <v>11935292.094424136</v>
      </c>
      <c r="J71" s="5">
        <f>'Baseline System Analysis'!J29-J34</f>
        <v>15941642.32252172</v>
      </c>
      <c r="K71" s="5">
        <f>'Baseline System Analysis'!K29-K34</f>
        <v>19613619.815275714</v>
      </c>
      <c r="L71" s="5">
        <f>'Baseline System Analysis'!L29-L34</f>
        <v>24661704.485005222</v>
      </c>
      <c r="M71" s="5">
        <f>'Baseline System Analysis'!M29-M34</f>
        <v>32066870.860228792</v>
      </c>
      <c r="N71" s="5">
        <f>'Baseline System Analysis'!N29-N34</f>
        <v>39971861.019756831</v>
      </c>
      <c r="O71" s="5">
        <f>'Baseline System Analysis'!O29-O34</f>
        <v>49398898.135298356</v>
      </c>
      <c r="P71" s="5">
        <f>'Baseline System Analysis'!P29-P34</f>
        <v>59065858.254001558</v>
      </c>
      <c r="Q71" s="5">
        <f>'Baseline System Analysis'!Q29-Q34</f>
        <v>63722350.572470695</v>
      </c>
      <c r="R71" s="5">
        <f>'Baseline System Analysis'!R29-R34</f>
        <v>67985155.916849226</v>
      </c>
      <c r="S71" s="5">
        <f>'Baseline System Analysis'!S29-S34</f>
        <v>74920746.952797055</v>
      </c>
      <c r="T71" s="5">
        <f>'Baseline System Analysis'!T29-T34</f>
        <v>75781588.918391943</v>
      </c>
      <c r="U71" s="5">
        <f>'Baseline System Analysis'!U29-U34</f>
        <v>73155353.404065982</v>
      </c>
      <c r="V71" s="5">
        <f>'Baseline System Analysis'!V29-V34</f>
        <v>69024292.303081498</v>
      </c>
      <c r="W71" s="5">
        <f>'Baseline System Analysis'!W29-W34</f>
        <v>74087494.406282932</v>
      </c>
      <c r="X71" s="5">
        <f>'Baseline System Analysis'!X29-X34</f>
        <v>65342374.325337589</v>
      </c>
      <c r="Y71" s="5">
        <f>'Baseline System Analysis'!Y29-Y34</f>
        <v>54719578.153674573</v>
      </c>
      <c r="Z71" s="5">
        <f>'Baseline System Analysis'!Z29-Z34</f>
        <v>43865517.190101385</v>
      </c>
      <c r="AA71" s="5">
        <f>'Baseline System Analysis'!AA29-AA34</f>
        <v>25526484.15865612</v>
      </c>
      <c r="AB71" s="5">
        <f>'Baseline System Analysis'!AB29-AB34</f>
        <v>11085387.007512212</v>
      </c>
      <c r="AC71" s="5">
        <f>'Baseline System Analysis'!AC29-AC34</f>
        <v>-5050035.4563135505</v>
      </c>
      <c r="AD71" s="5">
        <f>'Baseline System Analysis'!AD29-AD34</f>
        <v>-31392186.792303383</v>
      </c>
      <c r="AE71" s="5">
        <f>'Baseline System Analysis'!AE29-AE34</f>
        <v>-50450403.088664651</v>
      </c>
    </row>
    <row r="72" spans="1:31" x14ac:dyDescent="0.35">
      <c r="A72" s="87" t="s">
        <v>24</v>
      </c>
      <c r="B72" s="87" t="s">
        <v>31</v>
      </c>
      <c r="C72" s="17">
        <f>NPV('Cost Assumptions'!$B$3,D72:AE72)</f>
        <v>288035838.73179746</v>
      </c>
      <c r="D72" s="5">
        <f>SUM(D70:D71)</f>
        <v>1938540.0424908805</v>
      </c>
      <c r="E72" s="5">
        <f>SUM(E70:E71)</f>
        <v>5093845.8447473096</v>
      </c>
      <c r="F72" s="5">
        <f t="shared" ref="F72:AE72" si="27">SUM(F70:F71)</f>
        <v>7741142.53278674</v>
      </c>
      <c r="G72" s="5">
        <f t="shared" si="27"/>
        <v>10801761.726361772</v>
      </c>
      <c r="H72" s="5">
        <f t="shared" si="27"/>
        <v>12982259.988815472</v>
      </c>
      <c r="I72" s="5">
        <f t="shared" si="27"/>
        <v>14631711.148309872</v>
      </c>
      <c r="J72" s="5">
        <f t="shared" si="27"/>
        <v>19528691.02266949</v>
      </c>
      <c r="K72" s="5">
        <f t="shared" si="27"/>
        <v>24147704.381032065</v>
      </c>
      <c r="L72" s="5">
        <f t="shared" si="27"/>
        <v>30355053.403618351</v>
      </c>
      <c r="M72" s="5">
        <f t="shared" si="27"/>
        <v>39493912.100193523</v>
      </c>
      <c r="N72" s="5">
        <f t="shared" si="27"/>
        <v>49209157.174658075</v>
      </c>
      <c r="O72" s="5">
        <f t="shared" si="27"/>
        <v>60642581.673492715</v>
      </c>
      <c r="P72" s="5">
        <f t="shared" si="27"/>
        <v>72307985.903007984</v>
      </c>
      <c r="Q72" s="5">
        <f t="shared" si="27"/>
        <v>78380105.693183571</v>
      </c>
      <c r="R72" s="5">
        <f t="shared" si="27"/>
        <v>83907595.259751305</v>
      </c>
      <c r="S72" s="5">
        <f t="shared" si="27"/>
        <v>92262364.821367413</v>
      </c>
      <c r="T72" s="5">
        <f t="shared" si="27"/>
        <v>93675761.716603369</v>
      </c>
      <c r="U72" s="5">
        <f t="shared" si="27"/>
        <v>90890171.05316636</v>
      </c>
      <c r="V72" s="5">
        <f t="shared" si="27"/>
        <v>85998918.434127033</v>
      </c>
      <c r="W72" s="5">
        <f t="shared" si="27"/>
        <v>91512976.821118027</v>
      </c>
      <c r="X72" s="5">
        <f t="shared" si="27"/>
        <v>81022592.327836633</v>
      </c>
      <c r="Y72" s="5">
        <f t="shared" si="27"/>
        <v>67936715.132355615</v>
      </c>
      <c r="Z72" s="5">
        <f t="shared" si="27"/>
        <v>54389018.790029444</v>
      </c>
      <c r="AA72" s="5">
        <f t="shared" si="27"/>
        <v>31955850.72151573</v>
      </c>
      <c r="AB72" s="5">
        <f t="shared" si="27"/>
        <v>14037818.349950612</v>
      </c>
      <c r="AC72" s="5">
        <f t="shared" si="27"/>
        <v>-6046659.8234676272</v>
      </c>
      <c r="AD72" s="5">
        <f t="shared" si="27"/>
        <v>-38174235.933398977</v>
      </c>
      <c r="AE72" s="5">
        <f t="shared" si="27"/>
        <v>-60450095.524990141</v>
      </c>
    </row>
    <row r="74" spans="1:31" x14ac:dyDescent="0.35">
      <c r="A74" s="87" t="s">
        <v>117</v>
      </c>
      <c r="B74" s="87" t="s">
        <v>144</v>
      </c>
      <c r="C74" s="17">
        <f>NPV('Cost Assumptions'!$B$3,D74:AE74)</f>
        <v>542122761.40570855</v>
      </c>
      <c r="D74" s="61">
        <f>ABS((D50*D61*1000*'Cost Assumptions'!$B$6)/'Cost Assumptions'!$B$14)</f>
        <v>8238114.0346640144</v>
      </c>
      <c r="E74" s="61">
        <f>ABS((E50*E61*1000*'Cost Assumptions'!$B$6)/'Cost Assumptions'!$B$14)</f>
        <v>12799582.047870226</v>
      </c>
      <c r="F74" s="61">
        <f>ABS((F50*F61*1000*'Cost Assumptions'!$B$6)/'Cost Assumptions'!$B$14)</f>
        <v>17583974.640465081</v>
      </c>
      <c r="G74" s="61">
        <f>ABS((G50*G61*1000*'Cost Assumptions'!$B$6)/'Cost Assumptions'!$B$14)</f>
        <v>22599587.12390976</v>
      </c>
      <c r="H74" s="61">
        <f>ABS((H50*H61*1000*'Cost Assumptions'!$B$6)/'Cost Assumptions'!$B$14)</f>
        <v>27854990.247376382</v>
      </c>
      <c r="I74" s="61">
        <f>ABS((I50*I61*1000*'Cost Assumptions'!$B$6)/'Cost Assumptions'!$B$14)</f>
        <v>33359038.785063896</v>
      </c>
      <c r="J74" s="61">
        <f>ABS((J50*J61*1000*'Cost Assumptions'!$B$6)/'Cost Assumptions'!$B$14)</f>
        <v>39120880.380731165</v>
      </c>
      <c r="K74" s="61">
        <f>ABS((K50*K61*1000*'Cost Assumptions'!$B$6)/'Cost Assumptions'!$B$14)</f>
        <v>45149964.656941138</v>
      </c>
      <c r="L74" s="61">
        <f>ABS((L50*L61*1000*'Cost Assumptions'!$B$6)/'Cost Assumptions'!$B$14)</f>
        <v>51456052.596723646</v>
      </c>
      <c r="M74" s="61">
        <f>ABS((M50*M61*1000*'Cost Assumptions'!$B$6)/'Cost Assumptions'!$B$14)</f>
        <v>58049226.205584705</v>
      </c>
      <c r="N74" s="61">
        <f>ABS((N50*N61*1000*'Cost Assumptions'!$B$6)/'Cost Assumptions'!$B$14)</f>
        <v>64939898.462015845</v>
      </c>
      <c r="O74" s="61">
        <f>ABS((O50*O61*1000*'Cost Assumptions'!$B$6)/'Cost Assumptions'!$B$14)</f>
        <v>72138823.564890057</v>
      </c>
      <c r="P74" s="61">
        <f>ABS((P50*P61*1000*'Cost Assumptions'!$B$6)/'Cost Assumptions'!$B$14)</f>
        <v>79657107.486369222</v>
      </c>
      <c r="Q74" s="61">
        <f>ABS((Q50*Q61*1000*'Cost Assumptions'!$B$6)/'Cost Assumptions'!$B$14)</f>
        <v>87506218.839194283</v>
      </c>
      <c r="R74" s="61">
        <f>ABS((R50*R61*1000*'Cost Assumptions'!$B$6)/'Cost Assumptions'!$B$14)</f>
        <v>95698000.067481622</v>
      </c>
      <c r="S74" s="61">
        <f>ABS((S50*S61*1000*'Cost Assumptions'!$B$6)/'Cost Assumptions'!$B$14)</f>
        <v>104244678.97040883</v>
      </c>
      <c r="T74" s="61">
        <f>ABS((T50*T61*1000*'Cost Assumptions'!$B$6)/'Cost Assumptions'!$B$14)</f>
        <v>113158880.56844021</v>
      </c>
      <c r="U74" s="61">
        <f>ABS((U50*U61*1000*'Cost Assumptions'!$B$6)/'Cost Assumptions'!$B$14)</f>
        <v>122453639.32201666</v>
      </c>
      <c r="V74" s="61">
        <f>ABS((V50*V61*1000*'Cost Assumptions'!$B$6)/'Cost Assumptions'!$B$14)</f>
        <v>132142411.71291664</v>
      </c>
      <c r="W74" s="61">
        <f>ABS((W50*W61*1000*'Cost Assumptions'!$B$6)/'Cost Assumptions'!$B$14)</f>
        <v>142239089.19878539</v>
      </c>
      <c r="X74" s="61">
        <f>ABS((X50*X61*1000*'Cost Assumptions'!$B$6)/'Cost Assumptions'!$B$14)</f>
        <v>152758011.55162695</v>
      </c>
      <c r="Y74" s="61">
        <f>ABS((Y50*Y61*1000*'Cost Assumptions'!$B$6)/'Cost Assumptions'!$B$14)</f>
        <v>163713980.59136143</v>
      </c>
      <c r="Z74" s="61">
        <f>ABS((Z50*Z61*1000*'Cost Assumptions'!$B$6)/'Cost Assumptions'!$B$14)</f>
        <v>175122274.32586277</v>
      </c>
      <c r="AA74" s="61">
        <f>ABS((AA50*AA61*1000*'Cost Assumptions'!$B$6)/'Cost Assumptions'!$B$14)</f>
        <v>186998661.50921968</v>
      </c>
      <c r="AB74" s="61">
        <f>ABS((AB50*AB61*1000*'Cost Assumptions'!$B$6)/'Cost Assumptions'!$B$14)</f>
        <v>199359416.63029066</v>
      </c>
      <c r="AC74" s="61">
        <f>ABS((AC50*AC61*1000*'Cost Assumptions'!$B$6)/'Cost Assumptions'!$B$14)</f>
        <v>212221335.34397203</v>
      </c>
      <c r="AD74" s="61">
        <f>ABS((AD50*AD61*1000*'Cost Assumptions'!$B$6)/'Cost Assumptions'!$B$14)</f>
        <v>225601750.35794342</v>
      </c>
      <c r="AE74" s="61">
        <f>ABS((AE50*AE61*1000*'Cost Assumptions'!$B$6)/'Cost Assumptions'!$B$14)</f>
        <v>239518547.78802353</v>
      </c>
    </row>
    <row r="75" spans="1:31" x14ac:dyDescent="0.35">
      <c r="A75" s="87" t="s">
        <v>119</v>
      </c>
      <c r="B75" s="87" t="s">
        <v>144</v>
      </c>
      <c r="C75" s="17">
        <f>NPV('Cost Assumptions'!$B$3,D75:AE75)</f>
        <v>2233346554.726491</v>
      </c>
      <c r="D75" s="61">
        <f>ABS((D50*D63*1000*'Cost Assumptions'!$B$7)/'Cost Assumptions'!$B$14)</f>
        <v>33938002.435193636</v>
      </c>
      <c r="E75" s="61">
        <f>ABS((E50*E63*1000*'Cost Assumptions'!$B$7)/'Cost Assumptions'!$B$14)</f>
        <v>52729574.376157179</v>
      </c>
      <c r="F75" s="61">
        <f>ABS((F50*F63*1000*'Cost Assumptions'!$B$7)/'Cost Assumptions'!$B$14)</f>
        <v>72439513.662646905</v>
      </c>
      <c r="G75" s="61">
        <f>ABS((G50*G63*1000*'Cost Assumptions'!$B$7)/'Cost Assumptions'!$B$14)</f>
        <v>93101993.929476008</v>
      </c>
      <c r="H75" s="61">
        <f>ABS((H50*H63*1000*'Cost Assumptions'!$B$7)/'Cost Assumptions'!$B$14)</f>
        <v>114752323.51360743</v>
      </c>
      <c r="I75" s="61">
        <f>ABS((I50*I63*1000*'Cost Assumptions'!$B$7)/'Cost Assumptions'!$B$14)</f>
        <v>137426980.83073947</v>
      </c>
      <c r="J75" s="61">
        <f>ABS((J50*J63*1000*'Cost Assumptions'!$B$7)/'Cost Assumptions'!$B$14)</f>
        <v>161163650.81153214</v>
      </c>
      <c r="K75" s="61">
        <f>ABS((K50*K63*1000*'Cost Assumptions'!$B$7)/'Cost Assumptions'!$B$14)</f>
        <v>186001262.42834517</v>
      </c>
      <c r="L75" s="61">
        <f>ABS((L50*L63*1000*'Cost Assumptions'!$B$7)/'Cost Assumptions'!$B$14)</f>
        <v>211980027.34424165</v>
      </c>
      <c r="M75" s="61">
        <f>ABS((M50*M63*1000*'Cost Assumptions'!$B$7)/'Cost Assumptions'!$B$14)</f>
        <v>239141479.71691528</v>
      </c>
      <c r="N75" s="61">
        <f>ABS((N50*N63*1000*'Cost Assumptions'!$B$7)/'Cost Assumptions'!$B$14)</f>
        <v>267528517.1911324</v>
      </c>
      <c r="O75" s="61">
        <f>ABS((O50*O63*1000*'Cost Assumptions'!$B$7)/'Cost Assumptions'!$B$14)</f>
        <v>297185443.11423731</v>
      </c>
      <c r="P75" s="61">
        <f>ABS((P50*P63*1000*'Cost Assumptions'!$B$7)/'Cost Assumptions'!$B$14)</f>
        <v>328158010.01025301</v>
      </c>
      <c r="Q75" s="61">
        <f>ABS((Q50*Q63*1000*'Cost Assumptions'!$B$7)/'Cost Assumptions'!$B$14)</f>
        <v>360493464.34912306</v>
      </c>
      <c r="R75" s="61">
        <f>ABS((R50*R63*1000*'Cost Assumptions'!$B$7)/'Cost Assumptions'!$B$14)</f>
        <v>394240592.64868033</v>
      </c>
      <c r="S75" s="61">
        <f>ABS((S50*S63*1000*'Cost Assumptions'!$B$7)/'Cost Assumptions'!$B$14)</f>
        <v>429449768.94799715</v>
      </c>
      <c r="T75" s="61">
        <f>ABS((T50*T63*1000*'Cost Assumptions'!$B$7)/'Cost Assumptions'!$B$14)</f>
        <v>466173003.69187438</v>
      </c>
      <c r="U75" s="61">
        <f>ABS((U50*U63*1000*'Cost Assumptions'!$B$7)/'Cost Assumptions'!$B$14)</f>
        <v>504463994.06735295</v>
      </c>
      <c r="V75" s="61">
        <f>ABS((V50*V63*1000*'Cost Assumptions'!$B$7)/'Cost Assumptions'!$B$14)</f>
        <v>544378175.83429813</v>
      </c>
      <c r="W75" s="61">
        <f>ABS((W50*W63*1000*'Cost Assumptions'!$B$7)/'Cost Assumptions'!$B$14)</f>
        <v>585972776.69329834</v>
      </c>
      <c r="X75" s="61">
        <f>ABS((X50*X63*1000*'Cost Assumptions'!$B$7)/'Cost Assumptions'!$B$14)</f>
        <v>629306871.23535204</v>
      </c>
      <c r="Y75" s="61">
        <f>ABS((Y50*Y63*1000*'Cost Assumptions'!$B$7)/'Cost Assumptions'!$B$14)</f>
        <v>674441437.51907539</v>
      </c>
      <c r="Z75" s="61">
        <f>ABS((Z50*Z63*1000*'Cost Assumptions'!$B$7)/'Cost Assumptions'!$B$14)</f>
        <v>721439415.32246244</v>
      </c>
      <c r="AA75" s="61">
        <f>ABS((AA50*AA63*1000*'Cost Assumptions'!$B$7)/'Cost Assumptions'!$B$14)</f>
        <v>770365766.1175698</v>
      </c>
      <c r="AB75" s="61">
        <f>ABS((AB50*AB63*1000*'Cost Assumptions'!$B$7)/'Cost Assumptions'!$B$14)</f>
        <v>821287534.8178556</v>
      </c>
      <c r="AC75" s="61">
        <f>ABS((AC50*AC63*1000*'Cost Assumptions'!$B$7)/'Cost Assumptions'!$B$14)</f>
        <v>874273913.34933257</v>
      </c>
      <c r="AD75" s="61">
        <f>ABS((AD50*AD63*1000*'Cost Assumptions'!$B$7)/'Cost Assumptions'!$B$14)</f>
        <v>929396306.098122</v>
      </c>
      <c r="AE75" s="61">
        <f>ABS((AE50*AE63*1000*'Cost Assumptions'!$B$7)/'Cost Assumptions'!$B$14)</f>
        <v>986728397.28850782</v>
      </c>
    </row>
    <row r="76" spans="1:31" x14ac:dyDescent="0.35">
      <c r="A76" s="87" t="s">
        <v>24</v>
      </c>
      <c r="B76" s="87" t="s">
        <v>144</v>
      </c>
      <c r="C76" s="17">
        <f>NPV('Cost Assumptions'!$B$3,D76:AE76)</f>
        <v>2775469316.1321998</v>
      </c>
      <c r="D76" s="61">
        <f>SUM(D74:D75)</f>
        <v>42176116.469857648</v>
      </c>
      <c r="E76" s="61">
        <f>SUM(E74:E75)</f>
        <v>65529156.424027406</v>
      </c>
      <c r="F76" s="61">
        <f t="shared" ref="F76:AE76" si="28">SUM(F74:F75)</f>
        <v>90023488.303111985</v>
      </c>
      <c r="G76" s="61">
        <f t="shared" si="28"/>
        <v>115701581.05338576</v>
      </c>
      <c r="H76" s="61">
        <f t="shared" si="28"/>
        <v>142607313.76098382</v>
      </c>
      <c r="I76" s="61">
        <f t="shared" si="28"/>
        <v>170786019.61580336</v>
      </c>
      <c r="J76" s="61">
        <f t="shared" si="28"/>
        <v>200284531.19226331</v>
      </c>
      <c r="K76" s="61">
        <f t="shared" si="28"/>
        <v>231151227.08528632</v>
      </c>
      <c r="L76" s="61">
        <f t="shared" si="28"/>
        <v>263436079.94096529</v>
      </c>
      <c r="M76" s="61">
        <f t="shared" si="28"/>
        <v>297190705.92250001</v>
      </c>
      <c r="N76" s="61">
        <f t="shared" si="28"/>
        <v>332468415.65314823</v>
      </c>
      <c r="O76" s="61">
        <f t="shared" si="28"/>
        <v>369324266.67912734</v>
      </c>
      <c r="P76" s="61">
        <f t="shared" si="28"/>
        <v>407815117.4966222</v>
      </c>
      <c r="Q76" s="61">
        <f t="shared" si="28"/>
        <v>447999683.18831736</v>
      </c>
      <c r="R76" s="61">
        <f t="shared" si="28"/>
        <v>489938592.71616197</v>
      </c>
      <c r="S76" s="61">
        <f t="shared" si="28"/>
        <v>533694447.91840601</v>
      </c>
      <c r="T76" s="61">
        <f t="shared" si="28"/>
        <v>579331884.26031458</v>
      </c>
      <c r="U76" s="61">
        <f t="shared" si="28"/>
        <v>626917633.38936961</v>
      </c>
      <c r="V76" s="61">
        <f t="shared" si="28"/>
        <v>676520587.54721475</v>
      </c>
      <c r="W76" s="61">
        <f t="shared" si="28"/>
        <v>728211865.89208376</v>
      </c>
      <c r="X76" s="61">
        <f t="shared" si="28"/>
        <v>782064882.78697896</v>
      </c>
      <c r="Y76" s="61">
        <f t="shared" si="28"/>
        <v>838155418.1104368</v>
      </c>
      <c r="Z76" s="61">
        <f t="shared" si="28"/>
        <v>896561689.6483252</v>
      </c>
      <c r="AA76" s="61">
        <f t="shared" si="28"/>
        <v>957364427.62678945</v>
      </c>
      <c r="AB76" s="61">
        <f t="shared" si="28"/>
        <v>1020646951.4481462</v>
      </c>
      <c r="AC76" s="61">
        <f t="shared" si="28"/>
        <v>1086495248.6933045</v>
      </c>
      <c r="AD76" s="61">
        <f t="shared" si="28"/>
        <v>1154998056.4560654</v>
      </c>
      <c r="AE76" s="61">
        <f t="shared" si="28"/>
        <v>1226246945.0765314</v>
      </c>
    </row>
    <row r="77" spans="1:31" x14ac:dyDescent="0.35">
      <c r="A77" s="87"/>
      <c r="B77" s="87"/>
      <c r="C77" s="1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35">
      <c r="A78" s="87" t="s">
        <v>117</v>
      </c>
      <c r="B78" s="87" t="s">
        <v>152</v>
      </c>
      <c r="C78" s="17">
        <f>NPV('Cost Assumptions'!$B$3,D78:AE78)</f>
        <v>0</v>
      </c>
      <c r="D78" s="61">
        <f>ABS(((MIN(ABS(D51),'Baseline System Analysis'!D14)*D62*1000*'Cost Assumptions'!$B$6)*'Cost Assumptions'!$B$13))</f>
        <v>0</v>
      </c>
      <c r="E78" s="61">
        <f>ABS(((MIN(ABS(E51),'Baseline System Analysis'!E14)*E62*1000*'Cost Assumptions'!$B$6)*'Cost Assumptions'!$B$13))</f>
        <v>0</v>
      </c>
      <c r="F78" s="61">
        <f>ABS((F51*F61*1000*'Cost Assumptions'!$B$6)*'Cost Assumptions'!$B$13)</f>
        <v>0</v>
      </c>
      <c r="G78" s="61">
        <f>ABS((G51*G61*1000*'Cost Assumptions'!$B$6)*'Cost Assumptions'!$B$13)</f>
        <v>0</v>
      </c>
      <c r="H78" s="61">
        <f>ABS((H51*H61*1000*'Cost Assumptions'!$B$6)*'Cost Assumptions'!$B$13)</f>
        <v>0</v>
      </c>
      <c r="I78" s="61">
        <f>ABS((I51*I61*1000*'Cost Assumptions'!$B$6)*'Cost Assumptions'!$B$13)</f>
        <v>0</v>
      </c>
      <c r="J78" s="61">
        <f>ABS((J51*J61*1000*'Cost Assumptions'!$B$6)*'Cost Assumptions'!$B$13)</f>
        <v>0</v>
      </c>
      <c r="K78" s="61">
        <f>ABS((K51*K61*1000*'Cost Assumptions'!$B$6)*'Cost Assumptions'!$B$13)</f>
        <v>0</v>
      </c>
      <c r="L78" s="61">
        <f>ABS((L51*L61*1000*'Cost Assumptions'!$B$6)*'Cost Assumptions'!$B$13)</f>
        <v>0</v>
      </c>
      <c r="M78" s="61">
        <f>ABS((M51*M61*1000*'Cost Assumptions'!$B$6)*'Cost Assumptions'!$B$13)</f>
        <v>0</v>
      </c>
      <c r="N78" s="61">
        <f>ABS((N51*N61*1000*'Cost Assumptions'!$B$6)*'Cost Assumptions'!$B$13)</f>
        <v>0</v>
      </c>
      <c r="O78" s="61">
        <f>ABS((O51*O61*1000*'Cost Assumptions'!$B$6)*'Cost Assumptions'!$B$13)</f>
        <v>0</v>
      </c>
      <c r="P78" s="61">
        <f>ABS((P51*P61*1000*'Cost Assumptions'!$B$6)*'Cost Assumptions'!$B$13)</f>
        <v>0</v>
      </c>
      <c r="Q78" s="61">
        <f>ABS((Q51*Q61*1000*'Cost Assumptions'!$B$6)*'Cost Assumptions'!$B$13)</f>
        <v>0</v>
      </c>
      <c r="R78" s="61">
        <f>ABS((R51*R61*1000*'Cost Assumptions'!$B$6)*'Cost Assumptions'!$B$13)</f>
        <v>0</v>
      </c>
      <c r="S78" s="61">
        <f>ABS((S51*S61*1000*'Cost Assumptions'!$B$6)*'Cost Assumptions'!$B$13)</f>
        <v>0</v>
      </c>
      <c r="T78" s="61">
        <f>ABS((T51*T61*1000*'Cost Assumptions'!$B$6)*'Cost Assumptions'!$B$13)</f>
        <v>0</v>
      </c>
      <c r="U78" s="61">
        <f>ABS((U51*U61*1000*'Cost Assumptions'!$B$6)*'Cost Assumptions'!$B$13)</f>
        <v>0</v>
      </c>
      <c r="V78" s="61">
        <f>ABS((V51*V61*1000*'Cost Assumptions'!$B$6)*'Cost Assumptions'!$B$13)</f>
        <v>0</v>
      </c>
      <c r="W78" s="61">
        <f>ABS((W51*W61*1000*'Cost Assumptions'!$B$6)*'Cost Assumptions'!$B$13)</f>
        <v>0</v>
      </c>
      <c r="X78" s="61">
        <f>ABS((X51*X61*1000*'Cost Assumptions'!$B$6)*'Cost Assumptions'!$B$13)</f>
        <v>0</v>
      </c>
      <c r="Y78" s="61">
        <f>ABS((Y51*Y61*1000*'Cost Assumptions'!$B$6)*'Cost Assumptions'!$B$13)</f>
        <v>0</v>
      </c>
      <c r="Z78" s="61">
        <f>ABS((Z51*Z61*1000*'Cost Assumptions'!$B$6)*'Cost Assumptions'!$B$13)</f>
        <v>0</v>
      </c>
      <c r="AA78" s="61">
        <f>ABS((AA51*AA61*1000*'Cost Assumptions'!$B$6)*'Cost Assumptions'!$B$13)</f>
        <v>0</v>
      </c>
      <c r="AB78" s="61">
        <f>ABS((AB51*AB61*1000*'Cost Assumptions'!$B$6)*'Cost Assumptions'!$B$13)</f>
        <v>0</v>
      </c>
      <c r="AC78" s="61">
        <f>ABS((AC51*AC61*1000*'Cost Assumptions'!$B$6)*'Cost Assumptions'!$B$13)</f>
        <v>0</v>
      </c>
      <c r="AD78" s="61">
        <f>ABS((AD51*AD61*1000*'Cost Assumptions'!$B$6)*'Cost Assumptions'!$B$13)</f>
        <v>0</v>
      </c>
      <c r="AE78" s="61">
        <f>ABS((AE51*AE61*1000*'Cost Assumptions'!$B$6)*'Cost Assumptions'!$B$13)</f>
        <v>0</v>
      </c>
    </row>
    <row r="79" spans="1:31" x14ac:dyDescent="0.35">
      <c r="A79" s="87" t="s">
        <v>119</v>
      </c>
      <c r="B79" s="87" t="s">
        <v>152</v>
      </c>
      <c r="C79" s="17">
        <f>NPV('Cost Assumptions'!$B$3,D79:AE79)</f>
        <v>0</v>
      </c>
      <c r="D79" s="61">
        <f>ABS(((MIN(ABS(D51),'Baseline System Analysis'!D14)*D64*1000*'Cost Assumptions'!$B$6)*'Cost Assumptions'!$B$13))</f>
        <v>0</v>
      </c>
      <c r="E79" s="61">
        <f>ABS(((MIN(ABS(E51),'Baseline System Analysis'!E14)*E64*1000*'Cost Assumptions'!$B$6)*'Cost Assumptions'!$B$13))</f>
        <v>0</v>
      </c>
      <c r="F79" s="61">
        <f>ABS((F51*F63*1000*'Cost Assumptions'!$B$6)*'Cost Assumptions'!$B$13)</f>
        <v>0</v>
      </c>
      <c r="G79" s="61">
        <f>ABS((G51*G63*1000*'Cost Assumptions'!$B$6)*'Cost Assumptions'!$B$13)</f>
        <v>0</v>
      </c>
      <c r="H79" s="61">
        <f>ABS((H51*H63*1000*'Cost Assumptions'!$B$6)*'Cost Assumptions'!$B$13)</f>
        <v>0</v>
      </c>
      <c r="I79" s="61">
        <f>ABS((I51*I63*1000*'Cost Assumptions'!$B$6)*'Cost Assumptions'!$B$13)</f>
        <v>0</v>
      </c>
      <c r="J79" s="61">
        <f>ABS((J51*J63*1000*'Cost Assumptions'!$B$6)*'Cost Assumptions'!$B$13)</f>
        <v>0</v>
      </c>
      <c r="K79" s="61">
        <f>ABS((K51*K63*1000*'Cost Assumptions'!$B$6)*'Cost Assumptions'!$B$13)</f>
        <v>0</v>
      </c>
      <c r="L79" s="61">
        <f>ABS((L51*L63*1000*'Cost Assumptions'!$B$6)*'Cost Assumptions'!$B$13)</f>
        <v>0</v>
      </c>
      <c r="M79" s="61">
        <f>ABS((M51*M63*1000*'Cost Assumptions'!$B$6)*'Cost Assumptions'!$B$13)</f>
        <v>0</v>
      </c>
      <c r="N79" s="61">
        <f>ABS((N51*N63*1000*'Cost Assumptions'!$B$6)*'Cost Assumptions'!$B$13)</f>
        <v>0</v>
      </c>
      <c r="O79" s="61">
        <f>ABS((O51*O63*1000*'Cost Assumptions'!$B$6)*'Cost Assumptions'!$B$13)</f>
        <v>0</v>
      </c>
      <c r="P79" s="61">
        <f>ABS((P51*P63*1000*'Cost Assumptions'!$B$6)*'Cost Assumptions'!$B$13)</f>
        <v>0</v>
      </c>
      <c r="Q79" s="61">
        <f>ABS((Q51*Q63*1000*'Cost Assumptions'!$B$6)*'Cost Assumptions'!$B$13)</f>
        <v>0</v>
      </c>
      <c r="R79" s="61">
        <f>ABS((R51*R63*1000*'Cost Assumptions'!$B$6)*'Cost Assumptions'!$B$13)</f>
        <v>0</v>
      </c>
      <c r="S79" s="61">
        <f>ABS((S51*S63*1000*'Cost Assumptions'!$B$6)*'Cost Assumptions'!$B$13)</f>
        <v>0</v>
      </c>
      <c r="T79" s="61">
        <f>ABS((T51*T63*1000*'Cost Assumptions'!$B$6)*'Cost Assumptions'!$B$13)</f>
        <v>0</v>
      </c>
      <c r="U79" s="61">
        <f>ABS((U51*U63*1000*'Cost Assumptions'!$B$6)*'Cost Assumptions'!$B$13)</f>
        <v>0</v>
      </c>
      <c r="V79" s="61">
        <f>ABS((V51*V63*1000*'Cost Assumptions'!$B$6)*'Cost Assumptions'!$B$13)</f>
        <v>0</v>
      </c>
      <c r="W79" s="61">
        <f>ABS((W51*W63*1000*'Cost Assumptions'!$B$6)*'Cost Assumptions'!$B$13)</f>
        <v>0</v>
      </c>
      <c r="X79" s="61">
        <f>ABS((X51*X63*1000*'Cost Assumptions'!$B$6)*'Cost Assumptions'!$B$13)</f>
        <v>0</v>
      </c>
      <c r="Y79" s="61">
        <f>ABS((Y51*Y63*1000*'Cost Assumptions'!$B$6)*'Cost Assumptions'!$B$13)</f>
        <v>0</v>
      </c>
      <c r="Z79" s="61">
        <f>ABS((Z51*Z63*1000*'Cost Assumptions'!$B$6)*'Cost Assumptions'!$B$13)</f>
        <v>0</v>
      </c>
      <c r="AA79" s="61">
        <f>ABS((AA51*AA63*1000*'Cost Assumptions'!$B$6)*'Cost Assumptions'!$B$13)</f>
        <v>0</v>
      </c>
      <c r="AB79" s="61">
        <f>ABS((AB51*AB63*1000*'Cost Assumptions'!$B$6)*'Cost Assumptions'!$B$13)</f>
        <v>0</v>
      </c>
      <c r="AC79" s="61">
        <f>ABS((AC51*AC63*1000*'Cost Assumptions'!$B$6)*'Cost Assumptions'!$B$13)</f>
        <v>0</v>
      </c>
      <c r="AD79" s="61">
        <f>ABS((AD51*AD63*1000*'Cost Assumptions'!$B$6)*'Cost Assumptions'!$B$13)</f>
        <v>0</v>
      </c>
      <c r="AE79" s="61">
        <f>ABS((AE51*AE63*1000*'Cost Assumptions'!$B$6)*'Cost Assumptions'!$B$13)</f>
        <v>0</v>
      </c>
    </row>
    <row r="80" spans="1:31" ht="29" x14ac:dyDescent="0.35">
      <c r="A80" s="3" t="s">
        <v>146</v>
      </c>
      <c r="B80" s="87" t="s">
        <v>152</v>
      </c>
      <c r="C80" s="17">
        <f>NPV('Cost Assumptions'!$B$3,D80:AE80)</f>
        <v>0</v>
      </c>
      <c r="D80" s="61">
        <f>SUM(D78:D79)</f>
        <v>0</v>
      </c>
      <c r="E80" s="61">
        <f>SUM(E78:E79)</f>
        <v>0</v>
      </c>
      <c r="F80" s="61">
        <f t="shared" ref="F80:AE80" si="29">SUM(F78:F79)</f>
        <v>0</v>
      </c>
      <c r="G80" s="61">
        <f t="shared" si="29"/>
        <v>0</v>
      </c>
      <c r="H80" s="61">
        <f t="shared" si="29"/>
        <v>0</v>
      </c>
      <c r="I80" s="61">
        <f t="shared" si="29"/>
        <v>0</v>
      </c>
      <c r="J80" s="61">
        <f t="shared" si="29"/>
        <v>0</v>
      </c>
      <c r="K80" s="61">
        <f t="shared" si="29"/>
        <v>0</v>
      </c>
      <c r="L80" s="61">
        <f t="shared" si="29"/>
        <v>0</v>
      </c>
      <c r="M80" s="61">
        <f t="shared" si="29"/>
        <v>0</v>
      </c>
      <c r="N80" s="61">
        <f t="shared" si="29"/>
        <v>0</v>
      </c>
      <c r="O80" s="61">
        <f t="shared" si="29"/>
        <v>0</v>
      </c>
      <c r="P80" s="61">
        <f t="shared" si="29"/>
        <v>0</v>
      </c>
      <c r="Q80" s="61">
        <f t="shared" si="29"/>
        <v>0</v>
      </c>
      <c r="R80" s="61">
        <f t="shared" si="29"/>
        <v>0</v>
      </c>
      <c r="S80" s="61">
        <f t="shared" si="29"/>
        <v>0</v>
      </c>
      <c r="T80" s="61">
        <f t="shared" si="29"/>
        <v>0</v>
      </c>
      <c r="U80" s="61">
        <f t="shared" si="29"/>
        <v>0</v>
      </c>
      <c r="V80" s="61">
        <f t="shared" si="29"/>
        <v>0</v>
      </c>
      <c r="W80" s="61">
        <f t="shared" si="29"/>
        <v>0</v>
      </c>
      <c r="X80" s="61">
        <f t="shared" si="29"/>
        <v>0</v>
      </c>
      <c r="Y80" s="61">
        <f t="shared" si="29"/>
        <v>0</v>
      </c>
      <c r="Z80" s="61">
        <f t="shared" si="29"/>
        <v>0</v>
      </c>
      <c r="AA80" s="61">
        <f t="shared" si="29"/>
        <v>0</v>
      </c>
      <c r="AB80" s="61">
        <f t="shared" si="29"/>
        <v>0</v>
      </c>
      <c r="AC80" s="61">
        <f t="shared" si="29"/>
        <v>0</v>
      </c>
      <c r="AD80" s="61">
        <f t="shared" si="29"/>
        <v>0</v>
      </c>
      <c r="AE80" s="61">
        <f t="shared" si="29"/>
        <v>0</v>
      </c>
    </row>
    <row r="81" spans="1:31" x14ac:dyDescent="0.35">
      <c r="A81" s="3"/>
      <c r="B81" s="87"/>
      <c r="C81" s="1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ht="29" x14ac:dyDescent="0.35">
      <c r="A82" s="3" t="s">
        <v>147</v>
      </c>
      <c r="B82" s="87" t="s">
        <v>148</v>
      </c>
      <c r="C82" s="17">
        <f>NPV('Cost Assumptions'!$B$3,D82:AE82)</f>
        <v>201421523.7424624</v>
      </c>
      <c r="D82" s="61">
        <f>('Baseline System Analysis'!D42-D37)</f>
        <v>11415404.726474755</v>
      </c>
      <c r="E82" s="61">
        <f>('Baseline System Analysis'!E42-E37)</f>
        <v>12677256.086189514</v>
      </c>
      <c r="F82" s="61">
        <f>('Baseline System Analysis'!F42-F37)</f>
        <v>14005928.33497976</v>
      </c>
      <c r="G82" s="61">
        <f>('Baseline System Analysis'!G42-G37)</f>
        <v>14898443.995636351</v>
      </c>
      <c r="H82" s="61">
        <f>('Baseline System Analysis'!H42-H37)</f>
        <v>16001404.151103705</v>
      </c>
      <c r="I82" s="61">
        <f>('Baseline System Analysis'!I42-I37)</f>
        <v>17079540.657531884</v>
      </c>
      <c r="J82" s="61">
        <f>('Baseline System Analysis'!J42-J37)</f>
        <v>18025564.820723638</v>
      </c>
      <c r="K82" s="61">
        <f>('Baseline System Analysis'!K42-K37)</f>
        <v>19173409.538344882</v>
      </c>
      <c r="L82" s="61">
        <f>('Baseline System Analysis'!L42-L37)</f>
        <v>20408716.377800144</v>
      </c>
      <c r="M82" s="61">
        <f>('Baseline System Analysis'!M42-M37)</f>
        <v>21700257.554819502</v>
      </c>
      <c r="N82" s="61">
        <f>('Baseline System Analysis'!N42-N37)</f>
        <v>23225050.521736037</v>
      </c>
      <c r="O82" s="61">
        <f>('Baseline System Analysis'!O42-O37)</f>
        <v>24562337.309540544</v>
      </c>
      <c r="P82" s="61">
        <f>('Baseline System Analysis'!P42-P37)</f>
        <v>26000278.429442648</v>
      </c>
      <c r="Q82" s="61">
        <f>('Baseline System Analysis'!Q42-Q37)</f>
        <v>27628571.211867087</v>
      </c>
      <c r="R82" s="61">
        <f>('Baseline System Analysis'!R42-R37)</f>
        <v>29216356.105742048</v>
      </c>
      <c r="S82" s="61">
        <f>('Baseline System Analysis'!S42-S37)</f>
        <v>31019684.762876015</v>
      </c>
      <c r="T82" s="61">
        <f>('Baseline System Analysis'!T42-T37)</f>
        <v>32721790.79613499</v>
      </c>
      <c r="U82" s="61">
        <f>('Baseline System Analysis'!U42-U37)</f>
        <v>34498473.537261531</v>
      </c>
      <c r="V82" s="61">
        <f>('Baseline System Analysis'!V42-V37)</f>
        <v>36216597.888129503</v>
      </c>
      <c r="W82" s="61">
        <f>('Baseline System Analysis'!W42-W37)</f>
        <v>38085174.954066977</v>
      </c>
      <c r="X82" s="61">
        <f>('Baseline System Analysis'!X42-X37)</f>
        <v>39829235.050383419</v>
      </c>
      <c r="Y82" s="61">
        <f>('Baseline System Analysis'!Y42-Y37)</f>
        <v>41537971.859504849</v>
      </c>
      <c r="Z82" s="61">
        <f>('Baseline System Analysis'!Z42-Z37)</f>
        <v>43666848.802640006</v>
      </c>
      <c r="AA82" s="61">
        <f>('Baseline System Analysis'!AA42-AA37)</f>
        <v>45674640.509398893</v>
      </c>
      <c r="AB82" s="61">
        <f>('Baseline System Analysis'!AB42-AB37)</f>
        <v>47592810.13016814</v>
      </c>
      <c r="AC82" s="61">
        <f>('Baseline System Analysis'!AC42-AC37)</f>
        <v>49813062.13103693</v>
      </c>
      <c r="AD82" s="61">
        <f>('Baseline System Analysis'!AD42-AD37)</f>
        <v>52005419.753570341</v>
      </c>
      <c r="AE82" s="61">
        <f>('Baseline System Analysis'!AE42-AE37)</f>
        <v>54190723.063085757</v>
      </c>
    </row>
    <row r="84" spans="1:31" ht="20" thickBot="1" x14ac:dyDescent="0.5">
      <c r="A84" s="145" t="s">
        <v>61</v>
      </c>
      <c r="B84" s="169"/>
      <c r="C84" s="17">
        <f>NPV('Cost Assumptions'!$B$3,D84:AE84)/1000000</f>
        <v>3270.0903389756127</v>
      </c>
      <c r="D84" s="61">
        <f>SUM(D68,D72,D76,D80,D82)</f>
        <v>55530145.019695051</v>
      </c>
      <c r="E84" s="61">
        <f>SUM(E68,E72,E76,E80,E82)</f>
        <v>83283021.573675811</v>
      </c>
      <c r="F84" s="61">
        <f t="shared" ref="F84:AE84" si="30">SUM(F68,F72,F76,F80,F82)</f>
        <v>111759519.53595144</v>
      </c>
      <c r="G84" s="61">
        <f t="shared" si="30"/>
        <v>141396944.28681818</v>
      </c>
      <c r="H84" s="61">
        <f t="shared" si="30"/>
        <v>171592332.55869865</v>
      </c>
      <c r="I84" s="61">
        <f t="shared" si="30"/>
        <v>202504823.22580212</v>
      </c>
      <c r="J84" s="61">
        <f t="shared" si="30"/>
        <v>237852535.98617482</v>
      </c>
      <c r="K84" s="61">
        <f t="shared" si="30"/>
        <v>274492287.10154301</v>
      </c>
      <c r="L84" s="61">
        <f t="shared" si="30"/>
        <v>314255584.12112433</v>
      </c>
      <c r="M84" s="61">
        <f t="shared" si="30"/>
        <v>358476398.27811438</v>
      </c>
      <c r="N84" s="61">
        <f t="shared" si="30"/>
        <v>405029934.35200441</v>
      </c>
      <c r="O84" s="61">
        <f t="shared" si="30"/>
        <v>454692284.96648347</v>
      </c>
      <c r="P84" s="61">
        <f t="shared" si="30"/>
        <v>506818872.02394521</v>
      </c>
      <c r="Q84" s="61">
        <f t="shared" si="30"/>
        <v>554804275.36415303</v>
      </c>
      <c r="R84" s="61">
        <f t="shared" si="30"/>
        <v>603958884.42835307</v>
      </c>
      <c r="S84" s="61">
        <f t="shared" si="30"/>
        <v>657973262.92525983</v>
      </c>
      <c r="T84" s="61">
        <f t="shared" si="30"/>
        <v>706826627.27157593</v>
      </c>
      <c r="U84" s="61">
        <f t="shared" si="30"/>
        <v>753503893.55423319</v>
      </c>
      <c r="V84" s="61">
        <f t="shared" si="30"/>
        <v>800334881.33813393</v>
      </c>
      <c r="W84" s="61">
        <f t="shared" si="30"/>
        <v>859809957.0301584</v>
      </c>
      <c r="X84" s="61">
        <f t="shared" si="30"/>
        <v>905317811.4223156</v>
      </c>
      <c r="Y84" s="61">
        <f t="shared" si="30"/>
        <v>950432368.25364077</v>
      </c>
      <c r="Z84" s="61">
        <f t="shared" si="30"/>
        <v>997820982.28656507</v>
      </c>
      <c r="AA84" s="61">
        <f t="shared" si="30"/>
        <v>1038867536.2649046</v>
      </c>
      <c r="AB84" s="61">
        <f t="shared" si="30"/>
        <v>1086819389.6970956</v>
      </c>
      <c r="AC84" s="61">
        <f t="shared" si="30"/>
        <v>1135472653.1313345</v>
      </c>
      <c r="AD84" s="61">
        <f t="shared" si="30"/>
        <v>1174709434.7683275</v>
      </c>
      <c r="AE84" s="61">
        <f t="shared" si="30"/>
        <v>1226536959.4683478</v>
      </c>
    </row>
    <row r="85" spans="1:31" ht="20.5" thickTop="1" thickBot="1" x14ac:dyDescent="0.5">
      <c r="A85" s="145" t="s">
        <v>149</v>
      </c>
      <c r="B85" s="145"/>
      <c r="C85" s="17">
        <f>NPV('Cost Assumptions'!$B$3,D85:AE85)/1000000</f>
        <v>3270.4390543070485</v>
      </c>
      <c r="D85" s="61">
        <f>D84+D44</f>
        <v>55544497.019695006</v>
      </c>
      <c r="E85" s="61">
        <f t="shared" ref="E85:AE85" si="31">E84+E44</f>
        <v>83299776.223675802</v>
      </c>
      <c r="F85" s="61">
        <f t="shared" si="31"/>
        <v>111778498.10676873</v>
      </c>
      <c r="G85" s="61">
        <f t="shared" si="31"/>
        <v>141418247.50283739</v>
      </c>
      <c r="H85" s="61">
        <f t="shared" si="31"/>
        <v>171616064.79057312</v>
      </c>
      <c r="I85" s="61">
        <f t="shared" si="31"/>
        <v>202531092.60981461</v>
      </c>
      <c r="J85" s="61">
        <f t="shared" si="31"/>
        <v>237881454.54728732</v>
      </c>
      <c r="K85" s="61">
        <f t="shared" si="31"/>
        <v>274523970.88024545</v>
      </c>
      <c r="L85" s="61">
        <f t="shared" si="31"/>
        <v>314290153.30419558</v>
      </c>
      <c r="M85" s="61">
        <f t="shared" si="31"/>
        <v>358513977.33341116</v>
      </c>
      <c r="N85" s="61">
        <f t="shared" si="31"/>
        <v>405070652.16739857</v>
      </c>
      <c r="O85" s="61">
        <f t="shared" si="31"/>
        <v>454736274.99307036</v>
      </c>
      <c r="P85" s="61">
        <f t="shared" si="31"/>
        <v>506866272.42364979</v>
      </c>
      <c r="Q85" s="61">
        <f t="shared" si="31"/>
        <v>554855229.16186464</v>
      </c>
      <c r="R85" s="61">
        <f t="shared" si="31"/>
        <v>604013539.66872215</v>
      </c>
      <c r="S85" s="61">
        <f t="shared" si="31"/>
        <v>658031772.83429575</v>
      </c>
      <c r="T85" s="61">
        <f t="shared" si="31"/>
        <v>706889150.42318678</v>
      </c>
      <c r="U85" s="61">
        <f t="shared" si="31"/>
        <v>753570594.04185462</v>
      </c>
      <c r="V85" s="61">
        <f t="shared" si="31"/>
        <v>800405928.95159662</v>
      </c>
      <c r="W85" s="61">
        <f t="shared" si="31"/>
        <v>859885527.43794966</v>
      </c>
      <c r="X85" s="61">
        <f t="shared" si="31"/>
        <v>905398086.35939348</v>
      </c>
      <c r="Y85" s="61">
        <f t="shared" si="31"/>
        <v>950517535.71496475</v>
      </c>
      <c r="Z85" s="61">
        <f t="shared" si="31"/>
        <v>997911236.72651184</v>
      </c>
      <c r="AA85" s="61">
        <f t="shared" si="31"/>
        <v>1038963078.8027419</v>
      </c>
      <c r="AB85" s="61">
        <f t="shared" si="31"/>
        <v>1086920428.3286929</v>
      </c>
      <c r="AC85" s="61">
        <f t="shared" si="31"/>
        <v>1135579402.9472938</v>
      </c>
      <c r="AD85" s="61">
        <f t="shared" si="31"/>
        <v>1174822118.1787219</v>
      </c>
      <c r="AE85" s="61">
        <f t="shared" si="31"/>
        <v>1226655806.4342644</v>
      </c>
    </row>
    <row r="86" spans="1:31" ht="15" thickTop="1" x14ac:dyDescent="0.35">
      <c r="A86" s="87"/>
      <c r="B86" s="87"/>
      <c r="C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20" thickBot="1" x14ac:dyDescent="0.5">
      <c r="A87" s="145" t="s">
        <v>150</v>
      </c>
      <c r="B87" s="145"/>
      <c r="C87" s="17">
        <f>Summary!$D$19</f>
        <v>185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15" thickTop="1" x14ac:dyDescent="0.35">
      <c r="A88" s="87"/>
      <c r="B88" s="87"/>
      <c r="C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20" thickBot="1" x14ac:dyDescent="0.5">
      <c r="A89" s="145" t="s">
        <v>7</v>
      </c>
      <c r="B89" s="145"/>
      <c r="C89" s="50">
        <f>C85/C87</f>
        <v>17.678048942200263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15" thickTop="1" x14ac:dyDescent="0.35">
      <c r="A90" s="87"/>
      <c r="B90" s="87"/>
      <c r="C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</sheetData>
  <mergeCells count="6">
    <mergeCell ref="B41:AE41"/>
    <mergeCell ref="A59:AE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13"/>
  <sheetViews>
    <sheetView zoomScale="80" zoomScaleNormal="80" workbookViewId="0"/>
  </sheetViews>
  <sheetFormatPr defaultRowHeight="14.5" x14ac:dyDescent="0.35"/>
  <cols>
    <col min="2" max="2" width="29.7265625" customWidth="1"/>
    <col min="3" max="3" width="15.453125" customWidth="1"/>
    <col min="4" max="4" width="16.453125" customWidth="1"/>
    <col min="5" max="5" width="13.1796875" customWidth="1"/>
    <col min="6" max="6" width="10.7265625" bestFit="1" customWidth="1"/>
    <col min="7" max="7" width="12.453125" bestFit="1" customWidth="1"/>
    <col min="8" max="8" width="13.1796875" bestFit="1" customWidth="1"/>
    <col min="9" max="9" width="15.1796875" customWidth="1"/>
    <col min="10" max="10" width="12.1796875" customWidth="1"/>
    <col min="11" max="11" width="13.26953125" customWidth="1"/>
    <col min="12" max="12" width="20.26953125" customWidth="1"/>
    <col min="13" max="14" width="16.81640625" customWidth="1"/>
    <col min="15" max="15" width="15.54296875" customWidth="1"/>
    <col min="16" max="16" width="10.453125" customWidth="1"/>
    <col min="17" max="17" width="8.54296875" customWidth="1"/>
    <col min="18" max="18" width="10.26953125" bestFit="1" customWidth="1"/>
    <col min="19" max="19" width="8.81640625" customWidth="1"/>
    <col min="20" max="20" width="9.81640625" customWidth="1"/>
    <col min="21" max="28" width="9.81640625" style="87" customWidth="1"/>
    <col min="29" max="29" width="10.453125" customWidth="1"/>
    <col min="33" max="34" width="9.1796875" style="87"/>
    <col min="37" max="38" width="8.81640625" hidden="1" customWidth="1"/>
    <col min="39" max="39" width="17" hidden="1" customWidth="1"/>
    <col min="40" max="40" width="8.81640625" style="30" hidden="1" customWidth="1"/>
    <col min="41" max="41" width="23.7265625" hidden="1" customWidth="1"/>
    <col min="42" max="42" width="38.81640625" style="2" hidden="1" customWidth="1"/>
    <col min="43" max="43" width="32.1796875" hidden="1" customWidth="1"/>
    <col min="44" max="44" width="8.81640625" hidden="1" customWidth="1"/>
  </cols>
  <sheetData>
    <row r="1" spans="1:43" s="87" customFormat="1" x14ac:dyDescent="0.35">
      <c r="AN1" s="30"/>
      <c r="AP1" s="72"/>
    </row>
    <row r="2" spans="1:43" s="87" customFormat="1" ht="21" x14ac:dyDescent="0.5">
      <c r="B2" s="147" t="s">
        <v>22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AN2" s="30"/>
      <c r="AP2" s="72"/>
    </row>
    <row r="3" spans="1:43" ht="15" customHeight="1" x14ac:dyDescent="0.35">
      <c r="A3" s="39" t="s">
        <v>2</v>
      </c>
      <c r="B3" s="39" t="s">
        <v>3</v>
      </c>
      <c r="C3" s="39" t="s">
        <v>23</v>
      </c>
      <c r="D3" s="39" t="s">
        <v>24</v>
      </c>
      <c r="E3" s="87"/>
      <c r="F3" s="87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7"/>
      <c r="S3" s="87"/>
      <c r="T3" s="87"/>
      <c r="AC3" s="87"/>
      <c r="AD3" s="87"/>
      <c r="AE3" s="87"/>
      <c r="AF3" s="87"/>
      <c r="AI3" s="87"/>
      <c r="AJ3" s="87"/>
      <c r="AK3" s="87"/>
      <c r="AL3" s="87" t="s">
        <v>25</v>
      </c>
      <c r="AM3" s="87"/>
      <c r="AO3" s="87"/>
      <c r="AP3" s="72"/>
      <c r="AQ3" s="87"/>
    </row>
    <row r="4" spans="1:43" ht="15" customHeight="1" x14ac:dyDescent="0.35">
      <c r="A4" s="117">
        <v>0</v>
      </c>
      <c r="B4" s="71" t="s">
        <v>26</v>
      </c>
      <c r="C4" s="29">
        <v>0</v>
      </c>
      <c r="D4" s="29">
        <v>0</v>
      </c>
      <c r="E4" s="87"/>
      <c r="F4" s="87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AC4" s="87"/>
      <c r="AD4" s="87"/>
      <c r="AE4" s="87"/>
      <c r="AF4" s="87"/>
      <c r="AI4" s="87"/>
      <c r="AJ4" s="87"/>
      <c r="AK4" s="87"/>
      <c r="AL4" s="143" t="s">
        <v>27</v>
      </c>
      <c r="AM4" s="144"/>
      <c r="AO4" s="87"/>
      <c r="AP4" s="72" t="s">
        <v>28</v>
      </c>
      <c r="AQ4" s="87" t="s">
        <v>29</v>
      </c>
    </row>
    <row r="5" spans="1:43" ht="15.75" customHeight="1" x14ac:dyDescent="0.35">
      <c r="A5" s="117">
        <v>13</v>
      </c>
      <c r="B5" s="71" t="s">
        <v>11</v>
      </c>
      <c r="C5" s="29">
        <v>185</v>
      </c>
      <c r="D5" s="29">
        <v>190</v>
      </c>
      <c r="E5" s="87"/>
      <c r="F5" s="87"/>
      <c r="G5" s="86"/>
      <c r="H5" s="86"/>
      <c r="I5" s="86"/>
      <c r="J5" s="86"/>
      <c r="K5" s="86"/>
      <c r="L5" s="86"/>
      <c r="M5" s="87"/>
      <c r="N5" s="87"/>
      <c r="O5" s="87"/>
      <c r="P5" s="87"/>
      <c r="Q5" s="87"/>
      <c r="R5" s="87"/>
      <c r="S5" s="87"/>
      <c r="T5" s="87"/>
      <c r="AC5" s="87"/>
      <c r="AD5" s="87"/>
      <c r="AE5" s="87"/>
      <c r="AF5" s="87"/>
      <c r="AI5" s="87"/>
      <c r="AJ5" s="87"/>
      <c r="AK5" s="87"/>
      <c r="AL5" s="13" t="s">
        <v>30</v>
      </c>
      <c r="AM5" s="27" t="s">
        <v>31</v>
      </c>
      <c r="AN5" s="30">
        <f t="shared" ref="AN5:AN10" si="0">$C$22</f>
        <v>1</v>
      </c>
      <c r="AO5" s="87" t="str">
        <f>CONCATENATE(AL5," ",AM5," ",AN5)</f>
        <v>N-1 EENS 1</v>
      </c>
      <c r="AP5" s="14">
        <f t="shared" ref="AP5:AP17" si="1">C23</f>
        <v>8935.2425304513599</v>
      </c>
      <c r="AQ5" s="14">
        <f>NPV('Cost Assumptions'!$B$3,'Alberhill System Project'!C19:AE19)</f>
        <v>718.35089971264927</v>
      </c>
    </row>
    <row r="6" spans="1:43" ht="46.5" x14ac:dyDescent="0.35">
      <c r="A6" s="21">
        <v>6</v>
      </c>
      <c r="B6" s="47" t="s">
        <v>13</v>
      </c>
      <c r="C6" s="29">
        <v>213</v>
      </c>
      <c r="D6" s="29">
        <v>324</v>
      </c>
      <c r="E6" s="87"/>
      <c r="F6" s="87"/>
      <c r="G6" s="86"/>
      <c r="H6" s="86"/>
      <c r="I6" s="86"/>
      <c r="J6" s="86"/>
      <c r="K6" s="86"/>
      <c r="L6" s="86"/>
      <c r="M6" s="87"/>
      <c r="N6" s="87"/>
      <c r="O6" s="87"/>
      <c r="P6" s="87"/>
      <c r="Q6" s="87"/>
      <c r="R6" s="87"/>
      <c r="S6" s="87"/>
      <c r="T6" s="87"/>
      <c r="AC6" s="87"/>
      <c r="AD6" s="87"/>
      <c r="AE6" s="87"/>
      <c r="AF6" s="87"/>
      <c r="AI6" s="87"/>
      <c r="AJ6" s="87"/>
      <c r="AK6" s="87"/>
      <c r="AL6" s="13" t="s">
        <v>30</v>
      </c>
      <c r="AM6" s="27" t="s">
        <v>32</v>
      </c>
      <c r="AN6" s="30">
        <f t="shared" si="0"/>
        <v>1</v>
      </c>
      <c r="AO6" s="87" t="str">
        <f t="shared" ref="AO6:AO77" si="2">CONCATENATE(AL6," ",AM6," ",AN6)</f>
        <v>N-1 IP 1</v>
      </c>
      <c r="AP6" s="14">
        <f t="shared" si="1"/>
        <v>207.8797808394645</v>
      </c>
      <c r="AQ6" s="14">
        <f>NPV('Cost Assumptions'!$B$3,'Alberhill System Project'!C20:AE20)</f>
        <v>58.060449771105603</v>
      </c>
    </row>
    <row r="7" spans="1:43" ht="31" x14ac:dyDescent="0.35">
      <c r="A7" s="21">
        <v>3</v>
      </c>
      <c r="B7" s="47" t="s">
        <v>12</v>
      </c>
      <c r="C7" s="29">
        <v>270</v>
      </c>
      <c r="D7" s="29">
        <v>285</v>
      </c>
      <c r="E7" s="87"/>
      <c r="F7" s="87"/>
      <c r="G7" s="86"/>
      <c r="H7" s="86"/>
      <c r="I7" s="86"/>
      <c r="J7" s="86"/>
      <c r="K7" s="86"/>
      <c r="L7" s="86"/>
      <c r="M7" s="87"/>
      <c r="N7" s="87"/>
      <c r="O7" s="87"/>
      <c r="P7" s="87"/>
      <c r="Q7" s="87"/>
      <c r="R7" s="87"/>
      <c r="S7" s="87"/>
      <c r="T7" s="87"/>
      <c r="AC7" s="87"/>
      <c r="AD7" s="87"/>
      <c r="AE7" s="87"/>
      <c r="AF7" s="87"/>
      <c r="AI7" s="87"/>
      <c r="AJ7" s="87"/>
      <c r="AK7" s="87"/>
      <c r="AL7" s="13" t="s">
        <v>30</v>
      </c>
      <c r="AM7" s="27" t="s">
        <v>33</v>
      </c>
      <c r="AN7" s="30">
        <f t="shared" si="0"/>
        <v>1</v>
      </c>
      <c r="AO7" s="87" t="str">
        <f t="shared" si="2"/>
        <v>N-1 SAIDI 1</v>
      </c>
      <c r="AP7" s="14">
        <f t="shared" si="1"/>
        <v>1075.3498609663454</v>
      </c>
      <c r="AQ7" s="14">
        <f>NPV('Cost Assumptions'!$B$3,'Alberhill System Project'!C21:AE21)</f>
        <v>62.296401185657849</v>
      </c>
    </row>
    <row r="8" spans="1:43" ht="21" x14ac:dyDescent="0.35">
      <c r="A8" s="21">
        <v>8</v>
      </c>
      <c r="B8" s="47" t="s">
        <v>15</v>
      </c>
      <c r="C8" s="29">
        <v>290</v>
      </c>
      <c r="D8" s="29">
        <v>328</v>
      </c>
      <c r="E8" s="87"/>
      <c r="F8" s="87"/>
      <c r="G8" s="86"/>
      <c r="H8" s="86"/>
      <c r="I8" s="86"/>
      <c r="J8" s="86"/>
      <c r="K8" s="86"/>
      <c r="L8" s="86"/>
      <c r="M8" s="87"/>
      <c r="N8" s="87"/>
      <c r="O8" s="87"/>
      <c r="P8" s="87"/>
      <c r="Q8" s="87"/>
      <c r="R8" s="87"/>
      <c r="S8" s="87"/>
      <c r="T8" s="87"/>
      <c r="AC8" s="87"/>
      <c r="AD8" s="87"/>
      <c r="AE8" s="87"/>
      <c r="AF8" s="87"/>
      <c r="AI8" s="87"/>
      <c r="AJ8" s="87"/>
      <c r="AK8" s="87"/>
      <c r="AL8" s="13" t="s">
        <v>30</v>
      </c>
      <c r="AM8" s="27" t="s">
        <v>34</v>
      </c>
      <c r="AN8" s="30">
        <f t="shared" si="0"/>
        <v>1</v>
      </c>
      <c r="AO8" s="87" t="str">
        <f t="shared" si="2"/>
        <v>N-1 SAIFI 1</v>
      </c>
      <c r="AP8" s="14">
        <f t="shared" si="1"/>
        <v>6.6926342067270896</v>
      </c>
      <c r="AQ8" s="14">
        <f>NPV('Cost Assumptions'!$B$3,'Alberhill System Project'!C22:AE22)</f>
        <v>1.8155857147543508</v>
      </c>
    </row>
    <row r="9" spans="1:43" ht="15" customHeight="1" x14ac:dyDescent="0.35">
      <c r="A9" s="117">
        <v>7</v>
      </c>
      <c r="B9" s="71" t="s">
        <v>17</v>
      </c>
      <c r="C9" s="29">
        <v>315</v>
      </c>
      <c r="D9" s="29">
        <v>358</v>
      </c>
      <c r="E9" s="87"/>
      <c r="F9" s="87"/>
      <c r="G9" s="86"/>
      <c r="H9" s="86"/>
      <c r="I9" s="86"/>
      <c r="J9" s="86"/>
      <c r="K9" s="86"/>
      <c r="L9" s="86"/>
      <c r="M9" s="87"/>
      <c r="N9" s="87"/>
      <c r="O9" s="87"/>
      <c r="P9" s="87"/>
      <c r="Q9" s="87"/>
      <c r="R9" s="87"/>
      <c r="S9" s="87"/>
      <c r="T9" s="87"/>
      <c r="AC9" s="87"/>
      <c r="AD9" s="87"/>
      <c r="AE9" s="87"/>
      <c r="AF9" s="87"/>
      <c r="AI9" s="87"/>
      <c r="AJ9" s="87"/>
      <c r="AK9" s="87"/>
      <c r="AL9" s="13" t="s">
        <v>30</v>
      </c>
      <c r="AM9" s="27" t="s">
        <v>35</v>
      </c>
      <c r="AN9" s="30">
        <f t="shared" si="0"/>
        <v>1</v>
      </c>
      <c r="AO9" s="87" t="str">
        <f t="shared" si="2"/>
        <v>N-1 PFD 1</v>
      </c>
      <c r="AP9" s="14">
        <f t="shared" si="1"/>
        <v>678.78350621418087</v>
      </c>
      <c r="AQ9" s="14">
        <f>NPV('Cost Assumptions'!$B$3,'Alberhill System Project'!C23:AE23)</f>
        <v>24.859989782847801</v>
      </c>
    </row>
    <row r="10" spans="1:43" ht="47.5" customHeight="1" x14ac:dyDescent="0.35">
      <c r="A10" s="117">
        <v>11</v>
      </c>
      <c r="B10" s="71" t="s">
        <v>19</v>
      </c>
      <c r="C10" s="29">
        <v>400</v>
      </c>
      <c r="D10" s="29">
        <v>951</v>
      </c>
      <c r="E10" s="87"/>
      <c r="F10" s="87"/>
      <c r="G10" s="86"/>
      <c r="H10" s="86"/>
      <c r="I10" s="86"/>
      <c r="J10" s="86"/>
      <c r="K10" s="86"/>
      <c r="L10" s="86"/>
      <c r="M10" s="87"/>
      <c r="N10" s="87"/>
      <c r="O10" s="87"/>
      <c r="P10" s="87"/>
      <c r="Q10" s="87"/>
      <c r="R10" s="87"/>
      <c r="S10" s="87"/>
      <c r="T10" s="87"/>
      <c r="AC10" s="87"/>
      <c r="AD10" s="87"/>
      <c r="AE10" s="87"/>
      <c r="AF10" s="87"/>
      <c r="AI10" s="87"/>
      <c r="AJ10" s="87"/>
      <c r="AK10" s="87"/>
      <c r="AL10" s="13" t="s">
        <v>30</v>
      </c>
      <c r="AM10" s="27" t="s">
        <v>36</v>
      </c>
      <c r="AN10" s="30">
        <f t="shared" si="0"/>
        <v>1</v>
      </c>
      <c r="AO10" s="87" t="str">
        <f t="shared" si="2"/>
        <v>N-1 Available Flex-1 1</v>
      </c>
      <c r="AP10" s="14">
        <f t="shared" si="1"/>
        <v>299240.63749281509</v>
      </c>
      <c r="AQ10" s="14">
        <f>NPV('Cost Assumptions'!$B$3,'Alberhill System Project'!C24:AE24)</f>
        <v>0</v>
      </c>
    </row>
    <row r="11" spans="1:43" x14ac:dyDescent="0.35">
      <c r="A11" s="117">
        <v>2</v>
      </c>
      <c r="B11" s="71" t="s">
        <v>10</v>
      </c>
      <c r="C11" s="29">
        <v>469</v>
      </c>
      <c r="D11" s="29">
        <v>540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AC11" s="87"/>
      <c r="AD11" s="87"/>
      <c r="AE11" s="87"/>
      <c r="AF11" s="87"/>
      <c r="AI11" s="87"/>
      <c r="AJ11" s="87"/>
      <c r="AK11" s="87"/>
      <c r="AL11" s="13" t="s">
        <v>30</v>
      </c>
      <c r="AM11" s="27" t="s">
        <v>37</v>
      </c>
      <c r="AN11" s="30">
        <v>1</v>
      </c>
      <c r="AO11" s="87" t="str">
        <f t="shared" si="2"/>
        <v>N-1 Available Flex-2-1 1</v>
      </c>
      <c r="AP11" s="14">
        <f t="shared" si="1"/>
        <v>1862863.7959071281</v>
      </c>
      <c r="AQ11" s="14">
        <f>NPV('Cost Assumptions'!$B$3,'Alberhill System Project'!C25:AE25)</f>
        <v>122278.15901888678</v>
      </c>
    </row>
    <row r="12" spans="1:43" x14ac:dyDescent="0.35">
      <c r="A12" s="117">
        <v>1</v>
      </c>
      <c r="B12" s="71" t="s">
        <v>9</v>
      </c>
      <c r="C12" s="29">
        <v>545</v>
      </c>
      <c r="D12" s="29">
        <v>545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AC12" s="87"/>
      <c r="AD12" s="87"/>
      <c r="AE12" s="87"/>
      <c r="AF12" s="87"/>
      <c r="AI12" s="87"/>
      <c r="AJ12" s="87"/>
      <c r="AK12" s="87"/>
      <c r="AL12" s="13" t="s">
        <v>30</v>
      </c>
      <c r="AM12" s="27" t="s">
        <v>38</v>
      </c>
      <c r="AN12" s="30">
        <v>1</v>
      </c>
      <c r="AO12" s="87" t="str">
        <f t="shared" si="2"/>
        <v>N-1 Available Flex-2-2 1</v>
      </c>
      <c r="AP12" s="14">
        <f t="shared" si="1"/>
        <v>971617.27857468429</v>
      </c>
      <c r="AQ12" s="14">
        <f>NPV('Cost Assumptions'!$B$3,'Alberhill System Project'!C26:AE26)</f>
        <v>460.90639043885972</v>
      </c>
    </row>
    <row r="13" spans="1:43" ht="29" x14ac:dyDescent="0.35">
      <c r="A13" s="117">
        <v>12</v>
      </c>
      <c r="B13" s="71" t="s">
        <v>21</v>
      </c>
      <c r="C13" s="29">
        <v>701</v>
      </c>
      <c r="D13" s="29">
        <v>1473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AC13" s="87"/>
      <c r="AD13" s="87"/>
      <c r="AE13" s="87"/>
      <c r="AF13" s="87"/>
      <c r="AI13" s="87"/>
      <c r="AJ13" s="87"/>
      <c r="AK13" s="87"/>
      <c r="AL13" s="13" t="s">
        <v>39</v>
      </c>
      <c r="AM13" s="27" t="s">
        <v>31</v>
      </c>
      <c r="AN13" s="30">
        <v>1</v>
      </c>
      <c r="AO13" s="87" t="str">
        <f t="shared" si="2"/>
        <v>N-0 EENS 1</v>
      </c>
      <c r="AP13" s="14">
        <f t="shared" si="1"/>
        <v>21149.447635854573</v>
      </c>
      <c r="AQ13" s="14">
        <f>NPV('Cost Assumptions'!$B$3,'Alberhill System Project'!C27:AE27)</f>
        <v>34.359962604727066</v>
      </c>
    </row>
    <row r="14" spans="1:43" ht="46.5" x14ac:dyDescent="0.35">
      <c r="A14" s="21">
        <v>10</v>
      </c>
      <c r="B14" s="47" t="s">
        <v>20</v>
      </c>
      <c r="C14" s="29">
        <v>726</v>
      </c>
      <c r="D14" s="29">
        <v>2582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AC14" s="87"/>
      <c r="AD14" s="87"/>
      <c r="AE14" s="87"/>
      <c r="AF14" s="87"/>
      <c r="AI14" s="87"/>
      <c r="AJ14" s="87"/>
      <c r="AK14" s="87"/>
      <c r="AL14" s="13" t="s">
        <v>39</v>
      </c>
      <c r="AM14" s="27" t="s">
        <v>32</v>
      </c>
      <c r="AN14" s="30">
        <f>$C$22</f>
        <v>1</v>
      </c>
      <c r="AO14" s="87" t="str">
        <f t="shared" si="2"/>
        <v>N-0 IP 1</v>
      </c>
      <c r="AP14" s="14">
        <f t="shared" si="1"/>
        <v>1327.9867985547344</v>
      </c>
      <c r="AQ14" s="14">
        <f>NPV('Cost Assumptions'!$B$3,'Alberhill System Project'!C28:AE28)</f>
        <v>7.7155840570964163</v>
      </c>
    </row>
    <row r="15" spans="1:43" ht="30" customHeight="1" x14ac:dyDescent="0.35">
      <c r="A15" s="117">
        <v>9</v>
      </c>
      <c r="B15" s="71" t="s">
        <v>18</v>
      </c>
      <c r="C15" s="29">
        <v>806</v>
      </c>
      <c r="D15" s="29">
        <v>951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AC15" s="87"/>
      <c r="AD15" s="87"/>
      <c r="AE15" s="87"/>
      <c r="AF15" s="87"/>
      <c r="AI15" s="87"/>
      <c r="AJ15" s="87"/>
      <c r="AK15" s="87"/>
      <c r="AL15" s="13" t="s">
        <v>39</v>
      </c>
      <c r="AM15" s="27" t="s">
        <v>33</v>
      </c>
      <c r="AN15" s="30">
        <f>$C$22</f>
        <v>1</v>
      </c>
      <c r="AO15" s="87" t="str">
        <f t="shared" si="2"/>
        <v>N-0 SAIDI 1</v>
      </c>
      <c r="AP15" s="14">
        <f t="shared" si="1"/>
        <v>1755.4513200191459</v>
      </c>
      <c r="AQ15" s="14">
        <f>NPV('Cost Assumptions'!$B$3,'Alberhill System Project'!C29:AE29)</f>
        <v>1.3611201293971347</v>
      </c>
    </row>
    <row r="16" spans="1:43" ht="31" x14ac:dyDescent="0.35">
      <c r="A16" s="21">
        <v>5</v>
      </c>
      <c r="B16" s="47" t="s">
        <v>16</v>
      </c>
      <c r="C16" s="29">
        <v>829</v>
      </c>
      <c r="D16" s="29">
        <v>2156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AC16" s="87"/>
      <c r="AD16" s="87"/>
      <c r="AE16" s="87"/>
      <c r="AF16" s="87"/>
      <c r="AI16" s="87"/>
      <c r="AJ16" s="87"/>
      <c r="AK16" s="87"/>
      <c r="AL16" s="13" t="s">
        <v>39</v>
      </c>
      <c r="AM16" s="27" t="s">
        <v>34</v>
      </c>
      <c r="AN16" s="30">
        <f>$C$22</f>
        <v>1</v>
      </c>
      <c r="AO16" s="87" t="str">
        <f t="shared" si="2"/>
        <v>N-0 SAIFI 1</v>
      </c>
      <c r="AP16" s="14">
        <f t="shared" si="1"/>
        <v>22.426163662453945</v>
      </c>
      <c r="AQ16" s="14">
        <f>NPV('Cost Assumptions'!$B$3,'Alberhill System Project'!C30:AE30)</f>
        <v>0.11909952242456474</v>
      </c>
    </row>
    <row r="17" spans="1:43" x14ac:dyDescent="0.35">
      <c r="A17" s="117">
        <v>4</v>
      </c>
      <c r="B17" s="71" t="s">
        <v>14</v>
      </c>
      <c r="C17" s="29">
        <v>923</v>
      </c>
      <c r="D17" s="29">
        <v>2363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AC17" s="87"/>
      <c r="AD17" s="87"/>
      <c r="AE17" s="87"/>
      <c r="AF17" s="87"/>
      <c r="AI17" s="87"/>
      <c r="AJ17" s="87"/>
      <c r="AK17" s="87"/>
      <c r="AL17" s="13" t="s">
        <v>39</v>
      </c>
      <c r="AM17" s="27" t="s">
        <v>35</v>
      </c>
      <c r="AN17" s="119">
        <f>$C$22</f>
        <v>1</v>
      </c>
      <c r="AO17" s="31" t="str">
        <f t="shared" si="2"/>
        <v>N-0 PFD 1</v>
      </c>
      <c r="AP17" s="32">
        <f t="shared" si="1"/>
        <v>278.54049239471641</v>
      </c>
      <c r="AQ17" s="14">
        <f>NPV('Cost Assumptions'!$B$3,'Alberhill System Project'!C31:AE31)</f>
        <v>5.832769914687522</v>
      </c>
    </row>
    <row r="18" spans="1:43" x14ac:dyDescent="0.35">
      <c r="A18" s="102"/>
      <c r="B18" s="102"/>
      <c r="C18" s="52"/>
      <c r="D18" s="52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AC18" s="102"/>
      <c r="AD18" s="87"/>
      <c r="AE18" s="87"/>
      <c r="AF18" s="87"/>
      <c r="AI18" s="87"/>
      <c r="AJ18" s="87"/>
      <c r="AK18" s="87"/>
      <c r="AL18" s="13" t="s">
        <v>30</v>
      </c>
      <c r="AM18" s="27" t="s">
        <v>31</v>
      </c>
      <c r="AN18" s="33">
        <f t="shared" ref="AN18:AN24" si="3">$D$22</f>
        <v>2</v>
      </c>
      <c r="AO18" s="34" t="str">
        <f t="shared" si="2"/>
        <v>N-1 EENS 2</v>
      </c>
      <c r="AP18" s="35">
        <f t="shared" ref="AP18:AP30" si="4">D23</f>
        <v>9597.8794591511742</v>
      </c>
      <c r="AQ18" s="35">
        <f>NPV('Cost Assumptions'!$B$3,'SDG&amp;E'!C19:AE19)</f>
        <v>55.713971012832943</v>
      </c>
    </row>
    <row r="19" spans="1:43" x14ac:dyDescent="0.35">
      <c r="A19" s="102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AC19" s="87"/>
      <c r="AD19" s="87"/>
      <c r="AE19" s="87"/>
      <c r="AF19" s="87"/>
      <c r="AI19" s="87"/>
      <c r="AJ19" s="87"/>
      <c r="AK19" s="87"/>
      <c r="AL19" s="13" t="s">
        <v>30</v>
      </c>
      <c r="AM19" s="27" t="s">
        <v>32</v>
      </c>
      <c r="AN19" s="30">
        <f t="shared" si="3"/>
        <v>2</v>
      </c>
      <c r="AO19" s="87" t="str">
        <f t="shared" si="2"/>
        <v>N-1 IP 2</v>
      </c>
      <c r="AP19" s="14">
        <f t="shared" si="4"/>
        <v>259.47670267923786</v>
      </c>
      <c r="AQ19" s="35">
        <f>NPV('Cost Assumptions'!$B$3,'SDG&amp;E'!C20:AE20)</f>
        <v>6.4635279313322611</v>
      </c>
    </row>
    <row r="20" spans="1:43" ht="19.5" x14ac:dyDescent="0.45">
      <c r="A20" s="130" t="s">
        <v>40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87"/>
      <c r="Q20" s="87"/>
      <c r="R20" s="87"/>
      <c r="S20" s="87"/>
      <c r="T20" s="87"/>
      <c r="AC20" s="87"/>
      <c r="AD20" s="87"/>
      <c r="AE20" s="87"/>
      <c r="AF20" s="87"/>
      <c r="AI20" s="87"/>
      <c r="AJ20" s="87"/>
      <c r="AK20" s="87"/>
      <c r="AL20" s="13" t="s">
        <v>30</v>
      </c>
      <c r="AM20" s="27" t="s">
        <v>33</v>
      </c>
      <c r="AN20" s="30">
        <f t="shared" si="3"/>
        <v>2</v>
      </c>
      <c r="AO20" s="87" t="str">
        <f t="shared" si="2"/>
        <v>N-1 SAIDI 2</v>
      </c>
      <c r="AP20" s="14">
        <f t="shared" si="4"/>
        <v>1136.4403620978255</v>
      </c>
      <c r="AQ20" s="35">
        <f>NPV('Cost Assumptions'!$B$3,'SDG&amp;E'!C21:AE21)</f>
        <v>1.2059000541779745</v>
      </c>
    </row>
    <row r="21" spans="1:43" ht="87" x14ac:dyDescent="0.35">
      <c r="A21" s="131"/>
      <c r="B21" s="131"/>
      <c r="C21" s="89" t="s">
        <v>9</v>
      </c>
      <c r="D21" s="89" t="s">
        <v>10</v>
      </c>
      <c r="E21" s="89" t="s">
        <v>12</v>
      </c>
      <c r="F21" s="89" t="s">
        <v>14</v>
      </c>
      <c r="G21" s="89" t="s">
        <v>16</v>
      </c>
      <c r="H21" s="89" t="s">
        <v>13</v>
      </c>
      <c r="I21" s="89" t="s">
        <v>17</v>
      </c>
      <c r="J21" s="89" t="s">
        <v>15</v>
      </c>
      <c r="K21" s="89" t="s">
        <v>18</v>
      </c>
      <c r="L21" s="89" t="s">
        <v>20</v>
      </c>
      <c r="M21" s="89" t="s">
        <v>19</v>
      </c>
      <c r="N21" s="89" t="s">
        <v>21</v>
      </c>
      <c r="O21" s="89" t="s">
        <v>11</v>
      </c>
      <c r="P21" s="87"/>
      <c r="Q21" s="87"/>
      <c r="R21" s="87"/>
      <c r="S21" s="87"/>
      <c r="T21" s="87"/>
      <c r="AC21" s="87"/>
      <c r="AD21" s="87"/>
      <c r="AE21" s="87"/>
      <c r="AF21" s="87"/>
      <c r="AI21" s="87"/>
      <c r="AJ21" s="87"/>
      <c r="AK21" s="87"/>
      <c r="AL21" s="13" t="s">
        <v>30</v>
      </c>
      <c r="AM21" s="27" t="s">
        <v>34</v>
      </c>
      <c r="AN21" s="30">
        <f t="shared" si="3"/>
        <v>2</v>
      </c>
      <c r="AO21" s="87" t="str">
        <f t="shared" ref="AO21" si="5">CONCATENATE(AL21," ",AM21," ",AN21)</f>
        <v>N-1 SAIFI 2</v>
      </c>
      <c r="AP21" s="14">
        <f t="shared" si="4"/>
        <v>8.4507622162110678</v>
      </c>
      <c r="AQ21" s="35">
        <f>NPV('Cost Assumptions'!$B$3,'SDG&amp;E'!C22:AE22)</f>
        <v>5.745770527037105E-2</v>
      </c>
    </row>
    <row r="22" spans="1:43" x14ac:dyDescent="0.35">
      <c r="A22" s="142" t="s">
        <v>27</v>
      </c>
      <c r="B22" s="142"/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>
        <v>6</v>
      </c>
      <c r="I22" s="118">
        <v>7</v>
      </c>
      <c r="J22" s="118">
        <v>8</v>
      </c>
      <c r="K22" s="118">
        <v>9</v>
      </c>
      <c r="L22" s="118">
        <v>10</v>
      </c>
      <c r="M22" s="118">
        <v>11</v>
      </c>
      <c r="N22" s="118">
        <v>12</v>
      </c>
      <c r="O22" s="118">
        <v>13</v>
      </c>
      <c r="P22" s="87"/>
      <c r="Q22" s="87"/>
      <c r="R22" s="87"/>
      <c r="S22" s="87"/>
      <c r="T22" s="87"/>
      <c r="AC22" s="87"/>
      <c r="AD22" s="87"/>
      <c r="AE22" s="87"/>
      <c r="AF22" s="87"/>
      <c r="AI22" s="87"/>
      <c r="AJ22" s="87"/>
      <c r="AK22" s="87"/>
      <c r="AL22" s="13" t="s">
        <v>30</v>
      </c>
      <c r="AM22" s="27" t="s">
        <v>35</v>
      </c>
      <c r="AN22" s="30">
        <f t="shared" si="3"/>
        <v>2</v>
      </c>
      <c r="AO22" s="87" t="str">
        <f t="shared" si="2"/>
        <v>N-1 PFD 2</v>
      </c>
      <c r="AP22" s="14">
        <f t="shared" si="4"/>
        <v>700.55166188324927</v>
      </c>
      <c r="AQ22" s="35">
        <f>NPV('Cost Assumptions'!$B$3,'SDG&amp;E'!C23:AE23)</f>
        <v>3.091834113779242</v>
      </c>
    </row>
    <row r="23" spans="1:43" x14ac:dyDescent="0.35">
      <c r="A23" s="13" t="s">
        <v>30</v>
      </c>
      <c r="B23" s="27" t="s">
        <v>31</v>
      </c>
      <c r="C23" s="26">
        <f>'Alberhill System Project'!$B44</f>
        <v>8935.2425304513599</v>
      </c>
      <c r="D23" s="26">
        <f>'SDG&amp;E'!$B44</f>
        <v>9597.8794591511742</v>
      </c>
      <c r="E23" s="26">
        <f>'Valley S to Valley N to Vista'!$B45</f>
        <v>1471.0441040403673</v>
      </c>
      <c r="F23" s="26">
        <f>'Centralized BESS in Valley S'!$B44</f>
        <v>9646.2651157043183</v>
      </c>
      <c r="G23" s="26">
        <f>'MiraLoma &amp; Centralized BESS VS'!$B44</f>
        <v>8472.3643209853726</v>
      </c>
      <c r="H23" s="26">
        <f>'VS to VN &amp; Distributed BESS VS'!$B45</f>
        <v>2641.0478715307408</v>
      </c>
      <c r="I23" s="26">
        <f>Menifee!$B44</f>
        <v>1889.9754445262672</v>
      </c>
      <c r="J23" s="26">
        <f>'Mira Loma'!$B44</f>
        <v>2643.0908301488644</v>
      </c>
      <c r="K23" s="26">
        <f>'SCE Orange County'!$B44</f>
        <v>7597.9801430160442</v>
      </c>
      <c r="L23" s="26">
        <f>'VS to VN &amp; Central BESS VS VN '!$B45</f>
        <v>3417.8021254828423</v>
      </c>
      <c r="M23" s="26">
        <f>'VS to VN to VST &amp; Cen BESS VS'!$B45</f>
        <v>3417.8021254828423</v>
      </c>
      <c r="N23" s="26">
        <f>'SDG&amp;E and Central BESS in VS'!$B44</f>
        <v>9653.5934301640063</v>
      </c>
      <c r="O23" s="26">
        <f>'Valley South to Valley North'!$B45</f>
        <v>1471.0441040403673</v>
      </c>
      <c r="P23" s="87"/>
      <c r="Q23" s="87"/>
      <c r="R23" s="87"/>
      <c r="S23" s="87"/>
      <c r="T23" s="87"/>
      <c r="AC23" s="87"/>
      <c r="AD23" s="87"/>
      <c r="AE23" s="87"/>
      <c r="AF23" s="87"/>
      <c r="AI23" s="87"/>
      <c r="AJ23" s="87"/>
      <c r="AK23" s="87"/>
      <c r="AL23" s="13" t="s">
        <v>30</v>
      </c>
      <c r="AM23" s="27" t="s">
        <v>36</v>
      </c>
      <c r="AN23" s="30">
        <f t="shared" si="3"/>
        <v>2</v>
      </c>
      <c r="AO23" s="87" t="str">
        <f t="shared" si="2"/>
        <v>N-1 Available Flex-1 2</v>
      </c>
      <c r="AP23" s="14">
        <f t="shared" si="4"/>
        <v>122295.4801731482</v>
      </c>
      <c r="AQ23" s="35">
        <f>NPV('Cost Assumptions'!$B$3,'SDG&amp;E'!C24:AE24)</f>
        <v>176945.15731966685</v>
      </c>
    </row>
    <row r="24" spans="1:43" x14ac:dyDescent="0.35">
      <c r="A24" s="13" t="s">
        <v>30</v>
      </c>
      <c r="B24" s="27" t="s">
        <v>32</v>
      </c>
      <c r="C24" s="26">
        <f>'Alberhill System Project'!$B45</f>
        <v>207.8797808394645</v>
      </c>
      <c r="D24" s="26">
        <f>'SDG&amp;E'!$B45</f>
        <v>259.47670267923786</v>
      </c>
      <c r="E24" s="26">
        <f>'Valley S to Valley N to Vista'!$B46</f>
        <v>-32.718999124342567</v>
      </c>
      <c r="F24" s="26">
        <f>'Centralized BESS in Valley S'!$B45</f>
        <v>264.20332491070894</v>
      </c>
      <c r="G24" s="26">
        <f>'MiraLoma &amp; Centralized BESS VS'!$B45</f>
        <v>133.69765239907571</v>
      </c>
      <c r="H24" s="26">
        <f>'VS to VN &amp; Distributed BESS VS'!$B46</f>
        <v>-52.499179029326328</v>
      </c>
      <c r="I24" s="26">
        <f>Menifee!$B45</f>
        <v>-46.173427089324001</v>
      </c>
      <c r="J24" s="26">
        <f>'Mira Loma'!$B45</f>
        <v>27.852347456357673</v>
      </c>
      <c r="K24" s="26">
        <f>'SCE Orange County'!$B45</f>
        <v>144.91436759345351</v>
      </c>
      <c r="L24" s="26">
        <f>'VS to VN &amp; Central BESS VS VN '!$B46</f>
        <v>-54.568047943553999</v>
      </c>
      <c r="M24" s="26">
        <f>'VS to VN to VST &amp; Cen BESS VS'!$B46</f>
        <v>-54.568047943553999</v>
      </c>
      <c r="N24" s="26">
        <f>'SDG&amp;E and Central BESS in VS'!$B45</f>
        <v>265.9402306105701</v>
      </c>
      <c r="O24" s="26">
        <f>'Valley South to Valley North'!$B46</f>
        <v>-32.718999124342567</v>
      </c>
      <c r="P24" s="87"/>
      <c r="Q24" s="87"/>
      <c r="R24" s="87"/>
      <c r="S24" s="87"/>
      <c r="T24" s="87"/>
      <c r="AC24" s="87"/>
      <c r="AD24" s="87"/>
      <c r="AE24" s="87"/>
      <c r="AF24" s="87"/>
      <c r="AI24" s="87"/>
      <c r="AJ24" s="87"/>
      <c r="AK24" s="87"/>
      <c r="AL24" s="13" t="s">
        <v>30</v>
      </c>
      <c r="AM24" s="27" t="s">
        <v>37</v>
      </c>
      <c r="AN24" s="30">
        <f t="shared" si="3"/>
        <v>2</v>
      </c>
      <c r="AO24" s="87" t="str">
        <f t="shared" si="2"/>
        <v>N-1 Available Flex-2-1 2</v>
      </c>
      <c r="AP24" s="14">
        <f t="shared" si="4"/>
        <v>1302863.5903623584</v>
      </c>
      <c r="AQ24" s="35">
        <f>NPV('Cost Assumptions'!$B$3,'SDG&amp;E'!C25:AE25)</f>
        <v>682278.3645636572</v>
      </c>
    </row>
    <row r="25" spans="1:43" x14ac:dyDescent="0.35">
      <c r="A25" s="13" t="s">
        <v>30</v>
      </c>
      <c r="B25" s="27" t="s">
        <v>33</v>
      </c>
      <c r="C25" s="26">
        <f>'Alberhill System Project'!$B46</f>
        <v>1075.3498609663454</v>
      </c>
      <c r="D25" s="26">
        <f>'SDG&amp;E'!$B46</f>
        <v>1136.4403620978255</v>
      </c>
      <c r="E25" s="26">
        <f>'Valley S to Valley N to Vista'!$B47</f>
        <v>374.13028185809554</v>
      </c>
      <c r="F25" s="26">
        <f>'Centralized BESS in Valley S'!$B46</f>
        <v>1137.4733235619183</v>
      </c>
      <c r="G25" s="26">
        <f>'MiraLoma &amp; Centralized BESS VS'!$B46</f>
        <v>1082.0563138734988</v>
      </c>
      <c r="H25" s="26">
        <f>'VS to VN &amp; Distributed BESS VS'!$B47</f>
        <v>486.02274251545867</v>
      </c>
      <c r="I25" s="26">
        <f>Menifee!$B46</f>
        <v>606.48008061195833</v>
      </c>
      <c r="J25" s="26">
        <f>'Mira Loma'!$B46</f>
        <v>623.60152467254932</v>
      </c>
      <c r="K25" s="26">
        <f>'SCE Orange County'!$B46</f>
        <v>1059.0132832767624</v>
      </c>
      <c r="L25" s="26">
        <f>'VS to VN &amp; Central BESS VS VN '!$B47</f>
        <v>635.01807900041479</v>
      </c>
      <c r="M25" s="26">
        <f>'VS to VN to VST &amp; Cen BESS VS'!$B47</f>
        <v>635.01807900041479</v>
      </c>
      <c r="N25" s="26">
        <f>'SDG&amp;E and Central BESS in VS'!$B46</f>
        <v>1137.6462621520034</v>
      </c>
      <c r="O25" s="26">
        <f>'Valley South to Valley North'!$B47</f>
        <v>374.13028185809554</v>
      </c>
      <c r="P25" s="87"/>
      <c r="Q25" s="87"/>
      <c r="R25" s="87"/>
      <c r="S25" s="87"/>
      <c r="T25" s="87"/>
      <c r="AC25" s="87"/>
      <c r="AD25" s="87"/>
      <c r="AE25" s="87"/>
      <c r="AF25" s="87"/>
      <c r="AI25" s="87"/>
      <c r="AJ25" s="87"/>
      <c r="AK25" s="87"/>
      <c r="AL25" s="13" t="s">
        <v>30</v>
      </c>
      <c r="AM25" s="27" t="s">
        <v>38</v>
      </c>
      <c r="AN25" s="30">
        <v>2</v>
      </c>
      <c r="AO25" s="87" t="str">
        <f t="shared" si="2"/>
        <v>N-1 Available Flex-2-2 2</v>
      </c>
      <c r="AP25" s="14">
        <f t="shared" si="4"/>
        <v>691817.79359944235</v>
      </c>
      <c r="AQ25" s="35">
        <f>NPV('Cost Assumptions'!$B$3,'SDG&amp;E'!C26:AE26)</f>
        <v>280260.39136568049</v>
      </c>
    </row>
    <row r="26" spans="1:43" x14ac:dyDescent="0.35">
      <c r="A26" s="13" t="s">
        <v>30</v>
      </c>
      <c r="B26" s="27" t="s">
        <v>34</v>
      </c>
      <c r="C26" s="26">
        <f>'Alberhill System Project'!$B47</f>
        <v>6.6926342067270896</v>
      </c>
      <c r="D26" s="26">
        <f>'SDG&amp;E'!$B47</f>
        <v>8.4507622162110678</v>
      </c>
      <c r="E26" s="26">
        <f>'Valley S to Valley N to Vista'!$B48</f>
        <v>0.84873352317780459</v>
      </c>
      <c r="F26" s="26">
        <f>'Centralized BESS in Valley S'!$B47</f>
        <v>8.4905491132627517</v>
      </c>
      <c r="G26" s="26">
        <f>'MiraLoma &amp; Centralized BESS VS'!$B47</f>
        <v>7.2856742417720088</v>
      </c>
      <c r="H26" s="26">
        <f>'VS to VN &amp; Distributed BESS VS'!$B48</f>
        <v>1.9947604361456992</v>
      </c>
      <c r="I26" s="26">
        <f>Menifee!$B47</f>
        <v>2.1361921694577393</v>
      </c>
      <c r="J26" s="26">
        <f>'Mira Loma'!$B47</f>
        <v>1.9532506534080925</v>
      </c>
      <c r="K26" s="26">
        <f>'SCE Orange County'!$B47</f>
        <v>6.1175873656775748</v>
      </c>
      <c r="L26" s="26">
        <f>'VS to VN &amp; Central BESS VS VN '!$B48</f>
        <v>2.6970479248830559</v>
      </c>
      <c r="M26" s="26">
        <f>'VS to VN to VST &amp; Cen BESS VS'!$B48</f>
        <v>2.6970479248830559</v>
      </c>
      <c r="N26" s="26">
        <f>'SDG&amp;E and Central BESS in VS'!$B47</f>
        <v>8.5082199214814409</v>
      </c>
      <c r="O26" s="26">
        <f>'Valley South to Valley North'!$B48</f>
        <v>0.84873352317780459</v>
      </c>
      <c r="P26" s="87"/>
      <c r="Q26" s="87"/>
      <c r="R26" s="87"/>
      <c r="S26" s="87"/>
      <c r="T26" s="87"/>
      <c r="AC26" s="87"/>
      <c r="AD26" s="87"/>
      <c r="AE26" s="87"/>
      <c r="AF26" s="87"/>
      <c r="AI26" s="87"/>
      <c r="AJ26" s="87"/>
      <c r="AK26" s="87"/>
      <c r="AL26" s="13" t="s">
        <v>39</v>
      </c>
      <c r="AM26" s="27" t="s">
        <v>31</v>
      </c>
      <c r="AN26" s="30">
        <f>$D$22</f>
        <v>2</v>
      </c>
      <c r="AO26" s="87" t="str">
        <f t="shared" si="2"/>
        <v>N-0 EENS 2</v>
      </c>
      <c r="AP26" s="14">
        <f t="shared" si="4"/>
        <v>20285.742518879299</v>
      </c>
      <c r="AQ26" s="35">
        <f>NPV('Cost Assumptions'!$B$3,'SDG&amp;E'!C27:AE27)</f>
        <v>898.0650795800027</v>
      </c>
    </row>
    <row r="27" spans="1:43" x14ac:dyDescent="0.35">
      <c r="A27" s="13" t="s">
        <v>30</v>
      </c>
      <c r="B27" s="27" t="s">
        <v>35</v>
      </c>
      <c r="C27" s="26">
        <f>'Alberhill System Project'!$B48</f>
        <v>678.78350621418087</v>
      </c>
      <c r="D27" s="26">
        <f>'SDG&amp;E'!$B48</f>
        <v>700.55166188324927</v>
      </c>
      <c r="E27" s="26">
        <f>'Valley S to Valley N to Vista'!$B49</f>
        <v>364.99053013132732</v>
      </c>
      <c r="F27" s="26">
        <f>'Centralized BESS in Valley S'!$B48</f>
        <v>702.69176684641957</v>
      </c>
      <c r="G27" s="26">
        <f>'MiraLoma &amp; Centralized BESS VS'!$B48</f>
        <v>494.99282613025338</v>
      </c>
      <c r="H27" s="26">
        <f>'VS to VN &amp; Distributed BESS VS'!$B49</f>
        <v>367.86650096991497</v>
      </c>
      <c r="I27" s="26">
        <f>Menifee!$B48</f>
        <v>388.61794932503807</v>
      </c>
      <c r="J27" s="26">
        <f>'Mira Loma'!$B48</f>
        <v>444.53686486608456</v>
      </c>
      <c r="K27" s="26">
        <f>'SCE Orange County'!$B48</f>
        <v>617.15664134823896</v>
      </c>
      <c r="L27" s="26">
        <f>'VS to VN &amp; Central BESS VS VN '!$B49</f>
        <v>387.01710858269144</v>
      </c>
      <c r="M27" s="26">
        <f>'VS to VN to VST &amp; Cen BESS VS'!$B49</f>
        <v>387.01710858269144</v>
      </c>
      <c r="N27" s="26">
        <f>'SDG&amp;E and Central BESS in VS'!$B48</f>
        <v>703.64349599702848</v>
      </c>
      <c r="O27" s="26">
        <f>'Valley South to Valley North'!$B49</f>
        <v>364.99053013132732</v>
      </c>
      <c r="P27" s="87"/>
      <c r="Q27" s="87"/>
      <c r="R27" s="87"/>
      <c r="S27" s="87"/>
      <c r="T27" s="87"/>
      <c r="AC27" s="87"/>
      <c r="AD27" s="87"/>
      <c r="AE27" s="87"/>
      <c r="AF27" s="87"/>
      <c r="AI27" s="87"/>
      <c r="AJ27" s="87"/>
      <c r="AK27" s="87"/>
      <c r="AL27" s="13" t="s">
        <v>39</v>
      </c>
      <c r="AM27" s="27" t="s">
        <v>32</v>
      </c>
      <c r="AN27" s="30">
        <f>$D$22</f>
        <v>2</v>
      </c>
      <c r="AO27" s="87" t="str">
        <f t="shared" si="2"/>
        <v>N-0 IP 2</v>
      </c>
      <c r="AP27" s="14">
        <f t="shared" si="4"/>
        <v>1180.6908855500169</v>
      </c>
      <c r="AQ27" s="35">
        <f>NPV('Cost Assumptions'!$B$3,'SDG&amp;E'!C28:AE28)</f>
        <v>155.01149706181386</v>
      </c>
    </row>
    <row r="28" spans="1:43" x14ac:dyDescent="0.35">
      <c r="A28" s="13" t="s">
        <v>30</v>
      </c>
      <c r="B28" s="27" t="s">
        <v>36</v>
      </c>
      <c r="C28" s="26">
        <f>'Alberhill System Project'!$B49</f>
        <v>299240.63749281509</v>
      </c>
      <c r="D28" s="26">
        <f>'SDG&amp;E'!$B49</f>
        <v>122295.4801731482</v>
      </c>
      <c r="E28" s="26">
        <f>'Valley S to Valley N to Vista'!$B50</f>
        <v>98755.574285405048</v>
      </c>
      <c r="F28" s="26">
        <f>'Centralized BESS in Valley S'!$B49</f>
        <v>97603.945131461252</v>
      </c>
      <c r="G28" s="26">
        <f>'MiraLoma &amp; Centralized BESS VS'!$B49</f>
        <v>213597.02691485235</v>
      </c>
      <c r="H28" s="26">
        <f>'VS to VN &amp; Distributed BESS VS'!$B50</f>
        <v>108576.83307791257</v>
      </c>
      <c r="I28" s="26">
        <f>Menifee!$B49</f>
        <v>97911.486022436278</v>
      </c>
      <c r="J28" s="26">
        <f>'Mira Loma'!$B49</f>
        <v>143555.87948410417</v>
      </c>
      <c r="K28" s="26">
        <f>'SCE Orange County'!$B49</f>
        <v>252249.93845932517</v>
      </c>
      <c r="L28" s="26">
        <f>'VS to VN &amp; Central BESS VS VN '!$B50</f>
        <v>112489.21834804892</v>
      </c>
      <c r="M28" s="26">
        <f>'VS to VN to VST &amp; Cen BESS VS'!$B50</f>
        <v>112489.21834804892</v>
      </c>
      <c r="N28" s="26">
        <f>'SDG&amp;E and Central BESS in VS'!$B49</f>
        <v>133288.85703131763</v>
      </c>
      <c r="O28" s="26">
        <f>'Valley South to Valley North'!$B50</f>
        <v>98755.574285405048</v>
      </c>
      <c r="P28" s="87"/>
      <c r="Q28" s="87"/>
      <c r="R28" s="9"/>
      <c r="S28" s="87"/>
      <c r="T28" s="87"/>
      <c r="AC28" s="87"/>
      <c r="AD28" s="87"/>
      <c r="AE28" s="87"/>
      <c r="AF28" s="87"/>
      <c r="AI28" s="87"/>
      <c r="AJ28" s="87"/>
      <c r="AK28" s="87"/>
      <c r="AL28" s="13" t="s">
        <v>39</v>
      </c>
      <c r="AM28" s="27" t="s">
        <v>33</v>
      </c>
      <c r="AN28" s="30">
        <f>$D$22</f>
        <v>2</v>
      </c>
      <c r="AO28" s="87" t="str">
        <f t="shared" si="2"/>
        <v>N-0 SAIDI 2</v>
      </c>
      <c r="AP28" s="14">
        <f t="shared" si="4"/>
        <v>1743.4026825424357</v>
      </c>
      <c r="AQ28" s="35">
        <f>NPV('Cost Assumptions'!$B$3,'SDG&amp;E'!C29:AE29)</f>
        <v>13.409757606106925</v>
      </c>
    </row>
    <row r="29" spans="1:43" x14ac:dyDescent="0.35">
      <c r="A29" s="13" t="s">
        <v>30</v>
      </c>
      <c r="B29" s="27" t="s">
        <v>37</v>
      </c>
      <c r="C29" s="26">
        <f>'Alberhill System Project'!$B50</f>
        <v>1862863.7959071281</v>
      </c>
      <c r="D29" s="26">
        <f>'SDG&amp;E'!$B50</f>
        <v>1302863.5903623584</v>
      </c>
      <c r="E29" s="26">
        <f>'Valley S to Valley N to Vista'!$B51</f>
        <v>0</v>
      </c>
      <c r="F29" s="26">
        <f>'Centralized BESS in Valley S'!$B50</f>
        <v>0</v>
      </c>
      <c r="G29" s="26">
        <f>'MiraLoma &amp; Centralized BESS VS'!$B50</f>
        <v>512526.55583863205</v>
      </c>
      <c r="H29" s="26">
        <f>'VS to VN &amp; Distributed BESS VS'!$B51</f>
        <v>0</v>
      </c>
      <c r="I29" s="26">
        <f>Menifee!$B50</f>
        <v>1159523.3929317899</v>
      </c>
      <c r="J29" s="26">
        <f>'Mira Loma'!$B50</f>
        <v>512526.55583863205</v>
      </c>
      <c r="K29" s="26">
        <f>'SCE Orange County'!$B50</f>
        <v>1329505.544063092</v>
      </c>
      <c r="L29" s="26">
        <f>'VS to VN &amp; Central BESS VS VN '!$B51</f>
        <v>0</v>
      </c>
      <c r="M29" s="26">
        <f>'VS to VN to VST &amp; Cen BESS VS'!$B51</f>
        <v>0</v>
      </c>
      <c r="N29" s="26">
        <f>'SDG&amp;E and Central BESS in VS'!$B50</f>
        <v>1302863.5903623584</v>
      </c>
      <c r="O29" s="26">
        <f>'Valley South to Valley North'!$B51</f>
        <v>0</v>
      </c>
      <c r="P29" s="87"/>
      <c r="Q29" s="87"/>
      <c r="R29" s="87"/>
      <c r="S29" s="87"/>
      <c r="T29" s="87"/>
      <c r="AC29" s="87"/>
      <c r="AD29" s="87"/>
      <c r="AE29" s="87"/>
      <c r="AF29" s="87"/>
      <c r="AI29" s="87"/>
      <c r="AJ29" s="87"/>
      <c r="AK29" s="87"/>
      <c r="AL29" s="13" t="s">
        <v>39</v>
      </c>
      <c r="AM29" s="27" t="s">
        <v>34</v>
      </c>
      <c r="AN29" s="30">
        <f>$D$22</f>
        <v>2</v>
      </c>
      <c r="AO29" s="87" t="str">
        <f t="shared" ref="AO29:AO45" si="6">CONCATENATE(AL29," ",AM29," ",AN29)</f>
        <v>N-0 SAIFI 2</v>
      </c>
      <c r="AP29" s="14">
        <f t="shared" si="4"/>
        <v>21.764689876055431</v>
      </c>
      <c r="AQ29" s="35">
        <f>NPV('Cost Assumptions'!$B$3,'SDG&amp;E'!C30:AE30)</f>
        <v>0.78057330882307752</v>
      </c>
    </row>
    <row r="30" spans="1:43" s="80" customFormat="1" x14ac:dyDescent="0.35">
      <c r="A30" s="13" t="s">
        <v>30</v>
      </c>
      <c r="B30" s="27" t="s">
        <v>38</v>
      </c>
      <c r="C30" s="26">
        <f>'Alberhill System Project'!$B51</f>
        <v>971617.27857468429</v>
      </c>
      <c r="D30" s="26">
        <f>'SDG&amp;E'!$B51</f>
        <v>691817.79359944235</v>
      </c>
      <c r="E30" s="26">
        <f>'Valley S to Valley N to Vista'!$B52</f>
        <v>625479.5609838292</v>
      </c>
      <c r="F30" s="26">
        <f>'Centralized BESS in Valley S'!$B51</f>
        <v>20162.120884986078</v>
      </c>
      <c r="G30" s="26">
        <f>'MiraLoma &amp; Centralized BESS VS'!$B51</f>
        <v>587736.11798480409</v>
      </c>
      <c r="H30" s="26">
        <f>'VS to VN &amp; Distributed BESS VS'!$B52</f>
        <v>628140.42847795226</v>
      </c>
      <c r="I30" s="26">
        <f>Menifee!$B51</f>
        <v>625479.5609838292</v>
      </c>
      <c r="J30" s="26">
        <f>'Mira Loma'!$B51</f>
        <v>587117.82529934624</v>
      </c>
      <c r="K30" s="26">
        <f>'SCE Orange County'!$B51</f>
        <v>735410.36547107692</v>
      </c>
      <c r="L30" s="26">
        <f>'VS to VN &amp; Central BESS VS VN '!$B52</f>
        <v>625479.5609838292</v>
      </c>
      <c r="M30" s="26">
        <f>'VS to VN to VST &amp; Cen BESS VS'!$B52</f>
        <v>625479.5609838292</v>
      </c>
      <c r="N30" s="26">
        <f>'SDG&amp;E and Central BESS in VS'!$B51</f>
        <v>691943.58470832056</v>
      </c>
      <c r="O30" s="26">
        <f>'Valley South to Valley North'!$B52</f>
        <v>625479.5609838292</v>
      </c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13" t="s">
        <v>39</v>
      </c>
      <c r="AM30" s="27" t="s">
        <v>35</v>
      </c>
      <c r="AN30" s="119">
        <f>$D$22</f>
        <v>2</v>
      </c>
      <c r="AO30" s="31" t="str">
        <f t="shared" si="6"/>
        <v>N-0 PFD 2</v>
      </c>
      <c r="AP30" s="32">
        <f t="shared" si="4"/>
        <v>265.51359655518644</v>
      </c>
      <c r="AQ30" s="35">
        <f>NPV('Cost Assumptions'!$B$3,'SDG&amp;E'!C31:AE31)</f>
        <v>18.859665754217406</v>
      </c>
    </row>
    <row r="31" spans="1:43" x14ac:dyDescent="0.35">
      <c r="A31" s="13" t="s">
        <v>39</v>
      </c>
      <c r="B31" s="27" t="s">
        <v>31</v>
      </c>
      <c r="C31" s="26">
        <f>'Alberhill System Project'!$B52</f>
        <v>21149.447635854573</v>
      </c>
      <c r="D31" s="26">
        <f>'SDG&amp;E'!$B52</f>
        <v>20285.742518879299</v>
      </c>
      <c r="E31" s="26">
        <f>'Valley S to Valley N to Vista'!$B53</f>
        <v>16261.741440920299</v>
      </c>
      <c r="F31" s="26">
        <f>'Centralized BESS in Valley S'!$B52</f>
        <v>21183.807598459298</v>
      </c>
      <c r="G31" s="26">
        <f>'MiraLoma &amp; Centralized BESS VS'!$B52</f>
        <v>21183.807598459298</v>
      </c>
      <c r="H31" s="26">
        <f>'VS to VN &amp; Distributed BESS VS'!$B53</f>
        <v>10787.943574439434</v>
      </c>
      <c r="I31" s="26">
        <f>Menifee!$B52</f>
        <v>20662.713866833808</v>
      </c>
      <c r="J31" s="26">
        <f>'Mira Loma'!$B52</f>
        <v>14173.304998444155</v>
      </c>
      <c r="K31" s="26">
        <f>'SCE Orange County'!$B52</f>
        <v>20371.84470194019</v>
      </c>
      <c r="L31" s="26">
        <f>'VS to VN &amp; Central BESS VS VN '!$B53</f>
        <v>21183.807598459298</v>
      </c>
      <c r="M31" s="26">
        <f>'VS to VN to VST &amp; Cen BESS VS'!$B53</f>
        <v>16790.581759978526</v>
      </c>
      <c r="N31" s="26">
        <f>'SDG&amp;E and Central BESS in VS'!$B52</f>
        <v>21183.807598459298</v>
      </c>
      <c r="O31" s="26">
        <f>'Valley South to Valley North'!$B53</f>
        <v>10376.920384782799</v>
      </c>
      <c r="P31" s="87"/>
      <c r="Q31" s="87"/>
      <c r="R31" s="87"/>
      <c r="S31" s="87"/>
      <c r="T31" s="87"/>
      <c r="AC31" s="87"/>
      <c r="AD31" s="87"/>
      <c r="AE31" s="87"/>
      <c r="AF31" s="87"/>
      <c r="AI31" s="87"/>
      <c r="AJ31" s="87"/>
      <c r="AK31" s="87"/>
      <c r="AL31" s="13" t="s">
        <v>30</v>
      </c>
      <c r="AM31" s="27" t="s">
        <v>31</v>
      </c>
      <c r="AN31" s="33">
        <f>$E$22</f>
        <v>3</v>
      </c>
      <c r="AO31" s="34" t="str">
        <f t="shared" si="6"/>
        <v>N-1 EENS 3</v>
      </c>
      <c r="AP31" s="35">
        <f>E23</f>
        <v>1471.0441040403673</v>
      </c>
      <c r="AQ31" s="35">
        <f>NPV('Cost Assumptions'!$B$3,'Valley S to Valley N to Vista'!C19:AE19)</f>
        <v>8182.5493261236406</v>
      </c>
    </row>
    <row r="32" spans="1:43" x14ac:dyDescent="0.35">
      <c r="A32" s="13" t="s">
        <v>39</v>
      </c>
      <c r="B32" s="27" t="s">
        <v>32</v>
      </c>
      <c r="C32" s="26">
        <f>'Alberhill System Project'!$B53</f>
        <v>1327.9867985547344</v>
      </c>
      <c r="D32" s="26">
        <f>'SDG&amp;E'!$B53</f>
        <v>1180.6908855500169</v>
      </c>
      <c r="E32" s="26">
        <f>'Valley S to Valley N to Vista'!$B54</f>
        <v>1010.1630645495271</v>
      </c>
      <c r="F32" s="26">
        <f>'Centralized BESS in Valley S'!$B53</f>
        <v>1335.7023826118307</v>
      </c>
      <c r="G32" s="26">
        <f>'MiraLoma &amp; Centralized BESS VS'!$B53</f>
        <v>1335.7023826118307</v>
      </c>
      <c r="H32" s="26">
        <f>'VS to VN &amp; Distributed BESS VS'!$B54</f>
        <v>903.22125952451267</v>
      </c>
      <c r="I32" s="26">
        <f>Menifee!$B53</f>
        <v>1237.8859766189994</v>
      </c>
      <c r="J32" s="26">
        <f>'Mira Loma'!$B53</f>
        <v>727.37959274029367</v>
      </c>
      <c r="K32" s="26">
        <f>'SCE Orange County'!$B53</f>
        <v>1184.7371992045855</v>
      </c>
      <c r="L32" s="26">
        <f>'VS to VN &amp; Central BESS VS VN '!$B54</f>
        <v>1335.7023826118307</v>
      </c>
      <c r="M32" s="26">
        <f>'VS to VN to VST &amp; Cen BESS VS'!$B54</f>
        <v>1114.1124239695716</v>
      </c>
      <c r="N32" s="26">
        <f>'SDG&amp;E and Central BESS in VS'!$B53</f>
        <v>1335.7023826118307</v>
      </c>
      <c r="O32" s="26">
        <f>'Valley South to Valley North'!$B54</f>
        <v>839.48952930342216</v>
      </c>
      <c r="P32" s="87"/>
      <c r="Q32" s="87"/>
      <c r="R32" s="87"/>
      <c r="S32" s="87"/>
      <c r="T32" s="87"/>
      <c r="AC32" s="87"/>
      <c r="AD32" s="87"/>
      <c r="AE32" s="87"/>
      <c r="AF32" s="87"/>
      <c r="AI32" s="87"/>
      <c r="AJ32" s="87"/>
      <c r="AK32" s="87"/>
      <c r="AL32" s="13" t="s">
        <v>30</v>
      </c>
      <c r="AM32" s="27" t="s">
        <v>32</v>
      </c>
      <c r="AN32" s="30">
        <f>$E$22</f>
        <v>3</v>
      </c>
      <c r="AO32" s="87" t="str">
        <f t="shared" si="6"/>
        <v>N-1 IP 3</v>
      </c>
      <c r="AP32" s="14">
        <f>E24</f>
        <v>-32.718999124342567</v>
      </c>
      <c r="AQ32" s="35">
        <f>NPV('Cost Assumptions'!$B$3,'Valley S to Valley N to Vista'!C20:AE20)</f>
        <v>298.65922973491257</v>
      </c>
    </row>
    <row r="33" spans="1:43" x14ac:dyDescent="0.35">
      <c r="A33" s="13" t="s">
        <v>39</v>
      </c>
      <c r="B33" s="27" t="s">
        <v>33</v>
      </c>
      <c r="C33" s="26">
        <f>'Alberhill System Project'!$B54</f>
        <v>1755.4513200191459</v>
      </c>
      <c r="D33" s="26">
        <f>'SDG&amp;E'!$B54</f>
        <v>1743.4026825424357</v>
      </c>
      <c r="E33" s="26">
        <f>'Valley S to Valley N to Vista'!$B55</f>
        <v>1459.1150045389138</v>
      </c>
      <c r="F33" s="26">
        <f>'Centralized BESS in Valley S'!$B54</f>
        <v>1756.8124401485429</v>
      </c>
      <c r="G33" s="26">
        <f>'MiraLoma &amp; Centralized BESS VS'!$B54</f>
        <v>1756.8124401485429</v>
      </c>
      <c r="H33" s="26">
        <f>'VS to VN &amp; Distributed BESS VS'!$B55</f>
        <v>610.69998807766876</v>
      </c>
      <c r="I33" s="26">
        <f>Menifee!$B54</f>
        <v>1743.7602473872785</v>
      </c>
      <c r="J33" s="26">
        <f>'Mira Loma'!$B54</f>
        <v>1505.3441241140122</v>
      </c>
      <c r="K33" s="26">
        <f>'SCE Orange County'!$B54</f>
        <v>1742.050794926779</v>
      </c>
      <c r="L33" s="26">
        <f>'VS to VN &amp; Central BESS VS VN '!$B55</f>
        <v>1756.8124401485429</v>
      </c>
      <c r="M33" s="26">
        <f>'VS to VN to VST &amp; Cen BESS VS'!$B55</f>
        <v>1469.8766828997009</v>
      </c>
      <c r="N33" s="26">
        <f>'SDG&amp;E and Central BESS in VS'!$B54</f>
        <v>1756.8124401485429</v>
      </c>
      <c r="O33" s="26">
        <f>'Valley South to Valley North'!$B55</f>
        <v>601.40713743353786</v>
      </c>
      <c r="P33" s="87"/>
      <c r="Q33" s="87"/>
      <c r="R33" s="87"/>
      <c r="S33" s="87"/>
      <c r="T33" s="87"/>
      <c r="AC33" s="87"/>
      <c r="AD33" s="87"/>
      <c r="AE33" s="87"/>
      <c r="AF33" s="87"/>
      <c r="AI33" s="87"/>
      <c r="AJ33" s="87"/>
      <c r="AK33" s="87"/>
      <c r="AL33" s="13" t="s">
        <v>30</v>
      </c>
      <c r="AM33" s="27" t="s">
        <v>33</v>
      </c>
      <c r="AN33" s="30">
        <f>$E$22</f>
        <v>3</v>
      </c>
      <c r="AO33" s="87" t="str">
        <f t="shared" si="6"/>
        <v>N-1 SAIDI 3</v>
      </c>
      <c r="AP33" s="14">
        <f>E25</f>
        <v>374.13028185809554</v>
      </c>
      <c r="AQ33" s="35">
        <f>NPV('Cost Assumptions'!$B$3,'Valley S to Valley N to Vista'!C21:AE21)</f>
        <v>763.51598029390777</v>
      </c>
    </row>
    <row r="34" spans="1:43" x14ac:dyDescent="0.35">
      <c r="A34" s="13" t="s">
        <v>39</v>
      </c>
      <c r="B34" s="27" t="s">
        <v>34</v>
      </c>
      <c r="C34" s="26">
        <f>'Alberhill System Project'!$B55</f>
        <v>22.426163662453945</v>
      </c>
      <c r="D34" s="26">
        <f>'SDG&amp;E'!$B55</f>
        <v>21.764689876055431</v>
      </c>
      <c r="E34" s="26">
        <f>'Valley S to Valley N to Vista'!$B56</f>
        <v>18.149820486089183</v>
      </c>
      <c r="F34" s="26">
        <f>'Centralized BESS in Valley S'!$B55</f>
        <v>22.545263184878515</v>
      </c>
      <c r="G34" s="26">
        <f>'MiraLoma &amp; Centralized BESS VS'!$B55</f>
        <v>22.545263184878515</v>
      </c>
      <c r="H34" s="26">
        <f>'VS to VN &amp; Distributed BESS VS'!$B56</f>
        <v>10.891997043860341</v>
      </c>
      <c r="I34" s="26">
        <f>Menifee!$B55</f>
        <v>21.970126553600732</v>
      </c>
      <c r="J34" s="26">
        <f>'Mira Loma'!$B55</f>
        <v>16.926229627394275</v>
      </c>
      <c r="K34" s="26">
        <f>'SCE Orange County'!$B55</f>
        <v>21.647586295629861</v>
      </c>
      <c r="L34" s="26">
        <f>'VS to VN &amp; Central BESS VS VN '!$B56</f>
        <v>22.545263184878515</v>
      </c>
      <c r="M34" s="26">
        <f>'VS to VN to VST &amp; Cen BESS VS'!$B56</f>
        <v>18.623225368176019</v>
      </c>
      <c r="N34" s="26">
        <f>'SDG&amp;E and Central BESS in VS'!$B55</f>
        <v>22.545263184878515</v>
      </c>
      <c r="O34" s="26">
        <f>'Valley South to Valley North'!$B56</f>
        <v>10.54314041745735</v>
      </c>
      <c r="P34" s="87"/>
      <c r="Q34" s="87"/>
      <c r="R34" s="87"/>
      <c r="S34" s="87"/>
      <c r="T34" s="87"/>
      <c r="AC34" s="87"/>
      <c r="AD34" s="87"/>
      <c r="AE34" s="87"/>
      <c r="AF34" s="87"/>
      <c r="AI34" s="87"/>
      <c r="AJ34" s="87"/>
      <c r="AK34" s="87"/>
      <c r="AL34" s="13" t="s">
        <v>30</v>
      </c>
      <c r="AM34" s="27" t="s">
        <v>34</v>
      </c>
      <c r="AN34" s="30">
        <f>$E$22</f>
        <v>3</v>
      </c>
      <c r="AO34" s="87" t="str">
        <f t="shared" si="6"/>
        <v>N-1 SAIFI 3</v>
      </c>
      <c r="AP34" s="14">
        <f>E26</f>
        <v>0.84873352317780459</v>
      </c>
      <c r="AQ34" s="35">
        <f>NPV('Cost Assumptions'!$B$3,'Valley S to Valley N to Vista'!C22:AE22)</f>
        <v>7.6594863983036365</v>
      </c>
    </row>
    <row r="35" spans="1:43" ht="14.5" customHeight="1" x14ac:dyDescent="0.35">
      <c r="A35" s="13" t="s">
        <v>39</v>
      </c>
      <c r="B35" s="27" t="s">
        <v>35</v>
      </c>
      <c r="C35" s="26">
        <f>'Alberhill System Project'!$B56</f>
        <v>278.54049239471641</v>
      </c>
      <c r="D35" s="26">
        <f>'SDG&amp;E'!$B56</f>
        <v>265.51359655518644</v>
      </c>
      <c r="E35" s="26">
        <f>'Valley S to Valley N to Vista'!$B57</f>
        <v>199.63309899192024</v>
      </c>
      <c r="F35" s="26">
        <f>'Centralized BESS in Valley S'!$B56</f>
        <v>284.37326230940391</v>
      </c>
      <c r="G35" s="26">
        <f>'MiraLoma &amp; Centralized BESS VS'!$B56</f>
        <v>284.37326230940391</v>
      </c>
      <c r="H35" s="26">
        <f>'VS to VN &amp; Distributed BESS VS'!$B57</f>
        <v>126.52458104801268</v>
      </c>
      <c r="I35" s="26">
        <f>Menifee!$B56</f>
        <v>273.76169619613398</v>
      </c>
      <c r="J35" s="26">
        <f>'Mira Loma'!$B56</f>
        <v>163.26420179960036</v>
      </c>
      <c r="K35" s="26">
        <f>'SCE Orange County'!$B56</f>
        <v>267.11565583115612</v>
      </c>
      <c r="L35" s="26">
        <f>'VS to VN &amp; Central BESS VS VN '!$B57</f>
        <v>284.37326230940391</v>
      </c>
      <c r="M35" s="26">
        <f>'VS to VN to VST &amp; Cen BESS VS'!$B57</f>
        <v>212.76199377212632</v>
      </c>
      <c r="N35" s="26">
        <f>'SDG&amp;E and Central BESS in VS'!$B56</f>
        <v>284.37326230940391</v>
      </c>
      <c r="O35" s="26">
        <f>'Valley South to Valley North'!$B57</f>
        <v>121.85432653609165</v>
      </c>
      <c r="P35" s="87"/>
      <c r="Q35" s="87"/>
      <c r="R35" s="87"/>
      <c r="S35" s="87"/>
      <c r="T35" s="87"/>
      <c r="AC35" s="87"/>
      <c r="AD35" s="87"/>
      <c r="AE35" s="87"/>
      <c r="AF35" s="87"/>
      <c r="AI35" s="87"/>
      <c r="AJ35" s="87"/>
      <c r="AK35" s="87"/>
      <c r="AL35" s="13" t="s">
        <v>30</v>
      </c>
      <c r="AM35" s="27" t="s">
        <v>35</v>
      </c>
      <c r="AN35" s="30">
        <f>$E$22</f>
        <v>3</v>
      </c>
      <c r="AO35" s="87" t="str">
        <f t="shared" si="6"/>
        <v>N-1 PFD 3</v>
      </c>
      <c r="AP35" s="14">
        <f>E27</f>
        <v>364.99053013132732</v>
      </c>
      <c r="AQ35" s="35">
        <f>NPV('Cost Assumptions'!$B$3,'Valley S to Valley N to Vista'!C23:AE23)</f>
        <v>338.65296586570122</v>
      </c>
    </row>
    <row r="36" spans="1:43" s="87" customFormat="1" ht="14.5" customHeight="1" x14ac:dyDescent="0.35">
      <c r="A36" s="92"/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AL36" s="13"/>
      <c r="AM36" s="27"/>
      <c r="AN36" s="30"/>
      <c r="AP36" s="14"/>
      <c r="AQ36" s="35"/>
    </row>
    <row r="37" spans="1:43" s="87" customFormat="1" x14ac:dyDescent="0.35">
      <c r="AL37" s="13"/>
      <c r="AM37" s="27"/>
      <c r="AN37" s="30"/>
      <c r="AP37" s="14"/>
      <c r="AQ37" s="35"/>
    </row>
    <row r="38" spans="1:43" s="87" customFormat="1" x14ac:dyDescent="0.35">
      <c r="A38" s="92"/>
      <c r="B38" s="93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AL38" s="13"/>
      <c r="AM38" s="27"/>
      <c r="AN38" s="30"/>
      <c r="AP38" s="14"/>
      <c r="AQ38" s="35"/>
    </row>
    <row r="39" spans="1:43" x14ac:dyDescent="0.3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AC39" s="87"/>
      <c r="AD39" s="87"/>
      <c r="AE39" s="87"/>
      <c r="AF39" s="87"/>
      <c r="AI39" s="87"/>
      <c r="AJ39" s="87"/>
      <c r="AK39" s="87"/>
      <c r="AL39" s="13" t="s">
        <v>30</v>
      </c>
      <c r="AM39" s="27" t="s">
        <v>36</v>
      </c>
      <c r="AN39" s="30">
        <f t="shared" ref="AN39:AN46" si="7">$E$22</f>
        <v>3</v>
      </c>
      <c r="AO39" s="87" t="str">
        <f t="shared" si="6"/>
        <v>N-1 Available Flex-1 3</v>
      </c>
      <c r="AP39" s="14">
        <f t="shared" ref="AP39:AP46" si="8">E28</f>
        <v>98755.574285405048</v>
      </c>
      <c r="AQ39" s="35">
        <f>NPV('Cost Assumptions'!$B$3,'Valley S to Valley N to Vista'!C24:AE24)</f>
        <v>200485.06320740996</v>
      </c>
    </row>
    <row r="40" spans="1:43" ht="20" hidden="1" thickBot="1" x14ac:dyDescent="0.5">
      <c r="A40" s="145" t="s">
        <v>41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87"/>
      <c r="R40" s="87"/>
      <c r="S40" s="87"/>
      <c r="T40" s="87"/>
      <c r="AC40" s="87"/>
      <c r="AD40" s="87"/>
      <c r="AE40" s="87"/>
      <c r="AF40" s="87"/>
      <c r="AI40" s="87"/>
      <c r="AJ40" s="87"/>
      <c r="AK40" s="87"/>
      <c r="AL40" s="13" t="s">
        <v>30</v>
      </c>
      <c r="AM40" s="27" t="s">
        <v>37</v>
      </c>
      <c r="AN40" s="30">
        <f t="shared" si="7"/>
        <v>3</v>
      </c>
      <c r="AO40" s="87" t="str">
        <f t="shared" si="6"/>
        <v>N-1 Available Flex-2-1 3</v>
      </c>
      <c r="AP40" s="14">
        <f t="shared" si="8"/>
        <v>0</v>
      </c>
      <c r="AQ40" s="35">
        <f>NPV('Cost Assumptions'!$B$3,'Valley S to Valley N to Vista'!C25:AE25)</f>
        <v>1985141.9549260156</v>
      </c>
    </row>
    <row r="41" spans="1:43" ht="17.5" hidden="1" thickTop="1" x14ac:dyDescent="0.4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87"/>
      <c r="R41" s="87"/>
      <c r="S41" s="87"/>
      <c r="T41" s="87"/>
      <c r="AC41" s="87"/>
      <c r="AD41" s="87"/>
      <c r="AE41" s="87"/>
      <c r="AF41" s="87"/>
      <c r="AI41" s="87"/>
      <c r="AJ41" s="87"/>
      <c r="AK41" s="87"/>
      <c r="AL41" s="13" t="s">
        <v>30</v>
      </c>
      <c r="AM41" s="27" t="s">
        <v>38</v>
      </c>
      <c r="AN41" s="30">
        <f t="shared" si="7"/>
        <v>3</v>
      </c>
      <c r="AO41" s="87" t="str">
        <f t="shared" si="6"/>
        <v>N-1 Available Flex-2-2 3</v>
      </c>
      <c r="AP41" s="14">
        <f t="shared" si="8"/>
        <v>625479.5609838292</v>
      </c>
      <c r="AQ41" s="35">
        <f>NPV('Cost Assumptions'!$B$3,'Valley S to Valley N to Vista'!C26:AE26)</f>
        <v>346598.62398129393</v>
      </c>
    </row>
    <row r="42" spans="1:43" hidden="1" x14ac:dyDescent="0.35">
      <c r="A42" s="133" t="str">
        <f>A22</f>
        <v>Category</v>
      </c>
      <c r="B42" s="134"/>
      <c r="C42" s="121">
        <f>A4</f>
        <v>0</v>
      </c>
      <c r="D42" s="121">
        <f>A5</f>
        <v>13</v>
      </c>
      <c r="E42" s="121">
        <f>A6</f>
        <v>6</v>
      </c>
      <c r="F42" s="121">
        <f>A7</f>
        <v>3</v>
      </c>
      <c r="G42" s="121">
        <f>A8</f>
        <v>8</v>
      </c>
      <c r="H42" s="121">
        <f>A9</f>
        <v>7</v>
      </c>
      <c r="I42" s="121">
        <f>A10</f>
        <v>11</v>
      </c>
      <c r="J42" s="121">
        <f>A11</f>
        <v>2</v>
      </c>
      <c r="K42" s="121">
        <f>A12</f>
        <v>1</v>
      </c>
      <c r="L42" s="121">
        <f>A13</f>
        <v>12</v>
      </c>
      <c r="M42" s="121">
        <f>A14</f>
        <v>10</v>
      </c>
      <c r="N42" s="121">
        <f>A15</f>
        <v>9</v>
      </c>
      <c r="O42" s="121">
        <f>A16</f>
        <v>5</v>
      </c>
      <c r="P42" s="121">
        <f>A17</f>
        <v>4</v>
      </c>
      <c r="Q42" s="87"/>
      <c r="R42" s="87"/>
      <c r="S42" s="87"/>
      <c r="T42" s="87"/>
      <c r="AC42" s="87"/>
      <c r="AD42" s="87"/>
      <c r="AE42" s="87"/>
      <c r="AF42" s="87"/>
      <c r="AI42" s="87"/>
      <c r="AJ42" s="87"/>
      <c r="AK42" s="87"/>
      <c r="AL42" s="13" t="s">
        <v>39</v>
      </c>
      <c r="AM42" s="27" t="s">
        <v>31</v>
      </c>
      <c r="AN42" s="30">
        <f t="shared" si="7"/>
        <v>3</v>
      </c>
      <c r="AO42" s="87" t="str">
        <f t="shared" si="6"/>
        <v>N-0 EENS 3</v>
      </c>
      <c r="AP42" s="14">
        <f t="shared" si="8"/>
        <v>16261.741440920299</v>
      </c>
      <c r="AQ42" s="35">
        <f>NPV('Cost Assumptions'!$B$3,'Valley S to Valley N to Vista'!C28:AE28)</f>
        <v>4832.5484223288495</v>
      </c>
    </row>
    <row r="43" spans="1:43" ht="15.65" hidden="1" customHeight="1" thickBot="1" x14ac:dyDescent="0.4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AC43" s="87"/>
      <c r="AD43" s="87"/>
      <c r="AE43" s="87"/>
      <c r="AF43" s="87"/>
      <c r="AI43" s="87"/>
      <c r="AJ43" s="87"/>
      <c r="AK43" s="87"/>
      <c r="AL43" s="13" t="s">
        <v>39</v>
      </c>
      <c r="AM43" s="27" t="s">
        <v>32</v>
      </c>
      <c r="AN43" s="30">
        <f t="shared" si="7"/>
        <v>3</v>
      </c>
      <c r="AO43" s="87" t="str">
        <f t="shared" si="6"/>
        <v>N-0 IP 3</v>
      </c>
      <c r="AP43" s="14">
        <f t="shared" si="8"/>
        <v>1010.1630645495271</v>
      </c>
      <c r="AQ43" s="35">
        <f>NPV('Cost Assumptions'!$B$3,'Valley S to Valley N to Vista'!C29:AE29)</f>
        <v>325.53931806230378</v>
      </c>
    </row>
    <row r="44" spans="1:43" hidden="1" x14ac:dyDescent="0.3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AC44" s="87"/>
      <c r="AD44" s="87"/>
      <c r="AE44" s="87"/>
      <c r="AF44" s="87"/>
      <c r="AI44" s="87"/>
      <c r="AJ44" s="87"/>
      <c r="AK44" s="87"/>
      <c r="AL44" s="13" t="s">
        <v>39</v>
      </c>
      <c r="AM44" s="27" t="s">
        <v>33</v>
      </c>
      <c r="AN44" s="30">
        <f t="shared" si="7"/>
        <v>3</v>
      </c>
      <c r="AO44" s="87" t="str">
        <f t="shared" si="6"/>
        <v>N-0 SAIDI 3</v>
      </c>
      <c r="AP44" s="14">
        <f t="shared" si="8"/>
        <v>1459.1150045389138</v>
      </c>
      <c r="AQ44" s="35">
        <f>NPV('Cost Assumptions'!$B$3,'Valley S to Valley N to Vista'!C30:AE30)</f>
        <v>297.697435609629</v>
      </c>
    </row>
    <row r="45" spans="1:43" ht="19.5" x14ac:dyDescent="0.45">
      <c r="A45" s="132" t="s">
        <v>27</v>
      </c>
      <c r="B45" s="132"/>
      <c r="C45" s="135" t="s">
        <v>42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7"/>
      <c r="U45" s="114"/>
      <c r="V45" s="114"/>
      <c r="W45" s="114"/>
      <c r="X45" s="114"/>
      <c r="Y45" s="114"/>
      <c r="Z45" s="114"/>
      <c r="AA45" s="114"/>
      <c r="AB45" s="114"/>
      <c r="AC45" s="138" t="s">
        <v>43</v>
      </c>
      <c r="AD45" s="87"/>
      <c r="AE45" s="87"/>
      <c r="AF45" s="87"/>
      <c r="AI45" s="87"/>
      <c r="AJ45" s="87"/>
      <c r="AK45" s="87"/>
      <c r="AL45" s="13" t="s">
        <v>39</v>
      </c>
      <c r="AM45" s="27" t="s">
        <v>34</v>
      </c>
      <c r="AN45" s="30">
        <f t="shared" si="7"/>
        <v>3</v>
      </c>
      <c r="AO45" s="87" t="str">
        <f t="shared" si="6"/>
        <v>N-0 SAIFI 3</v>
      </c>
      <c r="AP45" s="14">
        <f t="shared" si="8"/>
        <v>18.149820486089183</v>
      </c>
      <c r="AQ45" s="35">
        <f>NPV('Cost Assumptions'!$B$3,'Valley S to Valley N to Vista'!C31:AE31)</f>
        <v>4.3954426987893251</v>
      </c>
    </row>
    <row r="46" spans="1:43" ht="16.5" customHeight="1" x14ac:dyDescent="0.35">
      <c r="A46" s="132"/>
      <c r="B46" s="132"/>
      <c r="C46" s="129" t="str">
        <f>$C$47&amp;" --&gt; "&amp;$D$47</f>
        <v>0 --&gt; 13</v>
      </c>
      <c r="D46" s="129"/>
      <c r="E46" s="129" t="str">
        <f>$E$47&amp;" --&gt; "&amp;$F$47</f>
        <v>13 --&gt; 6</v>
      </c>
      <c r="F46" s="129"/>
      <c r="G46" s="129" t="str">
        <f>$G$47&amp;" --&gt; "&amp;$H$47</f>
        <v>6 --&gt; 3</v>
      </c>
      <c r="H46" s="129"/>
      <c r="I46" s="129" t="str">
        <f>$I$47&amp;" --&gt; "&amp;$J$47</f>
        <v>6 --&gt; 8</v>
      </c>
      <c r="J46" s="129"/>
      <c r="K46" s="129" t="str">
        <f>$K$47&amp;" --&gt; "&amp;$L$47</f>
        <v>8 --&gt; 7</v>
      </c>
      <c r="L46" s="129"/>
      <c r="M46" s="129" t="str">
        <f>$M$47&amp;" --&gt; "&amp;$N$47</f>
        <v>8 --&gt; 11</v>
      </c>
      <c r="N46" s="129"/>
      <c r="O46" s="129" t="str">
        <f>$O$47&amp;" --&gt; "&amp;$P$47</f>
        <v>8 --&gt; 2</v>
      </c>
      <c r="P46" s="129"/>
      <c r="Q46" s="129" t="str">
        <f>$Q$47&amp;" --&gt; "&amp;$R$47</f>
        <v>8 --&gt; 1</v>
      </c>
      <c r="R46" s="129"/>
      <c r="S46" s="129" t="str">
        <f>$S$47&amp;" --&gt; "&amp;$T$47</f>
        <v>1 --&gt; 12</v>
      </c>
      <c r="T46" s="129"/>
      <c r="U46" s="129" t="str">
        <f>$U$47&amp;" --&gt; "&amp;$V$47</f>
        <v>1 --&gt; 10</v>
      </c>
      <c r="V46" s="129"/>
      <c r="W46" s="129" t="str">
        <f>$W$47&amp;" --&gt; "&amp;$X$47</f>
        <v>1 --&gt; 9</v>
      </c>
      <c r="X46" s="129"/>
      <c r="Y46" s="129" t="str">
        <f>$Y$47&amp;" --&gt; "&amp;$Z$47</f>
        <v>1 --&gt; 5</v>
      </c>
      <c r="Z46" s="129"/>
      <c r="AA46" s="129" t="str">
        <f>$AA$47&amp;" --&gt; "&amp;$AB$47</f>
        <v>1 --&gt; 4</v>
      </c>
      <c r="AB46" s="129"/>
      <c r="AC46" s="139"/>
      <c r="AD46" s="87"/>
      <c r="AE46" s="87"/>
      <c r="AF46" s="87"/>
      <c r="AI46" s="87"/>
      <c r="AJ46" s="87"/>
      <c r="AK46" s="87"/>
      <c r="AL46" s="13" t="s">
        <v>39</v>
      </c>
      <c r="AM46" s="27" t="s">
        <v>35</v>
      </c>
      <c r="AN46" s="119">
        <f t="shared" si="7"/>
        <v>3</v>
      </c>
      <c r="AO46" s="31" t="str">
        <f t="shared" si="2"/>
        <v>N-0 PFD 3</v>
      </c>
      <c r="AP46" s="32">
        <f t="shared" si="8"/>
        <v>199.63309899192024</v>
      </c>
      <c r="AQ46" s="35">
        <f>NPV('Cost Assumptions'!$B$3,'Valley S to Valley N to Vista'!C32:AE32)</f>
        <v>84.740163317483621</v>
      </c>
    </row>
    <row r="47" spans="1:43" ht="15" customHeight="1" x14ac:dyDescent="0.35">
      <c r="A47" s="132"/>
      <c r="B47" s="132"/>
      <c r="C47" s="116">
        <f>$A$4</f>
        <v>0</v>
      </c>
      <c r="D47" s="116">
        <f>$A5</f>
        <v>13</v>
      </c>
      <c r="E47" s="116">
        <f>IF(C61="Y",$D$47,$C$47)</f>
        <v>13</v>
      </c>
      <c r="F47" s="116">
        <f>IF(C61="Y",$A$6,$A$6)</f>
        <v>6</v>
      </c>
      <c r="G47" s="116">
        <f>IF(E61="Y",$F$47,$E$47)</f>
        <v>6</v>
      </c>
      <c r="H47" s="116">
        <f>IF(E61="Y",$A$7,$A$7)</f>
        <v>3</v>
      </c>
      <c r="I47" s="116">
        <f>IF(G61="Y",$H$47,$G$47)</f>
        <v>6</v>
      </c>
      <c r="J47" s="116">
        <f>IF(G61="Y",$A$8,$A$8)</f>
        <v>8</v>
      </c>
      <c r="K47" s="116">
        <f>IF(I61="Y",$J$47,$I$47)</f>
        <v>8</v>
      </c>
      <c r="L47" s="116">
        <f>IF(I61="Y",$A$9,$A$9)</f>
        <v>7</v>
      </c>
      <c r="M47" s="116">
        <f>IF(K61="Y",$L$47,$K$47)</f>
        <v>8</v>
      </c>
      <c r="N47" s="116">
        <f>IF(K61="Y",$A$10,$A$10)</f>
        <v>11</v>
      </c>
      <c r="O47" s="116">
        <f>IF(M61="Y",$N$47,$M$47)</f>
        <v>8</v>
      </c>
      <c r="P47" s="116">
        <f>IF(M61="Y",$A$11,$A$11)</f>
        <v>2</v>
      </c>
      <c r="Q47" s="116">
        <f>IF(O61="Y",$P$47,$O$47)</f>
        <v>8</v>
      </c>
      <c r="R47" s="116">
        <f>IF(O61="Y",$A$12,$A$12)</f>
        <v>1</v>
      </c>
      <c r="S47" s="116">
        <f>IF(Q61="Y",$R$47,$Q$47)</f>
        <v>1</v>
      </c>
      <c r="T47" s="116">
        <f>IF(Q61="Y",$A$13,$A$13)</f>
        <v>12</v>
      </c>
      <c r="U47" s="116">
        <f>IF(S61="Y",$T$47,$S$47)</f>
        <v>1</v>
      </c>
      <c r="V47" s="116">
        <f>IF(S61="Y",$A$14,$A$14)</f>
        <v>10</v>
      </c>
      <c r="W47" s="116">
        <f>IF(U61="Y",$T$47,$S$47)</f>
        <v>1</v>
      </c>
      <c r="X47" s="116">
        <f>IF(U61="Y",$A$15,$A$15)</f>
        <v>9</v>
      </c>
      <c r="Y47" s="116">
        <f>IF(W61="Y",$T$47,$S$47)</f>
        <v>1</v>
      </c>
      <c r="Z47" s="116">
        <f>IF(W61="Y",$A$16,$A$16)</f>
        <v>5</v>
      </c>
      <c r="AA47" s="116">
        <f>IF(Y61="Y",$T$47,$S$47)</f>
        <v>1</v>
      </c>
      <c r="AB47" s="116">
        <f>IF(Y61="Y",$A$17,$A$17)</f>
        <v>4</v>
      </c>
      <c r="AC47" s="140"/>
      <c r="AD47" s="87"/>
      <c r="AE47" s="87"/>
      <c r="AF47" s="87"/>
      <c r="AI47" s="87"/>
      <c r="AJ47" s="87"/>
      <c r="AK47" s="87"/>
      <c r="AL47" s="13" t="s">
        <v>30</v>
      </c>
      <c r="AM47" s="27" t="s">
        <v>31</v>
      </c>
      <c r="AN47" s="33">
        <f t="shared" ref="AN47:AN59" si="9">$F$22</f>
        <v>4</v>
      </c>
      <c r="AO47" s="34" t="str">
        <f t="shared" si="2"/>
        <v>N-1 EENS 4</v>
      </c>
      <c r="AP47" s="35">
        <f t="shared" ref="AP47:AP59" si="10">F23</f>
        <v>9646.2651157043183</v>
      </c>
      <c r="AQ47" s="35">
        <f>NPV('Cost Assumptions'!$B$3,'Centralized BESS in Valley S'!C19:AE19)</f>
        <v>7.3283144596883929</v>
      </c>
    </row>
    <row r="48" spans="1:43" x14ac:dyDescent="0.35">
      <c r="A48" s="96" t="str">
        <f>AL73</f>
        <v>N-1</v>
      </c>
      <c r="B48" s="27" t="str">
        <f>AM73</f>
        <v>EENS</v>
      </c>
      <c r="C48" s="127">
        <f t="shared" ref="C48:C60" si="11">(VLOOKUP(CONCATENATE($A48," ",$B48," ",$D$47),AO:AQ,3,FALSE)-VLOOKUP(CONCATENATE($A48," ",$B48," ",$C$47),AO:AQ,3,FALSE))/(VLOOKUP($D$47,$A$3:$D$17,3,FALSE)-(VLOOKUP($C$47,$A$3:$D$17,3,FALSE)))</f>
        <v>-7.9515897515695446</v>
      </c>
      <c r="D48" s="127"/>
      <c r="E48" s="127">
        <f t="shared" ref="E48:E60" si="12">(VLOOKUP(CONCATENATE($A48," ",$B48," ",$F$47),$AO:$AQ,3,FALSE)-VLOOKUP(CONCATENATE($A48," ",$B48," ",$E$47),$AO:$AQ,3,FALSE))/(VLOOKUP($F$47,$A$3:$D$17,3,FALSE)-(VLOOKUP($E$47,$A$3:$D$17,3,FALSE)))</f>
        <v>-41.785848838941938</v>
      </c>
      <c r="F48" s="127"/>
      <c r="G48" s="127">
        <f t="shared" ref="G48:G60" si="13">(VLOOKUP(CONCATENATE($A48," ",$B48," ",$H$47),$AO:$AQ,3,FALSE)-VLOOKUP(CONCATENATE($A48," ",$B48," ",$G$47),$AO:$AQ,3,FALSE))/(VLOOKUP($H$47,$A$3:$D$17,3,FALSE)-(VLOOKUP($G$47,$A$3:$D$17,3,FALSE)))</f>
        <v>20.526381885796038</v>
      </c>
      <c r="H48" s="127"/>
      <c r="I48" s="127">
        <f t="shared" ref="I48:I60" si="14">(VLOOKUP(CONCATENATE($A48," ",$B48," ",$J$47),$AO:$AQ,3,FALSE)-VLOOKUP(CONCATENATE($A48," ",$B48," ",$I$47),$AO:$AQ,3,FALSE))/(VLOOKUP($J$47,$A$3:$D$17,3,FALSE)-(VLOOKUP($I$47,$A$3:$D$17,3,FALSE)))</f>
        <v>-2.653193010548846E-2</v>
      </c>
      <c r="J48" s="127"/>
      <c r="K48" s="127">
        <f t="shared" ref="K48:K60" si="15">(VLOOKUP(CONCATENATE($A48," ",$B48," ",$L$47),$AO:$AQ,3,FALSE)-VLOOKUP(CONCATENATE($A48," ",$B48," ",$K$47),$AO:$AQ,3,FALSE))/(VLOOKUP($L$47,$A$3:$D$17,3,FALSE)-(VLOOKUP($K$47,$A$3:$D$17,3,FALSE)))</f>
        <v>30.124615424903894</v>
      </c>
      <c r="L48" s="127"/>
      <c r="M48" s="127">
        <f t="shared" ref="M48:M60" si="16">(VLOOKUP(CONCATENATE($A48," ",$B48," ",$N$47),$AO:$AQ,3,FALSE)-VLOOKUP(CONCATENATE($A48," ",$B48," ",$M$47),$AO:$AQ,3,FALSE))/(VLOOKUP($N$47,$A$3:$D$17,3,FALSE)-(VLOOKUP($M$47,$A$3:$D$17,3,FALSE)))</f>
        <v>-7.0428299575816133</v>
      </c>
      <c r="N48" s="127"/>
      <c r="O48" s="127">
        <f t="shared" ref="O48:O60" si="17">(VLOOKUP(CONCATENATE($A48," ",$B48," ",$P$47),$AO:$AQ,3,FALSE)-VLOOKUP(CONCATENATE($A48," ",$B48," ",$O$47),$AO:$AQ,3,FALSE))/(VLOOKUP($P$47,$A$3:$D$17,3,FALSE)-(VLOOKUP($O$47,$A$3:$D$17,3,FALSE)))</f>
        <v>-38.853567759789442</v>
      </c>
      <c r="P48" s="127"/>
      <c r="Q48" s="127">
        <f t="shared" ref="Q48:Q60" si="18">(VLOOKUP(CONCATENATE($A48," ",$B48," ",$R$47),$AO:$AQ,3,FALSE)-VLOOKUP(CONCATENATE($A48," ",$B48," ",$Q$47),$AO:$AQ,3,FALSE))/(VLOOKUP($R$47,$A$3:$D$17,3,FALSE)-(VLOOKUP($Q$47,$A$3:$D$17,3,FALSE)))</f>
        <v>-24.675104707068606</v>
      </c>
      <c r="R48" s="127"/>
      <c r="S48" s="127">
        <f t="shared" ref="S48:S60" si="19">(VLOOKUP(CONCATENATE($A48," ",$B48," ",$T$47),$AO:$AQ,3,FALSE)-VLOOKUP(CONCATENATE($A48," ",$B48," ",$S$47),$AO:$AQ,3,FALSE))/(VLOOKUP($T$47,$A$3:$D$17,3,FALSE)-(VLOOKUP($S$47,$A$3:$D$17,3,FALSE)))</f>
        <v>-4.6048134596964694</v>
      </c>
      <c r="T48" s="127"/>
      <c r="U48" s="127">
        <f t="shared" ref="U48:U60" si="20">(VLOOKUP(CONCATENATE($A48," ",$B48," ",$V$47),$AO:$AQ,3,FALSE)-VLOOKUP(CONCATENATE($A48," ",$B48," ",$U$47),$AO:$AQ,3,FALSE))/(VLOOKUP($V$47,$A$3:$D$17,3,FALSE)-(VLOOKUP($U$47,$A$3:$D$17,3,FALSE)))</f>
        <v>30.483096160047058</v>
      </c>
      <c r="V48" s="127"/>
      <c r="W48" s="127">
        <f t="shared" ref="W48:W60" si="21">(VLOOKUP(CONCATENATE($A48," ",$B48," ",$X$47),$AO:$AQ,3,FALSE)-VLOOKUP(CONCATENATE($A48," ",$B48," ",$W$47),$AO:$AQ,3,FALSE))/(VLOOKUP($X$47,$A$3:$D$17,3,FALSE)-(VLOOKUP($W$47,$A$3:$D$17,3,FALSE)))</f>
        <v>5.1236106798287979</v>
      </c>
      <c r="X48" s="127"/>
      <c r="Y48" s="127">
        <f t="shared" ref="Y48:Y60" si="22">(VLOOKUP(CONCATENATE($A48," ",$B48," ",$Z$47),$AO:$AQ,3,FALSE)-VLOOKUP(CONCATENATE($A48," ",$B48," ",$Y$47),$AO:$AQ,3,FALSE))/(VLOOKUP($Z$47,$A$3:$D$17,3,FALSE)-(VLOOKUP($Y$47,$A$3:$D$17,3,FALSE)))</f>
        <v>1.6298528502323468</v>
      </c>
      <c r="Z48" s="127"/>
      <c r="AA48" s="127">
        <f t="shared" ref="AA48:AA60" si="23">(VLOOKUP(CONCATENATE($A48," ",$B48," ",$AB$47),$AO:$AQ,3,FALSE)-VLOOKUP(CONCATENATE($A48," ",$B48," ",$AA$47),$AO:$AQ,3,FALSE))/(VLOOKUP($AB$47,$A$3:$D$17,3,FALSE)-(VLOOKUP($AA$47,$A$3:$D$17,3,FALSE)))</f>
        <v>-1.8810121302988383</v>
      </c>
      <c r="AB48" s="127"/>
      <c r="AC48" s="117" t="s">
        <v>44</v>
      </c>
      <c r="AD48" s="87"/>
      <c r="AE48" s="87"/>
      <c r="AF48" s="87"/>
      <c r="AI48" s="87"/>
      <c r="AJ48" s="87"/>
      <c r="AK48" s="87"/>
      <c r="AL48" s="13" t="s">
        <v>30</v>
      </c>
      <c r="AM48" s="27" t="s">
        <v>32</v>
      </c>
      <c r="AN48" s="30">
        <f t="shared" si="9"/>
        <v>4</v>
      </c>
      <c r="AO48" s="87" t="str">
        <f t="shared" si="2"/>
        <v>N-1 IP 4</v>
      </c>
      <c r="AP48" s="14">
        <f t="shared" si="10"/>
        <v>264.20332491070894</v>
      </c>
      <c r="AQ48" s="35">
        <f>NPV('Cost Assumptions'!$B$3,'Centralized BESS in Valley S'!C20:AE20)</f>
        <v>1.7369056998612131</v>
      </c>
    </row>
    <row r="49" spans="1:43" x14ac:dyDescent="0.35">
      <c r="A49" s="96" t="str">
        <f t="shared" ref="A49:A55" si="24">AL74</f>
        <v>N-1</v>
      </c>
      <c r="B49" s="27" t="str">
        <f t="shared" ref="B49:B55" si="25">AM74</f>
        <v>IP</v>
      </c>
      <c r="C49" s="127">
        <f t="shared" si="11"/>
        <v>0.17685945472617554</v>
      </c>
      <c r="D49" s="127"/>
      <c r="E49" s="127">
        <f t="shared" si="12"/>
        <v>0.70643499660656472</v>
      </c>
      <c r="F49" s="127"/>
      <c r="G49" s="127">
        <f t="shared" si="13"/>
        <v>-0.3470207000874353</v>
      </c>
      <c r="H49" s="127"/>
      <c r="I49" s="127">
        <f t="shared" si="14"/>
        <v>-1.0435263179958953</v>
      </c>
      <c r="J49" s="127"/>
      <c r="K49" s="127">
        <f t="shared" si="15"/>
        <v>2.9610309818272675</v>
      </c>
      <c r="L49" s="127"/>
      <c r="M49" s="127">
        <f t="shared" si="16"/>
        <v>0.74927632181737813</v>
      </c>
      <c r="N49" s="127"/>
      <c r="O49" s="127">
        <f t="shared" si="17"/>
        <v>-1.2939908113010066</v>
      </c>
      <c r="P49" s="127"/>
      <c r="Q49" s="127">
        <f t="shared" si="18"/>
        <v>-0.70598993483571315</v>
      </c>
      <c r="R49" s="127"/>
      <c r="S49" s="127">
        <f t="shared" si="19"/>
        <v>-0.37218237032760004</v>
      </c>
      <c r="T49" s="127"/>
      <c r="U49" s="127">
        <f t="shared" si="20"/>
        <v>1.4499880043260689</v>
      </c>
      <c r="V49" s="127"/>
      <c r="W49" s="127">
        <f t="shared" si="21"/>
        <v>0.24124679404601918</v>
      </c>
      <c r="X49" s="127"/>
      <c r="Y49" s="127">
        <f t="shared" si="22"/>
        <v>0.26120467760700278</v>
      </c>
      <c r="Z49" s="127"/>
      <c r="AA49" s="127">
        <f t="shared" si="23"/>
        <v>-0.14900408484456187</v>
      </c>
      <c r="AB49" s="127"/>
      <c r="AC49" s="117" t="s">
        <v>44</v>
      </c>
      <c r="AD49" s="87"/>
      <c r="AE49" s="87"/>
      <c r="AF49" s="87"/>
      <c r="AI49" s="87"/>
      <c r="AJ49" s="87"/>
      <c r="AK49" s="87"/>
      <c r="AL49" s="13" t="s">
        <v>30</v>
      </c>
      <c r="AM49" s="27" t="s">
        <v>33</v>
      </c>
      <c r="AN49" s="30">
        <f t="shared" si="9"/>
        <v>4</v>
      </c>
      <c r="AO49" s="87" t="str">
        <f t="shared" si="2"/>
        <v>N-1 SAIDI 4</v>
      </c>
      <c r="AP49" s="14">
        <f t="shared" si="10"/>
        <v>1137.4733235619183</v>
      </c>
      <c r="AQ49" s="35">
        <f>NPV('Cost Assumptions'!$B$3,'Centralized BESS in Valley S'!C21:AE21)</f>
        <v>0.17293859008507764</v>
      </c>
    </row>
    <row r="50" spans="1:43" x14ac:dyDescent="0.35">
      <c r="A50" s="96" t="str">
        <f t="shared" si="24"/>
        <v>N-1</v>
      </c>
      <c r="B50" s="27" t="str">
        <f t="shared" si="25"/>
        <v>SAIDI</v>
      </c>
      <c r="C50" s="127">
        <f t="shared" si="11"/>
        <v>-2.0223258478815977</v>
      </c>
      <c r="D50" s="127"/>
      <c r="E50" s="127">
        <f t="shared" si="12"/>
        <v>-3.9961593091915404</v>
      </c>
      <c r="F50" s="127"/>
      <c r="G50" s="127">
        <f t="shared" si="13"/>
        <v>1.9630256255677743</v>
      </c>
      <c r="H50" s="127"/>
      <c r="I50" s="127">
        <f t="shared" si="14"/>
        <v>-1.7867374306115675</v>
      </c>
      <c r="J50" s="127"/>
      <c r="K50" s="127">
        <f t="shared" si="15"/>
        <v>0.68485776242363949</v>
      </c>
      <c r="L50" s="127"/>
      <c r="M50" s="127">
        <f t="shared" si="16"/>
        <v>-0.1037868575260492</v>
      </c>
      <c r="N50" s="127"/>
      <c r="O50" s="127">
        <f t="shared" si="17"/>
        <v>-2.8650214381300336</v>
      </c>
      <c r="P50" s="127"/>
      <c r="Q50" s="127">
        <f t="shared" si="18"/>
        <v>-1.7715621031129258</v>
      </c>
      <c r="R50" s="127"/>
      <c r="S50" s="127">
        <f t="shared" si="19"/>
        <v>-0.39933590503626826</v>
      </c>
      <c r="T50" s="127"/>
      <c r="U50" s="127">
        <f t="shared" si="20"/>
        <v>2.4327722760548656</v>
      </c>
      <c r="V50" s="127"/>
      <c r="W50" s="127">
        <f t="shared" si="21"/>
        <v>6.2592251684225789E-2</v>
      </c>
      <c r="X50" s="127"/>
      <c r="Y50" s="127">
        <f t="shared" si="22"/>
        <v>-2.3614270799835458E-2</v>
      </c>
      <c r="Z50" s="127"/>
      <c r="AA50" s="127">
        <f t="shared" si="23"/>
        <v>-0.16434778464437241</v>
      </c>
      <c r="AB50" s="127"/>
      <c r="AC50" s="117" t="s">
        <v>44</v>
      </c>
      <c r="AD50" s="87"/>
      <c r="AE50" s="87"/>
      <c r="AF50" s="87"/>
      <c r="AI50" s="87"/>
      <c r="AJ50" s="87"/>
      <c r="AK50" s="87"/>
      <c r="AL50" s="13" t="s">
        <v>30</v>
      </c>
      <c r="AM50" s="27" t="s">
        <v>34</v>
      </c>
      <c r="AN50" s="30">
        <f t="shared" si="9"/>
        <v>4</v>
      </c>
      <c r="AO50" s="87" t="str">
        <f t="shared" si="2"/>
        <v>N-1 SAIFI 4</v>
      </c>
      <c r="AP50" s="14">
        <f t="shared" si="10"/>
        <v>8.4905491132627517</v>
      </c>
      <c r="AQ50" s="35">
        <f>NPV('Cost Assumptions'!$B$3,'Centralized BESS in Valley S'!C22:AE22)</f>
        <v>1.7670808218689167E-2</v>
      </c>
    </row>
    <row r="51" spans="1:43" x14ac:dyDescent="0.35">
      <c r="A51" s="96" t="str">
        <f t="shared" si="24"/>
        <v>N-1</v>
      </c>
      <c r="B51" s="27" t="str">
        <f t="shared" si="25"/>
        <v>SAIFI</v>
      </c>
      <c r="C51" s="127">
        <f t="shared" si="11"/>
        <v>-4.5877487739340774E-3</v>
      </c>
      <c r="D51" s="127"/>
      <c r="E51" s="127">
        <f t="shared" si="12"/>
        <v>-4.0929532605996286E-2</v>
      </c>
      <c r="F51" s="127"/>
      <c r="G51" s="127">
        <f t="shared" si="13"/>
        <v>2.0105735315226244E-2</v>
      </c>
      <c r="H51" s="127"/>
      <c r="I51" s="127">
        <f t="shared" si="14"/>
        <v>5.390880875014094E-4</v>
      </c>
      <c r="J51" s="127"/>
      <c r="K51" s="127">
        <f t="shared" si="15"/>
        <v>-7.3176606419859524E-3</v>
      </c>
      <c r="L51" s="127"/>
      <c r="M51" s="127">
        <f t="shared" si="16"/>
        <v>-6.7617933770451203E-3</v>
      </c>
      <c r="N51" s="127"/>
      <c r="O51" s="127">
        <f t="shared" si="17"/>
        <v>-3.6298947278228924E-2</v>
      </c>
      <c r="P51" s="127"/>
      <c r="Q51" s="127">
        <f t="shared" si="18"/>
        <v>-1.8585817856152934E-2</v>
      </c>
      <c r="R51" s="127"/>
      <c r="S51" s="127">
        <f t="shared" si="19"/>
        <v>-1.1638369966374044E-2</v>
      </c>
      <c r="T51" s="127"/>
      <c r="U51" s="127">
        <f t="shared" si="20"/>
        <v>2.207506233063003E-2</v>
      </c>
      <c r="V51" s="127"/>
      <c r="W51" s="127">
        <f t="shared" si="21"/>
        <v>2.2032446017222827E-3</v>
      </c>
      <c r="X51" s="127"/>
      <c r="Y51" s="127">
        <f t="shared" si="22"/>
        <v>-2.0881691374821051E-3</v>
      </c>
      <c r="Z51" s="127"/>
      <c r="AA51" s="127">
        <f t="shared" si="23"/>
        <v>-4.7563886416287348E-3</v>
      </c>
      <c r="AB51" s="127"/>
      <c r="AC51" s="117" t="s">
        <v>44</v>
      </c>
      <c r="AD51" s="87"/>
      <c r="AE51" s="87"/>
      <c r="AF51" s="87"/>
      <c r="AI51" s="87"/>
      <c r="AJ51" s="87"/>
      <c r="AK51" s="87"/>
      <c r="AL51" s="13" t="s">
        <v>30</v>
      </c>
      <c r="AM51" s="27" t="s">
        <v>35</v>
      </c>
      <c r="AN51" s="30">
        <f t="shared" si="9"/>
        <v>4</v>
      </c>
      <c r="AO51" s="87" t="str">
        <f t="shared" si="2"/>
        <v>N-1 PFD 4</v>
      </c>
      <c r="AP51" s="14">
        <f t="shared" si="10"/>
        <v>702.69176684641957</v>
      </c>
      <c r="AQ51" s="35">
        <f>NPV('Cost Assumptions'!$B$3,'Centralized BESS in Valley S'!C23:AE23)</f>
        <v>0.95172915060888286</v>
      </c>
    </row>
    <row r="52" spans="1:43" x14ac:dyDescent="0.35">
      <c r="A52" s="96" t="str">
        <f t="shared" si="24"/>
        <v>N-1</v>
      </c>
      <c r="B52" s="27" t="str">
        <f t="shared" si="25"/>
        <v>PFD</v>
      </c>
      <c r="C52" s="127">
        <f t="shared" si="11"/>
        <v>-1.9729217844936608</v>
      </c>
      <c r="D52" s="127"/>
      <c r="E52" s="127">
        <f t="shared" si="12"/>
        <v>-0.10271324423527517</v>
      </c>
      <c r="F52" s="127"/>
      <c r="G52" s="127">
        <f t="shared" si="13"/>
        <v>5.0455628747152717E-2</v>
      </c>
      <c r="H52" s="127"/>
      <c r="I52" s="127">
        <f t="shared" si="14"/>
        <v>-0.99571901163856391</v>
      </c>
      <c r="J52" s="127"/>
      <c r="K52" s="127">
        <f t="shared" si="15"/>
        <v>2.2367566216418551</v>
      </c>
      <c r="L52" s="127"/>
      <c r="M52" s="127">
        <f t="shared" si="16"/>
        <v>0.52290687530357283</v>
      </c>
      <c r="N52" s="127"/>
      <c r="O52" s="127">
        <f t="shared" si="17"/>
        <v>-1.4302502626657256</v>
      </c>
      <c r="P52" s="127"/>
      <c r="Q52" s="127">
        <f t="shared" si="18"/>
        <v>-0.91861427979645605</v>
      </c>
      <c r="R52" s="127"/>
      <c r="S52" s="127">
        <f t="shared" si="19"/>
        <v>-0.15935890886440898</v>
      </c>
      <c r="T52" s="127"/>
      <c r="U52" s="127">
        <f t="shared" si="20"/>
        <v>1.6119690476877864</v>
      </c>
      <c r="V52" s="127"/>
      <c r="W52" s="127">
        <f t="shared" si="21"/>
        <v>0.23611825619134783</v>
      </c>
      <c r="X52" s="127"/>
      <c r="Y52" s="127">
        <f t="shared" si="22"/>
        <v>0.64715028198566016</v>
      </c>
      <c r="Z52" s="127"/>
      <c r="AA52" s="127">
        <f t="shared" si="23"/>
        <v>-6.3249366751954805E-2</v>
      </c>
      <c r="AB52" s="127"/>
      <c r="AC52" s="117" t="s">
        <v>44</v>
      </c>
      <c r="AD52" s="87"/>
      <c r="AE52" s="87"/>
      <c r="AF52" s="87"/>
      <c r="AI52" s="87"/>
      <c r="AJ52" s="87"/>
      <c r="AK52" s="87"/>
      <c r="AL52" s="13" t="s">
        <v>30</v>
      </c>
      <c r="AM52" s="27" t="s">
        <v>36</v>
      </c>
      <c r="AN52" s="30">
        <f t="shared" si="9"/>
        <v>4</v>
      </c>
      <c r="AO52" s="87" t="str">
        <f t="shared" si="2"/>
        <v>N-1 Available Flex-1 4</v>
      </c>
      <c r="AP52" s="14">
        <f t="shared" si="10"/>
        <v>97603.945131461252</v>
      </c>
      <c r="AQ52" s="35">
        <f>NPV('Cost Assumptions'!$B$3,'Centralized BESS in Valley S'!C24:AE24)</f>
        <v>201636.69236135381</v>
      </c>
    </row>
    <row r="53" spans="1:43" x14ac:dyDescent="0.35">
      <c r="A53" s="96" t="str">
        <f t="shared" si="24"/>
        <v>N-1</v>
      </c>
      <c r="B53" s="27" t="str">
        <f t="shared" si="25"/>
        <v>Available Flex-1</v>
      </c>
      <c r="C53" s="127">
        <f t="shared" si="11"/>
        <v>-533.81391505624401</v>
      </c>
      <c r="D53" s="127"/>
      <c r="E53" s="127">
        <f t="shared" si="12"/>
        <v>-350.75924258955536</v>
      </c>
      <c r="F53" s="127"/>
      <c r="G53" s="127">
        <f t="shared" si="13"/>
        <v>172.30278583346578</v>
      </c>
      <c r="H53" s="127"/>
      <c r="I53" s="127">
        <f t="shared" si="14"/>
        <v>-454.27332995053951</v>
      </c>
      <c r="J53" s="127"/>
      <c r="K53" s="127">
        <f t="shared" si="15"/>
        <v>1825.7757384667173</v>
      </c>
      <c r="L53" s="127"/>
      <c r="M53" s="127">
        <f t="shared" si="16"/>
        <v>282.42419214595679</v>
      </c>
      <c r="N53" s="127"/>
      <c r="O53" s="127">
        <f t="shared" si="17"/>
        <v>118.77318050813398</v>
      </c>
      <c r="P53" s="127"/>
      <c r="Q53" s="127">
        <f t="shared" si="18"/>
        <v>-610.52846277925835</v>
      </c>
      <c r="R53" s="127"/>
      <c r="S53" s="127">
        <f t="shared" si="19"/>
        <v>1063.7934644967781</v>
      </c>
      <c r="T53" s="127"/>
      <c r="U53" s="127">
        <f t="shared" si="20"/>
        <v>1031.7757963799233</v>
      </c>
      <c r="V53" s="127"/>
      <c r="W53" s="127">
        <f t="shared" si="21"/>
        <v>180.04099246547844</v>
      </c>
      <c r="X53" s="127"/>
      <c r="Y53" s="127">
        <f t="shared" si="22"/>
        <v>301.56200907733341</v>
      </c>
      <c r="Z53" s="127"/>
      <c r="AA53" s="127">
        <f t="shared" si="23"/>
        <v>533.43040307236458</v>
      </c>
      <c r="AB53" s="127"/>
      <c r="AC53" s="117" t="s">
        <v>44</v>
      </c>
      <c r="AD53" s="87"/>
      <c r="AE53" s="87"/>
      <c r="AF53" s="87"/>
      <c r="AI53" s="87"/>
      <c r="AJ53" s="87"/>
      <c r="AK53" s="87"/>
      <c r="AL53" s="13" t="s">
        <v>30</v>
      </c>
      <c r="AM53" s="27" t="s">
        <v>37</v>
      </c>
      <c r="AN53" s="30">
        <f t="shared" si="9"/>
        <v>4</v>
      </c>
      <c r="AO53" s="87" t="str">
        <f t="shared" si="2"/>
        <v>N-1 Available Flex-2-1 4</v>
      </c>
      <c r="AP53" s="14">
        <f t="shared" si="10"/>
        <v>0</v>
      </c>
      <c r="AQ53" s="35">
        <f>NPV('Cost Assumptions'!$B$3,'Centralized BESS in Valley S'!C25:AE25)</f>
        <v>1985141.9549260156</v>
      </c>
    </row>
    <row r="54" spans="1:43" x14ac:dyDescent="0.35">
      <c r="A54" s="121" t="str">
        <f t="shared" si="24"/>
        <v>N-1</v>
      </c>
      <c r="B54" s="27" t="str">
        <f t="shared" si="25"/>
        <v>Available Flex-2-1</v>
      </c>
      <c r="C54" s="127">
        <f t="shared" si="11"/>
        <v>0</v>
      </c>
      <c r="D54" s="127"/>
      <c r="E54" s="127">
        <f t="shared" si="12"/>
        <v>0</v>
      </c>
      <c r="F54" s="127"/>
      <c r="G54" s="127">
        <f t="shared" si="13"/>
        <v>0</v>
      </c>
      <c r="H54" s="127"/>
      <c r="I54" s="127">
        <f t="shared" si="14"/>
        <v>-6656.1890368653558</v>
      </c>
      <c r="J54" s="127"/>
      <c r="K54" s="127">
        <f t="shared" si="15"/>
        <v>-25879.873483726318</v>
      </c>
      <c r="L54" s="127"/>
      <c r="M54" s="127">
        <f t="shared" si="16"/>
        <v>4659.332325805749</v>
      </c>
      <c r="N54" s="127"/>
      <c r="O54" s="127">
        <f t="shared" si="17"/>
        <v>-4415.2906956632733</v>
      </c>
      <c r="P54" s="127"/>
      <c r="Q54" s="127">
        <f t="shared" si="18"/>
        <v>-5295.4401571313583</v>
      </c>
      <c r="R54" s="127"/>
      <c r="S54" s="127">
        <f t="shared" si="19"/>
        <v>3589.7449073382722</v>
      </c>
      <c r="T54" s="127"/>
      <c r="U54" s="127">
        <f t="shared" si="20"/>
        <v>10292.065170757618</v>
      </c>
      <c r="V54" s="127"/>
      <c r="W54" s="127">
        <f t="shared" si="21"/>
        <v>2043.5182062989918</v>
      </c>
      <c r="X54" s="127"/>
      <c r="Y54" s="127">
        <f t="shared" si="22"/>
        <v>4754.7085917904806</v>
      </c>
      <c r="Z54" s="127"/>
      <c r="AA54" s="127">
        <f t="shared" si="23"/>
        <v>4928.2111002834099</v>
      </c>
      <c r="AB54" s="127"/>
      <c r="AC54" s="117" t="s">
        <v>44</v>
      </c>
      <c r="AD54" s="87"/>
      <c r="AE54" s="87"/>
      <c r="AF54" s="87"/>
      <c r="AI54" s="87"/>
      <c r="AJ54" s="87"/>
      <c r="AK54" s="87"/>
      <c r="AL54" s="13" t="s">
        <v>30</v>
      </c>
      <c r="AM54" s="27" t="s">
        <v>38</v>
      </c>
      <c r="AN54" s="30">
        <f t="shared" si="9"/>
        <v>4</v>
      </c>
      <c r="AO54" s="87" t="str">
        <f t="shared" si="2"/>
        <v>N-1 Available Flex-2-2 4</v>
      </c>
      <c r="AP54" s="14">
        <f t="shared" si="10"/>
        <v>20162.120884986078</v>
      </c>
      <c r="AQ54" s="35">
        <f>NPV('Cost Assumptions'!$B$3,'Centralized BESS in Valley S'!C26:AE26)</f>
        <v>951916.06408013694</v>
      </c>
    </row>
    <row r="55" spans="1:43" x14ac:dyDescent="0.35">
      <c r="A55" s="121" t="str">
        <f t="shared" si="24"/>
        <v>N-1</v>
      </c>
      <c r="B55" s="27" t="str">
        <f t="shared" si="25"/>
        <v>Available Flex-2-2</v>
      </c>
      <c r="C55" s="127">
        <f t="shared" si="11"/>
        <v>-3380.9705999125904</v>
      </c>
      <c r="D55" s="127"/>
      <c r="E55" s="127">
        <f t="shared" si="12"/>
        <v>-95.030981932966299</v>
      </c>
      <c r="F55" s="127"/>
      <c r="G55" s="127">
        <f t="shared" si="13"/>
        <v>46.681885861808013</v>
      </c>
      <c r="H55" s="127"/>
      <c r="I55" s="127">
        <f t="shared" si="14"/>
        <v>532.76108024163284</v>
      </c>
      <c r="J55" s="127"/>
      <c r="K55" s="127">
        <f t="shared" si="15"/>
        <v>-1534.4694273793068</v>
      </c>
      <c r="L55" s="127"/>
      <c r="M55" s="127">
        <f t="shared" si="16"/>
        <v>-348.7430516771152</v>
      </c>
      <c r="N55" s="127"/>
      <c r="O55" s="127">
        <f t="shared" si="17"/>
        <v>-584.91602402288333</v>
      </c>
      <c r="P55" s="127"/>
      <c r="Q55" s="127">
        <f t="shared" si="18"/>
        <v>-1507.8409932366187</v>
      </c>
      <c r="R55" s="127"/>
      <c r="S55" s="127">
        <f t="shared" si="19"/>
        <v>1792.7800888869458</v>
      </c>
      <c r="T55" s="127"/>
      <c r="U55" s="127">
        <f t="shared" si="20"/>
        <v>1912.363080612459</v>
      </c>
      <c r="V55" s="127"/>
      <c r="W55" s="127">
        <f t="shared" si="21"/>
        <v>905.00732989887877</v>
      </c>
      <c r="X55" s="127"/>
      <c r="Y55" s="127">
        <f t="shared" si="22"/>
        <v>1351.6942274291544</v>
      </c>
      <c r="Z55" s="127"/>
      <c r="AA55" s="127">
        <f t="shared" si="23"/>
        <v>2517.077136745233</v>
      </c>
      <c r="AB55" s="127"/>
      <c r="AC55" s="117" t="s">
        <v>44</v>
      </c>
      <c r="AD55" s="87"/>
      <c r="AE55" s="87"/>
      <c r="AF55" s="87"/>
      <c r="AI55" s="87"/>
      <c r="AJ55" s="87"/>
      <c r="AK55" s="87"/>
      <c r="AL55" s="13" t="s">
        <v>39</v>
      </c>
      <c r="AM55" s="27" t="s">
        <v>31</v>
      </c>
      <c r="AN55" s="30">
        <f t="shared" si="9"/>
        <v>4</v>
      </c>
      <c r="AO55" s="87" t="str">
        <f t="shared" si="2"/>
        <v>N-0 EENS 4</v>
      </c>
      <c r="AP55" s="14">
        <f t="shared" si="10"/>
        <v>21183.807598459298</v>
      </c>
      <c r="AQ55" s="35">
        <f>NPV('Cost Assumptions'!$B$3,'Centralized BESS in Valley S'!C27:AE27)</f>
        <v>0</v>
      </c>
    </row>
    <row r="56" spans="1:43" x14ac:dyDescent="0.35">
      <c r="A56" s="121" t="str">
        <f t="shared" ref="A56:A60" si="26">AL81</f>
        <v>N-0</v>
      </c>
      <c r="B56" s="27" t="str">
        <f>AM81</f>
        <v>EENS</v>
      </c>
      <c r="C56" s="127">
        <f t="shared" si="11"/>
        <v>-58.950057858600132</v>
      </c>
      <c r="D56" s="127"/>
      <c r="E56" s="127">
        <f t="shared" si="12"/>
        <v>0</v>
      </c>
      <c r="F56" s="127"/>
      <c r="G56" s="127">
        <f t="shared" si="13"/>
        <v>-95.535060917358322</v>
      </c>
      <c r="H56" s="127"/>
      <c r="I56" s="127">
        <f t="shared" si="14"/>
        <v>-62.554794839850388</v>
      </c>
      <c r="J56" s="127"/>
      <c r="K56" s="127">
        <f t="shared" si="15"/>
        <v>-197.60935841297211</v>
      </c>
      <c r="L56" s="127"/>
      <c r="M56" s="127">
        <f t="shared" si="16"/>
        <v>-9.7100168497183823</v>
      </c>
      <c r="N56" s="127"/>
      <c r="O56" s="127">
        <f t="shared" si="17"/>
        <v>-25.493087219942968</v>
      </c>
      <c r="P56" s="127"/>
      <c r="Q56" s="127">
        <f t="shared" si="18"/>
        <v>-21.282226389588498</v>
      </c>
      <c r="R56" s="127"/>
      <c r="S56" s="127">
        <f t="shared" si="19"/>
        <v>-0.22025617054312221</v>
      </c>
      <c r="T56" s="127"/>
      <c r="U56" s="127">
        <f t="shared" si="20"/>
        <v>-0.18983404753992855</v>
      </c>
      <c r="V56" s="127"/>
      <c r="W56" s="127">
        <f t="shared" si="21"/>
        <v>2.9793215858788424</v>
      </c>
      <c r="X56" s="127"/>
      <c r="Y56" s="127">
        <f t="shared" si="22"/>
        <v>-0.1209857838194615</v>
      </c>
      <c r="Z56" s="127"/>
      <c r="AA56" s="127">
        <f t="shared" si="23"/>
        <v>-9.0899371970177417E-2</v>
      </c>
      <c r="AB56" s="127"/>
      <c r="AC56" s="117" t="s">
        <v>44</v>
      </c>
      <c r="AD56" s="87"/>
      <c r="AE56" s="87"/>
      <c r="AF56" s="87"/>
      <c r="AI56" s="87"/>
      <c r="AJ56" s="87"/>
      <c r="AK56" s="87"/>
      <c r="AL56" s="13" t="s">
        <v>39</v>
      </c>
      <c r="AM56" s="27" t="s">
        <v>32</v>
      </c>
      <c r="AN56" s="30">
        <f t="shared" si="9"/>
        <v>4</v>
      </c>
      <c r="AO56" s="87" t="str">
        <f t="shared" si="2"/>
        <v>N-0 IP 4</v>
      </c>
      <c r="AP56" s="14">
        <f t="shared" si="10"/>
        <v>1335.7023826118307</v>
      </c>
      <c r="AQ56" s="35">
        <f>NPV('Cost Assumptions'!$B$3,'Centralized BESS in Valley S'!C28:AE28)</f>
        <v>0</v>
      </c>
    </row>
    <row r="57" spans="1:43" x14ac:dyDescent="0.35">
      <c r="A57" s="121" t="str">
        <f t="shared" si="26"/>
        <v>N-0</v>
      </c>
      <c r="B57" s="27" t="str">
        <f>AM82</f>
        <v>IP</v>
      </c>
      <c r="C57" s="127">
        <f t="shared" si="11"/>
        <v>-4.5377812394779591</v>
      </c>
      <c r="D57" s="127"/>
      <c r="E57" s="127">
        <f t="shared" si="12"/>
        <v>-2.276133222181802</v>
      </c>
      <c r="F57" s="127"/>
      <c r="G57" s="127">
        <f t="shared" si="13"/>
        <v>-1.8761720179827035</v>
      </c>
      <c r="H57" s="127"/>
      <c r="I57" s="127">
        <f t="shared" si="14"/>
        <v>1.9629831437964154</v>
      </c>
      <c r="J57" s="127"/>
      <c r="K57" s="127">
        <f t="shared" si="15"/>
        <v>-19.432576766672437</v>
      </c>
      <c r="L57" s="127"/>
      <c r="M57" s="127">
        <f t="shared" si="16"/>
        <v>-3.291280604703481</v>
      </c>
      <c r="N57" s="127"/>
      <c r="O57" s="127">
        <f t="shared" si="17"/>
        <v>-2.3945213860213852</v>
      </c>
      <c r="P57" s="127"/>
      <c r="Q57" s="127">
        <f t="shared" si="18"/>
        <v>-2.2584911415786095</v>
      </c>
      <c r="R57" s="127"/>
      <c r="S57" s="127">
        <f t="shared" si="19"/>
        <v>-4.9458872160874461E-2</v>
      </c>
      <c r="T57" s="127"/>
      <c r="U57" s="127">
        <f t="shared" si="20"/>
        <v>-4.2627536227052024E-2</v>
      </c>
      <c r="V57" s="127"/>
      <c r="W57" s="127">
        <f t="shared" si="21"/>
        <v>0.54884903965574205</v>
      </c>
      <c r="X57" s="127"/>
      <c r="Y57" s="127">
        <f t="shared" si="22"/>
        <v>-2.7167549496818367E-2</v>
      </c>
      <c r="Z57" s="127"/>
      <c r="AA57" s="127">
        <f t="shared" si="23"/>
        <v>-2.0411598034646605E-2</v>
      </c>
      <c r="AB57" s="127"/>
      <c r="AC57" s="117" t="s">
        <v>44</v>
      </c>
      <c r="AD57" s="87"/>
      <c r="AE57" s="87"/>
      <c r="AF57" s="87"/>
      <c r="AI57" s="87"/>
      <c r="AJ57" s="87"/>
      <c r="AK57" s="87"/>
      <c r="AL57" s="13" t="s">
        <v>39</v>
      </c>
      <c r="AM57" s="27" t="s">
        <v>33</v>
      </c>
      <c r="AN57" s="30">
        <f t="shared" si="9"/>
        <v>4</v>
      </c>
      <c r="AO57" s="87" t="str">
        <f t="shared" si="2"/>
        <v>N-0 SAIDI 4</v>
      </c>
      <c r="AP57" s="14">
        <f t="shared" si="10"/>
        <v>1756.8124401485429</v>
      </c>
      <c r="AQ57" s="35">
        <f>NPV('Cost Assumptions'!$B$3,'Centralized BESS in Valley S'!C29:AE29)</f>
        <v>0</v>
      </c>
    </row>
    <row r="58" spans="1:43" x14ac:dyDescent="0.35">
      <c r="A58" s="121" t="str">
        <f t="shared" si="26"/>
        <v>N-0</v>
      </c>
      <c r="B58" s="27" t="str">
        <f>AM83</f>
        <v>SAIDI</v>
      </c>
      <c r="C58" s="127">
        <f t="shared" si="11"/>
        <v>-3.2508493915326384</v>
      </c>
      <c r="D58" s="127"/>
      <c r="E58" s="127">
        <f t="shared" si="12"/>
        <v>-0.33188752300467123</v>
      </c>
      <c r="F58" s="127"/>
      <c r="G58" s="127">
        <f t="shared" si="13"/>
        <v>-14.884473973004299</v>
      </c>
      <c r="H58" s="127"/>
      <c r="I58" s="127">
        <f t="shared" si="14"/>
        <v>-11.652030349773552</v>
      </c>
      <c r="J58" s="127"/>
      <c r="K58" s="127">
        <f t="shared" si="15"/>
        <v>-9.4341568950818573</v>
      </c>
      <c r="L58" s="127"/>
      <c r="M58" s="127">
        <f t="shared" si="16"/>
        <v>0.34572401918664858</v>
      </c>
      <c r="N58" s="127"/>
      <c r="O58" s="127">
        <f t="shared" si="17"/>
        <v>-1.3156221091184559</v>
      </c>
      <c r="P58" s="127"/>
      <c r="Q58" s="127">
        <f t="shared" si="18"/>
        <v>-0.97076468630946422</v>
      </c>
      <c r="R58" s="127"/>
      <c r="S58" s="127">
        <f t="shared" si="19"/>
        <v>-8.7251290345970178E-3</v>
      </c>
      <c r="T58" s="127"/>
      <c r="U58" s="127">
        <f t="shared" si="20"/>
        <v>-7.5200007149012968E-3</v>
      </c>
      <c r="V58" s="127"/>
      <c r="W58" s="127">
        <f t="shared" si="21"/>
        <v>5.1343008016729821E-2</v>
      </c>
      <c r="X58" s="127"/>
      <c r="Y58" s="127">
        <f t="shared" si="22"/>
        <v>-4.7926765119617422E-3</v>
      </c>
      <c r="Z58" s="127"/>
      <c r="AA58" s="127">
        <f t="shared" si="23"/>
        <v>-3.6008469031670229E-3</v>
      </c>
      <c r="AB58" s="127"/>
      <c r="AC58" s="117" t="s">
        <v>44</v>
      </c>
      <c r="AD58" s="87"/>
      <c r="AE58" s="87"/>
      <c r="AF58" s="87"/>
      <c r="AI58" s="87"/>
      <c r="AJ58" s="87"/>
      <c r="AK58" s="87"/>
      <c r="AL58" s="13" t="s">
        <v>39</v>
      </c>
      <c r="AM58" s="27" t="s">
        <v>34</v>
      </c>
      <c r="AN58" s="30">
        <f t="shared" si="9"/>
        <v>4</v>
      </c>
      <c r="AO58" s="87" t="str">
        <f t="shared" si="2"/>
        <v>N-0 SAIFI 4</v>
      </c>
      <c r="AP58" s="14">
        <f t="shared" si="10"/>
        <v>22.545263184878515</v>
      </c>
      <c r="AQ58" s="35">
        <f>NPV('Cost Assumptions'!$B$3,'Centralized BESS in Valley S'!C30:AE30)</f>
        <v>0</v>
      </c>
    </row>
    <row r="59" spans="1:43" x14ac:dyDescent="0.35">
      <c r="A59" s="121" t="str">
        <f t="shared" si="26"/>
        <v>N-0</v>
      </c>
      <c r="B59" s="27" t="str">
        <f>AM84</f>
        <v>SAIFI</v>
      </c>
      <c r="C59" s="127">
        <f t="shared" si="11"/>
        <v>-5.6989948202472149E-2</v>
      </c>
      <c r="D59" s="127"/>
      <c r="E59" s="127">
        <f t="shared" si="12"/>
        <v>-1.2459165228678388E-2</v>
      </c>
      <c r="F59" s="127"/>
      <c r="G59" s="127">
        <f t="shared" si="13"/>
        <v>-0.12733023582857625</v>
      </c>
      <c r="H59" s="127"/>
      <c r="I59" s="127">
        <f t="shared" si="14"/>
        <v>-8.0874615552832804E-2</v>
      </c>
      <c r="J59" s="127"/>
      <c r="K59" s="127">
        <f t="shared" si="15"/>
        <v>-0.19403136448689071</v>
      </c>
      <c r="L59" s="127"/>
      <c r="M59" s="127">
        <f t="shared" si="16"/>
        <v>-1.3671662970432295E-2</v>
      </c>
      <c r="N59" s="127"/>
      <c r="O59" s="127">
        <f t="shared" si="17"/>
        <v>-2.5951661645960716E-2</v>
      </c>
      <c r="P59" s="127"/>
      <c r="Q59" s="127">
        <f t="shared" si="18"/>
        <v>-2.0811063611864633E-2</v>
      </c>
      <c r="R59" s="127"/>
      <c r="S59" s="127">
        <f t="shared" si="19"/>
        <v>-7.6345847708054321E-4</v>
      </c>
      <c r="T59" s="127"/>
      <c r="U59" s="127">
        <f t="shared" si="20"/>
        <v>-6.5800841118544059E-4</v>
      </c>
      <c r="V59" s="127"/>
      <c r="W59" s="127">
        <f t="shared" si="21"/>
        <v>2.9830550453030132E-3</v>
      </c>
      <c r="X59" s="127"/>
      <c r="Y59" s="127">
        <f t="shared" si="22"/>
        <v>-4.1936451557945335E-4</v>
      </c>
      <c r="Z59" s="127"/>
      <c r="AA59" s="127">
        <f t="shared" si="23"/>
        <v>-3.1507810165228766E-4</v>
      </c>
      <c r="AB59" s="127"/>
      <c r="AC59" s="117" t="s">
        <v>44</v>
      </c>
      <c r="AD59" s="87"/>
      <c r="AE59" s="87"/>
      <c r="AF59" s="87"/>
      <c r="AI59" s="87"/>
      <c r="AJ59" s="87"/>
      <c r="AK59" s="87"/>
      <c r="AL59" s="13" t="s">
        <v>39</v>
      </c>
      <c r="AM59" s="27" t="s">
        <v>35</v>
      </c>
      <c r="AN59" s="119">
        <f t="shared" si="9"/>
        <v>4</v>
      </c>
      <c r="AO59" s="31" t="str">
        <f t="shared" si="2"/>
        <v>N-0 PFD 4</v>
      </c>
      <c r="AP59" s="32">
        <f t="shared" si="10"/>
        <v>284.37326230940391</v>
      </c>
      <c r="AQ59" s="35">
        <f>NPV('Cost Assumptions'!$B$3,'Centralized BESS in Valley S'!C31:AE31)</f>
        <v>0</v>
      </c>
    </row>
    <row r="60" spans="1:43" x14ac:dyDescent="0.35">
      <c r="A60" s="121" t="str">
        <f t="shared" si="26"/>
        <v>N-0</v>
      </c>
      <c r="B60" s="27" t="str">
        <f>AM85</f>
        <v>PFD</v>
      </c>
      <c r="C60" s="127">
        <f t="shared" si="11"/>
        <v>-0.65867203533022534</v>
      </c>
      <c r="D60" s="127"/>
      <c r="E60" s="127">
        <f t="shared" si="12"/>
        <v>-0.16679480399717964</v>
      </c>
      <c r="F60" s="127"/>
      <c r="G60" s="127">
        <f t="shared" si="13"/>
        <v>-1.2826055779632908</v>
      </c>
      <c r="H60" s="127"/>
      <c r="I60" s="127">
        <f t="shared" si="14"/>
        <v>-0.85038634593624329</v>
      </c>
      <c r="J60" s="127"/>
      <c r="K60" s="127">
        <f t="shared" si="15"/>
        <v>-3.270294660441222</v>
      </c>
      <c r="L60" s="127"/>
      <c r="M60" s="127">
        <f t="shared" si="16"/>
        <v>-0.18870603715475379</v>
      </c>
      <c r="N60" s="127"/>
      <c r="O60" s="127">
        <f t="shared" si="17"/>
        <v>-0.41066629536359245</v>
      </c>
      <c r="P60" s="127"/>
      <c r="Q60" s="127">
        <f t="shared" si="18"/>
        <v>-0.33935750082201155</v>
      </c>
      <c r="R60" s="127"/>
      <c r="S60" s="127">
        <f t="shared" si="19"/>
        <v>-3.738955073517642E-2</v>
      </c>
      <c r="T60" s="127"/>
      <c r="U60" s="127">
        <f t="shared" si="20"/>
        <v>-3.2225248147444874E-2</v>
      </c>
      <c r="V60" s="127"/>
      <c r="W60" s="127">
        <f t="shared" si="21"/>
        <v>4.3773320166897341E-2</v>
      </c>
      <c r="X60" s="127"/>
      <c r="Y60" s="127">
        <f t="shared" si="22"/>
        <v>-2.0537922234815219E-2</v>
      </c>
      <c r="Z60" s="127"/>
      <c r="AA60" s="127">
        <f t="shared" si="23"/>
        <v>-1.543060823991408E-2</v>
      </c>
      <c r="AB60" s="127"/>
      <c r="AC60" s="117" t="s">
        <v>44</v>
      </c>
      <c r="AD60" s="87"/>
      <c r="AE60" s="87"/>
      <c r="AF60" s="87"/>
      <c r="AI60" s="87"/>
      <c r="AJ60" s="87"/>
      <c r="AK60" s="87"/>
      <c r="AL60" s="13" t="s">
        <v>30</v>
      </c>
      <c r="AM60" s="27" t="s">
        <v>31</v>
      </c>
      <c r="AN60" s="33">
        <f t="shared" ref="AN60:AN72" si="27">$G$22</f>
        <v>5</v>
      </c>
      <c r="AO60" s="34" t="str">
        <f t="shared" si="2"/>
        <v>N-1 EENS 5</v>
      </c>
      <c r="AP60" s="35">
        <f t="shared" ref="AP60:AP72" si="28">G23</f>
        <v>8472.3643209853726</v>
      </c>
      <c r="AQ60" s="35">
        <f>NPV('Cost Assumptions'!$B$3,'MiraLoma &amp; Centralized BESS VS'!C19:AE19)</f>
        <v>1181.2291091786358</v>
      </c>
    </row>
    <row r="61" spans="1:43" ht="17" x14ac:dyDescent="0.4">
      <c r="A61" s="146" t="s">
        <v>45</v>
      </c>
      <c r="B61" s="146"/>
      <c r="C61" s="128" t="s">
        <v>46</v>
      </c>
      <c r="D61" s="128"/>
      <c r="E61" s="128" t="s">
        <v>46</v>
      </c>
      <c r="F61" s="128"/>
      <c r="G61" s="128" t="s">
        <v>47</v>
      </c>
      <c r="H61" s="128"/>
      <c r="I61" s="128" t="s">
        <v>46</v>
      </c>
      <c r="J61" s="128"/>
      <c r="K61" s="128" t="s">
        <v>47</v>
      </c>
      <c r="L61" s="128"/>
      <c r="M61" s="128" t="s">
        <v>47</v>
      </c>
      <c r="N61" s="128"/>
      <c r="O61" s="128" t="s">
        <v>47</v>
      </c>
      <c r="P61" s="128"/>
      <c r="Q61" s="128" t="s">
        <v>46</v>
      </c>
      <c r="R61" s="128"/>
      <c r="S61" s="128" t="s">
        <v>47</v>
      </c>
      <c r="T61" s="128"/>
      <c r="U61" s="128" t="s">
        <v>47</v>
      </c>
      <c r="V61" s="128"/>
      <c r="W61" s="128" t="s">
        <v>47</v>
      </c>
      <c r="X61" s="128"/>
      <c r="Y61" s="128" t="s">
        <v>47</v>
      </c>
      <c r="Z61" s="128"/>
      <c r="AA61" s="128" t="s">
        <v>47</v>
      </c>
      <c r="AB61" s="128"/>
      <c r="AC61" s="6"/>
      <c r="AD61" s="87"/>
      <c r="AE61" s="87"/>
      <c r="AF61" s="87"/>
      <c r="AI61" s="87"/>
      <c r="AJ61" s="87"/>
      <c r="AK61" s="87"/>
      <c r="AL61" s="13" t="s">
        <v>30</v>
      </c>
      <c r="AM61" s="27" t="s">
        <v>32</v>
      </c>
      <c r="AN61" s="30">
        <f t="shared" si="27"/>
        <v>5</v>
      </c>
      <c r="AO61" s="87" t="str">
        <f t="shared" si="2"/>
        <v>N-1 IP 5</v>
      </c>
      <c r="AP61" s="14">
        <f t="shared" si="28"/>
        <v>133.69765239907571</v>
      </c>
      <c r="AQ61" s="35">
        <f>NPV('Cost Assumptions'!$B$3,'MiraLoma &amp; Centralized BESS VS'!C20:AE20)</f>
        <v>132.24257821149439</v>
      </c>
    </row>
    <row r="62" spans="1:43" x14ac:dyDescent="0.3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AC62" s="87"/>
      <c r="AD62" s="87"/>
      <c r="AE62" s="87"/>
      <c r="AF62" s="87"/>
      <c r="AI62" s="87"/>
      <c r="AJ62" s="87"/>
      <c r="AK62" s="87"/>
      <c r="AL62" s="13" t="s">
        <v>30</v>
      </c>
      <c r="AM62" s="27" t="s">
        <v>33</v>
      </c>
      <c r="AN62" s="30">
        <f t="shared" si="27"/>
        <v>5</v>
      </c>
      <c r="AO62" s="87" t="str">
        <f t="shared" si="2"/>
        <v>N-1 SAIDI 5</v>
      </c>
      <c r="AP62" s="14">
        <f t="shared" si="28"/>
        <v>1082.0563138734988</v>
      </c>
      <c r="AQ62" s="35">
        <f>NPV('Cost Assumptions'!$B$3,'MiraLoma &amp; Centralized BESS VS'!C21:AE21)</f>
        <v>55.589948278504579</v>
      </c>
    </row>
    <row r="63" spans="1:43" x14ac:dyDescent="0.3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AC63" s="87"/>
      <c r="AD63" s="87"/>
      <c r="AE63" s="87"/>
      <c r="AF63" s="87"/>
      <c r="AI63" s="87"/>
      <c r="AJ63" s="87"/>
      <c r="AK63" s="87"/>
      <c r="AL63" s="13" t="s">
        <v>30</v>
      </c>
      <c r="AM63" s="27" t="s">
        <v>34</v>
      </c>
      <c r="AN63" s="30">
        <f t="shared" si="27"/>
        <v>5</v>
      </c>
      <c r="AO63" s="87" t="str">
        <f t="shared" si="2"/>
        <v>N-1 SAIFI 5</v>
      </c>
      <c r="AP63" s="14">
        <f t="shared" si="28"/>
        <v>7.2856742417720088</v>
      </c>
      <c r="AQ63" s="35">
        <f>NPV('Cost Assumptions'!$B$3,'MiraLoma &amp; Centralized BESS VS'!C22:AE22)</f>
        <v>1.222545679709433</v>
      </c>
    </row>
    <row r="64" spans="1:43" ht="19.5" x14ac:dyDescent="0.45">
      <c r="A64" s="132" t="s">
        <v>27</v>
      </c>
      <c r="B64" s="132"/>
      <c r="C64" s="141" t="s">
        <v>48</v>
      </c>
      <c r="D64" s="141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AC64" s="87"/>
      <c r="AD64" s="87"/>
      <c r="AE64" s="87"/>
      <c r="AF64" s="87"/>
      <c r="AI64" s="87"/>
      <c r="AJ64" s="87"/>
      <c r="AK64" s="87"/>
      <c r="AL64" s="13" t="s">
        <v>30</v>
      </c>
      <c r="AM64" s="27" t="s">
        <v>35</v>
      </c>
      <c r="AN64" s="30">
        <f t="shared" si="27"/>
        <v>5</v>
      </c>
      <c r="AO64" s="87" t="str">
        <f t="shared" si="2"/>
        <v>N-1 PFD 5</v>
      </c>
      <c r="AP64" s="14">
        <f t="shared" si="28"/>
        <v>494.99282613025338</v>
      </c>
      <c r="AQ64" s="35">
        <f>NPV('Cost Assumptions'!$B$3,'MiraLoma &amp; Centralized BESS VS'!C23:AE23)</f>
        <v>208.65066986677527</v>
      </c>
    </row>
    <row r="65" spans="1:43" ht="15" customHeight="1" x14ac:dyDescent="0.35">
      <c r="A65" s="132"/>
      <c r="B65" s="132"/>
      <c r="C65" s="129" t="str">
        <f>$C$66&amp;" --&gt; "&amp;$D$66</f>
        <v>0 --&gt; 12</v>
      </c>
      <c r="D65" s="129"/>
      <c r="E65" s="65"/>
      <c r="F65" s="87"/>
      <c r="G65" s="87"/>
      <c r="H65" s="87"/>
      <c r="I65" s="65"/>
      <c r="J65" s="65"/>
      <c r="K65" s="65"/>
      <c r="L65" s="65"/>
      <c r="M65" s="65"/>
      <c r="N65" s="65"/>
      <c r="O65" s="65"/>
      <c r="P65" s="65"/>
      <c r="Q65" s="87"/>
      <c r="R65" s="87"/>
      <c r="S65" s="87"/>
      <c r="T65" s="87"/>
      <c r="AC65" s="87"/>
      <c r="AD65" s="87"/>
      <c r="AE65" s="87"/>
      <c r="AF65" s="87"/>
      <c r="AI65" s="87"/>
      <c r="AJ65" s="87"/>
      <c r="AK65" s="87"/>
      <c r="AL65" s="87" t="s">
        <v>30</v>
      </c>
      <c r="AM65" s="1" t="s">
        <v>36</v>
      </c>
      <c r="AN65" s="30">
        <f t="shared" si="27"/>
        <v>5</v>
      </c>
      <c r="AO65" s="87" t="str">
        <f t="shared" si="2"/>
        <v>N-1 Available Flex-1 5</v>
      </c>
      <c r="AP65" s="72">
        <f t="shared" si="28"/>
        <v>213597.02691485235</v>
      </c>
      <c r="AQ65" s="35">
        <f>NPV('Cost Assumptions'!$B$3,'MiraLoma &amp; Centralized BESS VS'!C24:AE24)</f>
        <v>85643.610577962696</v>
      </c>
    </row>
    <row r="66" spans="1:43" ht="15" customHeight="1" x14ac:dyDescent="0.35">
      <c r="A66" s="132"/>
      <c r="B66" s="132"/>
      <c r="C66" s="116">
        <f>$A$4</f>
        <v>0</v>
      </c>
      <c r="D66" s="116">
        <f>$A13</f>
        <v>12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AC66" s="87"/>
      <c r="AD66" s="87"/>
      <c r="AE66" s="87"/>
      <c r="AF66" s="87"/>
      <c r="AI66" s="87"/>
      <c r="AJ66" s="87"/>
      <c r="AK66" s="87"/>
      <c r="AL66" s="13" t="s">
        <v>30</v>
      </c>
      <c r="AM66" s="27" t="s">
        <v>37</v>
      </c>
      <c r="AN66" s="30">
        <f t="shared" si="27"/>
        <v>5</v>
      </c>
      <c r="AO66" s="87" t="str">
        <f t="shared" si="2"/>
        <v>N-1 Available Flex-2-1 5</v>
      </c>
      <c r="AP66" s="14">
        <f t="shared" si="28"/>
        <v>512526.55583863205</v>
      </c>
      <c r="AQ66" s="35">
        <f>NPV('Cost Assumptions'!$B$3,'MiraLoma &amp; Centralized BESS VS'!C25:AE25)</f>
        <v>1472615.3990873832</v>
      </c>
    </row>
    <row r="67" spans="1:43" x14ac:dyDescent="0.35">
      <c r="A67" s="96" t="s">
        <v>30</v>
      </c>
      <c r="B67" s="27" t="s">
        <v>31</v>
      </c>
      <c r="C67" s="127">
        <f t="shared" ref="C67:C79" si="29">(VLOOKUP(CONCATENATE($A67," ",$B67," ",$D$66),AO:AQ,3,FALSE)-VLOOKUP(CONCATENATE($A67," ",$B67," ",$C$66),AO:AQ,3,FALSE))/(VLOOKUP($D$66,$A$3:$D$17,3,FALSE)-(VLOOKUP($C$66,$A$3:$D$17,3,FALSE)))</f>
        <v>-13.771174650733247</v>
      </c>
      <c r="D67" s="127"/>
      <c r="E67" s="65"/>
      <c r="F67" s="87"/>
      <c r="G67" s="87"/>
      <c r="H67" s="87"/>
      <c r="I67" s="65"/>
      <c r="J67" s="65"/>
      <c r="K67" s="65"/>
      <c r="L67" s="65"/>
      <c r="M67" s="65"/>
      <c r="N67" s="65"/>
      <c r="O67" s="65"/>
      <c r="P67" s="65"/>
      <c r="Q67" s="87"/>
      <c r="R67" s="87"/>
      <c r="S67" s="87"/>
      <c r="T67" s="87"/>
      <c r="AC67" s="87"/>
      <c r="AD67" s="87"/>
      <c r="AE67" s="87"/>
      <c r="AF67" s="87"/>
      <c r="AI67" s="87"/>
      <c r="AJ67" s="87"/>
      <c r="AK67" s="87"/>
      <c r="AL67" s="13" t="s">
        <v>30</v>
      </c>
      <c r="AM67" s="27" t="s">
        <v>38</v>
      </c>
      <c r="AN67" s="30">
        <f t="shared" si="27"/>
        <v>5</v>
      </c>
      <c r="AO67" s="87" t="str">
        <f t="shared" si="2"/>
        <v>N-1 Available Flex-2-2 5</v>
      </c>
      <c r="AP67" s="14">
        <f t="shared" si="28"/>
        <v>587736.11798480409</v>
      </c>
      <c r="AQ67" s="35">
        <f>NPV('Cost Assumptions'!$B$3,'MiraLoma &amp; Centralized BESS VS'!C26:AE26)</f>
        <v>384342.06698031869</v>
      </c>
    </row>
    <row r="68" spans="1:43" x14ac:dyDescent="0.35">
      <c r="A68" s="96" t="s">
        <v>30</v>
      </c>
      <c r="B68" s="27" t="s">
        <v>32</v>
      </c>
      <c r="C68" s="127">
        <f t="shared" si="29"/>
        <v>-0.37937265422335248</v>
      </c>
      <c r="D68" s="127"/>
      <c r="E68" s="65"/>
      <c r="F68" s="87"/>
      <c r="G68" s="87"/>
      <c r="H68" s="87"/>
      <c r="I68" s="65"/>
      <c r="J68" s="65"/>
      <c r="K68" s="65"/>
      <c r="L68" s="65"/>
      <c r="M68" s="65"/>
      <c r="N68" s="65"/>
      <c r="O68" s="65"/>
      <c r="P68" s="65"/>
      <c r="Q68" s="87"/>
      <c r="R68" s="87"/>
      <c r="S68" s="87"/>
      <c r="T68" s="87"/>
      <c r="AC68" s="87"/>
      <c r="AD68" s="87"/>
      <c r="AE68" s="87"/>
      <c r="AF68" s="87"/>
      <c r="AI68" s="87"/>
      <c r="AJ68" s="87"/>
      <c r="AK68" s="87"/>
      <c r="AL68" s="13" t="s">
        <v>39</v>
      </c>
      <c r="AM68" s="27" t="s">
        <v>31</v>
      </c>
      <c r="AN68" s="30">
        <f t="shared" si="27"/>
        <v>5</v>
      </c>
      <c r="AO68" s="87" t="str">
        <f t="shared" si="2"/>
        <v>N-0 EENS 5</v>
      </c>
      <c r="AP68" s="26">
        <f t="shared" si="28"/>
        <v>21183.807598459298</v>
      </c>
      <c r="AQ68" s="35">
        <f>NPV('Cost Assumptions'!$B$3,'MiraLoma &amp; Centralized BESS VS'!C27:AE27)</f>
        <v>0</v>
      </c>
    </row>
    <row r="69" spans="1:43" x14ac:dyDescent="0.35">
      <c r="A69" s="96" t="s">
        <v>30</v>
      </c>
      <c r="B69" s="27" t="s">
        <v>33</v>
      </c>
      <c r="C69" s="127">
        <f t="shared" si="29"/>
        <v>-1.6228905308873087</v>
      </c>
      <c r="D69" s="127"/>
      <c r="E69" s="65"/>
      <c r="F69" s="87"/>
      <c r="G69" s="87"/>
      <c r="H69" s="87"/>
      <c r="I69" s="65"/>
      <c r="J69" s="65"/>
      <c r="K69" s="65"/>
      <c r="L69" s="65"/>
      <c r="M69" s="65"/>
      <c r="N69" s="65"/>
      <c r="O69" s="65"/>
      <c r="P69" s="65"/>
      <c r="Q69" s="87"/>
      <c r="R69" s="87"/>
      <c r="S69" s="87"/>
      <c r="T69" s="87"/>
      <c r="AC69" s="87"/>
      <c r="AD69" s="87"/>
      <c r="AE69" s="87"/>
      <c r="AF69" s="87"/>
      <c r="AI69" s="87"/>
      <c r="AJ69" s="87"/>
      <c r="AK69" s="87"/>
      <c r="AL69" s="13" t="s">
        <v>39</v>
      </c>
      <c r="AM69" s="27" t="s">
        <v>32</v>
      </c>
      <c r="AN69" s="30">
        <f t="shared" si="27"/>
        <v>5</v>
      </c>
      <c r="AO69" s="87" t="str">
        <f t="shared" si="2"/>
        <v>N-0 IP 5</v>
      </c>
      <c r="AP69" s="26">
        <f t="shared" si="28"/>
        <v>1335.7023826118307</v>
      </c>
      <c r="AQ69" s="35">
        <f>NPV('Cost Assumptions'!$B$3,'MiraLoma &amp; Centralized BESS VS'!C28:AE28)</f>
        <v>0</v>
      </c>
    </row>
    <row r="70" spans="1:43" x14ac:dyDescent="0.35">
      <c r="A70" s="96" t="s">
        <v>30</v>
      </c>
      <c r="B70" s="27" t="s">
        <v>34</v>
      </c>
      <c r="C70" s="127">
        <f t="shared" si="29"/>
        <v>-1.2137260943625451E-2</v>
      </c>
      <c r="D70" s="127"/>
      <c r="E70" s="65"/>
      <c r="F70" s="87"/>
      <c r="G70" s="87"/>
      <c r="H70" s="87"/>
      <c r="I70" s="65"/>
      <c r="J70" s="65"/>
      <c r="K70" s="65"/>
      <c r="L70" s="65"/>
      <c r="M70" s="65"/>
      <c r="N70" s="65"/>
      <c r="O70" s="65"/>
      <c r="P70" s="65"/>
      <c r="Q70" s="87"/>
      <c r="R70" s="87"/>
      <c r="S70" s="87"/>
      <c r="T70" s="87"/>
      <c r="AC70" s="87"/>
      <c r="AD70" s="87"/>
      <c r="AE70" s="87"/>
      <c r="AF70" s="87"/>
      <c r="AI70" s="87"/>
      <c r="AJ70" s="87"/>
      <c r="AK70" s="87"/>
      <c r="AL70" s="13" t="s">
        <v>39</v>
      </c>
      <c r="AM70" s="27" t="s">
        <v>33</v>
      </c>
      <c r="AN70" s="30">
        <f t="shared" si="27"/>
        <v>5</v>
      </c>
      <c r="AO70" s="87" t="str">
        <f t="shared" si="2"/>
        <v>N-0 SAIDI 5</v>
      </c>
      <c r="AP70" s="26">
        <f t="shared" si="28"/>
        <v>1756.8124401485429</v>
      </c>
      <c r="AQ70" s="35">
        <f>NPV('Cost Assumptions'!$B$3,'MiraLoma &amp; Centralized BESS VS'!C29:AE29)</f>
        <v>0</v>
      </c>
    </row>
    <row r="71" spans="1:43" x14ac:dyDescent="0.35">
      <c r="A71" s="96" t="s">
        <v>30</v>
      </c>
      <c r="B71" s="27" t="s">
        <v>35</v>
      </c>
      <c r="C71" s="127">
        <f t="shared" si="29"/>
        <v>-1.0037710356590992</v>
      </c>
      <c r="D71" s="127"/>
      <c r="E71" s="65"/>
      <c r="F71" s="87"/>
      <c r="G71" s="87"/>
      <c r="H71" s="87"/>
      <c r="I71" s="65"/>
      <c r="J71" s="65"/>
      <c r="K71" s="65"/>
      <c r="L71" s="65"/>
      <c r="M71" s="65"/>
      <c r="N71" s="65"/>
      <c r="O71" s="65"/>
      <c r="P71" s="65"/>
      <c r="Q71" s="87"/>
      <c r="R71" s="87"/>
      <c r="S71" s="87"/>
      <c r="T71" s="87"/>
      <c r="AC71" s="87"/>
      <c r="AD71" s="87"/>
      <c r="AE71" s="87"/>
      <c r="AF71" s="87"/>
      <c r="AI71" s="87"/>
      <c r="AJ71" s="87"/>
      <c r="AK71" s="87"/>
      <c r="AL71" s="13" t="s">
        <v>39</v>
      </c>
      <c r="AM71" s="27" t="s">
        <v>34</v>
      </c>
      <c r="AN71" s="30">
        <f t="shared" si="27"/>
        <v>5</v>
      </c>
      <c r="AO71" s="87" t="str">
        <f t="shared" si="2"/>
        <v>N-0 SAIFI 5</v>
      </c>
      <c r="AP71" s="26">
        <f t="shared" si="28"/>
        <v>22.545263184878515</v>
      </c>
      <c r="AQ71" s="35">
        <f>NPV('Cost Assumptions'!$B$3,'MiraLoma &amp; Centralized BESS VS'!C30:AE30)</f>
        <v>0</v>
      </c>
    </row>
    <row r="72" spans="1:43" x14ac:dyDescent="0.35">
      <c r="A72" s="121" t="s">
        <v>30</v>
      </c>
      <c r="B72" s="27" t="s">
        <v>36</v>
      </c>
      <c r="C72" s="127">
        <f t="shared" si="29"/>
        <v>-190.14102286921212</v>
      </c>
      <c r="D72" s="127"/>
      <c r="E72" s="65"/>
      <c r="F72" s="87"/>
      <c r="G72" s="87"/>
      <c r="H72" s="87"/>
      <c r="I72" s="65"/>
      <c r="J72" s="65"/>
      <c r="K72" s="65"/>
      <c r="L72" s="65"/>
      <c r="M72" s="65"/>
      <c r="N72" s="65"/>
      <c r="O72" s="65"/>
      <c r="P72" s="65"/>
      <c r="Q72" s="87"/>
      <c r="R72" s="87"/>
      <c r="S72" s="87"/>
      <c r="T72" s="87"/>
      <c r="AC72" s="87"/>
      <c r="AD72" s="87"/>
      <c r="AE72" s="87"/>
      <c r="AF72" s="87"/>
      <c r="AI72" s="87"/>
      <c r="AJ72" s="87"/>
      <c r="AK72" s="87"/>
      <c r="AL72" s="13" t="s">
        <v>39</v>
      </c>
      <c r="AM72" s="27" t="s">
        <v>35</v>
      </c>
      <c r="AN72" s="119">
        <f t="shared" si="27"/>
        <v>5</v>
      </c>
      <c r="AO72" s="31" t="str">
        <f t="shared" si="2"/>
        <v>N-0 PFD 5</v>
      </c>
      <c r="AP72" s="26">
        <f t="shared" si="28"/>
        <v>284.37326230940391</v>
      </c>
      <c r="AQ72" s="35">
        <f>NPV('Cost Assumptions'!$B$3,'MiraLoma &amp; Centralized BESS VS'!C31:AE31)</f>
        <v>0</v>
      </c>
    </row>
    <row r="73" spans="1:43" x14ac:dyDescent="0.35">
      <c r="A73" s="121" t="s">
        <v>30</v>
      </c>
      <c r="B73" s="27" t="s">
        <v>37</v>
      </c>
      <c r="C73" s="127">
        <f t="shared" si="29"/>
        <v>-1858.578588248728</v>
      </c>
      <c r="D73" s="127"/>
      <c r="E73" s="65"/>
      <c r="F73" s="87"/>
      <c r="G73" s="87"/>
      <c r="H73" s="87"/>
      <c r="I73" s="65"/>
      <c r="J73" s="65"/>
      <c r="K73" s="65"/>
      <c r="L73" s="65"/>
      <c r="M73" s="65"/>
      <c r="N73" s="65"/>
      <c r="O73" s="65"/>
      <c r="P73" s="65"/>
      <c r="Q73" s="87"/>
      <c r="R73" s="87"/>
      <c r="S73" s="87"/>
      <c r="T73" s="87"/>
      <c r="AC73" s="87"/>
      <c r="AD73" s="87"/>
      <c r="AE73" s="87"/>
      <c r="AF73" s="87"/>
      <c r="AI73" s="87"/>
      <c r="AJ73" s="87"/>
      <c r="AK73" s="87"/>
      <c r="AL73" s="13" t="s">
        <v>30</v>
      </c>
      <c r="AM73" s="27" t="s">
        <v>31</v>
      </c>
      <c r="AN73" s="33">
        <v>0</v>
      </c>
      <c r="AO73" s="36" t="str">
        <f t="shared" si="2"/>
        <v>N-1 EENS 0</v>
      </c>
      <c r="AP73" s="26">
        <v>0</v>
      </c>
      <c r="AQ73" s="35">
        <f>NPV('Cost Assumptions'!$B$3,'Baseline System Analysis'!C3:AE3)</f>
        <v>9653.5934301640063</v>
      </c>
    </row>
    <row r="74" spans="1:43" x14ac:dyDescent="0.35">
      <c r="A74" s="121" t="s">
        <v>30</v>
      </c>
      <c r="B74" s="27" t="s">
        <v>38</v>
      </c>
      <c r="C74" s="127">
        <f t="shared" si="29"/>
        <v>-987.08071998333901</v>
      </c>
      <c r="D74" s="127"/>
      <c r="E74" s="65"/>
      <c r="F74" s="87"/>
      <c r="G74" s="87"/>
      <c r="H74" s="87"/>
      <c r="I74" s="65"/>
      <c r="J74" s="65"/>
      <c r="K74" s="65"/>
      <c r="L74" s="65"/>
      <c r="M74" s="65"/>
      <c r="N74" s="65"/>
      <c r="O74" s="65"/>
      <c r="P74" s="65"/>
      <c r="Q74" s="87"/>
      <c r="R74" s="87"/>
      <c r="S74" s="87"/>
      <c r="T74" s="87"/>
      <c r="AC74" s="87"/>
      <c r="AD74" s="87"/>
      <c r="AE74" s="87"/>
      <c r="AF74" s="87"/>
      <c r="AI74" s="87"/>
      <c r="AJ74" s="87"/>
      <c r="AK74" s="87"/>
      <c r="AL74" s="13" t="s">
        <v>30</v>
      </c>
      <c r="AM74" s="27" t="s">
        <v>32</v>
      </c>
      <c r="AN74" s="30">
        <v>0</v>
      </c>
      <c r="AO74" s="31" t="str">
        <f t="shared" si="2"/>
        <v>N-1 IP 0</v>
      </c>
      <c r="AP74" s="26">
        <v>0</v>
      </c>
      <c r="AQ74" s="35">
        <f>NPV('Cost Assumptions'!$B$3,'Baseline System Analysis'!C4:AE4)</f>
        <v>265.9402306105701</v>
      </c>
    </row>
    <row r="75" spans="1:43" x14ac:dyDescent="0.35">
      <c r="A75" s="121" t="s">
        <v>39</v>
      </c>
      <c r="B75" s="27" t="s">
        <v>31</v>
      </c>
      <c r="C75" s="127">
        <f t="shared" si="29"/>
        <v>-30.21941169537703</v>
      </c>
      <c r="D75" s="127"/>
      <c r="E75" s="65"/>
      <c r="F75" s="87"/>
      <c r="G75" s="87"/>
      <c r="H75" s="87"/>
      <c r="I75" s="65"/>
      <c r="J75" s="65"/>
      <c r="K75" s="65"/>
      <c r="L75" s="65"/>
      <c r="M75" s="65"/>
      <c r="N75" s="65"/>
      <c r="O75" s="65"/>
      <c r="P75" s="65"/>
      <c r="Q75" s="87"/>
      <c r="R75" s="87"/>
      <c r="S75" s="87"/>
      <c r="T75" s="87"/>
      <c r="AC75" s="87"/>
      <c r="AD75" s="87"/>
      <c r="AE75" s="87"/>
      <c r="AF75" s="87"/>
      <c r="AI75" s="87"/>
      <c r="AJ75" s="87"/>
      <c r="AK75" s="87"/>
      <c r="AL75" s="13" t="s">
        <v>30</v>
      </c>
      <c r="AM75" s="27" t="s">
        <v>33</v>
      </c>
      <c r="AN75" s="30">
        <v>0</v>
      </c>
      <c r="AO75" s="31" t="str">
        <f t="shared" si="2"/>
        <v>N-1 SAIDI 0</v>
      </c>
      <c r="AP75" s="117">
        <v>0</v>
      </c>
      <c r="AQ75" s="35">
        <f>NPV('Cost Assumptions'!$B$3,'Baseline System Analysis'!C5:AE5)</f>
        <v>1137.6462621520034</v>
      </c>
    </row>
    <row r="76" spans="1:43" x14ac:dyDescent="0.35">
      <c r="A76" s="121" t="s">
        <v>39</v>
      </c>
      <c r="B76" s="27" t="s">
        <v>32</v>
      </c>
      <c r="C76" s="127">
        <f t="shared" si="29"/>
        <v>-1.9054242262650938</v>
      </c>
      <c r="D76" s="127"/>
      <c r="E76" s="65"/>
      <c r="F76" s="87"/>
      <c r="G76" s="87"/>
      <c r="H76" s="87"/>
      <c r="I76" s="65"/>
      <c r="J76" s="65"/>
      <c r="K76" s="65"/>
      <c r="L76" s="65"/>
      <c r="M76" s="65"/>
      <c r="N76" s="65"/>
      <c r="O76" s="65"/>
      <c r="P76" s="65"/>
      <c r="Q76" s="87"/>
      <c r="R76" s="87"/>
      <c r="S76" s="87"/>
      <c r="T76" s="87"/>
      <c r="AC76" s="87"/>
      <c r="AD76" s="87"/>
      <c r="AE76" s="87"/>
      <c r="AF76" s="87"/>
      <c r="AI76" s="87"/>
      <c r="AJ76" s="87"/>
      <c r="AK76" s="87"/>
      <c r="AL76" s="13" t="s">
        <v>30</v>
      </c>
      <c r="AM76" s="27" t="s">
        <v>34</v>
      </c>
      <c r="AN76" s="30">
        <v>0</v>
      </c>
      <c r="AO76" s="31" t="str">
        <f t="shared" si="2"/>
        <v>N-1 SAIFI 0</v>
      </c>
      <c r="AP76" s="26">
        <v>0</v>
      </c>
      <c r="AQ76" s="35">
        <f>NPV('Cost Assumptions'!$B$3,'Baseline System Analysis'!C6:AE6)</f>
        <v>8.5082199214814409</v>
      </c>
    </row>
    <row r="77" spans="1:43" x14ac:dyDescent="0.35">
      <c r="A77" s="121" t="s">
        <v>39</v>
      </c>
      <c r="B77" s="27" t="s">
        <v>33</v>
      </c>
      <c r="C77" s="127">
        <f t="shared" si="29"/>
        <v>-2.5061518404401468</v>
      </c>
      <c r="D77" s="12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87"/>
      <c r="R77" s="87"/>
      <c r="S77" s="87"/>
      <c r="T77" s="87"/>
      <c r="AC77" s="87"/>
      <c r="AD77" s="87"/>
      <c r="AE77" s="87"/>
      <c r="AF77" s="87"/>
      <c r="AI77" s="87"/>
      <c r="AJ77" s="87"/>
      <c r="AK77" s="87"/>
      <c r="AL77" s="13" t="s">
        <v>30</v>
      </c>
      <c r="AM77" s="27" t="s">
        <v>35</v>
      </c>
      <c r="AN77" s="30">
        <v>0</v>
      </c>
      <c r="AO77" s="31" t="str">
        <f t="shared" si="2"/>
        <v>N-1 PFD 0</v>
      </c>
      <c r="AP77" s="26">
        <v>0</v>
      </c>
      <c r="AQ77" s="35">
        <f>NPV('Cost Assumptions'!$B$3,'Baseline System Analysis'!C7:AE7)</f>
        <v>703.64349599702848</v>
      </c>
    </row>
    <row r="78" spans="1:43" x14ac:dyDescent="0.35">
      <c r="A78" s="121" t="s">
        <v>39</v>
      </c>
      <c r="B78" s="27" t="s">
        <v>34</v>
      </c>
      <c r="C78" s="127">
        <f t="shared" si="29"/>
        <v>-3.2161573730211862E-2</v>
      </c>
      <c r="D78" s="12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87"/>
      <c r="R78" s="87"/>
      <c r="S78" s="87"/>
      <c r="T78" s="87"/>
      <c r="AC78" s="87"/>
      <c r="AD78" s="87"/>
      <c r="AE78" s="87"/>
      <c r="AF78" s="87"/>
      <c r="AI78" s="87"/>
      <c r="AJ78" s="87"/>
      <c r="AK78" s="87"/>
      <c r="AL78" s="87" t="s">
        <v>30</v>
      </c>
      <c r="AM78" s="87" t="s">
        <v>36</v>
      </c>
      <c r="AN78" s="30">
        <v>0</v>
      </c>
      <c r="AO78" s="31" t="str">
        <f t="shared" ref="AO78:AO98" si="30">CONCATENATE(AL78," ",AM78," ",AN78)</f>
        <v>N-1 Available Flex-1 0</v>
      </c>
      <c r="AP78" s="26">
        <v>0</v>
      </c>
      <c r="AQ78" s="35">
        <f>NPV('Cost Assumptions'!$B$3,'Baseline System Analysis'!C13:AE13)</f>
        <v>299240.63749281509</v>
      </c>
    </row>
    <row r="79" spans="1:43" x14ac:dyDescent="0.35">
      <c r="A79" s="121" t="s">
        <v>39</v>
      </c>
      <c r="B79" s="27" t="s">
        <v>35</v>
      </c>
      <c r="C79" s="127">
        <f t="shared" si="29"/>
        <v>-0.4056679918821739</v>
      </c>
      <c r="D79" s="12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87"/>
      <c r="R79" s="87"/>
      <c r="S79" s="87"/>
      <c r="T79" s="87"/>
      <c r="AC79" s="87"/>
      <c r="AD79" s="87"/>
      <c r="AE79" s="87"/>
      <c r="AF79" s="87"/>
      <c r="AI79" s="87"/>
      <c r="AJ79" s="87"/>
      <c r="AK79" s="87"/>
      <c r="AL79" s="13" t="s">
        <v>30</v>
      </c>
      <c r="AM79" s="27" t="s">
        <v>37</v>
      </c>
      <c r="AN79" s="30">
        <v>0</v>
      </c>
      <c r="AO79" s="31" t="str">
        <f t="shared" si="30"/>
        <v>N-1 Available Flex-2-1 0</v>
      </c>
      <c r="AP79" s="26">
        <v>0</v>
      </c>
      <c r="AQ79" s="35">
        <f>NPV('Cost Assumptions'!$B$3,'Baseline System Analysis'!C14:AE14)</f>
        <v>1985141.9549260156</v>
      </c>
    </row>
    <row r="80" spans="1:43" x14ac:dyDescent="0.3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AC80" s="87"/>
      <c r="AD80" s="87"/>
      <c r="AE80" s="87"/>
      <c r="AF80" s="87"/>
      <c r="AI80" s="87"/>
      <c r="AJ80" s="87"/>
      <c r="AK80" s="87"/>
      <c r="AL80" s="13" t="s">
        <v>30</v>
      </c>
      <c r="AM80" s="27" t="s">
        <v>38</v>
      </c>
      <c r="AN80" s="30">
        <v>0</v>
      </c>
      <c r="AO80" s="31" t="str">
        <f t="shared" si="30"/>
        <v>N-1 Available Flex-2-2 0</v>
      </c>
      <c r="AP80" s="26">
        <v>0</v>
      </c>
      <c r="AQ80" s="35">
        <f>NPV('Cost Assumptions'!$B$3,'Baseline System Analysis'!C15:AE15)</f>
        <v>972078.18496512307</v>
      </c>
    </row>
    <row r="81" spans="38:43" x14ac:dyDescent="0.35">
      <c r="AL81" s="13" t="s">
        <v>39</v>
      </c>
      <c r="AM81" s="27" t="s">
        <v>31</v>
      </c>
      <c r="AN81" s="30">
        <v>0</v>
      </c>
      <c r="AO81" s="31" t="str">
        <f t="shared" si="30"/>
        <v>N-0 EENS 0</v>
      </c>
      <c r="AP81" s="26">
        <v>0</v>
      </c>
      <c r="AQ81" s="35">
        <f>NPV('Cost Assumptions'!$B$3,'Baseline System Analysis'!C8:AE8)</f>
        <v>21183.807598459298</v>
      </c>
    </row>
    <row r="82" spans="38:43" x14ac:dyDescent="0.35">
      <c r="AL82" s="13" t="s">
        <v>39</v>
      </c>
      <c r="AM82" s="27" t="s">
        <v>32</v>
      </c>
      <c r="AN82" s="30">
        <v>0</v>
      </c>
      <c r="AO82" s="31" t="str">
        <f t="shared" si="30"/>
        <v>N-0 IP 0</v>
      </c>
      <c r="AP82" s="26">
        <v>0</v>
      </c>
      <c r="AQ82" s="35">
        <f>NPV('Cost Assumptions'!$B$3,'Baseline System Analysis'!C9:AE9)</f>
        <v>1335.7023826118307</v>
      </c>
    </row>
    <row r="83" spans="38:43" x14ac:dyDescent="0.35">
      <c r="AL83" s="13" t="s">
        <v>39</v>
      </c>
      <c r="AM83" s="27" t="s">
        <v>33</v>
      </c>
      <c r="AN83" s="30">
        <v>0</v>
      </c>
      <c r="AO83" s="31" t="str">
        <f t="shared" si="30"/>
        <v>N-0 SAIDI 0</v>
      </c>
      <c r="AP83" s="26">
        <v>0</v>
      </c>
      <c r="AQ83" s="35">
        <f>NPV('Cost Assumptions'!$B$3,'Baseline System Analysis'!C10:AE10)</f>
        <v>1756.8124401485429</v>
      </c>
    </row>
    <row r="84" spans="38:43" x14ac:dyDescent="0.35">
      <c r="AL84" s="13" t="s">
        <v>39</v>
      </c>
      <c r="AM84" s="27" t="s">
        <v>34</v>
      </c>
      <c r="AN84" s="30">
        <v>0</v>
      </c>
      <c r="AO84" s="31" t="str">
        <f t="shared" si="30"/>
        <v>N-0 SAIFI 0</v>
      </c>
      <c r="AP84" s="117">
        <v>0</v>
      </c>
      <c r="AQ84" s="35">
        <f>NPV('Cost Assumptions'!$B$3,'Baseline System Analysis'!C11:AE11)</f>
        <v>22.545263184878515</v>
      </c>
    </row>
    <row r="85" spans="38:43" x14ac:dyDescent="0.35">
      <c r="AL85" s="13" t="s">
        <v>39</v>
      </c>
      <c r="AM85" s="27" t="s">
        <v>35</v>
      </c>
      <c r="AN85" s="119">
        <v>0</v>
      </c>
      <c r="AO85" s="31" t="str">
        <f t="shared" si="30"/>
        <v>N-0 PFD 0</v>
      </c>
      <c r="AP85" s="26">
        <v>0</v>
      </c>
      <c r="AQ85" s="35">
        <f>NPV('Cost Assumptions'!$B$3,'Baseline System Analysis'!C12:AE12)</f>
        <v>284.37326230940391</v>
      </c>
    </row>
    <row r="86" spans="38:43" x14ac:dyDescent="0.35">
      <c r="AL86" s="13" t="s">
        <v>30</v>
      </c>
      <c r="AM86" s="42" t="s">
        <v>31</v>
      </c>
      <c r="AN86" s="121">
        <v>6</v>
      </c>
      <c r="AO86" s="44" t="str">
        <f t="shared" si="30"/>
        <v>N-1 EENS 6</v>
      </c>
      <c r="AP86" s="26">
        <f t="shared" ref="AP86:AP98" si="31">H23</f>
        <v>2641.0478715307408</v>
      </c>
      <c r="AQ86" s="35">
        <f>NPV('Cost Assumptions'!$B$3,'VS to VN &amp; Distributed BESS VS'!C19:AE19)</f>
        <v>7012.5455586332664</v>
      </c>
    </row>
    <row r="87" spans="38:43" x14ac:dyDescent="0.35">
      <c r="AL87" s="13" t="s">
        <v>30</v>
      </c>
      <c r="AM87" s="42" t="s">
        <v>32</v>
      </c>
      <c r="AN87" s="121">
        <v>6</v>
      </c>
      <c r="AO87" s="43" t="str">
        <f t="shared" si="30"/>
        <v>N-1 IP 6</v>
      </c>
      <c r="AP87" s="26">
        <f t="shared" si="31"/>
        <v>-52.499179029326328</v>
      </c>
      <c r="AQ87" s="35">
        <f>NPV('Cost Assumptions'!$B$3,'VS to VN &amp; Distributed BESS VS'!C20:AE20)</f>
        <v>318.43940963989638</v>
      </c>
    </row>
    <row r="88" spans="38:43" x14ac:dyDescent="0.35">
      <c r="AL88" s="13" t="s">
        <v>30</v>
      </c>
      <c r="AM88" s="42" t="s">
        <v>33</v>
      </c>
      <c r="AN88" s="121">
        <v>6</v>
      </c>
      <c r="AO88" s="43" t="str">
        <f t="shared" si="30"/>
        <v>N-1 SAIDI 6</v>
      </c>
      <c r="AP88" s="26">
        <f t="shared" si="31"/>
        <v>486.02274251545867</v>
      </c>
      <c r="AQ88" s="35">
        <f>NPV('Cost Assumptions'!$B$3,'VS to VN &amp; Distributed BESS VS'!C21:AE21)</f>
        <v>651.62351963654464</v>
      </c>
    </row>
    <row r="89" spans="38:43" x14ac:dyDescent="0.35">
      <c r="AL89" s="13" t="s">
        <v>30</v>
      </c>
      <c r="AM89" s="42" t="s">
        <v>34</v>
      </c>
      <c r="AN89" s="121">
        <v>6</v>
      </c>
      <c r="AO89" s="43" t="str">
        <f t="shared" si="30"/>
        <v>N-1 SAIFI 6</v>
      </c>
      <c r="AP89" s="26">
        <f t="shared" si="31"/>
        <v>1.9947604361456992</v>
      </c>
      <c r="AQ89" s="35">
        <f>NPV('Cost Assumptions'!$B$3,'VS to VN &amp; Distributed BESS VS'!C22:AE22)</f>
        <v>6.5134594853357406</v>
      </c>
    </row>
    <row r="90" spans="38:43" x14ac:dyDescent="0.35">
      <c r="AL90" s="13" t="s">
        <v>30</v>
      </c>
      <c r="AM90" s="42" t="s">
        <v>35</v>
      </c>
      <c r="AN90" s="121">
        <v>6</v>
      </c>
      <c r="AO90" s="43" t="str">
        <f t="shared" si="30"/>
        <v>N-1 PFD 6</v>
      </c>
      <c r="AP90" s="26">
        <f t="shared" si="31"/>
        <v>367.86650096991497</v>
      </c>
      <c r="AQ90" s="35">
        <f>NPV('Cost Assumptions'!$B$3,'VS to VN &amp; Distributed BESS VS'!C23:AE23)</f>
        <v>335.77699502711351</v>
      </c>
    </row>
    <row r="91" spans="38:43" x14ac:dyDescent="0.35">
      <c r="AL91" s="87" t="s">
        <v>30</v>
      </c>
      <c r="AM91" s="1" t="s">
        <v>36</v>
      </c>
      <c r="AN91" s="121">
        <v>6</v>
      </c>
      <c r="AO91" s="43" t="str">
        <f t="shared" si="30"/>
        <v>N-1 Available Flex-1 6</v>
      </c>
      <c r="AP91" s="26">
        <f t="shared" si="31"/>
        <v>108576.83307791257</v>
      </c>
      <c r="AQ91" s="35">
        <f>NPV('Cost Assumptions'!$B$3,'VS to VN &amp; Distributed BESS VS'!C24:AE24)</f>
        <v>190663.80441490241</v>
      </c>
    </row>
    <row r="92" spans="38:43" x14ac:dyDescent="0.35">
      <c r="AL92" s="13" t="s">
        <v>30</v>
      </c>
      <c r="AM92" s="27" t="s">
        <v>37</v>
      </c>
      <c r="AN92" s="121">
        <v>6</v>
      </c>
      <c r="AO92" s="43" t="str">
        <f t="shared" si="30"/>
        <v>N-1 Available Flex-2-1 6</v>
      </c>
      <c r="AP92" s="26">
        <f t="shared" si="31"/>
        <v>0</v>
      </c>
      <c r="AQ92" s="35">
        <f>NPV('Cost Assumptions'!$B$3,'VS to VN &amp; Distributed BESS VS'!C25:AE25)</f>
        <v>1985141.9549260156</v>
      </c>
    </row>
    <row r="93" spans="38:43" x14ac:dyDescent="0.35">
      <c r="AL93" s="13" t="s">
        <v>30</v>
      </c>
      <c r="AM93" s="27" t="s">
        <v>38</v>
      </c>
      <c r="AN93" s="121">
        <v>6</v>
      </c>
      <c r="AO93" s="43" t="str">
        <f t="shared" si="30"/>
        <v>N-1 Available Flex-2-2 6</v>
      </c>
      <c r="AP93" s="26">
        <f t="shared" si="31"/>
        <v>628140.42847795226</v>
      </c>
      <c r="AQ93" s="35">
        <f>NPV('Cost Assumptions'!$B$3,'VS to VN &amp; Distributed BESS VS'!C26:AE26)</f>
        <v>343937.75648717087</v>
      </c>
    </row>
    <row r="94" spans="38:43" x14ac:dyDescent="0.35">
      <c r="AL94" s="13" t="s">
        <v>39</v>
      </c>
      <c r="AM94" s="42" t="s">
        <v>31</v>
      </c>
      <c r="AN94" s="121">
        <v>6</v>
      </c>
      <c r="AO94" s="43" t="str">
        <f t="shared" si="30"/>
        <v>N-0 EENS 6</v>
      </c>
      <c r="AP94" s="26">
        <f t="shared" si="31"/>
        <v>10787.943574439434</v>
      </c>
      <c r="AQ94" s="35">
        <f>NPV('Cost Assumptions'!$B$3,'VS to VN &amp; Distributed BESS VS'!C28:AE28)</f>
        <v>10278.046894618274</v>
      </c>
    </row>
    <row r="95" spans="38:43" x14ac:dyDescent="0.35">
      <c r="AL95" s="13" t="s">
        <v>39</v>
      </c>
      <c r="AM95" s="42" t="s">
        <v>32</v>
      </c>
      <c r="AN95" s="121">
        <v>6</v>
      </c>
      <c r="AO95" s="43" t="str">
        <f t="shared" si="30"/>
        <v>N-0 IP 6</v>
      </c>
      <c r="AP95" s="26">
        <f t="shared" si="31"/>
        <v>903.22125952451267</v>
      </c>
      <c r="AQ95" s="35">
        <f>NPV('Cost Assumptions'!$B$3,'VS to VN &amp; Distributed BESS VS'!C29:AE29)</f>
        <v>432.48112308731788</v>
      </c>
    </row>
    <row r="96" spans="38:43" x14ac:dyDescent="0.35">
      <c r="AL96" s="13" t="s">
        <v>39</v>
      </c>
      <c r="AM96" s="42" t="s">
        <v>33</v>
      </c>
      <c r="AN96" s="121">
        <v>6</v>
      </c>
      <c r="AO96" s="43" t="str">
        <f t="shared" si="30"/>
        <v>N-0 SAIDI 6</v>
      </c>
      <c r="AP96" s="26">
        <f t="shared" si="31"/>
        <v>610.69998807766876</v>
      </c>
      <c r="AQ96" s="35">
        <f>NPV('Cost Assumptions'!$B$3,'VS to VN &amp; Distributed BESS VS'!C30:AE30)</f>
        <v>1146.112452070874</v>
      </c>
    </row>
    <row r="97" spans="38:43" x14ac:dyDescent="0.35">
      <c r="AL97" s="13" t="s">
        <v>39</v>
      </c>
      <c r="AM97" s="42" t="s">
        <v>34</v>
      </c>
      <c r="AN97" s="121">
        <v>6</v>
      </c>
      <c r="AO97" s="43" t="str">
        <f t="shared" si="30"/>
        <v>N-0 SAIFI 6</v>
      </c>
      <c r="AP97" s="26">
        <f t="shared" si="31"/>
        <v>10.891997043860341</v>
      </c>
      <c r="AQ97" s="35">
        <f>NPV('Cost Assumptions'!$B$3,'VS to VN &amp; Distributed BESS VS'!C31:AE31)</f>
        <v>11.653266141018172</v>
      </c>
    </row>
    <row r="98" spans="38:43" x14ac:dyDescent="0.35">
      <c r="AL98" s="13" t="s">
        <v>39</v>
      </c>
      <c r="AM98" s="42" t="s">
        <v>35</v>
      </c>
      <c r="AN98" s="121">
        <v>6</v>
      </c>
      <c r="AO98" s="43" t="str">
        <f t="shared" si="30"/>
        <v>N-0 PFD 6</v>
      </c>
      <c r="AP98" s="26">
        <f t="shared" si="31"/>
        <v>126.52458104801268</v>
      </c>
      <c r="AQ98" s="35">
        <f>NPV('Cost Assumptions'!$B$3,'VS to VN &amp; Distributed BESS VS'!C32:AE32)</f>
        <v>157.84868126139119</v>
      </c>
    </row>
    <row r="99" spans="38:43" x14ac:dyDescent="0.35">
      <c r="AL99" s="13" t="s">
        <v>30</v>
      </c>
      <c r="AM99" s="42" t="s">
        <v>31</v>
      </c>
      <c r="AN99" s="121">
        <v>7</v>
      </c>
      <c r="AO99" s="43" t="str">
        <f t="shared" ref="AO99:AO111" si="32">CONCATENATE(AL99," ",AM99," ",AN99)</f>
        <v>N-1 EENS 7</v>
      </c>
      <c r="AP99" s="26">
        <f t="shared" ref="AP99:AP111" si="33">I23</f>
        <v>1889.9754445262672</v>
      </c>
      <c r="AQ99" s="35">
        <f>NPV('Cost Assumptions'!$B$3,Menifee!C19:AE19)</f>
        <v>7763.6179856377412</v>
      </c>
    </row>
    <row r="100" spans="38:43" x14ac:dyDescent="0.35">
      <c r="AL100" s="13" t="s">
        <v>30</v>
      </c>
      <c r="AM100" s="42" t="s">
        <v>32</v>
      </c>
      <c r="AN100" s="121">
        <v>7</v>
      </c>
      <c r="AO100" s="43" t="str">
        <f t="shared" si="32"/>
        <v>N-1 IP 7</v>
      </c>
      <c r="AP100" s="26">
        <f t="shared" si="33"/>
        <v>-46.173427089324001</v>
      </c>
      <c r="AQ100" s="35">
        <f>NPV('Cost Assumptions'!$B$3,Menifee!C20:AE20)</f>
        <v>312.11365769989413</v>
      </c>
    </row>
    <row r="101" spans="38:43" x14ac:dyDescent="0.35">
      <c r="AL101" s="13" t="s">
        <v>30</v>
      </c>
      <c r="AM101" s="42" t="s">
        <v>33</v>
      </c>
      <c r="AN101" s="121">
        <v>7</v>
      </c>
      <c r="AO101" s="43" t="str">
        <f t="shared" si="32"/>
        <v>N-1 SAIDI 7</v>
      </c>
      <c r="AP101" s="26">
        <f t="shared" si="33"/>
        <v>606.48008061195833</v>
      </c>
      <c r="AQ101" s="35">
        <f>NPV('Cost Assumptions'!$B$3,Menifee!C21:AE21)</f>
        <v>531.16618154004493</v>
      </c>
    </row>
    <row r="102" spans="38:43" x14ac:dyDescent="0.35">
      <c r="AL102" s="13" t="s">
        <v>30</v>
      </c>
      <c r="AM102" s="42" t="s">
        <v>34</v>
      </c>
      <c r="AN102" s="121">
        <v>7</v>
      </c>
      <c r="AO102" s="43" t="str">
        <f t="shared" si="32"/>
        <v>N-1 SAIFI 7</v>
      </c>
      <c r="AP102" s="26">
        <f t="shared" si="33"/>
        <v>2.1361921694577393</v>
      </c>
      <c r="AQ102" s="35">
        <f>NPV('Cost Assumptions'!$B$3,Menifee!C22:AE22)</f>
        <v>6.3720277520237003</v>
      </c>
    </row>
    <row r="103" spans="38:43" x14ac:dyDescent="0.35">
      <c r="AL103" s="13" t="s">
        <v>30</v>
      </c>
      <c r="AM103" s="42" t="s">
        <v>35</v>
      </c>
      <c r="AN103" s="121">
        <v>7</v>
      </c>
      <c r="AO103" s="43" t="str">
        <f t="shared" si="32"/>
        <v>N-1 PFD 7</v>
      </c>
      <c r="AP103" s="26">
        <f t="shared" si="33"/>
        <v>388.61794932503807</v>
      </c>
      <c r="AQ103" s="35">
        <f>NPV('Cost Assumptions'!$B$3,Menifee!C23:AE23)</f>
        <v>315.02554667199047</v>
      </c>
    </row>
    <row r="104" spans="38:43" x14ac:dyDescent="0.35">
      <c r="AL104" s="87" t="s">
        <v>30</v>
      </c>
      <c r="AM104" s="1" t="s">
        <v>36</v>
      </c>
      <c r="AN104" s="121">
        <v>7</v>
      </c>
      <c r="AO104" s="43" t="str">
        <f t="shared" si="32"/>
        <v>N-1 Available Flex-1 7</v>
      </c>
      <c r="AP104" s="26">
        <f t="shared" si="33"/>
        <v>97911.486022436278</v>
      </c>
      <c r="AQ104" s="35">
        <f>NPV('Cost Assumptions'!$B$3,Menifee!C24:AE24)</f>
        <v>201329.1514703788</v>
      </c>
    </row>
    <row r="105" spans="38:43" x14ac:dyDescent="0.35">
      <c r="AL105" s="13" t="s">
        <v>30</v>
      </c>
      <c r="AM105" s="27" t="s">
        <v>37</v>
      </c>
      <c r="AN105" s="121">
        <v>7</v>
      </c>
      <c r="AO105" s="43" t="str">
        <f t="shared" si="32"/>
        <v>N-1 Available Flex-2-1 7</v>
      </c>
      <c r="AP105" s="26">
        <f t="shared" si="33"/>
        <v>1159523.3929317899</v>
      </c>
      <c r="AQ105" s="35">
        <f>NPV('Cost Assumptions'!$B$3,Menifee!C25:AE25)</f>
        <v>825618.56199422525</v>
      </c>
    </row>
    <row r="106" spans="38:43" x14ac:dyDescent="0.35">
      <c r="AL106" s="13" t="s">
        <v>30</v>
      </c>
      <c r="AM106" s="27" t="s">
        <v>38</v>
      </c>
      <c r="AN106" s="121">
        <v>7</v>
      </c>
      <c r="AO106" s="43" t="str">
        <f t="shared" si="32"/>
        <v>N-1 Available Flex-2-2 7</v>
      </c>
      <c r="AP106" s="26">
        <f t="shared" si="33"/>
        <v>625479.5609838292</v>
      </c>
      <c r="AQ106" s="35">
        <f>NPV('Cost Assumptions'!$B$3,Menifee!C26:AE26)</f>
        <v>346598.62398129393</v>
      </c>
    </row>
    <row r="107" spans="38:43" x14ac:dyDescent="0.35">
      <c r="AL107" s="13" t="s">
        <v>39</v>
      </c>
      <c r="AM107" s="42" t="s">
        <v>31</v>
      </c>
      <c r="AN107" s="121">
        <v>7</v>
      </c>
      <c r="AO107" s="43" t="str">
        <f t="shared" si="32"/>
        <v>N-0 EENS 7</v>
      </c>
      <c r="AP107" s="26">
        <f t="shared" si="33"/>
        <v>20662.713866833808</v>
      </c>
      <c r="AQ107" s="35">
        <f>NPV('Cost Assumptions'!$B$3,Menifee!C27:AE27)</f>
        <v>521.09373162549116</v>
      </c>
    </row>
    <row r="108" spans="38:43" x14ac:dyDescent="0.35">
      <c r="AL108" s="13" t="s">
        <v>39</v>
      </c>
      <c r="AM108" s="42" t="s">
        <v>32</v>
      </c>
      <c r="AN108" s="121">
        <v>7</v>
      </c>
      <c r="AO108" s="43" t="str">
        <f t="shared" si="32"/>
        <v>N-0 IP 7</v>
      </c>
      <c r="AP108" s="26">
        <f t="shared" si="33"/>
        <v>1237.8859766189994</v>
      </c>
      <c r="AQ108" s="35">
        <f>NPV('Cost Assumptions'!$B$3,Menifee!C28:AE28)</f>
        <v>97.816405992830923</v>
      </c>
    </row>
    <row r="109" spans="38:43" x14ac:dyDescent="0.35">
      <c r="AL109" s="13" t="s">
        <v>39</v>
      </c>
      <c r="AM109" s="42" t="s">
        <v>33</v>
      </c>
      <c r="AN109" s="121">
        <v>7</v>
      </c>
      <c r="AO109" s="43" t="str">
        <f t="shared" si="32"/>
        <v>N-0 SAIDI 7</v>
      </c>
      <c r="AP109" s="26">
        <f t="shared" si="33"/>
        <v>1743.7602473872785</v>
      </c>
      <c r="AQ109" s="35">
        <f>NPV('Cost Assumptions'!$B$3,Menifee!C29:AE29)</f>
        <v>13.052192761264095</v>
      </c>
    </row>
    <row r="110" spans="38:43" x14ac:dyDescent="0.35">
      <c r="AL110" s="13" t="s">
        <v>39</v>
      </c>
      <c r="AM110" s="42" t="s">
        <v>34</v>
      </c>
      <c r="AN110" s="121">
        <v>7</v>
      </c>
      <c r="AO110" s="43" t="str">
        <f t="shared" si="32"/>
        <v>N-0 SAIFI 7</v>
      </c>
      <c r="AP110" s="26">
        <f t="shared" si="33"/>
        <v>21.970126553600732</v>
      </c>
      <c r="AQ110" s="35">
        <f>NPV('Cost Assumptions'!$B$3,Menifee!C30:AE30)</f>
        <v>0.57513663127777781</v>
      </c>
    </row>
    <row r="111" spans="38:43" x14ac:dyDescent="0.35">
      <c r="AL111" s="13" t="s">
        <v>39</v>
      </c>
      <c r="AM111" s="42" t="s">
        <v>35</v>
      </c>
      <c r="AN111" s="121">
        <v>7</v>
      </c>
      <c r="AO111" s="43" t="str">
        <f t="shared" si="32"/>
        <v>N-0 PFD 7</v>
      </c>
      <c r="AP111" s="26">
        <f t="shared" si="33"/>
        <v>273.76169619613398</v>
      </c>
      <c r="AQ111" s="35">
        <f>NPV('Cost Assumptions'!$B$3,Menifee!C31:AE31)</f>
        <v>10.611566113269896</v>
      </c>
    </row>
    <row r="112" spans="38:43" x14ac:dyDescent="0.35">
      <c r="AL112" s="13" t="s">
        <v>30</v>
      </c>
      <c r="AM112" s="42" t="s">
        <v>31</v>
      </c>
      <c r="AN112" s="121">
        <v>8</v>
      </c>
      <c r="AO112" s="43" t="str">
        <f t="shared" ref="AO112:AO124" si="34">CONCATENATE(AL112," ",AM112," ",AN112)</f>
        <v>N-1 EENS 8</v>
      </c>
      <c r="AP112" s="26">
        <f t="shared" ref="AP112:AP124" si="35">J23</f>
        <v>2643.0908301488644</v>
      </c>
      <c r="AQ112" s="35">
        <f>NPV('Cost Assumptions'!$B$3,'Mira Loma'!C19:AE19)</f>
        <v>7010.5026000151438</v>
      </c>
    </row>
    <row r="113" spans="38:43" x14ac:dyDescent="0.35">
      <c r="AL113" s="13" t="s">
        <v>30</v>
      </c>
      <c r="AM113" s="42" t="s">
        <v>32</v>
      </c>
      <c r="AN113" s="121">
        <v>8</v>
      </c>
      <c r="AO113" s="43" t="str">
        <f t="shared" si="34"/>
        <v>N-1 IP 8</v>
      </c>
      <c r="AP113" s="26">
        <f t="shared" si="35"/>
        <v>27.852347456357673</v>
      </c>
      <c r="AQ113" s="35">
        <f>NPV('Cost Assumptions'!$B$3,'Mira Loma'!C20:AE20)</f>
        <v>238.08788315421245</v>
      </c>
    </row>
    <row r="114" spans="38:43" x14ac:dyDescent="0.35">
      <c r="AL114" s="13" t="s">
        <v>30</v>
      </c>
      <c r="AM114" s="42" t="s">
        <v>33</v>
      </c>
      <c r="AN114" s="121">
        <v>8</v>
      </c>
      <c r="AO114" s="43" t="str">
        <f t="shared" si="34"/>
        <v>N-1 SAIDI 8</v>
      </c>
      <c r="AP114" s="26">
        <f t="shared" si="35"/>
        <v>623.60152467254932</v>
      </c>
      <c r="AQ114" s="35">
        <f>NPV('Cost Assumptions'!$B$3,'Mira Loma'!C21:AE21)</f>
        <v>514.04473747945394</v>
      </c>
    </row>
    <row r="115" spans="38:43" x14ac:dyDescent="0.35">
      <c r="AL115" s="13" t="s">
        <v>30</v>
      </c>
      <c r="AM115" s="42" t="s">
        <v>34</v>
      </c>
      <c r="AN115" s="121">
        <v>8</v>
      </c>
      <c r="AO115" s="43" t="str">
        <f t="shared" si="34"/>
        <v>N-1 SAIFI 8</v>
      </c>
      <c r="AP115" s="26">
        <f t="shared" si="35"/>
        <v>1.9532506534080925</v>
      </c>
      <c r="AQ115" s="35">
        <f>NPV('Cost Assumptions'!$B$3,'Mira Loma'!C22:AE22)</f>
        <v>6.5549692680733491</v>
      </c>
    </row>
    <row r="116" spans="38:43" x14ac:dyDescent="0.35">
      <c r="AL116" s="13" t="s">
        <v>30</v>
      </c>
      <c r="AM116" s="42" t="s">
        <v>35</v>
      </c>
      <c r="AN116" s="121">
        <v>8</v>
      </c>
      <c r="AO116" s="43" t="str">
        <f t="shared" si="34"/>
        <v>N-1 PFD 8</v>
      </c>
      <c r="AP116" s="26">
        <f t="shared" si="35"/>
        <v>444.53686486608456</v>
      </c>
      <c r="AQ116" s="35">
        <f>NPV('Cost Assumptions'!$B$3,'Mira Loma'!C23:AE23)</f>
        <v>259.10663113094409</v>
      </c>
    </row>
    <row r="117" spans="38:43" x14ac:dyDescent="0.35">
      <c r="AL117" s="87" t="s">
        <v>30</v>
      </c>
      <c r="AM117" s="1" t="s">
        <v>36</v>
      </c>
      <c r="AN117" s="121">
        <v>8</v>
      </c>
      <c r="AO117" s="43" t="str">
        <f t="shared" si="34"/>
        <v>N-1 Available Flex-1 8</v>
      </c>
      <c r="AP117" s="26">
        <f t="shared" si="35"/>
        <v>143555.87948410417</v>
      </c>
      <c r="AQ117" s="35">
        <f>NPV('Cost Assumptions'!$B$3,'Mira Loma'!C24:AE24)</f>
        <v>155684.75800871087</v>
      </c>
    </row>
    <row r="118" spans="38:43" x14ac:dyDescent="0.35">
      <c r="AL118" s="13" t="s">
        <v>30</v>
      </c>
      <c r="AM118" s="27" t="s">
        <v>37</v>
      </c>
      <c r="AN118" s="121">
        <v>8</v>
      </c>
      <c r="AO118" s="43" t="str">
        <f t="shared" si="34"/>
        <v>N-1 Available Flex-2-1 8</v>
      </c>
      <c r="AP118" s="26">
        <f t="shared" si="35"/>
        <v>512526.55583863205</v>
      </c>
      <c r="AQ118" s="35">
        <f>NPV('Cost Assumptions'!$B$3,'Mira Loma'!C25:AE25)</f>
        <v>1472615.3990873832</v>
      </c>
    </row>
    <row r="119" spans="38:43" x14ac:dyDescent="0.35">
      <c r="AL119" s="13" t="s">
        <v>30</v>
      </c>
      <c r="AM119" s="27" t="s">
        <v>38</v>
      </c>
      <c r="AN119" s="121">
        <v>8</v>
      </c>
      <c r="AO119" s="43" t="str">
        <f t="shared" si="34"/>
        <v>N-1 Available Flex-2-2 8</v>
      </c>
      <c r="AP119" s="26">
        <f t="shared" si="35"/>
        <v>587117.82529934624</v>
      </c>
      <c r="AQ119" s="35">
        <f>NPV('Cost Assumptions'!$B$3,'Mira Loma'!C26:AE26)</f>
        <v>384960.3596657766</v>
      </c>
    </row>
    <row r="120" spans="38:43" x14ac:dyDescent="0.35">
      <c r="AL120" s="13" t="s">
        <v>39</v>
      </c>
      <c r="AM120" s="42" t="s">
        <v>31</v>
      </c>
      <c r="AN120" s="121">
        <v>8</v>
      </c>
      <c r="AO120" s="43" t="str">
        <f t="shared" si="34"/>
        <v>N-0 EENS 8</v>
      </c>
      <c r="AP120" s="26">
        <f t="shared" si="35"/>
        <v>14173.304998444155</v>
      </c>
      <c r="AQ120" s="35">
        <f>NPV('Cost Assumptions'!$B$3,'Mira Loma'!C27:AE27)</f>
        <v>5461.3276919497939</v>
      </c>
    </row>
    <row r="121" spans="38:43" x14ac:dyDescent="0.35">
      <c r="AL121" s="13" t="s">
        <v>39</v>
      </c>
      <c r="AM121" s="42" t="s">
        <v>32</v>
      </c>
      <c r="AN121" s="121">
        <v>8</v>
      </c>
      <c r="AO121" s="43" t="str">
        <f t="shared" si="34"/>
        <v>N-0 IP 8</v>
      </c>
      <c r="AP121" s="26">
        <f t="shared" si="35"/>
        <v>727.37959274029367</v>
      </c>
      <c r="AQ121" s="35">
        <f>NPV('Cost Assumptions'!$B$3,'Mira Loma'!C28:AE28)</f>
        <v>583.63082515964186</v>
      </c>
    </row>
    <row r="122" spans="38:43" x14ac:dyDescent="0.35">
      <c r="AL122" s="13" t="s">
        <v>39</v>
      </c>
      <c r="AM122" s="42" t="s">
        <v>33</v>
      </c>
      <c r="AN122" s="121">
        <v>8</v>
      </c>
      <c r="AO122" s="43" t="str">
        <f t="shared" si="34"/>
        <v>N-0 SAIDI 8</v>
      </c>
      <c r="AP122" s="26">
        <f t="shared" si="35"/>
        <v>1505.3441241140122</v>
      </c>
      <c r="AQ122" s="35">
        <f>NPV('Cost Assumptions'!$B$3,'Mira Loma'!C29:AE29)</f>
        <v>248.90611513831053</v>
      </c>
    </row>
    <row r="123" spans="38:43" x14ac:dyDescent="0.35">
      <c r="AL123" s="13" t="s">
        <v>39</v>
      </c>
      <c r="AM123" s="42" t="s">
        <v>34</v>
      </c>
      <c r="AN123" s="121">
        <v>8</v>
      </c>
      <c r="AO123" s="43" t="str">
        <f t="shared" si="34"/>
        <v>N-0 SAIFI 8</v>
      </c>
      <c r="AP123" s="26">
        <f t="shared" si="35"/>
        <v>16.926229627394275</v>
      </c>
      <c r="AQ123" s="35">
        <f>NPV('Cost Assumptions'!$B$3,'Mira Loma'!C30:AE30)</f>
        <v>5.425920743450046</v>
      </c>
    </row>
    <row r="124" spans="38:43" x14ac:dyDescent="0.35">
      <c r="AL124" s="13" t="s">
        <v>39</v>
      </c>
      <c r="AM124" s="42" t="s">
        <v>35</v>
      </c>
      <c r="AN124" s="121">
        <v>8</v>
      </c>
      <c r="AO124" s="43" t="str">
        <f t="shared" si="34"/>
        <v>N-0 PFD 8</v>
      </c>
      <c r="AP124" s="26">
        <f t="shared" si="35"/>
        <v>163.26420179960036</v>
      </c>
      <c r="AQ124" s="35">
        <f>NPV('Cost Assumptions'!$B$3,'Mira Loma'!C31:AE31)</f>
        <v>92.368932624300456</v>
      </c>
    </row>
    <row r="125" spans="38:43" x14ac:dyDescent="0.35">
      <c r="AL125" s="13" t="s">
        <v>30</v>
      </c>
      <c r="AM125" s="42" t="s">
        <v>31</v>
      </c>
      <c r="AN125" s="121">
        <v>9</v>
      </c>
      <c r="AO125" s="43" t="str">
        <f t="shared" ref="AO125:AO137" si="36">CONCATENATE(AL125," ",AM125," ",AN125)</f>
        <v>N-1 EENS 9</v>
      </c>
      <c r="AP125" s="26">
        <f t="shared" ref="AP125:AP137" si="37">K23</f>
        <v>7597.9801430160442</v>
      </c>
      <c r="AQ125" s="35">
        <f>NPV('Cost Assumptions'!$B$3,'SCE Orange County'!C19:AE19)</f>
        <v>2055.6132871479654</v>
      </c>
    </row>
    <row r="126" spans="38:43" x14ac:dyDescent="0.35">
      <c r="AL126" s="13" t="s">
        <v>30</v>
      </c>
      <c r="AM126" s="42" t="s">
        <v>32</v>
      </c>
      <c r="AN126" s="121">
        <v>9</v>
      </c>
      <c r="AO126" s="43" t="str">
        <f t="shared" si="36"/>
        <v>N-1 IP 9</v>
      </c>
      <c r="AP126" s="26">
        <f t="shared" si="37"/>
        <v>144.91436759345351</v>
      </c>
      <c r="AQ126" s="35">
        <f>NPV('Cost Assumptions'!$B$3,'SCE Orange County'!C20:AE20)</f>
        <v>121.02586301711661</v>
      </c>
    </row>
    <row r="127" spans="38:43" x14ac:dyDescent="0.35">
      <c r="AL127" s="13" t="s">
        <v>30</v>
      </c>
      <c r="AM127" s="42" t="s">
        <v>33</v>
      </c>
      <c r="AN127" s="121">
        <v>9</v>
      </c>
      <c r="AO127" s="43" t="str">
        <f t="shared" si="36"/>
        <v>N-1 SAIDI 9</v>
      </c>
      <c r="AP127" s="26">
        <f t="shared" si="37"/>
        <v>1059.0132832767624</v>
      </c>
      <c r="AQ127" s="35">
        <f>NPV('Cost Assumptions'!$B$3,'SCE Orange County'!C21:AE21)</f>
        <v>78.632978875240781</v>
      </c>
    </row>
    <row r="128" spans="38:43" x14ac:dyDescent="0.35">
      <c r="AL128" s="13" t="s">
        <v>30</v>
      </c>
      <c r="AM128" s="42" t="s">
        <v>34</v>
      </c>
      <c r="AN128" s="121">
        <v>9</v>
      </c>
      <c r="AO128" s="43" t="str">
        <f t="shared" si="36"/>
        <v>N-1 SAIFI 9</v>
      </c>
      <c r="AP128" s="26">
        <f t="shared" si="37"/>
        <v>6.1175873656775748</v>
      </c>
      <c r="AQ128" s="35">
        <f>NPV('Cost Assumptions'!$B$3,'SCE Orange County'!C22:AE22)</f>
        <v>2.3906325558038666</v>
      </c>
    </row>
    <row r="129" spans="38:43" x14ac:dyDescent="0.35">
      <c r="AL129" s="13" t="s">
        <v>30</v>
      </c>
      <c r="AM129" s="42" t="s">
        <v>35</v>
      </c>
      <c r="AN129" s="121">
        <v>9</v>
      </c>
      <c r="AO129" s="43" t="str">
        <f t="shared" si="36"/>
        <v>N-1 PFD 9</v>
      </c>
      <c r="AP129" s="26">
        <f t="shared" si="37"/>
        <v>617.15664134823896</v>
      </c>
      <c r="AQ129" s="35">
        <f>NPV('Cost Assumptions'!$B$3,'SCE Orange County'!C23:AE23)</f>
        <v>86.486854648789588</v>
      </c>
    </row>
    <row r="130" spans="38:43" x14ac:dyDescent="0.35">
      <c r="AL130" s="87" t="s">
        <v>30</v>
      </c>
      <c r="AM130" s="1" t="s">
        <v>36</v>
      </c>
      <c r="AN130" s="121">
        <v>9</v>
      </c>
      <c r="AO130" s="43" t="str">
        <f t="shared" si="36"/>
        <v>N-1 Available Flex-1 9</v>
      </c>
      <c r="AP130" s="26">
        <f t="shared" si="37"/>
        <v>252249.93845932517</v>
      </c>
      <c r="AQ130" s="35">
        <f>NPV('Cost Assumptions'!$B$3,'SCE Orange County'!C24:AE24)</f>
        <v>46990.699033489873</v>
      </c>
    </row>
    <row r="131" spans="38:43" x14ac:dyDescent="0.35">
      <c r="AL131" s="13" t="s">
        <v>30</v>
      </c>
      <c r="AM131" s="27" t="s">
        <v>37</v>
      </c>
      <c r="AN131" s="121">
        <v>9</v>
      </c>
      <c r="AO131" s="43" t="str">
        <f t="shared" si="36"/>
        <v>N-1 Available Flex-2-1 9</v>
      </c>
      <c r="AP131" s="26">
        <f t="shared" si="37"/>
        <v>1329505.544063092</v>
      </c>
      <c r="AQ131" s="35">
        <f>NPV('Cost Assumptions'!$B$3,'SCE Orange County'!C25:AE25)</f>
        <v>655636.4108629236</v>
      </c>
    </row>
    <row r="132" spans="38:43" x14ac:dyDescent="0.35">
      <c r="AL132" s="13" t="s">
        <v>30</v>
      </c>
      <c r="AM132" s="27" t="s">
        <v>38</v>
      </c>
      <c r="AN132" s="121">
        <v>9</v>
      </c>
      <c r="AO132" s="43" t="str">
        <f t="shared" si="36"/>
        <v>N-1 Available Flex-2-2 9</v>
      </c>
      <c r="AP132" s="26">
        <f t="shared" si="37"/>
        <v>735410.36547107692</v>
      </c>
      <c r="AQ132" s="35">
        <f>NPV('Cost Assumptions'!$B$3,'SCE Orange County'!C26:AE26)</f>
        <v>236667.81949404621</v>
      </c>
    </row>
    <row r="133" spans="38:43" x14ac:dyDescent="0.35">
      <c r="AL133" s="13" t="s">
        <v>39</v>
      </c>
      <c r="AM133" s="42" t="s">
        <v>31</v>
      </c>
      <c r="AN133" s="121">
        <v>9</v>
      </c>
      <c r="AO133" s="43" t="str">
        <f t="shared" si="36"/>
        <v>N-0 EENS 9</v>
      </c>
      <c r="AP133" s="26">
        <f t="shared" si="37"/>
        <v>20371.84470194019</v>
      </c>
      <c r="AQ133" s="35">
        <f>NPV('Cost Assumptions'!$B$3,'SCE Orange County'!C27:AE27)</f>
        <v>811.96289651910502</v>
      </c>
    </row>
    <row r="134" spans="38:43" x14ac:dyDescent="0.35">
      <c r="AL134" s="13" t="s">
        <v>39</v>
      </c>
      <c r="AM134" s="42" t="s">
        <v>32</v>
      </c>
      <c r="AN134" s="121">
        <v>9</v>
      </c>
      <c r="AO134" s="43" t="str">
        <f t="shared" si="36"/>
        <v>N-0 IP 9</v>
      </c>
      <c r="AP134" s="26">
        <f t="shared" si="37"/>
        <v>1184.7371992045855</v>
      </c>
      <c r="AQ134" s="35">
        <f>NPV('Cost Assumptions'!$B$3,'SCE Orange County'!C28:AE28)</f>
        <v>150.96518340724509</v>
      </c>
    </row>
    <row r="135" spans="38:43" x14ac:dyDescent="0.35">
      <c r="AL135" s="13" t="s">
        <v>39</v>
      </c>
      <c r="AM135" s="42" t="s">
        <v>33</v>
      </c>
      <c r="AN135" s="121">
        <v>9</v>
      </c>
      <c r="AO135" s="43" t="str">
        <f t="shared" si="36"/>
        <v>N-0 SAIDI 9</v>
      </c>
      <c r="AP135" s="26">
        <f t="shared" si="37"/>
        <v>1742.050794926779</v>
      </c>
      <c r="AQ135" s="35">
        <f>NPV('Cost Assumptions'!$B$3,'SCE Orange County'!C29:AE29)</f>
        <v>14.761645221763617</v>
      </c>
    </row>
    <row r="136" spans="38:43" x14ac:dyDescent="0.35">
      <c r="AL136" s="13" t="s">
        <v>39</v>
      </c>
      <c r="AM136" s="42" t="s">
        <v>34</v>
      </c>
      <c r="AN136" s="121">
        <v>9</v>
      </c>
      <c r="AO136" s="43" t="str">
        <f t="shared" si="36"/>
        <v>N-0 SAIFI 9</v>
      </c>
      <c r="AP136" s="26">
        <f t="shared" si="37"/>
        <v>21.647586295629861</v>
      </c>
      <c r="AQ136" s="35">
        <f>NPV('Cost Assumptions'!$B$3,'SCE Orange County'!C30:AE30)</f>
        <v>0.89767688924865119</v>
      </c>
    </row>
    <row r="137" spans="38:43" x14ac:dyDescent="0.35">
      <c r="AL137" s="13" t="s">
        <v>39</v>
      </c>
      <c r="AM137" s="42" t="s">
        <v>35</v>
      </c>
      <c r="AN137" s="121">
        <v>9</v>
      </c>
      <c r="AO137" s="43" t="str">
        <f t="shared" si="36"/>
        <v>N-0 PFD 9</v>
      </c>
      <c r="AP137" s="26">
        <f t="shared" si="37"/>
        <v>267.11565583115612</v>
      </c>
      <c r="AQ137" s="35">
        <f>NPV('Cost Assumptions'!$B$3,'SCE Orange County'!C31:AE31)</f>
        <v>17.257606478247727</v>
      </c>
    </row>
    <row r="138" spans="38:43" x14ac:dyDescent="0.35">
      <c r="AL138" s="13" t="s">
        <v>30</v>
      </c>
      <c r="AM138" s="42" t="s">
        <v>31</v>
      </c>
      <c r="AN138" s="121">
        <v>10</v>
      </c>
      <c r="AO138" s="43" t="str">
        <f t="shared" ref="AO138:AO150" si="38">CONCATENATE(AL138," ",AM138," ",AN138)</f>
        <v>N-1 EENS 10</v>
      </c>
      <c r="AP138" s="26">
        <f t="shared" ref="AP138:AP150" si="39">L23</f>
        <v>3417.8021254828423</v>
      </c>
      <c r="AQ138" s="35">
        <f>NPV('Cost Assumptions'!$B$3,'VS to VN &amp; Central BESS VS VN '!C19:AE19)</f>
        <v>6235.7913046811664</v>
      </c>
    </row>
    <row r="139" spans="38:43" x14ac:dyDescent="0.35">
      <c r="AL139" s="13" t="s">
        <v>30</v>
      </c>
      <c r="AM139" s="42" t="s">
        <v>32</v>
      </c>
      <c r="AN139" s="121">
        <v>10</v>
      </c>
      <c r="AO139" s="43" t="str">
        <f t="shared" si="38"/>
        <v>N-1 IP 10</v>
      </c>
      <c r="AP139" s="26">
        <f t="shared" si="39"/>
        <v>-54.568047943553999</v>
      </c>
      <c r="AQ139" s="35">
        <f>NPV('Cost Assumptions'!$B$3,'VS to VN &amp; Central BESS VS VN '!C20:AE20)</f>
        <v>320.50827855412405</v>
      </c>
    </row>
    <row r="140" spans="38:43" x14ac:dyDescent="0.35">
      <c r="AL140" s="13" t="s">
        <v>30</v>
      </c>
      <c r="AM140" s="42" t="s">
        <v>33</v>
      </c>
      <c r="AN140" s="121">
        <v>10</v>
      </c>
      <c r="AO140" s="43" t="str">
        <f t="shared" si="38"/>
        <v>N-1 SAIDI 10</v>
      </c>
      <c r="AP140" s="26">
        <f t="shared" si="39"/>
        <v>635.01807900041479</v>
      </c>
      <c r="AQ140" s="35">
        <f>NPV('Cost Assumptions'!$B$3,'VS to VN &amp; Central BESS VS VN '!C21:AE21)</f>
        <v>502.62818315158853</v>
      </c>
    </row>
    <row r="141" spans="38:43" x14ac:dyDescent="0.35">
      <c r="AL141" s="13" t="s">
        <v>30</v>
      </c>
      <c r="AM141" s="42" t="s">
        <v>34</v>
      </c>
      <c r="AN141" s="121">
        <v>10</v>
      </c>
      <c r="AO141" s="43" t="str">
        <f t="shared" si="38"/>
        <v>N-1 SAIFI 10</v>
      </c>
      <c r="AP141" s="26">
        <f t="shared" si="39"/>
        <v>2.6970479248830559</v>
      </c>
      <c r="AQ141" s="35">
        <f>NPV('Cost Assumptions'!$B$3,'VS to VN &amp; Central BESS VS VN '!C22:AE22)</f>
        <v>5.8111719965983859</v>
      </c>
    </row>
    <row r="142" spans="38:43" x14ac:dyDescent="0.35">
      <c r="AL142" s="13" t="s">
        <v>30</v>
      </c>
      <c r="AM142" s="42" t="s">
        <v>35</v>
      </c>
      <c r="AN142" s="121">
        <v>10</v>
      </c>
      <c r="AO142" s="43" t="str">
        <f t="shared" si="38"/>
        <v>N-1 PFD 10</v>
      </c>
      <c r="AP142" s="26">
        <f t="shared" si="39"/>
        <v>387.01710858269144</v>
      </c>
      <c r="AQ142" s="35">
        <f>NPV('Cost Assumptions'!$B$3,'VS to VN &amp; Central BESS VS VN '!C23:AE23)</f>
        <v>316.6263874143371</v>
      </c>
    </row>
    <row r="143" spans="38:43" x14ac:dyDescent="0.35">
      <c r="AL143" s="87" t="s">
        <v>30</v>
      </c>
      <c r="AM143" s="1" t="s">
        <v>36</v>
      </c>
      <c r="AN143" s="121">
        <v>10</v>
      </c>
      <c r="AO143" s="43" t="str">
        <f t="shared" si="38"/>
        <v>N-1 Available Flex-1 10</v>
      </c>
      <c r="AP143" s="26">
        <f t="shared" si="39"/>
        <v>112489.21834804892</v>
      </c>
      <c r="AQ143" s="35">
        <f>NPV('Cost Assumptions'!$B$3,'VS to VN &amp; Central BESS VS VN '!C24:AE24)</f>
        <v>186751.41914476611</v>
      </c>
    </row>
    <row r="144" spans="38:43" x14ac:dyDescent="0.35">
      <c r="AL144" s="13" t="s">
        <v>30</v>
      </c>
      <c r="AM144" s="27" t="s">
        <v>37</v>
      </c>
      <c r="AN144" s="121">
        <v>10</v>
      </c>
      <c r="AO144" s="43" t="str">
        <f t="shared" si="38"/>
        <v>N-1 Available Flex-2-1 10</v>
      </c>
      <c r="AP144" s="26">
        <f t="shared" si="39"/>
        <v>0</v>
      </c>
      <c r="AQ144" s="35">
        <f>NPV('Cost Assumptions'!$B$3,'VS to VN &amp; Central BESS VS VN '!C25:AE25)</f>
        <v>1985141.9549260156</v>
      </c>
    </row>
    <row r="145" spans="38:43" x14ac:dyDescent="0.35">
      <c r="AL145" s="13" t="s">
        <v>30</v>
      </c>
      <c r="AM145" s="27" t="s">
        <v>38</v>
      </c>
      <c r="AN145" s="121">
        <v>10</v>
      </c>
      <c r="AO145" s="43" t="str">
        <f t="shared" si="38"/>
        <v>N-1 Available Flex-2-2 10</v>
      </c>
      <c r="AP145" s="26">
        <f t="shared" si="39"/>
        <v>625479.5609838292</v>
      </c>
      <c r="AQ145" s="35">
        <f>NPV('Cost Assumptions'!$B$3,'VS to VN &amp; Central BESS VS VN '!C26:AE26)</f>
        <v>346598.62398129393</v>
      </c>
    </row>
    <row r="146" spans="38:43" x14ac:dyDescent="0.35">
      <c r="AL146" s="13" t="s">
        <v>39</v>
      </c>
      <c r="AM146" s="42" t="s">
        <v>31</v>
      </c>
      <c r="AN146" s="121">
        <v>10</v>
      </c>
      <c r="AO146" s="43" t="str">
        <f t="shared" si="38"/>
        <v>N-0 EENS 10</v>
      </c>
      <c r="AP146" s="26">
        <f t="shared" si="39"/>
        <v>21183.807598459298</v>
      </c>
      <c r="AQ146" s="35">
        <f>NPV('Cost Assumptions'!$B$3,'VS to VN &amp; Central BESS VS VN '!C28:AE28)</f>
        <v>0</v>
      </c>
    </row>
    <row r="147" spans="38:43" x14ac:dyDescent="0.35">
      <c r="AL147" s="13" t="s">
        <v>39</v>
      </c>
      <c r="AM147" s="42" t="s">
        <v>32</v>
      </c>
      <c r="AN147" s="121">
        <v>10</v>
      </c>
      <c r="AO147" s="43" t="str">
        <f t="shared" si="38"/>
        <v>N-0 IP 10</v>
      </c>
      <c r="AP147" s="26">
        <f t="shared" si="39"/>
        <v>1335.7023826118307</v>
      </c>
      <c r="AQ147" s="35">
        <f>NPV('Cost Assumptions'!$B$3,'VS to VN &amp; Central BESS VS VN '!C29:AE29)</f>
        <v>0</v>
      </c>
    </row>
    <row r="148" spans="38:43" x14ac:dyDescent="0.35">
      <c r="AL148" s="13" t="s">
        <v>39</v>
      </c>
      <c r="AM148" s="42" t="s">
        <v>33</v>
      </c>
      <c r="AN148" s="121">
        <v>10</v>
      </c>
      <c r="AO148" s="43" t="str">
        <f t="shared" si="38"/>
        <v>N-0 SAIDI 10</v>
      </c>
      <c r="AP148" s="26">
        <f t="shared" si="39"/>
        <v>1756.8124401485429</v>
      </c>
      <c r="AQ148" s="35">
        <f>NPV('Cost Assumptions'!$B$3,'VS to VN &amp; Central BESS VS VN '!C30:AE30)</f>
        <v>0</v>
      </c>
    </row>
    <row r="149" spans="38:43" x14ac:dyDescent="0.35">
      <c r="AL149" s="13" t="s">
        <v>39</v>
      </c>
      <c r="AM149" s="42" t="s">
        <v>34</v>
      </c>
      <c r="AN149" s="121">
        <v>10</v>
      </c>
      <c r="AO149" s="43" t="str">
        <f t="shared" si="38"/>
        <v>N-0 SAIFI 10</v>
      </c>
      <c r="AP149" s="26">
        <f t="shared" si="39"/>
        <v>22.545263184878515</v>
      </c>
      <c r="AQ149" s="35">
        <f>NPV('Cost Assumptions'!$B$3,'VS to VN &amp; Central BESS VS VN '!C31:AE31)</f>
        <v>0</v>
      </c>
    </row>
    <row r="150" spans="38:43" x14ac:dyDescent="0.35">
      <c r="AL150" s="13" t="s">
        <v>39</v>
      </c>
      <c r="AM150" s="42" t="s">
        <v>35</v>
      </c>
      <c r="AN150" s="121">
        <v>10</v>
      </c>
      <c r="AO150" s="43" t="str">
        <f t="shared" si="38"/>
        <v>N-0 PFD 10</v>
      </c>
      <c r="AP150" s="26">
        <f t="shared" si="39"/>
        <v>284.37326230940391</v>
      </c>
      <c r="AQ150" s="35">
        <f>NPV('Cost Assumptions'!$B$3,'VS to VN &amp; Central BESS VS VN '!C32:AE32)</f>
        <v>0</v>
      </c>
    </row>
    <row r="151" spans="38:43" x14ac:dyDescent="0.35">
      <c r="AL151" s="13" t="s">
        <v>30</v>
      </c>
      <c r="AM151" s="42" t="s">
        <v>31</v>
      </c>
      <c r="AN151" s="121">
        <v>11</v>
      </c>
      <c r="AO151" s="43" t="str">
        <f t="shared" ref="AO151:AO163" si="40">CONCATENATE(AL151," ",AM151," ",AN151)</f>
        <v>N-1 EENS 11</v>
      </c>
      <c r="AP151" s="26">
        <f t="shared" ref="AP151:AP163" si="41">M23</f>
        <v>3417.8021254828423</v>
      </c>
      <c r="AQ151" s="35">
        <f>NPV('Cost Assumptions'!$B$3,'VS to VN to VST &amp; Cen BESS VS'!C19:AE19)</f>
        <v>6235.7913046811664</v>
      </c>
    </row>
    <row r="152" spans="38:43" x14ac:dyDescent="0.35">
      <c r="AL152" s="13" t="s">
        <v>30</v>
      </c>
      <c r="AM152" s="42" t="s">
        <v>32</v>
      </c>
      <c r="AN152" s="121">
        <v>11</v>
      </c>
      <c r="AO152" s="43" t="str">
        <f t="shared" si="40"/>
        <v>N-1 IP 11</v>
      </c>
      <c r="AP152" s="26">
        <f t="shared" si="41"/>
        <v>-54.568047943553999</v>
      </c>
      <c r="AQ152" s="35">
        <f>NPV('Cost Assumptions'!$B$3,'VS to VN to VST &amp; Cen BESS VS'!C20:AE20)</f>
        <v>320.50827855412405</v>
      </c>
    </row>
    <row r="153" spans="38:43" x14ac:dyDescent="0.35">
      <c r="AL153" s="13" t="s">
        <v>30</v>
      </c>
      <c r="AM153" s="42" t="s">
        <v>33</v>
      </c>
      <c r="AN153" s="121">
        <v>11</v>
      </c>
      <c r="AO153" s="43" t="str">
        <f t="shared" si="40"/>
        <v>N-1 SAIDI 11</v>
      </c>
      <c r="AP153" s="26">
        <f t="shared" si="41"/>
        <v>635.01807900041479</v>
      </c>
      <c r="AQ153" s="35">
        <f>NPV('Cost Assumptions'!$B$3,'VS to VN to VST &amp; Cen BESS VS'!C21:AE21)</f>
        <v>502.62818315158853</v>
      </c>
    </row>
    <row r="154" spans="38:43" x14ac:dyDescent="0.35">
      <c r="AL154" s="13" t="s">
        <v>30</v>
      </c>
      <c r="AM154" s="42" t="s">
        <v>34</v>
      </c>
      <c r="AN154" s="121">
        <v>11</v>
      </c>
      <c r="AO154" s="43" t="str">
        <f t="shared" si="40"/>
        <v>N-1 SAIFI 11</v>
      </c>
      <c r="AP154" s="26">
        <f t="shared" si="41"/>
        <v>2.6970479248830559</v>
      </c>
      <c r="AQ154" s="35">
        <f>NPV('Cost Assumptions'!$B$3,'VS to VN to VST &amp; Cen BESS VS'!C22:AE22)</f>
        <v>5.8111719965983859</v>
      </c>
    </row>
    <row r="155" spans="38:43" x14ac:dyDescent="0.35">
      <c r="AL155" s="13" t="s">
        <v>30</v>
      </c>
      <c r="AM155" s="42" t="s">
        <v>35</v>
      </c>
      <c r="AN155" s="121">
        <v>11</v>
      </c>
      <c r="AO155" s="43" t="str">
        <f t="shared" si="40"/>
        <v>N-1 PFD 11</v>
      </c>
      <c r="AP155" s="26">
        <f t="shared" si="41"/>
        <v>387.01710858269144</v>
      </c>
      <c r="AQ155" s="35">
        <f>NPV('Cost Assumptions'!$B$3,'VS to VN to VST &amp; Cen BESS VS'!C23:AE23)</f>
        <v>316.6263874143371</v>
      </c>
    </row>
    <row r="156" spans="38:43" x14ac:dyDescent="0.35">
      <c r="AL156" s="87" t="s">
        <v>30</v>
      </c>
      <c r="AM156" s="1" t="s">
        <v>36</v>
      </c>
      <c r="AN156" s="121">
        <v>11</v>
      </c>
      <c r="AO156" s="43" t="str">
        <f t="shared" si="40"/>
        <v>N-1 Available Flex-1 11</v>
      </c>
      <c r="AP156" s="26">
        <f t="shared" si="41"/>
        <v>112489.21834804892</v>
      </c>
      <c r="AQ156" s="35">
        <f>NPV('Cost Assumptions'!$B$3,'VS to VN to VST &amp; Cen BESS VS'!C24:AE24)</f>
        <v>186751.41914476611</v>
      </c>
    </row>
    <row r="157" spans="38:43" x14ac:dyDescent="0.35">
      <c r="AL157" s="13" t="s">
        <v>30</v>
      </c>
      <c r="AM157" s="27" t="s">
        <v>37</v>
      </c>
      <c r="AN157" s="121">
        <v>11</v>
      </c>
      <c r="AO157" s="43" t="str">
        <f t="shared" si="40"/>
        <v>N-1 Available Flex-2-1 11</v>
      </c>
      <c r="AP157" s="26">
        <f t="shared" si="41"/>
        <v>0</v>
      </c>
      <c r="AQ157" s="35">
        <f>NPV('Cost Assumptions'!$B$3,'VS to VN to VST &amp; Cen BESS VS'!C25:AE25)</f>
        <v>1985141.9549260156</v>
      </c>
    </row>
    <row r="158" spans="38:43" x14ac:dyDescent="0.35">
      <c r="AL158" s="13" t="s">
        <v>30</v>
      </c>
      <c r="AM158" s="27" t="s">
        <v>38</v>
      </c>
      <c r="AN158" s="121">
        <v>11</v>
      </c>
      <c r="AO158" s="43" t="str">
        <f t="shared" si="40"/>
        <v>N-1 Available Flex-2-2 11</v>
      </c>
      <c r="AP158" s="26">
        <f t="shared" si="41"/>
        <v>625479.5609838292</v>
      </c>
      <c r="AQ158" s="35">
        <f>NPV('Cost Assumptions'!$B$3,'VS to VN to VST &amp; Cen BESS VS'!C26:AE26)</f>
        <v>346598.62398129393</v>
      </c>
    </row>
    <row r="159" spans="38:43" x14ac:dyDescent="0.35">
      <c r="AL159" s="13" t="s">
        <v>39</v>
      </c>
      <c r="AM159" s="42" t="s">
        <v>31</v>
      </c>
      <c r="AN159" s="121">
        <v>11</v>
      </c>
      <c r="AO159" s="43" t="str">
        <f t="shared" si="40"/>
        <v>N-0 EENS 11</v>
      </c>
      <c r="AP159" s="26">
        <f t="shared" si="41"/>
        <v>16790.581759978526</v>
      </c>
      <c r="AQ159" s="35">
        <f>NPV('Cost Assumptions'!$B$3,'VS to VN to VST &amp; Cen BESS VS'!C28:AE28)</f>
        <v>4393.2258384807719</v>
      </c>
    </row>
    <row r="160" spans="38:43" x14ac:dyDescent="0.35">
      <c r="AL160" s="13" t="s">
        <v>39</v>
      </c>
      <c r="AM160" s="42" t="s">
        <v>32</v>
      </c>
      <c r="AN160" s="121">
        <v>11</v>
      </c>
      <c r="AO160" s="43" t="str">
        <f t="shared" si="40"/>
        <v>N-0 IP 11</v>
      </c>
      <c r="AP160" s="26">
        <f t="shared" si="41"/>
        <v>1114.1124239695716</v>
      </c>
      <c r="AQ160" s="35">
        <f>NPV('Cost Assumptions'!$B$3,'VS to VN to VST &amp; Cen BESS VS'!C29:AE29)</f>
        <v>221.58995864225892</v>
      </c>
    </row>
    <row r="161" spans="38:43" x14ac:dyDescent="0.35">
      <c r="AL161" s="13" t="s">
        <v>39</v>
      </c>
      <c r="AM161" s="42" t="s">
        <v>33</v>
      </c>
      <c r="AN161" s="121">
        <v>11</v>
      </c>
      <c r="AO161" s="43" t="str">
        <f t="shared" si="40"/>
        <v>N-0 SAIDI 11</v>
      </c>
      <c r="AP161" s="26">
        <f t="shared" si="41"/>
        <v>1469.8766828997009</v>
      </c>
      <c r="AQ161" s="35">
        <f>NPV('Cost Assumptions'!$B$3,'VS to VN to VST &amp; Cen BESS VS'!C30:AE30)</f>
        <v>286.93575724884187</v>
      </c>
    </row>
    <row r="162" spans="38:43" x14ac:dyDescent="0.35">
      <c r="AL162" s="13" t="s">
        <v>39</v>
      </c>
      <c r="AM162" s="42" t="s">
        <v>34</v>
      </c>
      <c r="AN162" s="121">
        <v>11</v>
      </c>
      <c r="AO162" s="43" t="str">
        <f t="shared" si="40"/>
        <v>N-0 SAIFI 11</v>
      </c>
      <c r="AP162" s="26">
        <f t="shared" si="41"/>
        <v>18.623225368176019</v>
      </c>
      <c r="AQ162" s="35">
        <f>NPV('Cost Assumptions'!$B$3,'VS to VN to VST &amp; Cen BESS VS'!C31:AE31)</f>
        <v>3.9220378167024936</v>
      </c>
    </row>
    <row r="163" spans="38:43" x14ac:dyDescent="0.35">
      <c r="AL163" s="13" t="s">
        <v>39</v>
      </c>
      <c r="AM163" s="42" t="s">
        <v>35</v>
      </c>
      <c r="AN163" s="121">
        <v>11</v>
      </c>
      <c r="AO163" s="43" t="str">
        <f t="shared" si="40"/>
        <v>N-0 PFD 11</v>
      </c>
      <c r="AP163" s="26">
        <f t="shared" si="41"/>
        <v>212.76199377212632</v>
      </c>
      <c r="AQ163" s="35">
        <f>NPV('Cost Assumptions'!$B$3,'VS to VN to VST &amp; Cen BESS VS'!C32:AE32)</f>
        <v>71.611268537277539</v>
      </c>
    </row>
    <row r="164" spans="38:43" x14ac:dyDescent="0.35">
      <c r="AL164" s="13" t="s">
        <v>30</v>
      </c>
      <c r="AM164" s="42" t="s">
        <v>31</v>
      </c>
      <c r="AN164" s="121">
        <v>12</v>
      </c>
      <c r="AO164" s="43" t="str">
        <f t="shared" ref="AO164:AO189" si="42">CONCATENATE(AL164," ",AM164," ",AN164)</f>
        <v>N-1 EENS 12</v>
      </c>
      <c r="AP164" s="26">
        <f t="shared" ref="AP164:AP171" si="43">N23</f>
        <v>9653.5934301640063</v>
      </c>
      <c r="AQ164" s="35">
        <f>NPV('Cost Assumptions'!$B$3,'SDG&amp;E and Central BESS in VS'!C19:AE19)</f>
        <v>0</v>
      </c>
    </row>
    <row r="165" spans="38:43" x14ac:dyDescent="0.35">
      <c r="AL165" s="13" t="s">
        <v>30</v>
      </c>
      <c r="AM165" s="42" t="s">
        <v>32</v>
      </c>
      <c r="AN165" s="121">
        <v>12</v>
      </c>
      <c r="AO165" s="43" t="str">
        <f t="shared" si="42"/>
        <v>N-1 IP 12</v>
      </c>
      <c r="AP165" s="26">
        <f t="shared" si="43"/>
        <v>265.9402306105701</v>
      </c>
      <c r="AQ165" s="35">
        <f>NPV('Cost Assumptions'!$B$3,'SDG&amp;E and Central BESS in VS'!C20:AE20)</f>
        <v>0</v>
      </c>
    </row>
    <row r="166" spans="38:43" x14ac:dyDescent="0.35">
      <c r="AL166" s="13" t="s">
        <v>30</v>
      </c>
      <c r="AM166" s="42" t="s">
        <v>33</v>
      </c>
      <c r="AN166" s="121">
        <v>12</v>
      </c>
      <c r="AO166" s="43" t="str">
        <f t="shared" si="42"/>
        <v>N-1 SAIDI 12</v>
      </c>
      <c r="AP166" s="26">
        <f t="shared" si="43"/>
        <v>1137.6462621520034</v>
      </c>
      <c r="AQ166" s="35">
        <f>NPV('Cost Assumptions'!$B$3,'SDG&amp;E and Central BESS in VS'!C21:AE21)</f>
        <v>0</v>
      </c>
    </row>
    <row r="167" spans="38:43" x14ac:dyDescent="0.35">
      <c r="AL167" s="13" t="s">
        <v>30</v>
      </c>
      <c r="AM167" s="42" t="s">
        <v>34</v>
      </c>
      <c r="AN167" s="121">
        <v>12</v>
      </c>
      <c r="AO167" s="43" t="str">
        <f t="shared" si="42"/>
        <v>N-1 SAIFI 12</v>
      </c>
      <c r="AP167" s="26">
        <f t="shared" si="43"/>
        <v>8.5082199214814409</v>
      </c>
      <c r="AQ167" s="35">
        <f>NPV('Cost Assumptions'!$B$3,'SDG&amp;E and Central BESS in VS'!C22:AE22)</f>
        <v>0</v>
      </c>
    </row>
    <row r="168" spans="38:43" x14ac:dyDescent="0.35">
      <c r="AL168" s="13" t="s">
        <v>30</v>
      </c>
      <c r="AM168" s="42" t="s">
        <v>35</v>
      </c>
      <c r="AN168" s="121">
        <v>12</v>
      </c>
      <c r="AO168" s="43" t="str">
        <f t="shared" si="42"/>
        <v>N-1 PFD 12</v>
      </c>
      <c r="AP168" s="26">
        <f t="shared" si="43"/>
        <v>703.64349599702848</v>
      </c>
      <c r="AQ168" s="35">
        <f>NPV('Cost Assumptions'!$B$3,'SDG&amp;E and Central BESS in VS'!C23:AE23)</f>
        <v>0</v>
      </c>
    </row>
    <row r="169" spans="38:43" x14ac:dyDescent="0.35">
      <c r="AL169" s="87" t="s">
        <v>30</v>
      </c>
      <c r="AM169" s="1" t="s">
        <v>36</v>
      </c>
      <c r="AN169" s="121">
        <v>12</v>
      </c>
      <c r="AO169" s="43" t="str">
        <f t="shared" si="42"/>
        <v>N-1 Available Flex-1 12</v>
      </c>
      <c r="AP169" s="26">
        <f t="shared" si="43"/>
        <v>133288.85703131763</v>
      </c>
      <c r="AQ169" s="35">
        <f>NPV('Cost Assumptions'!$B$3,'SDG&amp;E and Central BESS in VS'!C24:AE24)</f>
        <v>165951.7804614974</v>
      </c>
    </row>
    <row r="170" spans="38:43" x14ac:dyDescent="0.35">
      <c r="AL170" s="13" t="s">
        <v>30</v>
      </c>
      <c r="AM170" s="27" t="s">
        <v>37</v>
      </c>
      <c r="AN170" s="121">
        <v>12</v>
      </c>
      <c r="AO170" s="43" t="str">
        <f t="shared" si="42"/>
        <v>N-1 Available Flex-2-1 12</v>
      </c>
      <c r="AP170" s="26">
        <f t="shared" si="43"/>
        <v>1302863.5903623584</v>
      </c>
      <c r="AQ170" s="35">
        <f>NPV('Cost Assumptions'!$B$3,'SDG&amp;E and Central BESS in VS'!C25:AE25)</f>
        <v>682278.3645636572</v>
      </c>
    </row>
    <row r="171" spans="38:43" x14ac:dyDescent="0.35">
      <c r="AL171" s="13" t="s">
        <v>30</v>
      </c>
      <c r="AM171" s="27" t="s">
        <v>38</v>
      </c>
      <c r="AN171" s="121">
        <v>12</v>
      </c>
      <c r="AO171" s="43" t="str">
        <f t="shared" si="42"/>
        <v>N-1 Available Flex-2-2 12</v>
      </c>
      <c r="AP171" s="26">
        <f t="shared" si="43"/>
        <v>691943.58470832056</v>
      </c>
      <c r="AQ171" s="35">
        <f>NPV('Cost Assumptions'!$B$3,'SDG&amp;E and Central BESS in VS'!C26:AE26)</f>
        <v>280134.6002568024</v>
      </c>
    </row>
    <row r="172" spans="38:43" x14ac:dyDescent="0.35">
      <c r="AL172" s="13" t="s">
        <v>39</v>
      </c>
      <c r="AM172" s="42" t="s">
        <v>31</v>
      </c>
      <c r="AN172" s="121">
        <v>12</v>
      </c>
      <c r="AO172" s="43" t="str">
        <f t="shared" si="42"/>
        <v>N-0 EENS 12</v>
      </c>
      <c r="AP172" s="26">
        <f t="shared" ref="AP172:AP176" si="44">N31</f>
        <v>21183.807598459298</v>
      </c>
      <c r="AQ172" s="35">
        <f>NPV('Cost Assumptions'!$B$3,'SDG&amp;E and Central BESS in VS'!C27:AE27)</f>
        <v>0</v>
      </c>
    </row>
    <row r="173" spans="38:43" x14ac:dyDescent="0.35">
      <c r="AL173" s="13" t="s">
        <v>39</v>
      </c>
      <c r="AM173" s="42" t="s">
        <v>32</v>
      </c>
      <c r="AN173" s="121">
        <v>12</v>
      </c>
      <c r="AO173" s="43" t="str">
        <f t="shared" si="42"/>
        <v>N-0 IP 12</v>
      </c>
      <c r="AP173" s="26">
        <f t="shared" si="44"/>
        <v>1335.7023826118307</v>
      </c>
      <c r="AQ173" s="35">
        <f>NPV('Cost Assumptions'!$B$3,'SDG&amp;E and Central BESS in VS'!C28:AE28)</f>
        <v>0</v>
      </c>
    </row>
    <row r="174" spans="38:43" x14ac:dyDescent="0.35">
      <c r="AL174" s="13" t="s">
        <v>39</v>
      </c>
      <c r="AM174" s="42" t="s">
        <v>33</v>
      </c>
      <c r="AN174" s="121">
        <v>12</v>
      </c>
      <c r="AO174" s="43" t="str">
        <f t="shared" si="42"/>
        <v>N-0 SAIDI 12</v>
      </c>
      <c r="AP174" s="26">
        <f t="shared" si="44"/>
        <v>1756.8124401485429</v>
      </c>
      <c r="AQ174" s="35">
        <f>NPV('Cost Assumptions'!$B$3,'SDG&amp;E and Central BESS in VS'!C29:AE29)</f>
        <v>0</v>
      </c>
    </row>
    <row r="175" spans="38:43" x14ac:dyDescent="0.35">
      <c r="AL175" s="13" t="s">
        <v>39</v>
      </c>
      <c r="AM175" s="42" t="s">
        <v>34</v>
      </c>
      <c r="AN175" s="121">
        <v>12</v>
      </c>
      <c r="AO175" s="43" t="str">
        <f t="shared" si="42"/>
        <v>N-0 SAIFI 12</v>
      </c>
      <c r="AP175" s="26">
        <f t="shared" si="44"/>
        <v>22.545263184878515</v>
      </c>
      <c r="AQ175" s="35">
        <f>NPV('Cost Assumptions'!$B$3,'SDG&amp;E and Central BESS in VS'!C30:AE30)</f>
        <v>0</v>
      </c>
    </row>
    <row r="176" spans="38:43" x14ac:dyDescent="0.35">
      <c r="AL176" s="13" t="s">
        <v>39</v>
      </c>
      <c r="AM176" s="42" t="s">
        <v>35</v>
      </c>
      <c r="AN176" s="121">
        <v>12</v>
      </c>
      <c r="AO176" s="43" t="str">
        <f t="shared" si="42"/>
        <v>N-0 PFD 12</v>
      </c>
      <c r="AP176" s="26">
        <f t="shared" si="44"/>
        <v>284.37326230940391</v>
      </c>
      <c r="AQ176" s="35">
        <f>NPV('Cost Assumptions'!$B$3,'SDG&amp;E and Central BESS in VS'!C31:AE31)</f>
        <v>0</v>
      </c>
    </row>
    <row r="177" spans="38:43" x14ac:dyDescent="0.35">
      <c r="AL177" s="13" t="s">
        <v>30</v>
      </c>
      <c r="AM177" s="42" t="s">
        <v>31</v>
      </c>
      <c r="AN177" s="68">
        <v>13</v>
      </c>
      <c r="AO177" s="69" t="str">
        <f t="shared" si="42"/>
        <v>N-1 EENS 13</v>
      </c>
      <c r="AP177" s="26">
        <f t="shared" ref="AP177:AP184" si="45">O23</f>
        <v>1471.0441040403673</v>
      </c>
      <c r="AQ177" s="35">
        <f>NPV('Cost Assumptions'!$B$3,'Valley South to Valley North'!C19:AE19)</f>
        <v>8182.5493261236406</v>
      </c>
    </row>
    <row r="178" spans="38:43" x14ac:dyDescent="0.35">
      <c r="AL178" s="13" t="s">
        <v>30</v>
      </c>
      <c r="AM178" s="42" t="s">
        <v>32</v>
      </c>
      <c r="AN178" s="68">
        <v>13</v>
      </c>
      <c r="AO178" s="69" t="str">
        <f t="shared" si="42"/>
        <v>N-1 IP 13</v>
      </c>
      <c r="AP178" s="26">
        <f t="shared" si="45"/>
        <v>-32.718999124342567</v>
      </c>
      <c r="AQ178" s="35">
        <f>NPV('Cost Assumptions'!$B$3,'Valley South to Valley North'!C20:AE20)</f>
        <v>298.65922973491257</v>
      </c>
    </row>
    <row r="179" spans="38:43" x14ac:dyDescent="0.35">
      <c r="AL179" s="13" t="s">
        <v>30</v>
      </c>
      <c r="AM179" s="42" t="s">
        <v>33</v>
      </c>
      <c r="AN179" s="68">
        <v>13</v>
      </c>
      <c r="AO179" s="69" t="str">
        <f t="shared" si="42"/>
        <v>N-1 SAIDI 13</v>
      </c>
      <c r="AP179" s="26">
        <f t="shared" si="45"/>
        <v>374.13028185809554</v>
      </c>
      <c r="AQ179" s="35">
        <f>NPV('Cost Assumptions'!$B$3,'Valley South to Valley North'!C21:AE21)</f>
        <v>763.51598029390777</v>
      </c>
    </row>
    <row r="180" spans="38:43" x14ac:dyDescent="0.35">
      <c r="AL180" s="13" t="s">
        <v>30</v>
      </c>
      <c r="AM180" s="42" t="s">
        <v>34</v>
      </c>
      <c r="AN180" s="68">
        <v>13</v>
      </c>
      <c r="AO180" s="69" t="str">
        <f t="shared" si="42"/>
        <v>N-1 SAIFI 13</v>
      </c>
      <c r="AP180" s="26">
        <f t="shared" si="45"/>
        <v>0.84873352317780459</v>
      </c>
      <c r="AQ180" s="35">
        <f>NPV('Cost Assumptions'!$B$3,'Valley South to Valley North'!C22:AE22)</f>
        <v>7.6594863983036365</v>
      </c>
    </row>
    <row r="181" spans="38:43" x14ac:dyDescent="0.35">
      <c r="AL181" s="13" t="s">
        <v>30</v>
      </c>
      <c r="AM181" s="42" t="s">
        <v>35</v>
      </c>
      <c r="AN181" s="68">
        <v>13</v>
      </c>
      <c r="AO181" s="69" t="str">
        <f t="shared" si="42"/>
        <v>N-1 PFD 13</v>
      </c>
      <c r="AP181" s="26">
        <f t="shared" si="45"/>
        <v>364.99053013132732</v>
      </c>
      <c r="AQ181" s="35">
        <f>NPV('Cost Assumptions'!$B$3,'Valley South to Valley North'!C23:AE23)</f>
        <v>338.65296586570122</v>
      </c>
    </row>
    <row r="182" spans="38:43" x14ac:dyDescent="0.35">
      <c r="AL182" s="87" t="s">
        <v>30</v>
      </c>
      <c r="AM182" s="1" t="s">
        <v>36</v>
      </c>
      <c r="AN182" s="68">
        <v>13</v>
      </c>
      <c r="AO182" s="69" t="str">
        <f t="shared" si="42"/>
        <v>N-1 Available Flex-1 13</v>
      </c>
      <c r="AP182" s="26">
        <f t="shared" si="45"/>
        <v>98755.574285405048</v>
      </c>
      <c r="AQ182" s="35">
        <f>NPV('Cost Assumptions'!$B$3,'Valley South to Valley North'!C24:AE24)</f>
        <v>200485.06320740996</v>
      </c>
    </row>
    <row r="183" spans="38:43" x14ac:dyDescent="0.35">
      <c r="AL183" s="13" t="s">
        <v>30</v>
      </c>
      <c r="AM183" s="27" t="s">
        <v>37</v>
      </c>
      <c r="AN183" s="68">
        <v>13</v>
      </c>
      <c r="AO183" s="69" t="str">
        <f t="shared" si="42"/>
        <v>N-1 Available Flex-2-1 13</v>
      </c>
      <c r="AP183" s="26">
        <f t="shared" si="45"/>
        <v>0</v>
      </c>
      <c r="AQ183" s="35">
        <f>NPV('Cost Assumptions'!$B$3,'Valley South to Valley North'!C25:AE25)</f>
        <v>1985141.9549260156</v>
      </c>
    </row>
    <row r="184" spans="38:43" x14ac:dyDescent="0.35">
      <c r="AL184" s="13" t="s">
        <v>30</v>
      </c>
      <c r="AM184" s="27" t="s">
        <v>38</v>
      </c>
      <c r="AN184" s="68">
        <v>13</v>
      </c>
      <c r="AO184" s="69" t="str">
        <f t="shared" si="42"/>
        <v>N-1 Available Flex-2-2 13</v>
      </c>
      <c r="AP184" s="26">
        <f t="shared" si="45"/>
        <v>625479.5609838292</v>
      </c>
      <c r="AQ184" s="35">
        <f>NPV('Cost Assumptions'!$B$3,'Valley South to Valley North'!C26:AE26)</f>
        <v>346598.62398129393</v>
      </c>
    </row>
    <row r="185" spans="38:43" x14ac:dyDescent="0.35">
      <c r="AL185" s="13" t="s">
        <v>39</v>
      </c>
      <c r="AM185" s="42" t="s">
        <v>31</v>
      </c>
      <c r="AN185" s="68">
        <v>13</v>
      </c>
      <c r="AO185" s="69" t="str">
        <f t="shared" si="42"/>
        <v>N-0 EENS 13</v>
      </c>
      <c r="AP185" s="26">
        <f t="shared" ref="AP185:AP189" si="46">O31</f>
        <v>10376.920384782799</v>
      </c>
      <c r="AQ185" s="35">
        <f>NPV('Cost Assumptions'!$B$3,'Valley South to Valley North'!C28:AE28)</f>
        <v>10278.046894618274</v>
      </c>
    </row>
    <row r="186" spans="38:43" x14ac:dyDescent="0.35">
      <c r="AL186" s="13" t="s">
        <v>39</v>
      </c>
      <c r="AM186" s="42" t="s">
        <v>32</v>
      </c>
      <c r="AN186" s="68">
        <v>13</v>
      </c>
      <c r="AO186" s="69" t="str">
        <f t="shared" si="42"/>
        <v>N-0 IP 13</v>
      </c>
      <c r="AP186" s="26">
        <f t="shared" si="46"/>
        <v>839.48952930342216</v>
      </c>
      <c r="AQ186" s="35">
        <f>NPV('Cost Assumptions'!$B$3,'Valley South to Valley North'!C29:AE29)</f>
        <v>496.21285330840834</v>
      </c>
    </row>
    <row r="187" spans="38:43" x14ac:dyDescent="0.35">
      <c r="AL187" s="13" t="s">
        <v>39</v>
      </c>
      <c r="AM187" s="42" t="s">
        <v>33</v>
      </c>
      <c r="AN187" s="68">
        <v>13</v>
      </c>
      <c r="AO187" s="69" t="str">
        <f t="shared" si="42"/>
        <v>N-0 SAIDI 13</v>
      </c>
      <c r="AP187" s="26">
        <f t="shared" si="46"/>
        <v>601.40713743353786</v>
      </c>
      <c r="AQ187" s="35">
        <f>NPV('Cost Assumptions'!$B$3,'Valley South to Valley North'!C30:AE30)</f>
        <v>1155.4053027150048</v>
      </c>
    </row>
    <row r="188" spans="38:43" x14ac:dyDescent="0.35">
      <c r="AL188" s="13" t="s">
        <v>39</v>
      </c>
      <c r="AM188" s="42" t="s">
        <v>34</v>
      </c>
      <c r="AN188" s="68">
        <v>13</v>
      </c>
      <c r="AO188" s="69" t="str">
        <f t="shared" si="42"/>
        <v>N-0 SAIFI 13</v>
      </c>
      <c r="AP188" s="26">
        <f t="shared" si="46"/>
        <v>10.54314041745735</v>
      </c>
      <c r="AQ188" s="35">
        <f>NPV('Cost Assumptions'!$B$3,'Valley South to Valley North'!C31:AE31)</f>
        <v>12.002122767421167</v>
      </c>
    </row>
    <row r="189" spans="38:43" x14ac:dyDescent="0.35">
      <c r="AL189" s="13" t="s">
        <v>39</v>
      </c>
      <c r="AM189" s="42" t="s">
        <v>35</v>
      </c>
      <c r="AN189" s="68">
        <v>13</v>
      </c>
      <c r="AO189" s="69" t="str">
        <f t="shared" si="42"/>
        <v>N-0 PFD 13</v>
      </c>
      <c r="AP189" s="26">
        <f t="shared" si="46"/>
        <v>121.85432653609165</v>
      </c>
      <c r="AQ189" s="35">
        <f>NPV('Cost Assumptions'!$B$3,'Valley South to Valley North'!C32:AE32)</f>
        <v>162.51893577331222</v>
      </c>
    </row>
    <row r="190" spans="38:43" x14ac:dyDescent="0.35">
      <c r="AL190" s="87"/>
      <c r="AM190" s="87"/>
      <c r="AN190" s="87"/>
      <c r="AO190" s="87"/>
      <c r="AP190" s="87"/>
      <c r="AQ190" s="87"/>
    </row>
    <row r="191" spans="38:43" x14ac:dyDescent="0.35">
      <c r="AL191" s="87"/>
      <c r="AM191" s="87"/>
      <c r="AN191" s="87"/>
      <c r="AO191" s="87"/>
      <c r="AP191" s="87"/>
      <c r="AQ191" s="87"/>
    </row>
    <row r="192" spans="38:43" x14ac:dyDescent="0.35">
      <c r="AL192" s="87"/>
      <c r="AM192" s="87"/>
      <c r="AN192" s="87"/>
      <c r="AO192" s="87"/>
      <c r="AP192" s="87"/>
      <c r="AQ192" s="87"/>
    </row>
    <row r="193" spans="38:43" x14ac:dyDescent="0.35">
      <c r="AL193" s="87"/>
      <c r="AM193" s="87"/>
      <c r="AN193" s="87"/>
      <c r="AO193" s="87"/>
      <c r="AP193" s="87"/>
      <c r="AQ193" s="87"/>
    </row>
    <row r="194" spans="38:43" x14ac:dyDescent="0.35">
      <c r="AL194" s="87"/>
      <c r="AM194" s="87"/>
      <c r="AN194" s="87"/>
      <c r="AO194" s="87"/>
      <c r="AP194" s="87"/>
      <c r="AQ194" s="87"/>
    </row>
    <row r="195" spans="38:43" x14ac:dyDescent="0.35">
      <c r="AL195" s="87"/>
      <c r="AM195" s="87"/>
      <c r="AN195" s="87"/>
      <c r="AO195" s="87"/>
      <c r="AP195" s="87"/>
      <c r="AQ195" s="87"/>
    </row>
    <row r="196" spans="38:43" x14ac:dyDescent="0.35">
      <c r="AL196" s="87"/>
      <c r="AM196" s="87"/>
      <c r="AN196" s="87"/>
      <c r="AO196" s="87"/>
      <c r="AP196" s="87"/>
      <c r="AQ196" s="87"/>
    </row>
    <row r="197" spans="38:43" x14ac:dyDescent="0.35">
      <c r="AL197" s="87"/>
      <c r="AM197" s="87"/>
      <c r="AN197" s="87"/>
      <c r="AO197" s="87"/>
      <c r="AP197" s="87"/>
      <c r="AQ197" s="87"/>
    </row>
    <row r="198" spans="38:43" x14ac:dyDescent="0.35">
      <c r="AL198" s="87"/>
      <c r="AM198" s="87"/>
      <c r="AN198" s="87"/>
      <c r="AO198" s="87"/>
      <c r="AP198" s="87"/>
      <c r="AQ198" s="87"/>
    </row>
    <row r="199" spans="38:43" x14ac:dyDescent="0.35">
      <c r="AL199" s="87"/>
      <c r="AM199" s="87"/>
      <c r="AN199" s="87"/>
      <c r="AO199" s="87"/>
      <c r="AP199" s="87"/>
      <c r="AQ199" s="87"/>
    </row>
    <row r="200" spans="38:43" x14ac:dyDescent="0.35">
      <c r="AL200" s="87"/>
      <c r="AM200" s="87"/>
      <c r="AN200" s="87"/>
      <c r="AO200" s="87"/>
      <c r="AP200" s="87"/>
      <c r="AQ200" s="87"/>
    </row>
    <row r="201" spans="38:43" x14ac:dyDescent="0.35">
      <c r="AL201" s="87"/>
      <c r="AM201" s="87"/>
      <c r="AN201" s="87"/>
      <c r="AO201" s="87"/>
      <c r="AP201" s="87"/>
      <c r="AQ201" s="87"/>
    </row>
    <row r="202" spans="38:43" x14ac:dyDescent="0.35">
      <c r="AL202" s="87"/>
      <c r="AM202" s="87"/>
      <c r="AN202" s="87"/>
      <c r="AO202" s="87"/>
      <c r="AP202" s="87"/>
      <c r="AQ202" s="87"/>
    </row>
    <row r="203" spans="38:43" x14ac:dyDescent="0.35">
      <c r="AL203" s="87"/>
      <c r="AM203" s="87"/>
      <c r="AN203" s="87"/>
      <c r="AO203" s="87"/>
      <c r="AP203" s="87"/>
      <c r="AQ203" s="87"/>
    </row>
    <row r="204" spans="38:43" x14ac:dyDescent="0.35">
      <c r="AL204" s="87"/>
      <c r="AM204" s="87"/>
      <c r="AN204" s="87"/>
      <c r="AO204" s="87"/>
      <c r="AP204" s="87"/>
      <c r="AQ204" s="87"/>
    </row>
    <row r="205" spans="38:43" x14ac:dyDescent="0.35">
      <c r="AL205" s="87"/>
      <c r="AM205" s="87"/>
      <c r="AN205" s="87"/>
      <c r="AO205" s="87"/>
      <c r="AP205" s="87"/>
      <c r="AQ205" s="87"/>
    </row>
    <row r="206" spans="38:43" x14ac:dyDescent="0.35">
      <c r="AL206" s="87"/>
      <c r="AM206" s="87"/>
      <c r="AN206" s="87"/>
      <c r="AO206" s="87"/>
      <c r="AP206" s="87"/>
      <c r="AQ206" s="87"/>
    </row>
    <row r="207" spans="38:43" x14ac:dyDescent="0.35">
      <c r="AL207" s="87"/>
      <c r="AM207" s="87"/>
      <c r="AN207" s="87"/>
      <c r="AO207" s="87"/>
      <c r="AP207" s="87"/>
      <c r="AQ207" s="87"/>
    </row>
    <row r="208" spans="38:43" x14ac:dyDescent="0.35">
      <c r="AL208" s="87"/>
      <c r="AM208" s="87"/>
      <c r="AN208" s="87"/>
      <c r="AO208" s="87"/>
      <c r="AP208" s="87"/>
      <c r="AQ208" s="87"/>
    </row>
    <row r="209" spans="38:43" x14ac:dyDescent="0.35">
      <c r="AL209" s="87"/>
      <c r="AM209" s="87"/>
      <c r="AN209" s="87"/>
      <c r="AO209" s="87"/>
      <c r="AP209" s="87"/>
      <c r="AQ209" s="87"/>
    </row>
    <row r="210" spans="38:43" x14ac:dyDescent="0.35">
      <c r="AL210" s="87"/>
      <c r="AM210" s="87"/>
      <c r="AN210" s="87"/>
      <c r="AO210" s="87"/>
      <c r="AP210" s="87"/>
      <c r="AQ210" s="87"/>
    </row>
    <row r="211" spans="38:43" x14ac:dyDescent="0.35">
      <c r="AL211" s="87"/>
      <c r="AM211" s="87"/>
      <c r="AN211" s="87"/>
      <c r="AO211" s="87"/>
      <c r="AP211" s="87"/>
      <c r="AQ211" s="87"/>
    </row>
    <row r="212" spans="38:43" x14ac:dyDescent="0.35">
      <c r="AL212" s="87"/>
      <c r="AM212" s="87"/>
      <c r="AN212" s="87"/>
      <c r="AO212" s="87"/>
      <c r="AP212" s="87"/>
      <c r="AQ212" s="87"/>
    </row>
    <row r="213" spans="38:43" x14ac:dyDescent="0.35">
      <c r="AL213" s="87"/>
      <c r="AM213" s="87"/>
      <c r="AN213" s="87"/>
      <c r="AO213" s="87"/>
      <c r="AP213" s="87"/>
      <c r="AQ213" s="87"/>
    </row>
  </sheetData>
  <autoFilter ref="A3:D10" xr:uid="{00000000-0009-0000-0000-000001000000}">
    <sortState xmlns:xlrd2="http://schemas.microsoft.com/office/spreadsheetml/2017/richdata2" ref="A4:D17">
      <sortCondition ref="C3:C10"/>
    </sortState>
  </autoFilter>
  <sortState xmlns:xlrd2="http://schemas.microsoft.com/office/spreadsheetml/2017/richdata2" ref="A4:D9">
    <sortCondition ref="C3"/>
  </sortState>
  <mergeCells count="223">
    <mergeCell ref="B2:O2"/>
    <mergeCell ref="A41:P41"/>
    <mergeCell ref="Q61:R61"/>
    <mergeCell ref="S46:T46"/>
    <mergeCell ref="S48:T48"/>
    <mergeCell ref="S49:T49"/>
    <mergeCell ref="S50:T50"/>
    <mergeCell ref="S51:T51"/>
    <mergeCell ref="S52:T52"/>
    <mergeCell ref="S53:T53"/>
    <mergeCell ref="S54:T54"/>
    <mergeCell ref="S56:T56"/>
    <mergeCell ref="S57:T57"/>
    <mergeCell ref="S58:T58"/>
    <mergeCell ref="S59:T59"/>
    <mergeCell ref="S60:T60"/>
    <mergeCell ref="S61:T61"/>
    <mergeCell ref="Q46:R46"/>
    <mergeCell ref="Q48:R48"/>
    <mergeCell ref="Q49:R49"/>
    <mergeCell ref="Q50:R50"/>
    <mergeCell ref="Q51:R51"/>
    <mergeCell ref="Q52:R52"/>
    <mergeCell ref="M48:N48"/>
    <mergeCell ref="Q56:R56"/>
    <mergeCell ref="Q57:R57"/>
    <mergeCell ref="Q58:R58"/>
    <mergeCell ref="Q55:R55"/>
    <mergeCell ref="K61:L61"/>
    <mergeCell ref="K59:L59"/>
    <mergeCell ref="K60:L60"/>
    <mergeCell ref="M49:N49"/>
    <mergeCell ref="M50:N50"/>
    <mergeCell ref="M51:N51"/>
    <mergeCell ref="M52:N52"/>
    <mergeCell ref="M53:N53"/>
    <mergeCell ref="M54:N54"/>
    <mergeCell ref="M56:N56"/>
    <mergeCell ref="M57:N57"/>
    <mergeCell ref="Q59:R59"/>
    <mergeCell ref="Q53:R53"/>
    <mergeCell ref="K57:L57"/>
    <mergeCell ref="K51:L51"/>
    <mergeCell ref="K52:L52"/>
    <mergeCell ref="K53:L53"/>
    <mergeCell ref="M55:N55"/>
    <mergeCell ref="O55:P55"/>
    <mergeCell ref="Q54:R54"/>
    <mergeCell ref="I57:J57"/>
    <mergeCell ref="K58:L58"/>
    <mergeCell ref="I58:J58"/>
    <mergeCell ref="Q60:R60"/>
    <mergeCell ref="M61:N61"/>
    <mergeCell ref="M58:N58"/>
    <mergeCell ref="M59:N59"/>
    <mergeCell ref="M60:N60"/>
    <mergeCell ref="O59:P59"/>
    <mergeCell ref="K56:L56"/>
    <mergeCell ref="I54:J54"/>
    <mergeCell ref="I52:J52"/>
    <mergeCell ref="I53:J53"/>
    <mergeCell ref="K54:L54"/>
    <mergeCell ref="K55:L55"/>
    <mergeCell ref="A61:B61"/>
    <mergeCell ref="C61:D61"/>
    <mergeCell ref="E61:F61"/>
    <mergeCell ref="G61:H61"/>
    <mergeCell ref="I61:J61"/>
    <mergeCell ref="G52:H52"/>
    <mergeCell ref="G53:H53"/>
    <mergeCell ref="G55:H55"/>
    <mergeCell ref="I55:J55"/>
    <mergeCell ref="G56:H56"/>
    <mergeCell ref="G54:H54"/>
    <mergeCell ref="C60:D60"/>
    <mergeCell ref="E60:F60"/>
    <mergeCell ref="G59:H59"/>
    <mergeCell ref="G60:H60"/>
    <mergeCell ref="I59:J59"/>
    <mergeCell ref="I60:J60"/>
    <mergeCell ref="I56:J56"/>
    <mergeCell ref="G57:H57"/>
    <mergeCell ref="G58:H58"/>
    <mergeCell ref="A22:B22"/>
    <mergeCell ref="AL4:AM4"/>
    <mergeCell ref="A40:P40"/>
    <mergeCell ref="C58:D58"/>
    <mergeCell ref="C59:D59"/>
    <mergeCell ref="C46:D46"/>
    <mergeCell ref="M46:N46"/>
    <mergeCell ref="O46:P46"/>
    <mergeCell ref="O50:P50"/>
    <mergeCell ref="O51:P51"/>
    <mergeCell ref="O52:P52"/>
    <mergeCell ref="O53:P53"/>
    <mergeCell ref="O54:P54"/>
    <mergeCell ref="O56:P56"/>
    <mergeCell ref="O57:P57"/>
    <mergeCell ref="C51:D51"/>
    <mergeCell ref="G51:H51"/>
    <mergeCell ref="C55:D55"/>
    <mergeCell ref="E51:F51"/>
    <mergeCell ref="C56:D56"/>
    <mergeCell ref="C57:D57"/>
    <mergeCell ref="E57:F57"/>
    <mergeCell ref="C54:D54"/>
    <mergeCell ref="AC45:AC47"/>
    <mergeCell ref="C79:D79"/>
    <mergeCell ref="C64:D64"/>
    <mergeCell ref="C77:D77"/>
    <mergeCell ref="C78:D78"/>
    <mergeCell ref="C75:D75"/>
    <mergeCell ref="C76:D76"/>
    <mergeCell ref="C73:D73"/>
    <mergeCell ref="C74:D74"/>
    <mergeCell ref="C71:D71"/>
    <mergeCell ref="C72:D72"/>
    <mergeCell ref="C69:D69"/>
    <mergeCell ref="C70:D70"/>
    <mergeCell ref="C67:D67"/>
    <mergeCell ref="C68:D68"/>
    <mergeCell ref="I50:J50"/>
    <mergeCell ref="E48:F48"/>
    <mergeCell ref="S55:T55"/>
    <mergeCell ref="C65:D65"/>
    <mergeCell ref="E58:F58"/>
    <mergeCell ref="E59:F59"/>
    <mergeCell ref="E46:F46"/>
    <mergeCell ref="E52:F52"/>
    <mergeCell ref="E53:F53"/>
    <mergeCell ref="E54:F54"/>
    <mergeCell ref="E56:F56"/>
    <mergeCell ref="E49:F49"/>
    <mergeCell ref="E50:F50"/>
    <mergeCell ref="I46:J46"/>
    <mergeCell ref="G46:H46"/>
    <mergeCell ref="I48:J48"/>
    <mergeCell ref="I49:J49"/>
    <mergeCell ref="I51:J51"/>
    <mergeCell ref="A20:O20"/>
    <mergeCell ref="A21:B21"/>
    <mergeCell ref="A64:B66"/>
    <mergeCell ref="O61:P61"/>
    <mergeCell ref="O60:P60"/>
    <mergeCell ref="O58:P58"/>
    <mergeCell ref="O49:P49"/>
    <mergeCell ref="O48:P48"/>
    <mergeCell ref="A45:B47"/>
    <mergeCell ref="A42:B42"/>
    <mergeCell ref="C45:T45"/>
    <mergeCell ref="C53:D53"/>
    <mergeCell ref="C52:D52"/>
    <mergeCell ref="E55:F55"/>
    <mergeCell ref="K46:L46"/>
    <mergeCell ref="C48:D48"/>
    <mergeCell ref="C49:D49"/>
    <mergeCell ref="C50:D50"/>
    <mergeCell ref="G48:H48"/>
    <mergeCell ref="G49:H49"/>
    <mergeCell ref="G50:H50"/>
    <mergeCell ref="K48:L48"/>
    <mergeCell ref="K49:L49"/>
    <mergeCell ref="K50:L50"/>
    <mergeCell ref="U59:V59"/>
    <mergeCell ref="U60:V60"/>
    <mergeCell ref="U61:V61"/>
    <mergeCell ref="W46:X46"/>
    <mergeCell ref="W48:X48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58:X58"/>
    <mergeCell ref="W59:X59"/>
    <mergeCell ref="W60:X60"/>
    <mergeCell ref="W61:X61"/>
    <mergeCell ref="U46:V46"/>
    <mergeCell ref="U48:V48"/>
    <mergeCell ref="U49:V49"/>
    <mergeCell ref="U50:V50"/>
    <mergeCell ref="U51:V51"/>
    <mergeCell ref="U52:V52"/>
    <mergeCell ref="Y53:Z53"/>
    <mergeCell ref="Y54:Z54"/>
    <mergeCell ref="Y55:Z55"/>
    <mergeCell ref="U56:V56"/>
    <mergeCell ref="U57:V57"/>
    <mergeCell ref="U58:V58"/>
    <mergeCell ref="U53:V53"/>
    <mergeCell ref="U54:V54"/>
    <mergeCell ref="U55:V55"/>
    <mergeCell ref="Y56:Z56"/>
    <mergeCell ref="Y57:Z57"/>
    <mergeCell ref="Y58:Z58"/>
    <mergeCell ref="Y59:Z59"/>
    <mergeCell ref="Y60:Z60"/>
    <mergeCell ref="Y61:Z61"/>
    <mergeCell ref="AA46:AB46"/>
    <mergeCell ref="AA48:AB48"/>
    <mergeCell ref="AA49:AB49"/>
    <mergeCell ref="AA50:AB50"/>
    <mergeCell ref="AA51:AB51"/>
    <mergeCell ref="AA52:AB52"/>
    <mergeCell ref="AA53:AB53"/>
    <mergeCell ref="AA54:AB54"/>
    <mergeCell ref="AA55:AB55"/>
    <mergeCell ref="AA56:AB56"/>
    <mergeCell ref="AA57:AB57"/>
    <mergeCell ref="AA58:AB58"/>
    <mergeCell ref="AA59:AB59"/>
    <mergeCell ref="AA60:AB60"/>
    <mergeCell ref="AA61:AB61"/>
    <mergeCell ref="Y46:Z46"/>
    <mergeCell ref="Y48:Z48"/>
    <mergeCell ref="Y49:Z49"/>
    <mergeCell ref="Y50:Z50"/>
    <mergeCell ref="Y51:Z51"/>
    <mergeCell ref="Y52:Z52"/>
  </mergeCells>
  <phoneticPr fontId="17" type="noConversion"/>
  <conditionalFormatting sqref="C4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 E48 I48 K48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48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D48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:N48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 O48 S48 U48:U60 W48:W60 Y48:Y60 AA48:AA60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9 G49 I49 K49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L49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D49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:N49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 O49 S49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0 E50 I50 K50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L5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D50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 O50 S50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1 G51 I51 K5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L5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D5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:N5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 O51 S5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2 G52 I52 K52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L52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D52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:N52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 O52 S52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4 G54 I54 K54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L54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D54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:N54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 O54 S54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6 E56 I56 K56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L56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D5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:N56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6 Q56 S56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7 E57 I57 K57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L57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D57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:N5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 Q57 S57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8 G58 I58 K58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L58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D58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:N58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8 Q58 S58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9 G59 I59 K59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L59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D59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:N59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9 Q59 S59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 E60 I60 K60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L60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D60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:N60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0 Q60 S60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5 G55 I55 K55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L5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D5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:N5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 O55 S55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C79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7 E67 K67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E67 C68:D79 I67:L6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D79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:N67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7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7:P6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E67 C68:D79 I67:P67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 I68 K68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:L68 E68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8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8:N68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8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8:P68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:P68 E68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 E69 K69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:L69 E69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9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9:N69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9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9:P69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:P69 E69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 E70 K70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:L70 E7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0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0:N70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0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0:P7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:P70 E7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 E71 K7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:L71 E71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1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1:N71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1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1:P71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:P71 E71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 E72 K72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:L72 E7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2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2:N72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2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2:P72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:P72 E7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 I73 K73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3:L73 E73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:N7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:P73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3:P73 E73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 I75 K75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5:L75 E75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5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5:N75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5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5:P75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5:P75 E7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 I76 K76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6:L76 E7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6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6:N76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6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6:P76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6:P76 E76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 G77 I77 K77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L77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7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7:N7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7:P77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P77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 G78 I78 K78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L7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8:N7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8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8:P7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P78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 G79 I79 K79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L7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:N7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9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9:P79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P7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4 E74 K7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4:L74 E7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4:N7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4:P7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4:P74 E7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3 E53 I53 K53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L53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D53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:N5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 Q53 S53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:G6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:G65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G6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G6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:G6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:G6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G6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G6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:G6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:G6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G7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G7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G7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G7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:G7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:G7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G7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G7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:G7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:G7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G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G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G7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G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:AB48 U49:AB60">
    <cfRule type="colorScale" priority="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AB48 U49:AB60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9:T49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T49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0:T50">
    <cfRule type="colorScale" priority="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T50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1:T51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T51">
    <cfRule type="colorScale" priority="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2:T52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T52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4:T54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T54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6:T56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T56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:T57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T57">
    <cfRule type="colorScale" priority="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8:T58"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T58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9:T59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T59"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0:T60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T60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5:T55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T55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:T53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T53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32"/>
  <sheetViews>
    <sheetView zoomScale="91" zoomScaleNormal="91" workbookViewId="0"/>
  </sheetViews>
  <sheetFormatPr defaultColWidth="8.81640625" defaultRowHeight="14.5" x14ac:dyDescent="0.35"/>
  <cols>
    <col min="1" max="1" width="8.81640625" style="60"/>
    <col min="2" max="2" width="29.7265625" style="60" customWidth="1"/>
    <col min="3" max="3" width="16.26953125" style="60" customWidth="1"/>
    <col min="4" max="4" width="16.453125" style="60" customWidth="1"/>
    <col min="5" max="5" width="16.54296875" style="60" customWidth="1"/>
    <col min="6" max="15" width="16.26953125" style="60" bestFit="1" customWidth="1"/>
    <col min="16" max="16" width="9.453125" style="60" customWidth="1"/>
    <col min="17" max="17" width="14" style="60" bestFit="1" customWidth="1"/>
    <col min="18" max="18" width="7.7265625" style="60" customWidth="1"/>
    <col min="19" max="19" width="8.81640625" style="60" customWidth="1"/>
    <col min="20" max="20" width="9.81640625" style="60" customWidth="1"/>
    <col min="21" max="28" width="9.81640625" style="87" customWidth="1"/>
    <col min="29" max="34" width="8.81640625" style="60"/>
    <col min="35" max="35" width="8.81640625" style="60" customWidth="1"/>
    <col min="36" max="36" width="8.81640625" style="60" hidden="1" customWidth="1"/>
    <col min="37" max="37" width="17" style="60" hidden="1" customWidth="1"/>
    <col min="38" max="38" width="8.81640625" style="30" hidden="1" customWidth="1"/>
    <col min="39" max="39" width="21.7265625" style="60" hidden="1" customWidth="1"/>
    <col min="40" max="40" width="38.81640625" style="72" hidden="1" customWidth="1"/>
    <col min="41" max="41" width="32.1796875" style="60" hidden="1" customWidth="1"/>
    <col min="42" max="42" width="8.81640625" style="60" customWidth="1"/>
    <col min="43" max="16384" width="8.81640625" style="60"/>
  </cols>
  <sheetData>
    <row r="1" spans="1:41" s="87" customFormat="1" x14ac:dyDescent="0.35">
      <c r="AL1" s="30"/>
      <c r="AN1" s="72"/>
    </row>
    <row r="2" spans="1:41" s="87" customFormat="1" ht="21" x14ac:dyDescent="0.5">
      <c r="B2" s="147" t="s">
        <v>49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AL2" s="30"/>
      <c r="AN2" s="72"/>
    </row>
    <row r="3" spans="1:41" s="87" customFormat="1" x14ac:dyDescent="0.35">
      <c r="AL3" s="30"/>
      <c r="AN3" s="72"/>
    </row>
    <row r="4" spans="1:41" ht="15" customHeight="1" x14ac:dyDescent="0.35">
      <c r="A4" s="39" t="s">
        <v>2</v>
      </c>
      <c r="B4" s="39" t="s">
        <v>3</v>
      </c>
      <c r="C4" s="39" t="s">
        <v>23</v>
      </c>
      <c r="D4" s="39" t="s">
        <v>24</v>
      </c>
      <c r="E4" s="87"/>
      <c r="F4" s="87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AC4" s="87"/>
      <c r="AD4" s="87"/>
      <c r="AE4" s="87"/>
      <c r="AF4" s="87"/>
      <c r="AG4" s="87"/>
      <c r="AH4" s="87"/>
      <c r="AI4" s="87"/>
      <c r="AJ4" s="87" t="s">
        <v>25</v>
      </c>
      <c r="AK4" s="87"/>
      <c r="AM4" s="87"/>
      <c r="AO4" s="87"/>
    </row>
    <row r="5" spans="1:41" ht="15" customHeight="1" x14ac:dyDescent="0.35">
      <c r="A5" s="117">
        <v>0</v>
      </c>
      <c r="B5" s="71" t="s">
        <v>26</v>
      </c>
      <c r="C5" s="29">
        <v>0</v>
      </c>
      <c r="D5" s="29">
        <v>0</v>
      </c>
      <c r="E5" s="87"/>
      <c r="F5" s="87"/>
      <c r="G5" s="86"/>
      <c r="H5" s="86"/>
      <c r="I5" s="86"/>
      <c r="J5" s="86"/>
      <c r="K5" s="86"/>
      <c r="L5" s="86"/>
      <c r="M5" s="87"/>
      <c r="N5" s="87"/>
      <c r="O5" s="87"/>
      <c r="P5" s="87"/>
      <c r="Q5" s="87"/>
      <c r="R5" s="87"/>
      <c r="S5" s="87"/>
      <c r="T5" s="87"/>
      <c r="AC5" s="87"/>
      <c r="AD5" s="87"/>
      <c r="AE5" s="87"/>
      <c r="AF5" s="87"/>
      <c r="AG5" s="87"/>
      <c r="AH5" s="87"/>
      <c r="AI5" s="87"/>
      <c r="AJ5" s="143" t="s">
        <v>27</v>
      </c>
      <c r="AK5" s="144"/>
      <c r="AM5" s="87"/>
      <c r="AN5" s="72" t="s">
        <v>28</v>
      </c>
      <c r="AO5" s="87" t="s">
        <v>29</v>
      </c>
    </row>
    <row r="6" spans="1:41" ht="15.75" customHeight="1" x14ac:dyDescent="0.35">
      <c r="A6" s="117">
        <v>13</v>
      </c>
      <c r="B6" s="71" t="s">
        <v>11</v>
      </c>
      <c r="C6" s="29">
        <v>185</v>
      </c>
      <c r="D6" s="29">
        <v>190</v>
      </c>
      <c r="E6" s="87"/>
      <c r="F6" s="87"/>
      <c r="G6" s="86"/>
      <c r="H6" s="86"/>
      <c r="I6" s="86"/>
      <c r="J6" s="86"/>
      <c r="K6" s="86"/>
      <c r="L6" s="86"/>
      <c r="M6" s="87"/>
      <c r="N6" s="87"/>
      <c r="O6" s="87"/>
      <c r="P6" s="87"/>
      <c r="Q6" s="87"/>
      <c r="R6" s="87"/>
      <c r="S6" s="87"/>
      <c r="T6" s="87"/>
      <c r="AC6" s="87"/>
      <c r="AD6" s="87"/>
      <c r="AE6" s="87"/>
      <c r="AF6" s="87"/>
      <c r="AG6" s="87"/>
      <c r="AH6" s="87"/>
      <c r="AI6" s="87"/>
      <c r="AJ6" s="13" t="s">
        <v>39</v>
      </c>
      <c r="AK6" s="27" t="s">
        <v>31</v>
      </c>
      <c r="AL6" s="30">
        <f t="shared" ref="AL6:AL11" si="0">$C$23</f>
        <v>1</v>
      </c>
      <c r="AM6" s="87" t="str">
        <f>CONCATENATE(AJ6," ",AK6," ",AL6)</f>
        <v>N-0 EENS 1</v>
      </c>
      <c r="AN6" s="14">
        <f t="shared" ref="AN6:AN11" si="1">C24/1000000</f>
        <v>645.38572618375304</v>
      </c>
      <c r="AO6" s="14">
        <v>0</v>
      </c>
    </row>
    <row r="7" spans="1:41" ht="29" x14ac:dyDescent="0.35">
      <c r="A7" s="117">
        <v>6</v>
      </c>
      <c r="B7" s="71" t="s">
        <v>13</v>
      </c>
      <c r="C7" s="29">
        <v>213</v>
      </c>
      <c r="D7" s="29">
        <v>324</v>
      </c>
      <c r="E7" s="87"/>
      <c r="F7" s="87"/>
      <c r="G7" s="86"/>
      <c r="H7" s="86"/>
      <c r="I7" s="86"/>
      <c r="J7" s="86"/>
      <c r="K7" s="86"/>
      <c r="L7" s="86"/>
      <c r="M7" s="87"/>
      <c r="N7" s="87"/>
      <c r="O7" s="87"/>
      <c r="P7" s="87"/>
      <c r="Q7" s="87"/>
      <c r="R7" s="87"/>
      <c r="S7" s="87"/>
      <c r="T7" s="87"/>
      <c r="AC7" s="87"/>
      <c r="AD7" s="87"/>
      <c r="AE7" s="87"/>
      <c r="AF7" s="87"/>
      <c r="AG7" s="87"/>
      <c r="AH7" s="87"/>
      <c r="AI7" s="87"/>
      <c r="AJ7" s="13" t="s">
        <v>39</v>
      </c>
      <c r="AK7" s="27" t="s">
        <v>50</v>
      </c>
      <c r="AL7" s="30">
        <f t="shared" si="0"/>
        <v>1</v>
      </c>
      <c r="AM7" s="87" t="str">
        <f t="shared" ref="AM7:AM45" si="2">CONCATENATE(AJ7," ",AK7," ",AL7)</f>
        <v>N-0 Losses 1</v>
      </c>
      <c r="AN7" s="14">
        <f t="shared" si="1"/>
        <v>5.3727389706666813</v>
      </c>
      <c r="AO7" s="14">
        <v>0</v>
      </c>
    </row>
    <row r="8" spans="1:41" ht="31" x14ac:dyDescent="0.35">
      <c r="A8" s="21">
        <v>3</v>
      </c>
      <c r="B8" s="47" t="s">
        <v>12</v>
      </c>
      <c r="C8" s="29">
        <v>270</v>
      </c>
      <c r="D8" s="29">
        <v>285</v>
      </c>
      <c r="E8" s="87"/>
      <c r="F8" s="87"/>
      <c r="G8" s="86"/>
      <c r="H8" s="86"/>
      <c r="I8" s="86"/>
      <c r="J8" s="86"/>
      <c r="K8" s="86"/>
      <c r="L8" s="86"/>
      <c r="M8" s="87"/>
      <c r="N8" s="87"/>
      <c r="O8" s="87"/>
      <c r="P8" s="87"/>
      <c r="Q8" s="87"/>
      <c r="R8" s="87"/>
      <c r="S8" s="87"/>
      <c r="T8" s="87"/>
      <c r="AC8" s="87"/>
      <c r="AD8" s="87"/>
      <c r="AE8" s="87"/>
      <c r="AF8" s="87"/>
      <c r="AG8" s="87"/>
      <c r="AH8" s="87"/>
      <c r="AI8" s="87"/>
      <c r="AJ8" s="13" t="s">
        <v>30</v>
      </c>
      <c r="AK8" s="27" t="s">
        <v>31</v>
      </c>
      <c r="AL8" s="30">
        <f t="shared" si="0"/>
        <v>1</v>
      </c>
      <c r="AM8" s="87" t="str">
        <f t="shared" si="2"/>
        <v>N-1 EENS 1</v>
      </c>
      <c r="AN8" s="14">
        <f t="shared" si="1"/>
        <v>21.431024919721786</v>
      </c>
      <c r="AO8" s="14">
        <v>0</v>
      </c>
    </row>
    <row r="9" spans="1:41" ht="21" x14ac:dyDescent="0.35">
      <c r="A9" s="117">
        <v>8</v>
      </c>
      <c r="B9" s="71" t="s">
        <v>15</v>
      </c>
      <c r="C9" s="29">
        <v>290</v>
      </c>
      <c r="D9" s="29">
        <v>328</v>
      </c>
      <c r="E9" s="87"/>
      <c r="F9" s="87"/>
      <c r="G9" s="86"/>
      <c r="H9" s="86"/>
      <c r="I9" s="86"/>
      <c r="J9" s="86"/>
      <c r="K9" s="86"/>
      <c r="L9" s="86"/>
      <c r="M9" s="87"/>
      <c r="N9" s="87"/>
      <c r="O9" s="87"/>
      <c r="P9" s="87"/>
      <c r="Q9" s="87"/>
      <c r="R9" s="87"/>
      <c r="S9" s="87"/>
      <c r="T9" s="87"/>
      <c r="AC9" s="87"/>
      <c r="AD9" s="87"/>
      <c r="AE9" s="87"/>
      <c r="AF9" s="87"/>
      <c r="AG9" s="87"/>
      <c r="AH9" s="87"/>
      <c r="AI9" s="87"/>
      <c r="AJ9" s="13" t="s">
        <v>30</v>
      </c>
      <c r="AK9" s="27" t="s">
        <v>51</v>
      </c>
      <c r="AL9" s="30">
        <f t="shared" si="0"/>
        <v>1</v>
      </c>
      <c r="AM9" s="87" t="str">
        <f t="shared" si="2"/>
        <v>N-1 Flexibility-1 1</v>
      </c>
      <c r="AN9" s="14">
        <f t="shared" si="1"/>
        <v>8409.9881298942564</v>
      </c>
      <c r="AO9" s="14">
        <v>0</v>
      </c>
    </row>
    <row r="10" spans="1:41" ht="15" customHeight="1" x14ac:dyDescent="0.35">
      <c r="A10" s="21">
        <v>7</v>
      </c>
      <c r="B10" s="47" t="s">
        <v>17</v>
      </c>
      <c r="C10" s="29">
        <v>315</v>
      </c>
      <c r="D10" s="29">
        <v>358</v>
      </c>
      <c r="E10" s="87"/>
      <c r="F10" s="87"/>
      <c r="G10" s="86"/>
      <c r="H10" s="86"/>
      <c r="I10" s="86"/>
      <c r="J10" s="86"/>
      <c r="K10" s="86"/>
      <c r="L10" s="86"/>
      <c r="M10" s="87"/>
      <c r="N10" s="87"/>
      <c r="O10" s="87"/>
      <c r="P10" s="87"/>
      <c r="Q10" s="87"/>
      <c r="R10" s="87"/>
      <c r="S10" s="87"/>
      <c r="T10" s="87"/>
      <c r="AC10" s="87"/>
      <c r="AD10" s="87"/>
      <c r="AE10" s="87"/>
      <c r="AF10" s="87"/>
      <c r="AG10" s="87"/>
      <c r="AH10" s="87"/>
      <c r="AI10" s="87"/>
      <c r="AJ10" s="13" t="s">
        <v>30</v>
      </c>
      <c r="AK10" s="27" t="s">
        <v>52</v>
      </c>
      <c r="AL10" s="30">
        <f t="shared" si="0"/>
        <v>1</v>
      </c>
      <c r="AM10" s="87" t="str">
        <f t="shared" si="2"/>
        <v>N-1 Flexibility-2-1 1</v>
      </c>
      <c r="AN10" s="14">
        <f t="shared" si="1"/>
        <v>425.67285817849125</v>
      </c>
      <c r="AO10" s="14">
        <v>0</v>
      </c>
    </row>
    <row r="11" spans="1:41" ht="34.15" customHeight="1" x14ac:dyDescent="0.35">
      <c r="A11" s="21">
        <v>11</v>
      </c>
      <c r="B11" s="47" t="s">
        <v>19</v>
      </c>
      <c r="C11" s="29">
        <v>400</v>
      </c>
      <c r="D11" s="29">
        <v>951</v>
      </c>
      <c r="E11" s="87"/>
      <c r="F11" s="87"/>
      <c r="G11" s="86"/>
      <c r="H11" s="86"/>
      <c r="I11" s="86"/>
      <c r="J11" s="86"/>
      <c r="K11" s="86"/>
      <c r="L11" s="86"/>
      <c r="M11" s="87"/>
      <c r="N11" s="87"/>
      <c r="O11" s="87"/>
      <c r="P11" s="87"/>
      <c r="Q11" s="87"/>
      <c r="R11" s="87"/>
      <c r="S11" s="87"/>
      <c r="T11" s="87"/>
      <c r="AC11" s="87"/>
      <c r="AD11" s="87"/>
      <c r="AE11" s="87"/>
      <c r="AF11" s="87"/>
      <c r="AG11" s="87"/>
      <c r="AH11" s="87"/>
      <c r="AI11" s="87"/>
      <c r="AJ11" s="13" t="s">
        <v>30</v>
      </c>
      <c r="AK11" s="27" t="s">
        <v>53</v>
      </c>
      <c r="AL11" s="30">
        <f t="shared" si="0"/>
        <v>1</v>
      </c>
      <c r="AM11" s="87" t="str">
        <f t="shared" si="2"/>
        <v>N-1 Flexibility-2-2 1</v>
      </c>
      <c r="AN11" s="14">
        <f t="shared" si="1"/>
        <v>330.88072326432456</v>
      </c>
      <c r="AO11" s="14">
        <v>0</v>
      </c>
    </row>
    <row r="12" spans="1:41" x14ac:dyDescent="0.35">
      <c r="A12" s="117">
        <v>2</v>
      </c>
      <c r="B12" s="71" t="s">
        <v>10</v>
      </c>
      <c r="C12" s="29">
        <v>469</v>
      </c>
      <c r="D12" s="29">
        <v>540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AC12" s="87"/>
      <c r="AD12" s="87"/>
      <c r="AE12" s="87"/>
      <c r="AF12" s="87"/>
      <c r="AG12" s="87"/>
      <c r="AH12" s="87"/>
      <c r="AI12" s="87"/>
      <c r="AJ12" s="13" t="s">
        <v>54</v>
      </c>
      <c r="AK12" s="27" t="s">
        <v>24</v>
      </c>
      <c r="AL12" s="30">
        <v>1</v>
      </c>
      <c r="AM12" s="87" t="str">
        <f t="shared" si="2"/>
        <v>Total Aggregate 1</v>
      </c>
      <c r="AN12" s="14">
        <f>C30</f>
        <v>9833.3584624405485</v>
      </c>
      <c r="AO12" s="14">
        <v>0</v>
      </c>
    </row>
    <row r="13" spans="1:41" ht="15.5" x14ac:dyDescent="0.35">
      <c r="A13" s="21">
        <v>1</v>
      </c>
      <c r="B13" s="47" t="s">
        <v>9</v>
      </c>
      <c r="C13" s="29">
        <v>545</v>
      </c>
      <c r="D13" s="29">
        <v>545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AC13" s="87"/>
      <c r="AD13" s="87"/>
      <c r="AE13" s="87"/>
      <c r="AF13" s="87"/>
      <c r="AG13" s="87"/>
      <c r="AH13" s="87"/>
      <c r="AI13" s="87"/>
      <c r="AJ13" s="13" t="s">
        <v>39</v>
      </c>
      <c r="AK13" s="27" t="s">
        <v>31</v>
      </c>
      <c r="AL13" s="33">
        <f t="shared" ref="AL13:AL19" si="3">$D$23</f>
        <v>2</v>
      </c>
      <c r="AM13" s="34" t="str">
        <f t="shared" si="2"/>
        <v>N-0 EENS 2</v>
      </c>
      <c r="AN13" s="35">
        <f t="shared" ref="AN13:AN18" si="4">D24/1000000</f>
        <v>607.76941374293096</v>
      </c>
      <c r="AO13" s="14">
        <v>0</v>
      </c>
    </row>
    <row r="14" spans="1:41" ht="29" x14ac:dyDescent="0.35">
      <c r="A14" s="117">
        <v>12</v>
      </c>
      <c r="B14" s="71" t="s">
        <v>21</v>
      </c>
      <c r="C14" s="29">
        <v>701</v>
      </c>
      <c r="D14" s="29">
        <v>1473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AC14" s="87"/>
      <c r="AD14" s="87"/>
      <c r="AE14" s="87"/>
      <c r="AF14" s="87"/>
      <c r="AG14" s="87"/>
      <c r="AH14" s="87"/>
      <c r="AI14" s="87"/>
      <c r="AJ14" s="13" t="s">
        <v>39</v>
      </c>
      <c r="AK14" s="27" t="s">
        <v>50</v>
      </c>
      <c r="AL14" s="30">
        <f t="shared" si="3"/>
        <v>2</v>
      </c>
      <c r="AM14" s="87" t="str">
        <f t="shared" si="2"/>
        <v>N-0 Losses 2</v>
      </c>
      <c r="AN14" s="35">
        <f t="shared" si="4"/>
        <v>3.6528870567212675</v>
      </c>
      <c r="AO14" s="14">
        <v>0</v>
      </c>
    </row>
    <row r="15" spans="1:41" ht="46.5" x14ac:dyDescent="0.35">
      <c r="A15" s="21">
        <v>10</v>
      </c>
      <c r="B15" s="47" t="s">
        <v>20</v>
      </c>
      <c r="C15" s="29">
        <v>726</v>
      </c>
      <c r="D15" s="29">
        <v>2582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AC15" s="87"/>
      <c r="AD15" s="87"/>
      <c r="AE15" s="87"/>
      <c r="AF15" s="87"/>
      <c r="AG15" s="87"/>
      <c r="AH15" s="87"/>
      <c r="AI15" s="87"/>
      <c r="AJ15" s="13" t="s">
        <v>30</v>
      </c>
      <c r="AK15" s="27" t="s">
        <v>31</v>
      </c>
      <c r="AL15" s="30">
        <f t="shared" si="3"/>
        <v>2</v>
      </c>
      <c r="AM15" s="87" t="str">
        <f t="shared" si="2"/>
        <v>N-1 EENS 2</v>
      </c>
      <c r="AN15" s="35">
        <f t="shared" si="4"/>
        <v>23.627188705041007</v>
      </c>
      <c r="AO15" s="14">
        <v>0</v>
      </c>
    </row>
    <row r="16" spans="1:41" ht="30" customHeight="1" x14ac:dyDescent="0.35">
      <c r="A16" s="117">
        <v>9</v>
      </c>
      <c r="B16" s="71" t="s">
        <v>18</v>
      </c>
      <c r="C16" s="29">
        <v>806</v>
      </c>
      <c r="D16" s="29">
        <v>951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AC16" s="87"/>
      <c r="AD16" s="87"/>
      <c r="AE16" s="87"/>
      <c r="AF16" s="87"/>
      <c r="AG16" s="87"/>
      <c r="AH16" s="87"/>
      <c r="AI16" s="87"/>
      <c r="AJ16" s="13" t="s">
        <v>30</v>
      </c>
      <c r="AK16" s="27" t="s">
        <v>51</v>
      </c>
      <c r="AL16" s="30">
        <f t="shared" si="3"/>
        <v>2</v>
      </c>
      <c r="AM16" s="87" t="str">
        <f t="shared" si="2"/>
        <v>N-1 Flexibility-1 2</v>
      </c>
      <c r="AN16" s="35">
        <f t="shared" si="4"/>
        <v>3441.8660308343742</v>
      </c>
      <c r="AO16" s="14">
        <v>0</v>
      </c>
    </row>
    <row r="17" spans="1:41" ht="29" x14ac:dyDescent="0.35">
      <c r="A17" s="117">
        <v>5</v>
      </c>
      <c r="B17" s="71" t="s">
        <v>16</v>
      </c>
      <c r="C17" s="29">
        <v>829</v>
      </c>
      <c r="D17" s="29">
        <v>2156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AC17" s="87"/>
      <c r="AD17" s="87"/>
      <c r="AE17" s="87"/>
      <c r="AF17" s="87"/>
      <c r="AG17" s="87"/>
      <c r="AH17" s="87"/>
      <c r="AI17" s="87"/>
      <c r="AJ17" s="13" t="s">
        <v>30</v>
      </c>
      <c r="AK17" s="27" t="s">
        <v>52</v>
      </c>
      <c r="AL17" s="30">
        <f t="shared" si="3"/>
        <v>2</v>
      </c>
      <c r="AM17" s="87" t="str">
        <f t="shared" si="2"/>
        <v>N-1 Flexibility-2-1 2</v>
      </c>
      <c r="AN17" s="35">
        <f t="shared" si="4"/>
        <v>295.87803573556931</v>
      </c>
      <c r="AO17" s="14">
        <v>0</v>
      </c>
    </row>
    <row r="18" spans="1:41" x14ac:dyDescent="0.35">
      <c r="A18" s="102">
        <v>4</v>
      </c>
      <c r="B18" s="81" t="s">
        <v>14</v>
      </c>
      <c r="C18" s="82">
        <v>923</v>
      </c>
      <c r="D18" s="82">
        <v>2363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AC18" s="87"/>
      <c r="AD18" s="87"/>
      <c r="AE18" s="87"/>
      <c r="AF18" s="87"/>
      <c r="AG18" s="87"/>
      <c r="AH18" s="87"/>
      <c r="AI18" s="87"/>
      <c r="AJ18" s="13" t="s">
        <v>30</v>
      </c>
      <c r="AK18" s="27" t="s">
        <v>53</v>
      </c>
      <c r="AL18" s="30">
        <f t="shared" si="3"/>
        <v>2</v>
      </c>
      <c r="AM18" s="87" t="str">
        <f t="shared" si="2"/>
        <v>N-1 Flexibility-2-2 2</v>
      </c>
      <c r="AN18" s="35">
        <f t="shared" si="4"/>
        <v>224.0722589457647</v>
      </c>
      <c r="AO18" s="14">
        <v>0</v>
      </c>
    </row>
    <row r="19" spans="1:41" x14ac:dyDescent="0.35">
      <c r="A19" s="102"/>
      <c r="B19" s="102"/>
      <c r="C19" s="52"/>
      <c r="D19" s="52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AC19" s="87"/>
      <c r="AD19" s="87"/>
      <c r="AE19" s="87"/>
      <c r="AF19" s="87"/>
      <c r="AG19" s="87"/>
      <c r="AH19" s="87"/>
      <c r="AI19" s="87"/>
      <c r="AJ19" s="13" t="s">
        <v>54</v>
      </c>
      <c r="AK19" s="27" t="s">
        <v>24</v>
      </c>
      <c r="AL19" s="30">
        <f t="shared" si="3"/>
        <v>2</v>
      </c>
      <c r="AM19" s="87" t="str">
        <f t="shared" si="2"/>
        <v>Total Aggregate 2</v>
      </c>
      <c r="AN19" s="35">
        <f>D30</f>
        <v>4593.2129279636802</v>
      </c>
      <c r="AO19" s="14">
        <v>0</v>
      </c>
    </row>
    <row r="20" spans="1:41" x14ac:dyDescent="0.35">
      <c r="A20" s="102"/>
      <c r="B20" s="102"/>
      <c r="C20" s="52"/>
      <c r="D20" s="52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AC20" s="87"/>
      <c r="AD20" s="87"/>
      <c r="AE20" s="87"/>
      <c r="AF20" s="87"/>
      <c r="AG20" s="87"/>
      <c r="AH20" s="87"/>
      <c r="AI20" s="87"/>
      <c r="AJ20" s="13" t="s">
        <v>39</v>
      </c>
      <c r="AK20" s="27" t="s">
        <v>31</v>
      </c>
      <c r="AL20" s="33">
        <f t="shared" ref="AL20:AL26" si="5">$E$23</f>
        <v>3</v>
      </c>
      <c r="AM20" s="34" t="str">
        <f t="shared" si="2"/>
        <v>N-0 EENS 3</v>
      </c>
      <c r="AN20" s="35">
        <f t="shared" ref="AN20:AN25" si="6">E24/1000000</f>
        <v>483.22234748550937</v>
      </c>
      <c r="AO20" s="14">
        <v>0</v>
      </c>
    </row>
    <row r="21" spans="1:41" ht="15.65" customHeight="1" x14ac:dyDescent="0.45">
      <c r="A21" s="151" t="s">
        <v>55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87"/>
      <c r="Q21" s="87"/>
      <c r="R21" s="87"/>
      <c r="S21" s="87"/>
      <c r="T21" s="87"/>
      <c r="AC21" s="87"/>
      <c r="AD21" s="87"/>
      <c r="AE21" s="87"/>
      <c r="AF21" s="87"/>
      <c r="AG21" s="87"/>
      <c r="AH21" s="87"/>
      <c r="AI21" s="87"/>
      <c r="AJ21" s="13" t="s">
        <v>39</v>
      </c>
      <c r="AK21" s="27" t="s">
        <v>50</v>
      </c>
      <c r="AL21" s="33">
        <f t="shared" si="5"/>
        <v>3</v>
      </c>
      <c r="AM21" s="34" t="str">
        <f t="shared" si="2"/>
        <v>N-0 Losses 3</v>
      </c>
      <c r="AN21" s="35">
        <f t="shared" si="6"/>
        <v>0.34871533143486066</v>
      </c>
      <c r="AO21" s="14">
        <v>0</v>
      </c>
    </row>
    <row r="22" spans="1:41" ht="72.5" x14ac:dyDescent="0.35">
      <c r="A22" s="152"/>
      <c r="B22" s="153"/>
      <c r="C22" s="89" t="s">
        <v>9</v>
      </c>
      <c r="D22" s="89" t="s">
        <v>10</v>
      </c>
      <c r="E22" s="89" t="s">
        <v>12</v>
      </c>
      <c r="F22" s="89" t="s">
        <v>14</v>
      </c>
      <c r="G22" s="89" t="s">
        <v>16</v>
      </c>
      <c r="H22" s="89" t="s">
        <v>13</v>
      </c>
      <c r="I22" s="89" t="s">
        <v>17</v>
      </c>
      <c r="J22" s="89" t="s">
        <v>15</v>
      </c>
      <c r="K22" s="89" t="s">
        <v>18</v>
      </c>
      <c r="L22" s="89" t="s">
        <v>20</v>
      </c>
      <c r="M22" s="89" t="s">
        <v>19</v>
      </c>
      <c r="N22" s="89" t="s">
        <v>21</v>
      </c>
      <c r="O22" s="89" t="s">
        <v>11</v>
      </c>
      <c r="P22" s="87"/>
      <c r="Q22" s="87"/>
      <c r="R22" s="87"/>
      <c r="S22" s="87"/>
      <c r="T22" s="87"/>
      <c r="AC22" s="87"/>
      <c r="AD22" s="87"/>
      <c r="AE22" s="87"/>
      <c r="AF22" s="87"/>
      <c r="AG22" s="87"/>
      <c r="AH22" s="87"/>
      <c r="AI22" s="87"/>
      <c r="AJ22" s="13" t="s">
        <v>30</v>
      </c>
      <c r="AK22" s="27" t="s">
        <v>31</v>
      </c>
      <c r="AL22" s="30">
        <f t="shared" si="5"/>
        <v>3</v>
      </c>
      <c r="AM22" s="87" t="str">
        <f t="shared" si="2"/>
        <v>N-1 EENS 3</v>
      </c>
      <c r="AN22" s="35">
        <f t="shared" si="6"/>
        <v>5.1636603691529643</v>
      </c>
      <c r="AO22" s="14">
        <v>0</v>
      </c>
    </row>
    <row r="23" spans="1:41" x14ac:dyDescent="0.35">
      <c r="A23" s="142" t="s">
        <v>27</v>
      </c>
      <c r="B23" s="142"/>
      <c r="C23" s="118">
        <v>1</v>
      </c>
      <c r="D23" s="118">
        <v>2</v>
      </c>
      <c r="E23" s="118">
        <v>3</v>
      </c>
      <c r="F23" s="118">
        <v>4</v>
      </c>
      <c r="G23" s="118">
        <v>5</v>
      </c>
      <c r="H23" s="118">
        <v>6</v>
      </c>
      <c r="I23" s="118">
        <v>7</v>
      </c>
      <c r="J23" s="118">
        <v>8</v>
      </c>
      <c r="K23" s="118">
        <v>9</v>
      </c>
      <c r="L23" s="118">
        <v>10</v>
      </c>
      <c r="M23" s="118">
        <v>11</v>
      </c>
      <c r="N23" s="118">
        <v>12</v>
      </c>
      <c r="O23" s="118">
        <v>13</v>
      </c>
      <c r="P23" s="87"/>
      <c r="Q23" s="9"/>
      <c r="R23" s="87"/>
      <c r="S23" s="87"/>
      <c r="T23" s="87"/>
      <c r="AC23" s="87"/>
      <c r="AD23" s="87"/>
      <c r="AE23" s="87"/>
      <c r="AF23" s="87"/>
      <c r="AG23" s="87"/>
      <c r="AH23" s="87"/>
      <c r="AI23" s="87"/>
      <c r="AJ23" s="13" t="s">
        <v>30</v>
      </c>
      <c r="AK23" s="27" t="s">
        <v>51</v>
      </c>
      <c r="AL23" s="30">
        <f t="shared" si="5"/>
        <v>3</v>
      </c>
      <c r="AM23" s="87" t="str">
        <f t="shared" si="2"/>
        <v>N-1 Flexibility-1 3</v>
      </c>
      <c r="AN23" s="35">
        <f t="shared" si="6"/>
        <v>2775.4693161321998</v>
      </c>
      <c r="AO23" s="14">
        <v>0</v>
      </c>
    </row>
    <row r="24" spans="1:41" x14ac:dyDescent="0.35">
      <c r="A24" s="13" t="s">
        <v>39</v>
      </c>
      <c r="B24" s="27" t="s">
        <v>56</v>
      </c>
      <c r="C24" s="100">
        <f>'Alberhill System Project'!C71</f>
        <v>645385726.18375301</v>
      </c>
      <c r="D24" s="100">
        <f>'SDG&amp;E'!$C71</f>
        <v>607769413.74293101</v>
      </c>
      <c r="E24" s="100">
        <f>'Valley S to Valley N to Vista'!$C72</f>
        <v>483222347.4855094</v>
      </c>
      <c r="F24" s="100">
        <f>'Centralized BESS in Valley S'!$C71</f>
        <v>647092519.63548172</v>
      </c>
      <c r="G24" s="100">
        <f>'MiraLoma &amp; Centralized BESS VS'!$C71</f>
        <v>647092519.63548172</v>
      </c>
      <c r="H24" s="100">
        <f>'VS to VN &amp; Distributed BESS VS'!$C72</f>
        <v>301630203.71652728</v>
      </c>
      <c r="I24" s="100">
        <f>Menifee!$C71</f>
        <v>621473538.16686594</v>
      </c>
      <c r="J24" s="100">
        <f>'Mira Loma'!$C71</f>
        <v>430214728.83422869</v>
      </c>
      <c r="K24" s="100">
        <f>'SCE Orange County'!$C71</f>
        <v>609900047.09461057</v>
      </c>
      <c r="L24" s="100">
        <f>'VS to VN &amp; Central BESS VS VN '!$C72</f>
        <v>647092519.63548172</v>
      </c>
      <c r="M24" s="100">
        <f>'VS to VN to VST &amp; Cen BESS VS'!$C72</f>
        <v>508922896.94825751</v>
      </c>
      <c r="N24" s="100">
        <f>'SDG&amp;E and Central BESS in VS'!$C71</f>
        <v>647092519.63548172</v>
      </c>
      <c r="O24" s="100">
        <f>'Valley South to Valley North'!$C72</f>
        <v>288035838.73179746</v>
      </c>
      <c r="P24" s="87"/>
      <c r="Q24" s="9"/>
      <c r="R24" s="87"/>
      <c r="S24" s="87"/>
      <c r="T24" s="87"/>
      <c r="AC24" s="87"/>
      <c r="AD24" s="87"/>
      <c r="AE24" s="87"/>
      <c r="AF24" s="87"/>
      <c r="AG24" s="87"/>
      <c r="AH24" s="87"/>
      <c r="AI24" s="87"/>
      <c r="AJ24" s="13" t="s">
        <v>30</v>
      </c>
      <c r="AK24" s="27" t="s">
        <v>52</v>
      </c>
      <c r="AL24" s="30">
        <f t="shared" si="5"/>
        <v>3</v>
      </c>
      <c r="AM24" s="87" t="str">
        <f t="shared" si="2"/>
        <v>N-1 Flexibility-2-1 3</v>
      </c>
      <c r="AN24" s="35">
        <f t="shared" si="6"/>
        <v>0</v>
      </c>
      <c r="AO24" s="14">
        <v>0</v>
      </c>
    </row>
    <row r="25" spans="1:41" x14ac:dyDescent="0.35">
      <c r="A25" s="13" t="s">
        <v>39</v>
      </c>
      <c r="B25" s="27" t="s">
        <v>57</v>
      </c>
      <c r="C25" s="100">
        <f>'Alberhill System Project'!B43</f>
        <v>5372738.9706666814</v>
      </c>
      <c r="D25" s="100">
        <f>'SDG&amp;E'!$B43</f>
        <v>3652887.0567212673</v>
      </c>
      <c r="E25" s="100">
        <f>'Valley S to Valley N to Vista'!$B44</f>
        <v>348715.33143486065</v>
      </c>
      <c r="F25" s="100">
        <f>'Centralized BESS in Valley S'!$B43</f>
        <v>920382.91998702625</v>
      </c>
      <c r="G25" s="100">
        <f>'MiraLoma &amp; Centralized BESS VS'!$B43</f>
        <v>759493.06003675901</v>
      </c>
      <c r="H25" s="100">
        <f>'VS to VN &amp; Distributed BESS VS'!$B44</f>
        <v>354648.55535543314</v>
      </c>
      <c r="I25" s="100">
        <f>Menifee!$B43</f>
        <v>585160.87294775015</v>
      </c>
      <c r="J25" s="100">
        <f>'Mira Loma'!$B43</f>
        <v>706079.48804400756</v>
      </c>
      <c r="K25" s="100">
        <f>'SCE Orange County'!$B43</f>
        <v>3228185.9264959241</v>
      </c>
      <c r="L25" s="100">
        <f>'VS to VN &amp; Central BESS VS VN '!$B44</f>
        <v>355383.25861104828</v>
      </c>
      <c r="M25" s="100">
        <f>'VS to VN to VST &amp; Cen BESS VS'!$B44</f>
        <v>355383.25861104828</v>
      </c>
      <c r="N25" s="100">
        <f>'SDG&amp;E and Central BESS in VS'!$B43</f>
        <v>3659341.4519993956</v>
      </c>
      <c r="O25" s="100">
        <f>'Valley South to Valley North'!$B44</f>
        <v>348715.33143486211</v>
      </c>
      <c r="P25" s="87"/>
      <c r="Q25" s="9"/>
      <c r="R25" s="87"/>
      <c r="S25" s="87"/>
      <c r="T25" s="87"/>
      <c r="AC25" s="87"/>
      <c r="AD25" s="87"/>
      <c r="AE25" s="87"/>
      <c r="AF25" s="87"/>
      <c r="AG25" s="87"/>
      <c r="AH25" s="87"/>
      <c r="AI25" s="87"/>
      <c r="AJ25" s="13" t="s">
        <v>30</v>
      </c>
      <c r="AK25" s="27" t="s">
        <v>53</v>
      </c>
      <c r="AL25" s="30">
        <f t="shared" si="5"/>
        <v>3</v>
      </c>
      <c r="AM25" s="87" t="str">
        <f t="shared" si="2"/>
        <v>N-1 Flexibility-2-2 3</v>
      </c>
      <c r="AN25" s="35">
        <f t="shared" si="6"/>
        <v>201.4215237424624</v>
      </c>
      <c r="AO25" s="14">
        <v>0</v>
      </c>
    </row>
    <row r="26" spans="1:41" x14ac:dyDescent="0.35">
      <c r="A26" s="13" t="s">
        <v>30</v>
      </c>
      <c r="B26" s="27" t="s">
        <v>56</v>
      </c>
      <c r="C26" s="100">
        <f>'Alberhill System Project'!C67</f>
        <v>21431024.919721786</v>
      </c>
      <c r="D26" s="100">
        <f>'SDG&amp;E'!$C67</f>
        <v>23627188.705041006</v>
      </c>
      <c r="E26" s="100">
        <f>'Valley S to Valley N to Vista'!$C68</f>
        <v>5163660.3691529641</v>
      </c>
      <c r="F26" s="100">
        <f>'Centralized BESS in Valley S'!$C67</f>
        <v>23725380.36064709</v>
      </c>
      <c r="G26" s="100">
        <f>'MiraLoma &amp; Centralized BESS VS'!$C67</f>
        <v>22111076.210105926</v>
      </c>
      <c r="H26" s="100">
        <f>'VS to VN &amp; Distributed BESS VS'!$C68</f>
        <v>9757882.5188006293</v>
      </c>
      <c r="I26" s="100">
        <f>Menifee!$C67</f>
        <v>5404938.4340365967</v>
      </c>
      <c r="J26" s="100">
        <f>'Mira Loma'!$C67</f>
        <v>4008191.9914480709</v>
      </c>
      <c r="K26" s="100">
        <f>'SCE Orange County'!$C67</f>
        <v>21350864.760712691</v>
      </c>
      <c r="L26" s="100">
        <f>'VS to VN &amp; Central BESS VS VN '!$C68</f>
        <v>10291163.102497593</v>
      </c>
      <c r="M26" s="100">
        <f>'VS to VN to VST &amp; Cen BESS VS'!$C68</f>
        <v>10291163.102497593</v>
      </c>
      <c r="N26" s="100">
        <f>'SDG&amp;E and Central BESS in VS'!$C67</f>
        <v>23955422.370216489</v>
      </c>
      <c r="O26" s="100">
        <f>'Valley South to Valley North'!$C68</f>
        <v>5163660.3691529641</v>
      </c>
      <c r="P26" s="87"/>
      <c r="Q26" s="9"/>
      <c r="R26" s="87"/>
      <c r="S26" s="87"/>
      <c r="T26" s="87"/>
      <c r="AC26" s="87"/>
      <c r="AD26" s="87"/>
      <c r="AE26" s="87"/>
      <c r="AF26" s="87"/>
      <c r="AG26" s="87"/>
      <c r="AH26" s="87"/>
      <c r="AI26" s="87"/>
      <c r="AJ26" s="13" t="s">
        <v>54</v>
      </c>
      <c r="AK26" s="27" t="s">
        <v>24</v>
      </c>
      <c r="AL26" s="30">
        <f t="shared" si="5"/>
        <v>3</v>
      </c>
      <c r="AM26" s="87" t="str">
        <f t="shared" si="2"/>
        <v>Total Aggregate 3</v>
      </c>
      <c r="AN26" s="35">
        <f>E30</f>
        <v>3465.2768477293248</v>
      </c>
      <c r="AO26" s="14">
        <v>0</v>
      </c>
    </row>
    <row r="27" spans="1:41" x14ac:dyDescent="0.35">
      <c r="A27" s="13" t="s">
        <v>30</v>
      </c>
      <c r="B27" s="27" t="s">
        <v>58</v>
      </c>
      <c r="C27" s="100">
        <f>'Alberhill System Project'!C75</f>
        <v>8409988129.8942556</v>
      </c>
      <c r="D27" s="100">
        <f>'SDG&amp;E'!$C75</f>
        <v>3441866030.8343744</v>
      </c>
      <c r="E27" s="100">
        <f>'Valley S to Valley N to Vista'!$C76</f>
        <v>2775469316.1321998</v>
      </c>
      <c r="F27" s="100">
        <f>'Centralized BESS in Valley S'!$C75</f>
        <v>2743103432.9558544</v>
      </c>
      <c r="G27" s="100">
        <f>'MiraLoma &amp; Centralized BESS VS'!$C75</f>
        <v>5956670805.6582794</v>
      </c>
      <c r="H27" s="100">
        <f>'VS to VN &amp; Distributed BESS VS'!$C76</f>
        <v>3113974750.9460773</v>
      </c>
      <c r="I27" s="100">
        <f>Menifee!$C75</f>
        <v>2751760695.3041825</v>
      </c>
      <c r="J27" s="100">
        <f>'Mira Loma'!$C75</f>
        <v>4034551236.5712466</v>
      </c>
      <c r="K27" s="100">
        <f>'SCE Orange County'!$C75</f>
        <v>7089341227.1266718</v>
      </c>
      <c r="L27" s="100">
        <f>'VS to VN &amp; Central BESS VS VN '!$C76</f>
        <v>3254403300.280684</v>
      </c>
      <c r="M27" s="100">
        <f>'VS to VN to VST &amp; Cen BESS VS'!$C76</f>
        <v>3254403300.280684</v>
      </c>
      <c r="N27" s="100">
        <f>'SDG&amp;E and Central BESS in VS'!$C75</f>
        <v>3796866784.322309</v>
      </c>
      <c r="O27" s="100">
        <f>'Valley South to Valley North'!$C76</f>
        <v>2775469316.1321998</v>
      </c>
      <c r="P27" s="87"/>
      <c r="Q27" s="9"/>
      <c r="R27" s="87"/>
      <c r="S27" s="87"/>
      <c r="T27" s="87"/>
      <c r="AC27" s="87"/>
      <c r="AD27" s="87"/>
      <c r="AE27" s="87"/>
      <c r="AF27" s="87"/>
      <c r="AG27" s="87"/>
      <c r="AH27" s="87"/>
      <c r="AI27" s="87"/>
      <c r="AJ27" s="13" t="s">
        <v>39</v>
      </c>
      <c r="AK27" s="27" t="s">
        <v>31</v>
      </c>
      <c r="AL27" s="33">
        <f t="shared" ref="AL27:AL33" si="7">$F$23</f>
        <v>4</v>
      </c>
      <c r="AM27" s="34" t="str">
        <f t="shared" si="2"/>
        <v>N-0 EENS 4</v>
      </c>
      <c r="AN27" s="35">
        <f t="shared" ref="AN27:AN32" si="8">F24/1000000</f>
        <v>647.09251963548172</v>
      </c>
      <c r="AO27" s="14">
        <v>0</v>
      </c>
    </row>
    <row r="28" spans="1:41" x14ac:dyDescent="0.35">
      <c r="A28" s="13" t="s">
        <v>30</v>
      </c>
      <c r="B28" s="27" t="s">
        <v>59</v>
      </c>
      <c r="C28" s="100">
        <f>'Alberhill System Project'!C79</f>
        <v>425672858.17849123</v>
      </c>
      <c r="D28" s="100">
        <f>'SDG&amp;E'!$C79</f>
        <v>295878035.7355693</v>
      </c>
      <c r="E28" s="100">
        <f>'Valley S to Valley N to Vista'!$C80</f>
        <v>0</v>
      </c>
      <c r="F28" s="100">
        <f>'Centralized BESS in Valley S'!$C79</f>
        <v>0</v>
      </c>
      <c r="G28" s="100">
        <f>'MiraLoma &amp; Centralized BESS VS'!$C79</f>
        <v>116477988.28589465</v>
      </c>
      <c r="H28" s="100">
        <f>'VS to VN &amp; Distributed BESS VS'!$C80</f>
        <v>0</v>
      </c>
      <c r="I28" s="100">
        <f>Menifee!$C79</f>
        <v>263385526.7484825</v>
      </c>
      <c r="J28" s="100">
        <f>'Mira Loma'!$C79</f>
        <v>116477988.28589465</v>
      </c>
      <c r="K28" s="100">
        <f>'SCE Orange County'!$C79</f>
        <v>302036731.14372259</v>
      </c>
      <c r="L28" s="100">
        <f>'VS to VN &amp; Central BESS VS VN '!$C80</f>
        <v>0</v>
      </c>
      <c r="M28" s="100">
        <f>'VS to VN to VST &amp; Cen BESS VS'!$C80</f>
        <v>0</v>
      </c>
      <c r="N28" s="100">
        <f>'SDG&amp;E and Central BESS in VS'!$C79</f>
        <v>295878035.7355693</v>
      </c>
      <c r="O28" s="100">
        <f>'Valley South to Valley North'!$C80</f>
        <v>0</v>
      </c>
      <c r="P28" s="87"/>
      <c r="Q28" s="9"/>
      <c r="R28" s="87"/>
      <c r="S28" s="87"/>
      <c r="T28" s="87"/>
      <c r="AC28" s="87"/>
      <c r="AD28" s="87"/>
      <c r="AE28" s="87"/>
      <c r="AF28" s="87"/>
      <c r="AG28" s="87"/>
      <c r="AH28" s="87"/>
      <c r="AI28" s="87"/>
      <c r="AJ28" s="13" t="s">
        <v>39</v>
      </c>
      <c r="AK28" s="27" t="s">
        <v>50</v>
      </c>
      <c r="AL28" s="30">
        <f t="shared" si="7"/>
        <v>4</v>
      </c>
      <c r="AM28" s="87" t="str">
        <f t="shared" si="2"/>
        <v>N-0 Losses 4</v>
      </c>
      <c r="AN28" s="35">
        <f t="shared" si="8"/>
        <v>0.92038291998702626</v>
      </c>
      <c r="AO28" s="14">
        <v>0</v>
      </c>
    </row>
    <row r="29" spans="1:41" x14ac:dyDescent="0.35">
      <c r="A29" s="13" t="s">
        <v>30</v>
      </c>
      <c r="B29" s="27" t="s">
        <v>60</v>
      </c>
      <c r="C29" s="100">
        <f>'Alberhill System Project'!C81</f>
        <v>330880723.26432455</v>
      </c>
      <c r="D29" s="100">
        <f>'SDG&amp;E'!$C81</f>
        <v>224072258.94576469</v>
      </c>
      <c r="E29" s="100">
        <f>'Valley S to Valley N to Vista'!$C82</f>
        <v>201421523.7424624</v>
      </c>
      <c r="F29" s="100">
        <f>'Centralized BESS in Valley S'!$C81</f>
        <v>7241189.2668485343</v>
      </c>
      <c r="G29" s="100">
        <f>'MiraLoma &amp; Centralized BESS VS'!$C81</f>
        <v>188669783.23707518</v>
      </c>
      <c r="H29" s="100">
        <f>'VS to VN &amp; Distributed BESS VS'!$C82</f>
        <v>202521982.95761076</v>
      </c>
      <c r="I29" s="100">
        <f>Menifee!$C81</f>
        <v>201421523.7424624</v>
      </c>
      <c r="J29" s="100">
        <f>'Mira Loma'!$C81</f>
        <v>188411324.86812806</v>
      </c>
      <c r="K29" s="100">
        <f>'SCE Orange County'!$C81</f>
        <v>239375699.07955644</v>
      </c>
      <c r="L29" s="100">
        <f>'VS to VN &amp; Central BESS VS VN '!$C82</f>
        <v>201421523.7424624</v>
      </c>
      <c r="M29" s="100">
        <f>'VS to VN to VST &amp; Cen BESS VS'!$C82</f>
        <v>201421523.7424624</v>
      </c>
      <c r="N29" s="100">
        <f>'SDG&amp;E and Central BESS in VS'!$C81</f>
        <v>224127689.70391449</v>
      </c>
      <c r="O29" s="100">
        <f>'Valley South to Valley North'!$C82</f>
        <v>201421523.7424624</v>
      </c>
      <c r="P29" s="87"/>
      <c r="Q29" s="87"/>
      <c r="R29" s="87"/>
      <c r="S29" s="87"/>
      <c r="T29" s="87"/>
      <c r="AC29" s="87"/>
      <c r="AD29" s="87"/>
      <c r="AE29" s="87"/>
      <c r="AF29" s="87"/>
      <c r="AG29" s="87"/>
      <c r="AH29" s="87"/>
      <c r="AI29" s="87"/>
      <c r="AJ29" s="13" t="s">
        <v>30</v>
      </c>
      <c r="AK29" s="27" t="s">
        <v>31</v>
      </c>
      <c r="AL29" s="30">
        <f t="shared" si="7"/>
        <v>4</v>
      </c>
      <c r="AM29" s="87" t="str">
        <f t="shared" si="2"/>
        <v>N-1 EENS 4</v>
      </c>
      <c r="AN29" s="35">
        <f t="shared" si="8"/>
        <v>23.72538036064709</v>
      </c>
      <c r="AO29" s="14">
        <v>0</v>
      </c>
    </row>
    <row r="30" spans="1:41" x14ac:dyDescent="0.35">
      <c r="A30" s="13" t="s">
        <v>54</v>
      </c>
      <c r="B30" s="27" t="s">
        <v>61</v>
      </c>
      <c r="C30" s="26">
        <f>'Alberhill System Project'!C83</f>
        <v>9833.3584624405485</v>
      </c>
      <c r="D30" s="26">
        <f>'SDG&amp;E'!$C83</f>
        <v>4593.2129279636802</v>
      </c>
      <c r="E30" s="26">
        <f>'Valley S to Valley N to Vista'!$C84</f>
        <v>3465.2768477293248</v>
      </c>
      <c r="F30" s="26">
        <f>'Centralized BESS in Valley S'!$C83</f>
        <v>3421.1625222188327</v>
      </c>
      <c r="G30" s="26">
        <f>'MiraLoma &amp; Centralized BESS VS'!$C83</f>
        <v>6931.0221730268377</v>
      </c>
      <c r="H30" s="26">
        <f>'VS to VN &amp; Distributed BESS VS'!$C84</f>
        <v>3627.8848201390156</v>
      </c>
      <c r="I30" s="26">
        <f>Menifee!$C83</f>
        <v>3843.4462223960295</v>
      </c>
      <c r="J30" s="26">
        <f>'Mira Loma'!$C83</f>
        <v>4773.6634705509477</v>
      </c>
      <c r="K30" s="26">
        <f>'SCE Orange County'!$C83</f>
        <v>8262.0045692052754</v>
      </c>
      <c r="L30" s="26">
        <f>'VS to VN &amp; Central BESS VS VN '!$C84</f>
        <v>4113.2085067611251</v>
      </c>
      <c r="M30" s="26">
        <f>'VS to VN to VST &amp; Cen BESS VS'!$C84</f>
        <v>3975.038884073901</v>
      </c>
      <c r="N30" s="26">
        <f>'SDG&amp;E and Central BESS in VS'!$C83</f>
        <v>4987.9204517674925</v>
      </c>
      <c r="O30" s="26">
        <f>'Valley South to Valley North'!$C84</f>
        <v>3270.0903389756127</v>
      </c>
      <c r="P30" s="87"/>
      <c r="Q30" s="87"/>
      <c r="R30" s="87"/>
      <c r="S30" s="87"/>
      <c r="T30" s="87"/>
      <c r="AC30" s="87"/>
      <c r="AD30" s="87"/>
      <c r="AE30" s="87"/>
      <c r="AF30" s="87"/>
      <c r="AG30" s="87"/>
      <c r="AH30" s="87"/>
      <c r="AI30" s="87"/>
      <c r="AJ30" s="13" t="s">
        <v>30</v>
      </c>
      <c r="AK30" s="27" t="s">
        <v>51</v>
      </c>
      <c r="AL30" s="30">
        <f t="shared" si="7"/>
        <v>4</v>
      </c>
      <c r="AM30" s="87" t="str">
        <f t="shared" si="2"/>
        <v>N-1 Flexibility-1 4</v>
      </c>
      <c r="AN30" s="35">
        <f t="shared" si="8"/>
        <v>2743.1034329558543</v>
      </c>
      <c r="AO30" s="14">
        <v>0</v>
      </c>
    </row>
    <row r="31" spans="1:41" x14ac:dyDescent="0.35">
      <c r="A31" s="92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87"/>
      <c r="Q31" s="87"/>
      <c r="R31" s="87"/>
      <c r="S31" s="87"/>
      <c r="T31" s="87"/>
      <c r="AC31" s="87"/>
      <c r="AD31" s="87"/>
      <c r="AE31" s="87"/>
      <c r="AF31" s="87"/>
      <c r="AG31" s="87"/>
      <c r="AH31" s="87"/>
      <c r="AI31" s="87"/>
      <c r="AJ31" s="13" t="s">
        <v>30</v>
      </c>
      <c r="AK31" s="27" t="s">
        <v>52</v>
      </c>
      <c r="AL31" s="30">
        <f t="shared" si="7"/>
        <v>4</v>
      </c>
      <c r="AM31" s="87" t="str">
        <f t="shared" si="2"/>
        <v>N-1 Flexibility-2-1 4</v>
      </c>
      <c r="AN31" s="35">
        <f t="shared" si="8"/>
        <v>0</v>
      </c>
      <c r="AO31" s="14">
        <v>0</v>
      </c>
    </row>
    <row r="32" spans="1:41" hidden="1" x14ac:dyDescent="0.35">
      <c r="A32" s="78"/>
      <c r="B32" s="79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AC32" s="87"/>
      <c r="AD32" s="87"/>
      <c r="AE32" s="87"/>
      <c r="AF32" s="87"/>
      <c r="AG32" s="87"/>
      <c r="AH32" s="87"/>
      <c r="AI32" s="87"/>
      <c r="AJ32" s="13" t="s">
        <v>30</v>
      </c>
      <c r="AK32" s="27" t="s">
        <v>53</v>
      </c>
      <c r="AL32" s="30">
        <f t="shared" si="7"/>
        <v>4</v>
      </c>
      <c r="AM32" s="87" t="str">
        <f t="shared" si="2"/>
        <v>N-1 Flexibility-2-2 4</v>
      </c>
      <c r="AN32" s="35">
        <f t="shared" si="8"/>
        <v>7.2411892668485347</v>
      </c>
      <c r="AO32" s="14">
        <v>0</v>
      </c>
    </row>
    <row r="33" spans="1:41" ht="20" hidden="1" thickBot="1" x14ac:dyDescent="0.5">
      <c r="A33" s="145" t="s">
        <v>41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87"/>
      <c r="R33" s="87"/>
      <c r="S33" s="87"/>
      <c r="T33" s="87"/>
      <c r="AC33" s="87"/>
      <c r="AD33" s="87"/>
      <c r="AE33" s="87"/>
      <c r="AF33" s="87"/>
      <c r="AG33" s="87"/>
      <c r="AH33" s="87"/>
      <c r="AI33" s="87"/>
      <c r="AJ33" s="13" t="s">
        <v>54</v>
      </c>
      <c r="AK33" s="27" t="s">
        <v>24</v>
      </c>
      <c r="AL33" s="30">
        <f t="shared" si="7"/>
        <v>4</v>
      </c>
      <c r="AM33" s="87" t="str">
        <f t="shared" si="2"/>
        <v>Total Aggregate 4</v>
      </c>
      <c r="AN33" s="35">
        <f>F30</f>
        <v>3421.1625222188327</v>
      </c>
      <c r="AO33" s="14">
        <v>0</v>
      </c>
    </row>
    <row r="34" spans="1:41" ht="18" hidden="1" thickTop="1" thickBot="1" x14ac:dyDescent="0.45">
      <c r="A34" s="149"/>
      <c r="B34" s="149"/>
      <c r="C34" s="149"/>
      <c r="D34" s="149"/>
      <c r="E34" s="149"/>
      <c r="F34" s="149"/>
      <c r="G34" s="149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AC34" s="87"/>
      <c r="AD34" s="87"/>
      <c r="AE34" s="87"/>
      <c r="AF34" s="87"/>
      <c r="AG34" s="87"/>
      <c r="AH34" s="87"/>
      <c r="AI34" s="87"/>
      <c r="AJ34" s="13" t="s">
        <v>39</v>
      </c>
      <c r="AK34" s="27" t="s">
        <v>31</v>
      </c>
      <c r="AL34" s="33">
        <f t="shared" ref="AL34:AL40" si="9">$G$23</f>
        <v>5</v>
      </c>
      <c r="AM34" s="34" t="str">
        <f t="shared" si="2"/>
        <v>N-0 EENS 5</v>
      </c>
      <c r="AN34" s="35">
        <f t="shared" ref="AN34:AN39" si="10">G24/1000000</f>
        <v>647.09251963548172</v>
      </c>
      <c r="AO34" s="14">
        <v>0</v>
      </c>
    </row>
    <row r="35" spans="1:41" hidden="1" x14ac:dyDescent="0.35">
      <c r="A35" s="150" t="str">
        <f>A23</f>
        <v>Category</v>
      </c>
      <c r="B35" s="150"/>
      <c r="C35" s="121">
        <f>A5</f>
        <v>0</v>
      </c>
      <c r="D35" s="121">
        <f>A6</f>
        <v>13</v>
      </c>
      <c r="E35" s="121">
        <f>A7</f>
        <v>6</v>
      </c>
      <c r="F35" s="121">
        <f>A8</f>
        <v>3</v>
      </c>
      <c r="G35" s="121">
        <f>A9</f>
        <v>8</v>
      </c>
      <c r="H35" s="121">
        <f>A10</f>
        <v>7</v>
      </c>
      <c r="I35" s="121">
        <f>A11</f>
        <v>11</v>
      </c>
      <c r="J35" s="121">
        <f>A12</f>
        <v>2</v>
      </c>
      <c r="K35" s="121">
        <f>A13</f>
        <v>1</v>
      </c>
      <c r="L35" s="121">
        <f>A14</f>
        <v>12</v>
      </c>
      <c r="M35" s="121">
        <f>A15</f>
        <v>10</v>
      </c>
      <c r="N35" s="121">
        <f>A16</f>
        <v>9</v>
      </c>
      <c r="O35" s="121">
        <f>A17</f>
        <v>5</v>
      </c>
      <c r="P35" s="121">
        <f>A18</f>
        <v>4</v>
      </c>
      <c r="Q35" s="87"/>
      <c r="R35" s="87"/>
      <c r="S35" s="87"/>
      <c r="T35" s="87"/>
      <c r="AC35" s="87"/>
      <c r="AD35" s="87"/>
      <c r="AE35" s="87"/>
      <c r="AF35" s="87"/>
      <c r="AG35" s="87"/>
      <c r="AH35" s="87"/>
      <c r="AI35" s="87"/>
      <c r="AJ35" s="13" t="s">
        <v>39</v>
      </c>
      <c r="AK35" s="27" t="s">
        <v>50</v>
      </c>
      <c r="AL35" s="30">
        <f t="shared" si="9"/>
        <v>5</v>
      </c>
      <c r="AM35" s="87" t="str">
        <f t="shared" si="2"/>
        <v>N-0 Losses 5</v>
      </c>
      <c r="AN35" s="35">
        <f t="shared" si="10"/>
        <v>0.75949306003675898</v>
      </c>
      <c r="AO35" s="14">
        <v>0</v>
      </c>
    </row>
    <row r="36" spans="1:41" x14ac:dyDescent="0.3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AC36" s="87"/>
      <c r="AD36" s="87"/>
      <c r="AE36" s="87"/>
      <c r="AF36" s="87"/>
      <c r="AG36" s="87"/>
      <c r="AH36" s="87"/>
      <c r="AI36" s="87"/>
      <c r="AJ36" s="13" t="s">
        <v>30</v>
      </c>
      <c r="AK36" s="27" t="s">
        <v>31</v>
      </c>
      <c r="AL36" s="30">
        <f t="shared" si="9"/>
        <v>5</v>
      </c>
      <c r="AM36" s="87" t="str">
        <f t="shared" si="2"/>
        <v>N-1 EENS 5</v>
      </c>
      <c r="AN36" s="35">
        <f t="shared" si="10"/>
        <v>22.111076210105924</v>
      </c>
      <c r="AO36" s="14">
        <v>0</v>
      </c>
    </row>
    <row r="37" spans="1:41" x14ac:dyDescent="0.3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AC37" s="87"/>
      <c r="AD37" s="87"/>
      <c r="AE37" s="87"/>
      <c r="AF37" s="87"/>
      <c r="AG37" s="87"/>
      <c r="AH37" s="87"/>
      <c r="AI37" s="87"/>
      <c r="AJ37" s="13" t="s">
        <v>30</v>
      </c>
      <c r="AK37" s="27" t="s">
        <v>51</v>
      </c>
      <c r="AL37" s="30">
        <f t="shared" si="9"/>
        <v>5</v>
      </c>
      <c r="AM37" s="87" t="str">
        <f t="shared" si="2"/>
        <v>N-1 Flexibility-1 5</v>
      </c>
      <c r="AN37" s="35">
        <f t="shared" si="10"/>
        <v>5956.6708056582793</v>
      </c>
      <c r="AO37" s="14">
        <v>0</v>
      </c>
    </row>
    <row r="38" spans="1:41" ht="19.5" x14ac:dyDescent="0.45">
      <c r="A38" s="132" t="s">
        <v>27</v>
      </c>
      <c r="B38" s="132"/>
      <c r="C38" s="154" t="s">
        <v>42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5"/>
      <c r="U38" s="123"/>
      <c r="V38" s="123"/>
      <c r="W38" s="123"/>
      <c r="X38" s="123"/>
      <c r="Y38" s="123"/>
      <c r="Z38" s="123"/>
      <c r="AA38" s="123"/>
      <c r="AB38" s="123"/>
      <c r="AC38" s="156" t="s">
        <v>43</v>
      </c>
      <c r="AD38" s="87"/>
      <c r="AE38" s="87"/>
      <c r="AF38" s="87"/>
      <c r="AG38" s="87"/>
      <c r="AH38" s="87"/>
      <c r="AI38" s="87"/>
      <c r="AJ38" s="13" t="s">
        <v>30</v>
      </c>
      <c r="AK38" s="27" t="s">
        <v>52</v>
      </c>
      <c r="AL38" s="30">
        <f t="shared" si="9"/>
        <v>5</v>
      </c>
      <c r="AM38" s="87" t="str">
        <f t="shared" si="2"/>
        <v>N-1 Flexibility-2-1 5</v>
      </c>
      <c r="AN38" s="35">
        <f t="shared" si="10"/>
        <v>116.47798828589465</v>
      </c>
      <c r="AO38" s="14">
        <v>0</v>
      </c>
    </row>
    <row r="39" spans="1:41" x14ac:dyDescent="0.35">
      <c r="A39" s="132"/>
      <c r="B39" s="132"/>
      <c r="C39" s="129" t="str">
        <f>$C$40&amp;" --&gt; "&amp;$D$40</f>
        <v>0 --&gt; 13</v>
      </c>
      <c r="D39" s="129"/>
      <c r="E39" s="129" t="str">
        <f>$E$40&amp;" --&gt; "&amp;$F$40</f>
        <v>13 --&gt; 6</v>
      </c>
      <c r="F39" s="129"/>
      <c r="G39" s="129" t="str">
        <f>$G$40&amp;" --&gt; "&amp;$H$40</f>
        <v>6 --&gt; 3</v>
      </c>
      <c r="H39" s="129"/>
      <c r="I39" s="129" t="str">
        <f>$I$40&amp;" --&gt; "&amp;$J$40</f>
        <v>6 --&gt; 8</v>
      </c>
      <c r="J39" s="129"/>
      <c r="K39" s="129" t="str">
        <f>$K$40&amp;" --&gt; "&amp;$L$40</f>
        <v>8 --&gt; 7</v>
      </c>
      <c r="L39" s="129"/>
      <c r="M39" s="129" t="str">
        <f>$M$40&amp;" --&gt; "&amp;$N$40</f>
        <v>8 --&gt; 11</v>
      </c>
      <c r="N39" s="129"/>
      <c r="O39" s="129" t="str">
        <f>$O$40&amp;" --&gt; "&amp;$P$40</f>
        <v>8 --&gt; 2</v>
      </c>
      <c r="P39" s="129"/>
      <c r="Q39" s="129" t="str">
        <f>$Q$40&amp;" --&gt; "&amp;$R$40</f>
        <v>8 --&gt; 1</v>
      </c>
      <c r="R39" s="129"/>
      <c r="S39" s="129" t="str">
        <f>$S$40&amp;" --&gt; "&amp;$T$40</f>
        <v>1 --&gt; 12</v>
      </c>
      <c r="T39" s="129"/>
      <c r="U39" s="129" t="str">
        <f>$U$40&amp;" --&gt; "&amp;$V$40</f>
        <v>1 --&gt; 10</v>
      </c>
      <c r="V39" s="129"/>
      <c r="W39" s="129" t="str">
        <f>$W$40&amp;" --&gt; "&amp;$X$40</f>
        <v>1 --&gt; 9</v>
      </c>
      <c r="X39" s="129"/>
      <c r="Y39" s="129" t="str">
        <f>$Y$40&amp;" --&gt; "&amp;$Z$40</f>
        <v>1 --&gt; 5</v>
      </c>
      <c r="Z39" s="129"/>
      <c r="AA39" s="129" t="str">
        <f>$AA$40&amp;" --&gt; "&amp;$AB$40</f>
        <v>1 --&gt; 4</v>
      </c>
      <c r="AB39" s="129"/>
      <c r="AC39" s="156"/>
      <c r="AD39" s="87"/>
      <c r="AE39" s="87"/>
      <c r="AF39" s="87"/>
      <c r="AG39" s="87"/>
      <c r="AH39" s="87"/>
      <c r="AI39" s="87"/>
      <c r="AJ39" s="13" t="s">
        <v>30</v>
      </c>
      <c r="AK39" s="27" t="s">
        <v>53</v>
      </c>
      <c r="AL39" s="30">
        <f t="shared" si="9"/>
        <v>5</v>
      </c>
      <c r="AM39" s="87" t="str">
        <f t="shared" si="2"/>
        <v>N-1 Flexibility-2-2 5</v>
      </c>
      <c r="AN39" s="35">
        <f t="shared" si="10"/>
        <v>188.66978323707519</v>
      </c>
      <c r="AO39" s="14">
        <v>0</v>
      </c>
    </row>
    <row r="40" spans="1:41" x14ac:dyDescent="0.35">
      <c r="A40" s="132"/>
      <c r="B40" s="132"/>
      <c r="C40" s="116">
        <f>$A$5</f>
        <v>0</v>
      </c>
      <c r="D40" s="116">
        <f>$A6</f>
        <v>13</v>
      </c>
      <c r="E40" s="116">
        <f>IF(C48="Y",$D$40,$C$40)</f>
        <v>13</v>
      </c>
      <c r="F40" s="116">
        <f>IF(C48="Y",$A$7,$A$7)</f>
        <v>6</v>
      </c>
      <c r="G40" s="116">
        <f>IF(E48="Y",$F$40,$E$40)</f>
        <v>6</v>
      </c>
      <c r="H40" s="116">
        <f>IF(E48="Y",$A$8,$A$8)</f>
        <v>3</v>
      </c>
      <c r="I40" s="116">
        <f>IF(G48="Y",$H$40,$G$40)</f>
        <v>6</v>
      </c>
      <c r="J40" s="116">
        <f>IF(G48="Y",$A$9,$A$9)</f>
        <v>8</v>
      </c>
      <c r="K40" s="116">
        <f>IF(I48="Y",$J$40,$I$40)</f>
        <v>8</v>
      </c>
      <c r="L40" s="116">
        <f>IF(I48="Y",$A$10,$A$10)</f>
        <v>7</v>
      </c>
      <c r="M40" s="116">
        <f>IF(K48="Y",$L$40,$K$40)</f>
        <v>8</v>
      </c>
      <c r="N40" s="116">
        <f>IF(K48="Y",$A$11,$A$11)</f>
        <v>11</v>
      </c>
      <c r="O40" s="116">
        <f>IF(M48="Y",$N$40,$M$40)</f>
        <v>8</v>
      </c>
      <c r="P40" s="116">
        <f>IF(M48="Y",$A$12,$A$12)</f>
        <v>2</v>
      </c>
      <c r="Q40" s="116">
        <f>IF(O48="Y",$P$40,$O$40)</f>
        <v>8</v>
      </c>
      <c r="R40" s="116">
        <f>IF(O48="Y",$A$13,$A$13)</f>
        <v>1</v>
      </c>
      <c r="S40" s="116">
        <f>IF(Q48="Y",$R$40,$Q$40)</f>
        <v>1</v>
      </c>
      <c r="T40" s="116">
        <f>IF(Q48="Y",$A$14,$A$14)</f>
        <v>12</v>
      </c>
      <c r="U40" s="116">
        <f>IF(S48="Y",$T$40,$S$40)</f>
        <v>1</v>
      </c>
      <c r="V40" s="116">
        <f>IF(S48="Y",$A$15,$A$15)</f>
        <v>10</v>
      </c>
      <c r="W40" s="116">
        <f>IF(U48="Y",$V$40,$U$40)</f>
        <v>1</v>
      </c>
      <c r="X40" s="116">
        <f>IF(U48="Y",$A$16,$A$16)</f>
        <v>9</v>
      </c>
      <c r="Y40" s="116">
        <f>IF(W48="Y",$X$40,$W$40)</f>
        <v>1</v>
      </c>
      <c r="Z40" s="116">
        <f>IF(W48="Y",$A$17,$A$17)</f>
        <v>5</v>
      </c>
      <c r="AA40" s="116">
        <f>IF(Y48="Y",$X$40,$W$40)</f>
        <v>1</v>
      </c>
      <c r="AB40" s="116">
        <f>IF(Y48="Y",$A$18,$A$18)</f>
        <v>4</v>
      </c>
      <c r="AC40" s="156"/>
      <c r="AD40" s="87"/>
      <c r="AE40" s="87"/>
      <c r="AF40" s="87"/>
      <c r="AG40" s="87"/>
      <c r="AH40" s="87"/>
      <c r="AI40" s="87"/>
      <c r="AJ40" s="13" t="s">
        <v>54</v>
      </c>
      <c r="AK40" s="27" t="s">
        <v>24</v>
      </c>
      <c r="AL40" s="30">
        <f t="shared" si="9"/>
        <v>5</v>
      </c>
      <c r="AM40" s="87" t="str">
        <f t="shared" si="2"/>
        <v>Total Aggregate 5</v>
      </c>
      <c r="AN40" s="35">
        <f>G30</f>
        <v>6931.0221730268377</v>
      </c>
      <c r="AO40" s="14">
        <v>0</v>
      </c>
    </row>
    <row r="41" spans="1:41" ht="15.65" customHeight="1" x14ac:dyDescent="0.35">
      <c r="A41" s="13" t="s">
        <v>39</v>
      </c>
      <c r="B41" s="27" t="s">
        <v>31</v>
      </c>
      <c r="C41" s="127">
        <f t="shared" ref="C41:C47" si="11">(VLOOKUP(CONCATENATE($A41," ",$B41," ",$D$40),AM:AO,2,FALSE)-VLOOKUP(CONCATENATE($A41," ",$B41," ",$C$40),AM:AO,2,FALSE))/(VLOOKUP($D$40,$A$4:$D$18,3,FALSE)-(VLOOKUP($C$40,$A$4:$D$18,3,FALSE)))</f>
        <v>1.5569504796313376</v>
      </c>
      <c r="D41" s="127"/>
      <c r="E41" s="127">
        <f t="shared" ref="E41:E47" si="12">(VLOOKUP(CONCATENATE($A41," ",$B41," ",$F$40),$AM:$AO,2,FALSE)-VLOOKUP(CONCATENATE($A41," ",$B41," ",$E$40),$AM:$AO,2,FALSE))/(VLOOKUP($F$40,$A$4:$D$18,3,FALSE)-(VLOOKUP($E$40,$A$4:$D$18,3,FALSE)))</f>
        <v>0.48551303516892119</v>
      </c>
      <c r="F41" s="127"/>
      <c r="G41" s="127">
        <f t="shared" ref="G41:G47" si="13">(VLOOKUP(CONCATENATE($A41," ",$B41," ",$H$40),$AM:$AO,2,FALSE)-VLOOKUP(CONCATENATE($A41," ",$B41," ",$G$40),$AM:$AO,2,FALSE))/(VLOOKUP($H$40,$A$4:$D$18,3,FALSE)-(VLOOKUP($G$40,$A$4:$D$18,3,FALSE)))</f>
        <v>3.1858270836663527</v>
      </c>
      <c r="H41" s="127"/>
      <c r="I41" s="127">
        <f t="shared" ref="I41:I47" si="14">(VLOOKUP(CONCATENATE($A41," ",$B41," ",$J$40),$AM:$AO,2,FALSE)-VLOOKUP(CONCATENATE($A41," ",$B41," ",$I$40),$AM:$AO,2,FALSE))/(VLOOKUP($J$40,$A$4:$D$18,3,FALSE)-(VLOOKUP($I$40,$A$4:$D$18,3,FALSE)))</f>
        <v>1.6699288976324864</v>
      </c>
      <c r="J41" s="127"/>
      <c r="K41" s="127">
        <f t="shared" ref="K41:K47" si="15">(VLOOKUP(CONCATENATE($A41," ",$B41," ",$L$40),$AM:$AO,2,FALSE)-VLOOKUP(CONCATENATE($A41," ",$B41," ",$K$40),$AM:$AO,2,FALSE))/(VLOOKUP($L$40,$A$4:$D$18,3,FALSE)-(VLOOKUP($K$40,$A$4:$D$18,3,FALSE)))</f>
        <v>7.6503523733054912</v>
      </c>
      <c r="L41" s="127"/>
      <c r="M41" s="127">
        <f t="shared" ref="M41:M47" si="16">(VLOOKUP(CONCATENATE($A41," ",$B41," ",$N$40),$AM:$AO,2,FALSE)-VLOOKUP(CONCATENATE($A41," ",$B41," ",$M$40),$AM:$AO,2,FALSE))/(VLOOKUP($N$40,$A$4:$D$18,3,FALSE)-(VLOOKUP($M$40,$A$4:$D$18,3,FALSE)))</f>
        <v>0.71552880103662553</v>
      </c>
      <c r="N41" s="127"/>
      <c r="O41" s="127">
        <f t="shared" ref="O41:O47" si="17">(VLOOKUP(CONCATENATE($A41," ",$B41," ",$P$40),$AM:$AO,2,FALSE)-VLOOKUP(CONCATENATE($A41," ",$B41," ",$O$40),$AM:$AO,2,FALSE))/(VLOOKUP($P$40,$A$4:$D$18,3,FALSE)-(VLOOKUP($O$40,$A$4:$D$18,3,FALSE)))</f>
        <v>0.99192561401509638</v>
      </c>
      <c r="P41" s="127"/>
      <c r="Q41" s="127">
        <f t="shared" ref="Q41:Q47" si="18">(VLOOKUP(CONCATENATE($A41," ",$B41," ",$R$40),$AM:$AO,2,FALSE)-VLOOKUP(CONCATENATE($A41," ",$B41," ",$Q$40),$AM:$AO,2,FALSE))/(VLOOKUP($R$40,$A$4:$D$18,3,FALSE)-(VLOOKUP($Q$40,$A$4:$D$18,3,FALSE)))</f>
        <v>0.84380783274323268</v>
      </c>
      <c r="R41" s="127"/>
      <c r="S41" s="127">
        <f t="shared" ref="S41:S47" si="19">(VLOOKUP(CONCATENATE($A41," ",$B41," ",$T$40),$AM:$AO,2,FALSE)-VLOOKUP(CONCATENATE($A41," ",$B41," ",$S$40),$AM:$AO,2,FALSE))/(VLOOKUP($T$40,$A$4:$D$18,3,FALSE)-(VLOOKUP($S$40,$A$4:$D$18,3,FALSE)))</f>
        <v>1.0940983664927474E-2</v>
      </c>
      <c r="T41" s="127"/>
      <c r="U41" s="127">
        <f t="shared" ref="U41:U47" si="20">(VLOOKUP(CONCATENATE($A41," ",$B41," ",$V$40),$AM:$AO,2,FALSE)-VLOOKUP(CONCATENATE($A41," ",$B41," ",$U$40),$AM:$AO,2,FALSE))/(VLOOKUP($V$40,$A$4:$D$18,3,FALSE)-(VLOOKUP($U$40,$A$4:$D$18,3,FALSE)))</f>
        <v>9.4297980758490923E-3</v>
      </c>
      <c r="V41" s="127"/>
      <c r="W41" s="127">
        <f t="shared" ref="W41:W47" si="21">(VLOOKUP(CONCATENATE($A41," ",$B41," ",$X$40),$AM:$AO,2,FALSE)-VLOOKUP(CONCATENATE($A41," ",$B41," ",$W$40),$AM:$AO,2,FALSE))/(VLOOKUP($X$40,$A$4:$D$18,3,FALSE)-(VLOOKUP($W$40,$A$4:$D$18,3,FALSE)))</f>
        <v>-0.13596045628023917</v>
      </c>
      <c r="X41" s="127"/>
      <c r="Y41" s="127">
        <f t="shared" ref="Y41:Y47" si="22">(VLOOKUP(CONCATENATE($A41," ",$B41," ",$Z$40),$AM:$AO,2,FALSE)-VLOOKUP(CONCATENATE($A41," ",$B41," ",$Y$40),$AM:$AO,2,FALSE))/(VLOOKUP($Z$40,$A$4:$D$18,3,FALSE)-(VLOOKUP($Y$40,$A$4:$D$18,3,FALSE)))</f>
        <v>6.0098360976362179E-3</v>
      </c>
      <c r="Z41" s="127"/>
      <c r="AA41" s="127">
        <f t="shared" ref="AA41:AA47" si="23">(VLOOKUP(CONCATENATE($A41," ",$B41," ",$AB$40),$AM:$AO,2,FALSE)-VLOOKUP(CONCATENATE($A41," ",$B41," ",$AA$40),$AM:$AO,2,FALSE))/(VLOOKUP($AB$40,$A$4:$D$18,3,FALSE)-(VLOOKUP($AA$40,$A$4:$D$18,3,FALSE)))</f>
        <v>4.5153265918748305E-3</v>
      </c>
      <c r="AB41" s="127"/>
      <c r="AC41" s="6" t="s">
        <v>62</v>
      </c>
      <c r="AD41" s="87"/>
      <c r="AE41" s="87"/>
      <c r="AF41" s="87"/>
      <c r="AG41" s="87"/>
      <c r="AH41" s="87"/>
      <c r="AI41" s="87"/>
      <c r="AJ41" s="13" t="s">
        <v>39</v>
      </c>
      <c r="AK41" s="27" t="s">
        <v>31</v>
      </c>
      <c r="AL41" s="33">
        <v>0</v>
      </c>
      <c r="AM41" s="36" t="str">
        <f t="shared" si="2"/>
        <v>N-0 EENS 0</v>
      </c>
      <c r="AN41" s="26">
        <v>0</v>
      </c>
      <c r="AO41" s="14">
        <v>0</v>
      </c>
    </row>
    <row r="42" spans="1:41" ht="14.5" customHeight="1" x14ac:dyDescent="0.35">
      <c r="A42" s="13" t="s">
        <v>39</v>
      </c>
      <c r="B42" s="27" t="s">
        <v>50</v>
      </c>
      <c r="C42" s="127">
        <f t="shared" si="11"/>
        <v>1.8849477374857412E-3</v>
      </c>
      <c r="D42" s="127"/>
      <c r="E42" s="127">
        <f t="shared" si="12"/>
        <v>2.1190085430610898E-4</v>
      </c>
      <c r="F42" s="127"/>
      <c r="G42" s="127">
        <f t="shared" si="13"/>
        <v>-1.0409164772934201E-4</v>
      </c>
      <c r="H42" s="127"/>
      <c r="I42" s="127">
        <f t="shared" si="14"/>
        <v>4.5640380868646026E-3</v>
      </c>
      <c r="J42" s="127"/>
      <c r="K42" s="127">
        <f t="shared" si="15"/>
        <v>-4.8367446038502983E-3</v>
      </c>
      <c r="L42" s="127"/>
      <c r="M42" s="127">
        <f t="shared" si="16"/>
        <v>-3.1881475402996294E-3</v>
      </c>
      <c r="N42" s="127"/>
      <c r="O42" s="127">
        <f t="shared" si="17"/>
        <v>1.6462612115515418E-2</v>
      </c>
      <c r="P42" s="127"/>
      <c r="Q42" s="127">
        <f t="shared" si="18"/>
        <v>1.8300625422049702E-2</v>
      </c>
      <c r="R42" s="127"/>
      <c r="S42" s="127">
        <f t="shared" si="19"/>
        <v>-1.0983317427354394E-2</v>
      </c>
      <c r="T42" s="127"/>
      <c r="U42" s="127">
        <f t="shared" si="20"/>
        <v>-2.7720197304174771E-2</v>
      </c>
      <c r="V42" s="127"/>
      <c r="W42" s="127">
        <f t="shared" si="21"/>
        <v>-8.2166783301561575E-3</v>
      </c>
      <c r="X42" s="127"/>
      <c r="Y42" s="127">
        <f t="shared" si="22"/>
        <v>-1.6243823628978599E-2</v>
      </c>
      <c r="Z42" s="127"/>
      <c r="AA42" s="127">
        <f t="shared" si="23"/>
        <v>-1.1778719710792739E-2</v>
      </c>
      <c r="AB42" s="127"/>
      <c r="AC42" s="6" t="s">
        <v>62</v>
      </c>
      <c r="AD42" s="87"/>
      <c r="AE42" s="87"/>
      <c r="AF42" s="87"/>
      <c r="AG42" s="87"/>
      <c r="AH42" s="87"/>
      <c r="AI42" s="87"/>
      <c r="AJ42" s="13" t="s">
        <v>39</v>
      </c>
      <c r="AK42" s="27" t="s">
        <v>50</v>
      </c>
      <c r="AL42" s="30">
        <v>0</v>
      </c>
      <c r="AM42" s="31" t="str">
        <f t="shared" si="2"/>
        <v>N-0 Losses 0</v>
      </c>
      <c r="AN42" s="26">
        <v>0</v>
      </c>
      <c r="AO42" s="14">
        <v>0</v>
      </c>
    </row>
    <row r="43" spans="1:41" x14ac:dyDescent="0.35">
      <c r="A43" s="13" t="s">
        <v>30</v>
      </c>
      <c r="B43" s="27" t="s">
        <v>31</v>
      </c>
      <c r="C43" s="127">
        <f t="shared" si="11"/>
        <v>2.7911677671097104E-2</v>
      </c>
      <c r="D43" s="127"/>
      <c r="E43" s="127">
        <f t="shared" si="12"/>
        <v>0.16407936248741661</v>
      </c>
      <c r="F43" s="127"/>
      <c r="G43" s="127">
        <f t="shared" si="13"/>
        <v>-8.0600388590309921E-2</v>
      </c>
      <c r="H43" s="127"/>
      <c r="I43" s="127">
        <f t="shared" si="14"/>
        <v>-7.4671305550033221E-2</v>
      </c>
      <c r="J43" s="127"/>
      <c r="K43" s="127">
        <f t="shared" si="15"/>
        <v>5.5869857703541005E-2</v>
      </c>
      <c r="L43" s="127"/>
      <c r="M43" s="127">
        <f t="shared" si="16"/>
        <v>5.7117919191359279E-2</v>
      </c>
      <c r="N43" s="127"/>
      <c r="O43" s="127">
        <f t="shared" si="17"/>
        <v>0.10960333359549125</v>
      </c>
      <c r="P43" s="127"/>
      <c r="Q43" s="127">
        <f t="shared" si="18"/>
        <v>6.8324835012838092E-2</v>
      </c>
      <c r="R43" s="127"/>
      <c r="S43" s="127">
        <f t="shared" si="19"/>
        <v>1.6182034939068612E-2</v>
      </c>
      <c r="T43" s="127"/>
      <c r="U43" s="127">
        <f t="shared" si="20"/>
        <v>-6.1546197885216543E-2</v>
      </c>
      <c r="V43" s="127"/>
      <c r="W43" s="127">
        <f t="shared" si="21"/>
        <v>-3.0712704601186508E-4</v>
      </c>
      <c r="X43" s="127"/>
      <c r="Y43" s="127">
        <f t="shared" si="22"/>
        <v>2.3945467971272488E-3</v>
      </c>
      <c r="Z43" s="127"/>
      <c r="AA43" s="127">
        <f t="shared" si="23"/>
        <v>6.0697233886912822E-3</v>
      </c>
      <c r="AB43" s="127"/>
      <c r="AC43" s="6" t="s">
        <v>62</v>
      </c>
      <c r="AD43" s="87"/>
      <c r="AE43" s="87"/>
      <c r="AF43" s="87"/>
      <c r="AG43" s="87"/>
      <c r="AH43" s="87"/>
      <c r="AI43" s="87"/>
      <c r="AJ43" s="13" t="s">
        <v>30</v>
      </c>
      <c r="AK43" s="27" t="s">
        <v>31</v>
      </c>
      <c r="AL43" s="30">
        <v>0</v>
      </c>
      <c r="AM43" s="31" t="str">
        <f t="shared" si="2"/>
        <v>N-1 EENS 0</v>
      </c>
      <c r="AN43" s="117">
        <v>0</v>
      </c>
      <c r="AO43" s="14">
        <v>0</v>
      </c>
    </row>
    <row r="44" spans="1:41" ht="16.5" customHeight="1" x14ac:dyDescent="0.35">
      <c r="A44" s="13" t="s">
        <v>30</v>
      </c>
      <c r="B44" s="27" t="s">
        <v>51</v>
      </c>
      <c r="C44" s="127">
        <f t="shared" si="11"/>
        <v>15.002536843957836</v>
      </c>
      <c r="D44" s="127"/>
      <c r="E44" s="127">
        <f t="shared" si="12"/>
        <v>12.089479814781336</v>
      </c>
      <c r="F44" s="127"/>
      <c r="G44" s="127">
        <f t="shared" si="13"/>
        <v>-5.9386918388399543</v>
      </c>
      <c r="H44" s="127"/>
      <c r="I44" s="127">
        <f t="shared" si="14"/>
        <v>11.955538774352849</v>
      </c>
      <c r="J44" s="127"/>
      <c r="K44" s="127">
        <f t="shared" si="15"/>
        <v>-51.311621650682554</v>
      </c>
      <c r="L44" s="127"/>
      <c r="M44" s="127">
        <f t="shared" si="16"/>
        <v>-7.0922539662778403</v>
      </c>
      <c r="N44" s="127"/>
      <c r="O44" s="127">
        <f t="shared" si="17"/>
        <v>-3.3110905348428625</v>
      </c>
      <c r="P44" s="127"/>
      <c r="Q44" s="127">
        <f t="shared" si="18"/>
        <v>17.158576052247096</v>
      </c>
      <c r="R44" s="127"/>
      <c r="S44" s="127">
        <f t="shared" si="19"/>
        <v>-29.571290676743256</v>
      </c>
      <c r="T44" s="127"/>
      <c r="U44" s="127">
        <f t="shared" si="20"/>
        <v>-28.483894086262829</v>
      </c>
      <c r="V44" s="127"/>
      <c r="W44" s="127">
        <f t="shared" si="21"/>
        <v>-5.0599498190328918</v>
      </c>
      <c r="X44" s="127"/>
      <c r="Y44" s="127">
        <f t="shared" si="22"/>
        <v>-8.6384412825210468</v>
      </c>
      <c r="Z44" s="127"/>
      <c r="AA44" s="127">
        <f t="shared" si="23"/>
        <v>-14.991758457509</v>
      </c>
      <c r="AB44" s="127"/>
      <c r="AC44" s="6" t="s">
        <v>62</v>
      </c>
      <c r="AD44" s="87"/>
      <c r="AE44" s="87"/>
      <c r="AF44" s="87"/>
      <c r="AG44" s="87"/>
      <c r="AH44" s="87"/>
      <c r="AI44" s="87"/>
      <c r="AJ44" s="13" t="s">
        <v>30</v>
      </c>
      <c r="AK44" s="27" t="s">
        <v>51</v>
      </c>
      <c r="AL44" s="30">
        <v>0</v>
      </c>
      <c r="AM44" s="31" t="str">
        <f t="shared" si="2"/>
        <v>N-1 Flexibility-1 0</v>
      </c>
      <c r="AN44" s="26">
        <v>0</v>
      </c>
      <c r="AO44" s="14">
        <v>0</v>
      </c>
    </row>
    <row r="45" spans="1:41" x14ac:dyDescent="0.35">
      <c r="A45" s="13" t="s">
        <v>30</v>
      </c>
      <c r="B45" s="27" t="s">
        <v>52</v>
      </c>
      <c r="C45" s="127">
        <f t="shared" si="11"/>
        <v>0</v>
      </c>
      <c r="D45" s="127"/>
      <c r="E45" s="127">
        <f t="shared" si="12"/>
        <v>0</v>
      </c>
      <c r="F45" s="127"/>
      <c r="G45" s="127">
        <f t="shared" si="13"/>
        <v>0</v>
      </c>
      <c r="H45" s="127"/>
      <c r="I45" s="127">
        <f t="shared" si="14"/>
        <v>1.5127011465700604</v>
      </c>
      <c r="J45" s="127"/>
      <c r="K45" s="127">
        <f t="shared" si="15"/>
        <v>5.8763015385035144</v>
      </c>
      <c r="L45" s="127"/>
      <c r="M45" s="127">
        <f t="shared" si="16"/>
        <v>-1.0588908025990422</v>
      </c>
      <c r="N45" s="127"/>
      <c r="O45" s="127">
        <f t="shared" si="17"/>
        <v>1.0022349019534897</v>
      </c>
      <c r="P45" s="127"/>
      <c r="Q45" s="127">
        <f t="shared" si="18"/>
        <v>1.2125289015395946</v>
      </c>
      <c r="R45" s="127"/>
      <c r="S45" s="127">
        <f t="shared" si="19"/>
        <v>-0.83201809258283299</v>
      </c>
      <c r="T45" s="127"/>
      <c r="U45" s="127">
        <f t="shared" si="20"/>
        <v>-2.3517837468424929</v>
      </c>
      <c r="V45" s="127"/>
      <c r="W45" s="127">
        <f t="shared" si="21"/>
        <v>-0.47370163614853894</v>
      </c>
      <c r="X45" s="127"/>
      <c r="Y45" s="127">
        <f t="shared" si="22"/>
        <v>-1.0887143306077345</v>
      </c>
      <c r="Z45" s="127"/>
      <c r="AA45" s="127">
        <f t="shared" si="23"/>
        <v>-1.1261186724298711</v>
      </c>
      <c r="AB45" s="127"/>
      <c r="AC45" s="6" t="s">
        <v>62</v>
      </c>
      <c r="AD45" s="87"/>
      <c r="AE45" s="87"/>
      <c r="AF45" s="87"/>
      <c r="AG45" s="87"/>
      <c r="AH45" s="87"/>
      <c r="AI45" s="87"/>
      <c r="AJ45" s="13" t="s">
        <v>30</v>
      </c>
      <c r="AK45" s="27" t="s">
        <v>52</v>
      </c>
      <c r="AL45" s="30">
        <v>0</v>
      </c>
      <c r="AM45" s="31" t="str">
        <f t="shared" si="2"/>
        <v>N-1 Flexibility-2-1 0</v>
      </c>
      <c r="AN45" s="26">
        <v>0</v>
      </c>
      <c r="AO45" s="14">
        <v>0</v>
      </c>
    </row>
    <row r="46" spans="1:41" x14ac:dyDescent="0.35">
      <c r="A46" s="13" t="s">
        <v>30</v>
      </c>
      <c r="B46" s="27" t="s">
        <v>53</v>
      </c>
      <c r="C46" s="127">
        <f t="shared" si="11"/>
        <v>1.0887649932024994</v>
      </c>
      <c r="D46" s="127"/>
      <c r="E46" s="127">
        <f t="shared" si="12"/>
        <v>3.9302114826727221E-2</v>
      </c>
      <c r="F46" s="127"/>
      <c r="G46" s="127">
        <f t="shared" si="13"/>
        <v>-1.9306302020146705E-2</v>
      </c>
      <c r="H46" s="127"/>
      <c r="I46" s="127">
        <f t="shared" si="14"/>
        <v>-0.18325529986341185</v>
      </c>
      <c r="J46" s="127"/>
      <c r="K46" s="127">
        <f t="shared" si="15"/>
        <v>0.520407954973374</v>
      </c>
      <c r="L46" s="127"/>
      <c r="M46" s="127">
        <f t="shared" si="16"/>
        <v>0.11827453522122136</v>
      </c>
      <c r="N46" s="127"/>
      <c r="O46" s="127">
        <f t="shared" si="17"/>
        <v>0.19922309540579136</v>
      </c>
      <c r="P46" s="127"/>
      <c r="Q46" s="127">
        <f t="shared" si="18"/>
        <v>0.55870352312233929</v>
      </c>
      <c r="R46" s="127"/>
      <c r="S46" s="127">
        <f t="shared" si="19"/>
        <v>-0.68431431769493634</v>
      </c>
      <c r="T46" s="127"/>
      <c r="U46" s="127">
        <f t="shared" si="20"/>
        <v>-0.71524419625338209</v>
      </c>
      <c r="V46" s="127"/>
      <c r="W46" s="127">
        <f t="shared" si="21"/>
        <v>-0.35059396239374763</v>
      </c>
      <c r="X46" s="127"/>
      <c r="Y46" s="127">
        <f t="shared" si="22"/>
        <v>-0.50074274657482165</v>
      </c>
      <c r="Z46" s="127"/>
      <c r="AA46" s="127">
        <f t="shared" si="23"/>
        <v>-0.85618924337956615</v>
      </c>
      <c r="AB46" s="127"/>
      <c r="AC46" s="6" t="s">
        <v>62</v>
      </c>
      <c r="AD46" s="87"/>
      <c r="AE46" s="87"/>
      <c r="AF46" s="87"/>
      <c r="AG46" s="87"/>
      <c r="AH46" s="87"/>
      <c r="AI46" s="87"/>
      <c r="AJ46" s="13" t="s">
        <v>30</v>
      </c>
      <c r="AK46" s="27" t="s">
        <v>53</v>
      </c>
      <c r="AL46" s="30">
        <v>0</v>
      </c>
      <c r="AM46" s="31" t="str">
        <f t="shared" ref="AM46:AM82" si="24">CONCATENATE(AJ46," ",AK46," ",AL46)</f>
        <v>N-1 Flexibility-2-2 0</v>
      </c>
      <c r="AN46" s="26">
        <v>0</v>
      </c>
      <c r="AO46" s="14">
        <v>0</v>
      </c>
    </row>
    <row r="47" spans="1:41" x14ac:dyDescent="0.35">
      <c r="A47" s="13" t="s">
        <v>54</v>
      </c>
      <c r="B47" s="27" t="s">
        <v>24</v>
      </c>
      <c r="C47" s="127">
        <f t="shared" si="11"/>
        <v>17.676163994462772</v>
      </c>
      <c r="D47" s="127"/>
      <c r="E47" s="127">
        <f t="shared" si="12"/>
        <v>12.778374327264389</v>
      </c>
      <c r="F47" s="127"/>
      <c r="G47" s="127">
        <f t="shared" si="13"/>
        <v>-2.8527714457840485</v>
      </c>
      <c r="H47" s="127"/>
      <c r="I47" s="127">
        <f t="shared" si="14"/>
        <v>14.880242213141976</v>
      </c>
      <c r="J47" s="127"/>
      <c r="K47" s="127">
        <f t="shared" si="15"/>
        <v>-37.208689926196733</v>
      </c>
      <c r="L47" s="127"/>
      <c r="M47" s="127">
        <f t="shared" si="16"/>
        <v>-7.2602235134276976</v>
      </c>
      <c r="N47" s="127"/>
      <c r="O47" s="127">
        <f t="shared" si="17"/>
        <v>-1.0081035898730033</v>
      </c>
      <c r="P47" s="127"/>
      <c r="Q47" s="127">
        <f t="shared" si="18"/>
        <v>19.8419411446651</v>
      </c>
      <c r="R47" s="127"/>
      <c r="S47" s="127">
        <f t="shared" si="19"/>
        <v>-31.060500068417024</v>
      </c>
      <c r="T47" s="127"/>
      <c r="U47" s="127">
        <f t="shared" si="20"/>
        <v>-31.603038429168084</v>
      </c>
      <c r="V47" s="127"/>
      <c r="W47" s="127">
        <f t="shared" si="21"/>
        <v>-6.0205130009014294</v>
      </c>
      <c r="X47" s="127"/>
      <c r="Y47" s="127">
        <f t="shared" si="22"/>
        <v>-10.21949397680884</v>
      </c>
      <c r="Z47" s="127"/>
      <c r="AA47" s="127">
        <f t="shared" si="23"/>
        <v>-16.963481323337874</v>
      </c>
      <c r="AB47" s="127"/>
      <c r="AC47" s="6" t="s">
        <v>62</v>
      </c>
      <c r="AD47" s="87"/>
      <c r="AE47" s="87"/>
      <c r="AF47" s="87"/>
      <c r="AG47" s="87"/>
      <c r="AH47" s="87"/>
      <c r="AI47" s="87"/>
      <c r="AJ47" s="13" t="s">
        <v>54</v>
      </c>
      <c r="AK47" s="27" t="s">
        <v>24</v>
      </c>
      <c r="AL47" s="30">
        <v>0</v>
      </c>
      <c r="AM47" s="31" t="str">
        <f t="shared" si="24"/>
        <v>Total Aggregate 0</v>
      </c>
      <c r="AN47" s="26">
        <v>0</v>
      </c>
      <c r="AO47" s="14">
        <v>0</v>
      </c>
    </row>
    <row r="48" spans="1:41" ht="17" x14ac:dyDescent="0.4">
      <c r="A48" s="146" t="s">
        <v>45</v>
      </c>
      <c r="B48" s="146"/>
      <c r="C48" s="128" t="s">
        <v>46</v>
      </c>
      <c r="D48" s="128"/>
      <c r="E48" s="128" t="s">
        <v>46</v>
      </c>
      <c r="F48" s="128"/>
      <c r="G48" s="128" t="s">
        <v>47</v>
      </c>
      <c r="H48" s="128"/>
      <c r="I48" s="128" t="s">
        <v>46</v>
      </c>
      <c r="J48" s="128"/>
      <c r="K48" s="128" t="s">
        <v>47</v>
      </c>
      <c r="L48" s="128"/>
      <c r="M48" s="128" t="s">
        <v>47</v>
      </c>
      <c r="N48" s="128"/>
      <c r="O48" s="128" t="s">
        <v>47</v>
      </c>
      <c r="P48" s="128"/>
      <c r="Q48" s="128" t="s">
        <v>46</v>
      </c>
      <c r="R48" s="128"/>
      <c r="S48" s="128" t="s">
        <v>47</v>
      </c>
      <c r="T48" s="128"/>
      <c r="U48" s="128" t="s">
        <v>47</v>
      </c>
      <c r="V48" s="128"/>
      <c r="W48" s="128" t="s">
        <v>47</v>
      </c>
      <c r="X48" s="128"/>
      <c r="Y48" s="128" t="s">
        <v>47</v>
      </c>
      <c r="Z48" s="128"/>
      <c r="AA48" s="128" t="s">
        <v>47</v>
      </c>
      <c r="AB48" s="128"/>
      <c r="AC48" s="98"/>
      <c r="AD48" s="87"/>
      <c r="AE48" s="87"/>
      <c r="AF48" s="87"/>
      <c r="AG48" s="87"/>
      <c r="AH48" s="87"/>
      <c r="AI48" s="87"/>
      <c r="AJ48" s="13" t="s">
        <v>39</v>
      </c>
      <c r="AK48" s="27" t="s">
        <v>31</v>
      </c>
      <c r="AL48" s="121">
        <v>6</v>
      </c>
      <c r="AM48" s="44" t="str">
        <f t="shared" si="24"/>
        <v>N-0 EENS 6</v>
      </c>
      <c r="AN48" s="26">
        <f t="shared" ref="AN48:AN53" si="25">H24/1000000</f>
        <v>301.63020371652726</v>
      </c>
      <c r="AO48" s="14">
        <v>0</v>
      </c>
    </row>
    <row r="49" spans="9:41" x14ac:dyDescent="0.35"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AC49" s="87"/>
      <c r="AD49" s="87"/>
      <c r="AE49" s="87"/>
      <c r="AF49" s="87"/>
      <c r="AG49" s="87"/>
      <c r="AH49" s="87"/>
      <c r="AI49" s="87"/>
      <c r="AJ49" s="13" t="s">
        <v>39</v>
      </c>
      <c r="AK49" s="27" t="s">
        <v>50</v>
      </c>
      <c r="AL49" s="121">
        <v>6</v>
      </c>
      <c r="AM49" s="43" t="str">
        <f t="shared" si="24"/>
        <v>N-0 Losses 6</v>
      </c>
      <c r="AN49" s="26">
        <f t="shared" si="25"/>
        <v>0.35464855535543316</v>
      </c>
      <c r="AO49" s="14">
        <v>0</v>
      </c>
    </row>
    <row r="50" spans="9:41" x14ac:dyDescent="0.35"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AC50" s="87"/>
      <c r="AD50" s="87"/>
      <c r="AE50" s="87"/>
      <c r="AF50" s="87"/>
      <c r="AG50" s="87"/>
      <c r="AH50" s="87"/>
      <c r="AI50" s="87"/>
      <c r="AJ50" s="13" t="s">
        <v>30</v>
      </c>
      <c r="AK50" s="27" t="s">
        <v>31</v>
      </c>
      <c r="AL50" s="121">
        <v>6</v>
      </c>
      <c r="AM50" s="43" t="str">
        <f t="shared" si="24"/>
        <v>N-1 EENS 6</v>
      </c>
      <c r="AN50" s="26">
        <f t="shared" si="25"/>
        <v>9.7578825188006295</v>
      </c>
      <c r="AO50" s="14">
        <v>0</v>
      </c>
    </row>
    <row r="51" spans="9:41" x14ac:dyDescent="0.35"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AC51" s="87"/>
      <c r="AD51" s="87"/>
      <c r="AE51" s="87"/>
      <c r="AF51" s="87"/>
      <c r="AG51" s="87"/>
      <c r="AH51" s="87"/>
      <c r="AI51" s="87"/>
      <c r="AJ51" s="13" t="s">
        <v>30</v>
      </c>
      <c r="AK51" s="27" t="s">
        <v>51</v>
      </c>
      <c r="AL51" s="121">
        <v>6</v>
      </c>
      <c r="AM51" s="43" t="str">
        <f t="shared" si="24"/>
        <v>N-1 Flexibility-1 6</v>
      </c>
      <c r="AN51" s="26">
        <f t="shared" si="25"/>
        <v>3113.9747509460772</v>
      </c>
      <c r="AO51" s="14">
        <v>0</v>
      </c>
    </row>
    <row r="52" spans="9:41" x14ac:dyDescent="0.35"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AC52" s="87"/>
      <c r="AD52" s="87"/>
      <c r="AE52" s="87"/>
      <c r="AF52" s="87"/>
      <c r="AG52" s="87"/>
      <c r="AH52" s="87"/>
      <c r="AI52" s="87"/>
      <c r="AJ52" s="13" t="s">
        <v>30</v>
      </c>
      <c r="AK52" s="27" t="s">
        <v>52</v>
      </c>
      <c r="AL52" s="121">
        <v>6</v>
      </c>
      <c r="AM52" s="43" t="str">
        <f t="shared" si="24"/>
        <v>N-1 Flexibility-2-1 6</v>
      </c>
      <c r="AN52" s="26">
        <f t="shared" si="25"/>
        <v>0</v>
      </c>
      <c r="AO52" s="14">
        <v>0</v>
      </c>
    </row>
    <row r="53" spans="9:41" x14ac:dyDescent="0.35"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AC53" s="87"/>
      <c r="AD53" s="87"/>
      <c r="AE53" s="87"/>
      <c r="AF53" s="87"/>
      <c r="AG53" s="87"/>
      <c r="AH53" s="87"/>
      <c r="AI53" s="87"/>
      <c r="AJ53" s="13" t="s">
        <v>30</v>
      </c>
      <c r="AK53" s="27" t="s">
        <v>53</v>
      </c>
      <c r="AL53" s="121">
        <v>6</v>
      </c>
      <c r="AM53" s="43" t="str">
        <f t="shared" si="24"/>
        <v>N-1 Flexibility-2-2 6</v>
      </c>
      <c r="AN53" s="26">
        <f t="shared" si="25"/>
        <v>202.52198295761076</v>
      </c>
      <c r="AO53" s="14">
        <v>0</v>
      </c>
    </row>
    <row r="54" spans="9:41" x14ac:dyDescent="0.35"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AC54" s="87"/>
      <c r="AD54" s="87"/>
      <c r="AE54" s="87"/>
      <c r="AF54" s="87"/>
      <c r="AG54" s="87"/>
      <c r="AH54" s="87"/>
      <c r="AI54" s="87"/>
      <c r="AJ54" s="13" t="s">
        <v>54</v>
      </c>
      <c r="AK54" s="27" t="s">
        <v>24</v>
      </c>
      <c r="AL54" s="121">
        <v>6</v>
      </c>
      <c r="AM54" s="43" t="str">
        <f t="shared" si="24"/>
        <v>Total Aggregate 6</v>
      </c>
      <c r="AN54" s="26">
        <f>H30</f>
        <v>3627.8848201390156</v>
      </c>
      <c r="AO54" s="14">
        <v>0</v>
      </c>
    </row>
    <row r="55" spans="9:41" x14ac:dyDescent="0.35"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AC55" s="87"/>
      <c r="AD55" s="87"/>
      <c r="AE55" s="87"/>
      <c r="AF55" s="87"/>
      <c r="AG55" s="87"/>
      <c r="AH55" s="87"/>
      <c r="AI55" s="87"/>
      <c r="AJ55" s="13" t="s">
        <v>39</v>
      </c>
      <c r="AK55" s="27" t="s">
        <v>31</v>
      </c>
      <c r="AL55" s="121">
        <v>7</v>
      </c>
      <c r="AM55" s="43" t="str">
        <f t="shared" si="24"/>
        <v>N-0 EENS 7</v>
      </c>
      <c r="AN55" s="26">
        <f t="shared" ref="AN55:AN60" si="26">I24/1000000</f>
        <v>621.47353816686598</v>
      </c>
      <c r="AO55" s="14">
        <v>0</v>
      </c>
    </row>
    <row r="56" spans="9:41" x14ac:dyDescent="0.35"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AC56" s="87"/>
      <c r="AD56" s="87"/>
      <c r="AE56" s="87"/>
      <c r="AF56" s="87"/>
      <c r="AG56" s="87"/>
      <c r="AH56" s="87"/>
      <c r="AI56" s="87"/>
      <c r="AJ56" s="13" t="s">
        <v>39</v>
      </c>
      <c r="AK56" s="27" t="s">
        <v>50</v>
      </c>
      <c r="AL56" s="121">
        <v>7</v>
      </c>
      <c r="AM56" s="43" t="str">
        <f t="shared" si="24"/>
        <v>N-0 Losses 7</v>
      </c>
      <c r="AN56" s="26">
        <f t="shared" si="26"/>
        <v>0.5851608729477501</v>
      </c>
      <c r="AO56" s="14">
        <v>0</v>
      </c>
    </row>
    <row r="57" spans="9:41" x14ac:dyDescent="0.35"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AC57" s="87"/>
      <c r="AD57" s="87"/>
      <c r="AE57" s="87"/>
      <c r="AF57" s="87"/>
      <c r="AG57" s="87"/>
      <c r="AH57" s="87"/>
      <c r="AI57" s="87"/>
      <c r="AJ57" s="13" t="s">
        <v>30</v>
      </c>
      <c r="AK57" s="27" t="s">
        <v>31</v>
      </c>
      <c r="AL57" s="121">
        <v>7</v>
      </c>
      <c r="AM57" s="43" t="str">
        <f t="shared" si="24"/>
        <v>N-1 EENS 7</v>
      </c>
      <c r="AN57" s="26">
        <f t="shared" si="26"/>
        <v>5.4049384340365965</v>
      </c>
      <c r="AO57" s="14">
        <v>0</v>
      </c>
    </row>
    <row r="58" spans="9:41" x14ac:dyDescent="0.35">
      <c r="I58" s="65"/>
      <c r="J58" s="65"/>
      <c r="K58" s="65"/>
      <c r="L58" s="65"/>
      <c r="M58" s="87"/>
      <c r="N58" s="87"/>
      <c r="O58" s="87"/>
      <c r="P58" s="87"/>
      <c r="Q58" s="87"/>
      <c r="R58" s="87"/>
      <c r="S58" s="87"/>
      <c r="T58" s="87"/>
      <c r="AC58" s="87"/>
      <c r="AD58" s="87"/>
      <c r="AE58" s="87"/>
      <c r="AF58" s="87"/>
      <c r="AG58" s="87"/>
      <c r="AH58" s="87"/>
      <c r="AI58" s="87"/>
      <c r="AJ58" s="13" t="s">
        <v>30</v>
      </c>
      <c r="AK58" s="27" t="s">
        <v>51</v>
      </c>
      <c r="AL58" s="121">
        <v>7</v>
      </c>
      <c r="AM58" s="43" t="str">
        <f t="shared" si="24"/>
        <v>N-1 Flexibility-1 7</v>
      </c>
      <c r="AN58" s="26">
        <f t="shared" si="26"/>
        <v>2751.7606953041827</v>
      </c>
      <c r="AO58" s="14">
        <v>0</v>
      </c>
    </row>
    <row r="59" spans="9:41" x14ac:dyDescent="0.35"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AC59" s="87"/>
      <c r="AD59" s="87"/>
      <c r="AE59" s="87"/>
      <c r="AF59" s="87"/>
      <c r="AG59" s="87"/>
      <c r="AH59" s="87"/>
      <c r="AI59" s="87"/>
      <c r="AJ59" s="13" t="s">
        <v>30</v>
      </c>
      <c r="AK59" s="27" t="s">
        <v>52</v>
      </c>
      <c r="AL59" s="121">
        <v>7</v>
      </c>
      <c r="AM59" s="43" t="str">
        <f t="shared" si="24"/>
        <v>N-1 Flexibility-2-1 7</v>
      </c>
      <c r="AN59" s="26">
        <f t="shared" si="26"/>
        <v>263.3855267484825</v>
      </c>
      <c r="AO59" s="14">
        <v>0</v>
      </c>
    </row>
    <row r="60" spans="9:41" x14ac:dyDescent="0.35"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AC60" s="87"/>
      <c r="AD60" s="87"/>
      <c r="AE60" s="87"/>
      <c r="AF60" s="87"/>
      <c r="AG60" s="87"/>
      <c r="AH60" s="87"/>
      <c r="AI60" s="87"/>
      <c r="AJ60" s="13" t="s">
        <v>30</v>
      </c>
      <c r="AK60" s="27" t="s">
        <v>53</v>
      </c>
      <c r="AL60" s="121">
        <v>7</v>
      </c>
      <c r="AM60" s="43" t="str">
        <f t="shared" si="24"/>
        <v>N-1 Flexibility-2-2 7</v>
      </c>
      <c r="AN60" s="26">
        <f t="shared" si="26"/>
        <v>201.4215237424624</v>
      </c>
      <c r="AO60" s="14">
        <v>0</v>
      </c>
    </row>
    <row r="61" spans="9:41" x14ac:dyDescent="0.35"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AC61" s="87"/>
      <c r="AD61" s="87"/>
      <c r="AE61" s="87"/>
      <c r="AF61" s="87"/>
      <c r="AG61" s="87"/>
      <c r="AH61" s="87"/>
      <c r="AI61" s="87"/>
      <c r="AJ61" s="13" t="s">
        <v>54</v>
      </c>
      <c r="AK61" s="27" t="s">
        <v>24</v>
      </c>
      <c r="AL61" s="121">
        <v>7</v>
      </c>
      <c r="AM61" s="43" t="str">
        <f t="shared" si="24"/>
        <v>Total Aggregate 7</v>
      </c>
      <c r="AN61" s="26">
        <f>I30</f>
        <v>3843.4462223960295</v>
      </c>
      <c r="AO61" s="14">
        <v>0</v>
      </c>
    </row>
    <row r="62" spans="9:41" x14ac:dyDescent="0.35"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AC62" s="87"/>
      <c r="AD62" s="87"/>
      <c r="AE62" s="87"/>
      <c r="AF62" s="87"/>
      <c r="AG62" s="87"/>
      <c r="AH62" s="87"/>
      <c r="AI62" s="87"/>
      <c r="AJ62" s="13" t="s">
        <v>39</v>
      </c>
      <c r="AK62" s="27" t="s">
        <v>31</v>
      </c>
      <c r="AL62" s="121">
        <v>8</v>
      </c>
      <c r="AM62" s="43" t="str">
        <f t="shared" si="24"/>
        <v>N-0 EENS 8</v>
      </c>
      <c r="AN62" s="14">
        <f t="shared" ref="AN62:AN67" si="27">J24/1000000</f>
        <v>430.21472883422871</v>
      </c>
      <c r="AO62" s="14">
        <v>0</v>
      </c>
    </row>
    <row r="63" spans="9:41" x14ac:dyDescent="0.35"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AC63" s="87"/>
      <c r="AD63" s="87"/>
      <c r="AE63" s="87"/>
      <c r="AF63" s="87"/>
      <c r="AG63" s="87"/>
      <c r="AH63" s="87"/>
      <c r="AI63" s="87"/>
      <c r="AJ63" s="13" t="s">
        <v>39</v>
      </c>
      <c r="AK63" s="27" t="s">
        <v>50</v>
      </c>
      <c r="AL63" s="121">
        <v>8</v>
      </c>
      <c r="AM63" s="43" t="str">
        <f t="shared" si="24"/>
        <v>N-0 Losses 8</v>
      </c>
      <c r="AN63" s="14">
        <f t="shared" si="27"/>
        <v>0.70607948804400755</v>
      </c>
      <c r="AO63" s="14">
        <v>0</v>
      </c>
    </row>
    <row r="64" spans="9:41" x14ac:dyDescent="0.35"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AC64" s="87"/>
      <c r="AD64" s="87"/>
      <c r="AE64" s="87"/>
      <c r="AF64" s="87"/>
      <c r="AG64" s="87"/>
      <c r="AH64" s="87"/>
      <c r="AI64" s="87"/>
      <c r="AJ64" s="13" t="s">
        <v>30</v>
      </c>
      <c r="AK64" s="27" t="s">
        <v>31</v>
      </c>
      <c r="AL64" s="121">
        <v>8</v>
      </c>
      <c r="AM64" s="43" t="str">
        <f t="shared" si="24"/>
        <v>N-1 EENS 8</v>
      </c>
      <c r="AN64" s="14">
        <f t="shared" si="27"/>
        <v>4.0081919914480713</v>
      </c>
      <c r="AO64" s="14">
        <v>0</v>
      </c>
    </row>
    <row r="65" spans="36:41" x14ac:dyDescent="0.35">
      <c r="AJ65" s="13" t="s">
        <v>30</v>
      </c>
      <c r="AK65" s="27" t="s">
        <v>51</v>
      </c>
      <c r="AL65" s="121">
        <v>8</v>
      </c>
      <c r="AM65" s="43" t="str">
        <f t="shared" si="24"/>
        <v>N-1 Flexibility-1 8</v>
      </c>
      <c r="AN65" s="14">
        <f t="shared" si="27"/>
        <v>4034.5512365712466</v>
      </c>
      <c r="AO65" s="14">
        <v>0</v>
      </c>
    </row>
    <row r="66" spans="36:41" x14ac:dyDescent="0.35">
      <c r="AJ66" s="13" t="s">
        <v>30</v>
      </c>
      <c r="AK66" s="27" t="s">
        <v>52</v>
      </c>
      <c r="AL66" s="121">
        <v>8</v>
      </c>
      <c r="AM66" s="43" t="str">
        <f t="shared" si="24"/>
        <v>N-1 Flexibility-2-1 8</v>
      </c>
      <c r="AN66" s="14">
        <f t="shared" si="27"/>
        <v>116.47798828589465</v>
      </c>
      <c r="AO66" s="14">
        <v>0</v>
      </c>
    </row>
    <row r="67" spans="36:41" x14ac:dyDescent="0.35">
      <c r="AJ67" s="13" t="s">
        <v>30</v>
      </c>
      <c r="AK67" s="27" t="s">
        <v>53</v>
      </c>
      <c r="AL67" s="121">
        <v>8</v>
      </c>
      <c r="AM67" s="43" t="str">
        <f t="shared" si="24"/>
        <v>N-1 Flexibility-2-2 8</v>
      </c>
      <c r="AN67" s="14">
        <f t="shared" si="27"/>
        <v>188.41132486812805</v>
      </c>
      <c r="AO67" s="14">
        <v>0</v>
      </c>
    </row>
    <row r="68" spans="36:41" x14ac:dyDescent="0.35">
      <c r="AJ68" s="13" t="s">
        <v>54</v>
      </c>
      <c r="AK68" s="27" t="s">
        <v>24</v>
      </c>
      <c r="AL68" s="121">
        <v>8</v>
      </c>
      <c r="AM68" s="43" t="str">
        <f t="shared" si="24"/>
        <v>Total Aggregate 8</v>
      </c>
      <c r="AN68" s="14">
        <f>J30</f>
        <v>4773.6634705509477</v>
      </c>
      <c r="AO68" s="14">
        <v>0</v>
      </c>
    </row>
    <row r="69" spans="36:41" x14ac:dyDescent="0.35">
      <c r="AJ69" s="13" t="s">
        <v>39</v>
      </c>
      <c r="AK69" s="27" t="s">
        <v>31</v>
      </c>
      <c r="AL69" s="121">
        <v>9</v>
      </c>
      <c r="AM69" s="43" t="str">
        <f t="shared" si="24"/>
        <v>N-0 EENS 9</v>
      </c>
      <c r="AN69" s="14">
        <f t="shared" ref="AN69:AN74" si="28">K24/1000000</f>
        <v>609.90004709461061</v>
      </c>
      <c r="AO69" s="14">
        <v>0</v>
      </c>
    </row>
    <row r="70" spans="36:41" x14ac:dyDescent="0.35">
      <c r="AJ70" s="13" t="s">
        <v>39</v>
      </c>
      <c r="AK70" s="27" t="s">
        <v>50</v>
      </c>
      <c r="AL70" s="121">
        <v>9</v>
      </c>
      <c r="AM70" s="43" t="str">
        <f t="shared" si="24"/>
        <v>N-0 Losses 9</v>
      </c>
      <c r="AN70" s="14">
        <f t="shared" si="28"/>
        <v>3.2281859264959243</v>
      </c>
      <c r="AO70" s="14">
        <v>0</v>
      </c>
    </row>
    <row r="71" spans="36:41" x14ac:dyDescent="0.35">
      <c r="AJ71" s="13" t="s">
        <v>30</v>
      </c>
      <c r="AK71" s="27" t="s">
        <v>31</v>
      </c>
      <c r="AL71" s="121">
        <v>9</v>
      </c>
      <c r="AM71" s="43" t="str">
        <f t="shared" si="24"/>
        <v>N-1 EENS 9</v>
      </c>
      <c r="AN71" s="14">
        <f t="shared" si="28"/>
        <v>21.350864760712689</v>
      </c>
      <c r="AO71" s="14">
        <v>0</v>
      </c>
    </row>
    <row r="72" spans="36:41" x14ac:dyDescent="0.35">
      <c r="AJ72" s="13" t="s">
        <v>30</v>
      </c>
      <c r="AK72" s="27" t="s">
        <v>51</v>
      </c>
      <c r="AL72" s="121">
        <v>9</v>
      </c>
      <c r="AM72" s="43" t="str">
        <f t="shared" si="24"/>
        <v>N-1 Flexibility-1 9</v>
      </c>
      <c r="AN72" s="14">
        <f t="shared" si="28"/>
        <v>7089.3412271266716</v>
      </c>
      <c r="AO72" s="14">
        <v>0</v>
      </c>
    </row>
    <row r="73" spans="36:41" x14ac:dyDescent="0.35">
      <c r="AJ73" s="13" t="s">
        <v>30</v>
      </c>
      <c r="AK73" s="27" t="s">
        <v>52</v>
      </c>
      <c r="AL73" s="121">
        <v>9</v>
      </c>
      <c r="AM73" s="43" t="str">
        <f t="shared" si="24"/>
        <v>N-1 Flexibility-2-1 9</v>
      </c>
      <c r="AN73" s="14">
        <f t="shared" si="28"/>
        <v>302.03673114372259</v>
      </c>
      <c r="AO73" s="14">
        <v>0</v>
      </c>
    </row>
    <row r="74" spans="36:41" x14ac:dyDescent="0.35">
      <c r="AJ74" s="13" t="s">
        <v>30</v>
      </c>
      <c r="AK74" s="27" t="s">
        <v>53</v>
      </c>
      <c r="AL74" s="121">
        <v>9</v>
      </c>
      <c r="AM74" s="43" t="str">
        <f t="shared" si="24"/>
        <v>N-1 Flexibility-2-2 9</v>
      </c>
      <c r="AN74" s="14">
        <f t="shared" si="28"/>
        <v>239.37569907955643</v>
      </c>
      <c r="AO74" s="14">
        <v>0</v>
      </c>
    </row>
    <row r="75" spans="36:41" x14ac:dyDescent="0.35">
      <c r="AJ75" s="13" t="s">
        <v>54</v>
      </c>
      <c r="AK75" s="27" t="s">
        <v>24</v>
      </c>
      <c r="AL75" s="121">
        <v>9</v>
      </c>
      <c r="AM75" s="43" t="str">
        <f t="shared" si="24"/>
        <v>Total Aggregate 9</v>
      </c>
      <c r="AN75" s="14">
        <f>K30</f>
        <v>8262.0045692052754</v>
      </c>
      <c r="AO75" s="14">
        <v>0</v>
      </c>
    </row>
    <row r="76" spans="36:41" x14ac:dyDescent="0.35">
      <c r="AJ76" s="13" t="s">
        <v>39</v>
      </c>
      <c r="AK76" s="27" t="s">
        <v>31</v>
      </c>
      <c r="AL76" s="121">
        <v>10</v>
      </c>
      <c r="AM76" s="43" t="str">
        <f t="shared" si="24"/>
        <v>N-0 EENS 10</v>
      </c>
      <c r="AN76" s="14">
        <f t="shared" ref="AN76:AN81" si="29">L24/1000000</f>
        <v>647.09251963548172</v>
      </c>
      <c r="AO76" s="14">
        <v>0</v>
      </c>
    </row>
    <row r="77" spans="36:41" x14ac:dyDescent="0.35">
      <c r="AJ77" s="13" t="s">
        <v>39</v>
      </c>
      <c r="AK77" s="27" t="s">
        <v>50</v>
      </c>
      <c r="AL77" s="121">
        <v>10</v>
      </c>
      <c r="AM77" s="43" t="str">
        <f t="shared" si="24"/>
        <v>N-0 Losses 10</v>
      </c>
      <c r="AN77" s="14">
        <f t="shared" si="29"/>
        <v>0.3553832586110483</v>
      </c>
      <c r="AO77" s="14">
        <v>0</v>
      </c>
    </row>
    <row r="78" spans="36:41" x14ac:dyDescent="0.35">
      <c r="AJ78" s="13" t="s">
        <v>30</v>
      </c>
      <c r="AK78" s="27" t="s">
        <v>31</v>
      </c>
      <c r="AL78" s="121">
        <v>10</v>
      </c>
      <c r="AM78" s="43" t="str">
        <f t="shared" si="24"/>
        <v>N-1 EENS 10</v>
      </c>
      <c r="AN78" s="14">
        <f t="shared" si="29"/>
        <v>10.291163102497592</v>
      </c>
      <c r="AO78" s="14">
        <v>0</v>
      </c>
    </row>
    <row r="79" spans="36:41" x14ac:dyDescent="0.35">
      <c r="AJ79" s="13" t="s">
        <v>30</v>
      </c>
      <c r="AK79" s="27" t="s">
        <v>51</v>
      </c>
      <c r="AL79" s="121">
        <v>10</v>
      </c>
      <c r="AM79" s="43" t="str">
        <f t="shared" si="24"/>
        <v>N-1 Flexibility-1 10</v>
      </c>
      <c r="AN79" s="14">
        <f t="shared" si="29"/>
        <v>3254.4033002806841</v>
      </c>
      <c r="AO79" s="14">
        <v>0</v>
      </c>
    </row>
    <row r="80" spans="36:41" x14ac:dyDescent="0.35">
      <c r="AJ80" s="13" t="s">
        <v>30</v>
      </c>
      <c r="AK80" s="27" t="s">
        <v>52</v>
      </c>
      <c r="AL80" s="121">
        <v>10</v>
      </c>
      <c r="AM80" s="43" t="str">
        <f t="shared" si="24"/>
        <v>N-1 Flexibility-2-1 10</v>
      </c>
      <c r="AN80" s="14">
        <f t="shared" si="29"/>
        <v>0</v>
      </c>
      <c r="AO80" s="14">
        <v>0</v>
      </c>
    </row>
    <row r="81" spans="36:41" x14ac:dyDescent="0.35">
      <c r="AJ81" s="13" t="s">
        <v>30</v>
      </c>
      <c r="AK81" s="27" t="s">
        <v>53</v>
      </c>
      <c r="AL81" s="121">
        <v>10</v>
      </c>
      <c r="AM81" s="43" t="str">
        <f t="shared" si="24"/>
        <v>N-1 Flexibility-2-2 10</v>
      </c>
      <c r="AN81" s="14">
        <f t="shared" si="29"/>
        <v>201.4215237424624</v>
      </c>
      <c r="AO81" s="14">
        <v>0</v>
      </c>
    </row>
    <row r="82" spans="36:41" x14ac:dyDescent="0.35">
      <c r="AJ82" s="13" t="s">
        <v>54</v>
      </c>
      <c r="AK82" s="27" t="s">
        <v>24</v>
      </c>
      <c r="AL82" s="121">
        <v>10</v>
      </c>
      <c r="AM82" s="43" t="str">
        <f t="shared" si="24"/>
        <v>Total Aggregate 10</v>
      </c>
      <c r="AN82" s="14">
        <f>L30</f>
        <v>4113.2085067611251</v>
      </c>
      <c r="AO82" s="14">
        <v>0</v>
      </c>
    </row>
    <row r="83" spans="36:41" x14ac:dyDescent="0.35">
      <c r="AJ83" s="13" t="s">
        <v>39</v>
      </c>
      <c r="AK83" s="27" t="s">
        <v>31</v>
      </c>
      <c r="AL83" s="121">
        <v>11</v>
      </c>
      <c r="AM83" s="43" t="str">
        <f t="shared" ref="AM83:AM103" si="30">CONCATENATE(AJ83," ",AK83," ",AL83)</f>
        <v>N-0 EENS 11</v>
      </c>
      <c r="AN83" s="14">
        <f>M24/1000000</f>
        <v>508.92289694825752</v>
      </c>
      <c r="AO83" s="14">
        <v>0</v>
      </c>
    </row>
    <row r="84" spans="36:41" x14ac:dyDescent="0.35">
      <c r="AJ84" s="13" t="s">
        <v>39</v>
      </c>
      <c r="AK84" s="27" t="s">
        <v>50</v>
      </c>
      <c r="AL84" s="121">
        <v>11</v>
      </c>
      <c r="AM84" s="43" t="str">
        <f t="shared" si="30"/>
        <v>N-0 Losses 11</v>
      </c>
      <c r="AN84" s="14">
        <f t="shared" ref="AN84:AN88" si="31">M25/1000000</f>
        <v>0.3553832586110483</v>
      </c>
      <c r="AO84" s="14">
        <v>0</v>
      </c>
    </row>
    <row r="85" spans="36:41" x14ac:dyDescent="0.35">
      <c r="AJ85" s="13" t="s">
        <v>30</v>
      </c>
      <c r="AK85" s="27" t="s">
        <v>31</v>
      </c>
      <c r="AL85" s="121">
        <v>11</v>
      </c>
      <c r="AM85" s="43" t="str">
        <f t="shared" si="30"/>
        <v>N-1 EENS 11</v>
      </c>
      <c r="AN85" s="14">
        <f t="shared" si="31"/>
        <v>10.291163102497592</v>
      </c>
      <c r="AO85" s="14">
        <v>0</v>
      </c>
    </row>
    <row r="86" spans="36:41" x14ac:dyDescent="0.35">
      <c r="AJ86" s="13" t="s">
        <v>30</v>
      </c>
      <c r="AK86" s="27" t="s">
        <v>51</v>
      </c>
      <c r="AL86" s="121">
        <v>11</v>
      </c>
      <c r="AM86" s="43" t="str">
        <f t="shared" si="30"/>
        <v>N-1 Flexibility-1 11</v>
      </c>
      <c r="AN86" s="14">
        <f t="shared" si="31"/>
        <v>3254.4033002806841</v>
      </c>
      <c r="AO86" s="14">
        <v>0</v>
      </c>
    </row>
    <row r="87" spans="36:41" x14ac:dyDescent="0.35">
      <c r="AJ87" s="13" t="s">
        <v>30</v>
      </c>
      <c r="AK87" s="27" t="s">
        <v>52</v>
      </c>
      <c r="AL87" s="121">
        <v>11</v>
      </c>
      <c r="AM87" s="43" t="str">
        <f t="shared" si="30"/>
        <v>N-1 Flexibility-2-1 11</v>
      </c>
      <c r="AN87" s="14">
        <f t="shared" si="31"/>
        <v>0</v>
      </c>
      <c r="AO87" s="14">
        <v>0</v>
      </c>
    </row>
    <row r="88" spans="36:41" x14ac:dyDescent="0.35">
      <c r="AJ88" s="13" t="s">
        <v>30</v>
      </c>
      <c r="AK88" s="27" t="s">
        <v>53</v>
      </c>
      <c r="AL88" s="121">
        <v>11</v>
      </c>
      <c r="AM88" s="43" t="str">
        <f t="shared" si="30"/>
        <v>N-1 Flexibility-2-2 11</v>
      </c>
      <c r="AN88" s="14">
        <f t="shared" si="31"/>
        <v>201.4215237424624</v>
      </c>
      <c r="AO88" s="14">
        <v>0</v>
      </c>
    </row>
    <row r="89" spans="36:41" x14ac:dyDescent="0.35">
      <c r="AJ89" s="13" t="s">
        <v>54</v>
      </c>
      <c r="AK89" s="27" t="s">
        <v>24</v>
      </c>
      <c r="AL89" s="121">
        <v>11</v>
      </c>
      <c r="AM89" s="43" t="str">
        <f t="shared" si="30"/>
        <v>Total Aggregate 11</v>
      </c>
      <c r="AN89" s="14">
        <f>M30</f>
        <v>3975.038884073901</v>
      </c>
      <c r="AO89" s="14">
        <v>0</v>
      </c>
    </row>
    <row r="90" spans="36:41" x14ac:dyDescent="0.35">
      <c r="AJ90" s="13" t="s">
        <v>39</v>
      </c>
      <c r="AK90" s="27" t="s">
        <v>31</v>
      </c>
      <c r="AL90" s="121">
        <v>12</v>
      </c>
      <c r="AM90" s="43" t="str">
        <f t="shared" si="30"/>
        <v>N-0 EENS 12</v>
      </c>
      <c r="AN90" s="14">
        <f>N24/1000000</f>
        <v>647.09251963548172</v>
      </c>
      <c r="AO90" s="14">
        <v>0</v>
      </c>
    </row>
    <row r="91" spans="36:41" x14ac:dyDescent="0.35">
      <c r="AJ91" s="13" t="s">
        <v>39</v>
      </c>
      <c r="AK91" s="27" t="s">
        <v>50</v>
      </c>
      <c r="AL91" s="121">
        <v>12</v>
      </c>
      <c r="AM91" s="43" t="str">
        <f t="shared" si="30"/>
        <v>N-0 Losses 12</v>
      </c>
      <c r="AN91" s="14">
        <f t="shared" ref="AN91:AN95" si="32">N25/1000000</f>
        <v>3.6593414519993956</v>
      </c>
      <c r="AO91" s="14">
        <v>0</v>
      </c>
    </row>
    <row r="92" spans="36:41" x14ac:dyDescent="0.35">
      <c r="AJ92" s="13" t="s">
        <v>30</v>
      </c>
      <c r="AK92" s="27" t="s">
        <v>31</v>
      </c>
      <c r="AL92" s="121">
        <v>12</v>
      </c>
      <c r="AM92" s="43" t="str">
        <f t="shared" si="30"/>
        <v>N-1 EENS 12</v>
      </c>
      <c r="AN92" s="14">
        <f t="shared" si="32"/>
        <v>23.955422370216489</v>
      </c>
      <c r="AO92" s="14">
        <v>0</v>
      </c>
    </row>
    <row r="93" spans="36:41" x14ac:dyDescent="0.35">
      <c r="AJ93" s="13" t="s">
        <v>30</v>
      </c>
      <c r="AK93" s="27" t="s">
        <v>51</v>
      </c>
      <c r="AL93" s="121">
        <v>12</v>
      </c>
      <c r="AM93" s="43" t="str">
        <f t="shared" si="30"/>
        <v>N-1 Flexibility-1 12</v>
      </c>
      <c r="AN93" s="14">
        <f t="shared" si="32"/>
        <v>3796.8667843223088</v>
      </c>
      <c r="AO93" s="14">
        <v>0</v>
      </c>
    </row>
    <row r="94" spans="36:41" x14ac:dyDescent="0.35">
      <c r="AJ94" s="13" t="s">
        <v>30</v>
      </c>
      <c r="AK94" s="27" t="s">
        <v>52</v>
      </c>
      <c r="AL94" s="121">
        <v>12</v>
      </c>
      <c r="AM94" s="43" t="str">
        <f t="shared" si="30"/>
        <v>N-1 Flexibility-2-1 12</v>
      </c>
      <c r="AN94" s="14">
        <f t="shared" si="32"/>
        <v>295.87803573556931</v>
      </c>
      <c r="AO94" s="14">
        <v>0</v>
      </c>
    </row>
    <row r="95" spans="36:41" x14ac:dyDescent="0.35">
      <c r="AJ95" s="13" t="s">
        <v>30</v>
      </c>
      <c r="AK95" s="27" t="s">
        <v>53</v>
      </c>
      <c r="AL95" s="121">
        <v>12</v>
      </c>
      <c r="AM95" s="43" t="str">
        <f t="shared" si="30"/>
        <v>N-1 Flexibility-2-2 12</v>
      </c>
      <c r="AN95" s="14">
        <f t="shared" si="32"/>
        <v>224.12768970391448</v>
      </c>
      <c r="AO95" s="14">
        <v>0</v>
      </c>
    </row>
    <row r="96" spans="36:41" x14ac:dyDescent="0.35">
      <c r="AJ96" s="13" t="s">
        <v>54</v>
      </c>
      <c r="AK96" s="27" t="s">
        <v>24</v>
      </c>
      <c r="AL96" s="121">
        <v>12</v>
      </c>
      <c r="AM96" s="43" t="str">
        <f t="shared" si="30"/>
        <v>Total Aggregate 12</v>
      </c>
      <c r="AN96" s="14">
        <f t="shared" ref="AN96" si="33">N30</f>
        <v>4987.9204517674925</v>
      </c>
      <c r="AO96" s="14">
        <v>0</v>
      </c>
    </row>
    <row r="97" spans="36:41" x14ac:dyDescent="0.35">
      <c r="AJ97" s="13" t="s">
        <v>39</v>
      </c>
      <c r="AK97" s="27" t="s">
        <v>31</v>
      </c>
      <c r="AL97" s="68">
        <v>13</v>
      </c>
      <c r="AM97" s="69" t="str">
        <f t="shared" si="30"/>
        <v>N-0 EENS 13</v>
      </c>
      <c r="AN97" s="14">
        <f>O24/1000000</f>
        <v>288.03583873179747</v>
      </c>
      <c r="AO97" s="14">
        <v>0</v>
      </c>
    </row>
    <row r="98" spans="36:41" x14ac:dyDescent="0.35">
      <c r="AJ98" s="13" t="s">
        <v>39</v>
      </c>
      <c r="AK98" s="27" t="s">
        <v>50</v>
      </c>
      <c r="AL98" s="68">
        <v>13</v>
      </c>
      <c r="AM98" s="69" t="str">
        <f t="shared" si="30"/>
        <v>N-0 Losses 13</v>
      </c>
      <c r="AN98" s="14">
        <f t="shared" ref="AN98:AN102" si="34">O25/1000000</f>
        <v>0.34871533143486211</v>
      </c>
      <c r="AO98" s="14">
        <v>0</v>
      </c>
    </row>
    <row r="99" spans="36:41" x14ac:dyDescent="0.35">
      <c r="AJ99" s="13" t="s">
        <v>30</v>
      </c>
      <c r="AK99" s="27" t="s">
        <v>31</v>
      </c>
      <c r="AL99" s="68">
        <v>13</v>
      </c>
      <c r="AM99" s="69" t="str">
        <f t="shared" si="30"/>
        <v>N-1 EENS 13</v>
      </c>
      <c r="AN99" s="14">
        <f t="shared" si="34"/>
        <v>5.1636603691529643</v>
      </c>
      <c r="AO99" s="14">
        <v>0</v>
      </c>
    </row>
    <row r="100" spans="36:41" x14ac:dyDescent="0.35">
      <c r="AJ100" s="13" t="s">
        <v>30</v>
      </c>
      <c r="AK100" s="27" t="s">
        <v>51</v>
      </c>
      <c r="AL100" s="68">
        <v>13</v>
      </c>
      <c r="AM100" s="69" t="str">
        <f t="shared" si="30"/>
        <v>N-1 Flexibility-1 13</v>
      </c>
      <c r="AN100" s="14">
        <f t="shared" si="34"/>
        <v>2775.4693161321998</v>
      </c>
      <c r="AO100" s="14">
        <v>0</v>
      </c>
    </row>
    <row r="101" spans="36:41" x14ac:dyDescent="0.35">
      <c r="AJ101" s="13" t="s">
        <v>30</v>
      </c>
      <c r="AK101" s="27" t="s">
        <v>52</v>
      </c>
      <c r="AL101" s="68">
        <v>13</v>
      </c>
      <c r="AM101" s="69" t="str">
        <f t="shared" si="30"/>
        <v>N-1 Flexibility-2-1 13</v>
      </c>
      <c r="AN101" s="14">
        <f t="shared" si="34"/>
        <v>0</v>
      </c>
      <c r="AO101" s="14">
        <v>0</v>
      </c>
    </row>
    <row r="102" spans="36:41" x14ac:dyDescent="0.35">
      <c r="AJ102" s="13" t="s">
        <v>30</v>
      </c>
      <c r="AK102" s="27" t="s">
        <v>53</v>
      </c>
      <c r="AL102" s="68">
        <v>13</v>
      </c>
      <c r="AM102" s="69" t="str">
        <f t="shared" si="30"/>
        <v>N-1 Flexibility-2-2 13</v>
      </c>
      <c r="AN102" s="14">
        <f t="shared" si="34"/>
        <v>201.4215237424624</v>
      </c>
      <c r="AO102" s="14">
        <v>0</v>
      </c>
    </row>
    <row r="103" spans="36:41" x14ac:dyDescent="0.35">
      <c r="AJ103" s="13" t="s">
        <v>54</v>
      </c>
      <c r="AK103" s="27" t="s">
        <v>24</v>
      </c>
      <c r="AL103" s="68">
        <v>13</v>
      </c>
      <c r="AM103" s="69" t="str">
        <f t="shared" si="30"/>
        <v>Total Aggregate 13</v>
      </c>
      <c r="AN103" s="14">
        <f t="shared" ref="AN103" si="35">O30</f>
        <v>3270.0903389756127</v>
      </c>
      <c r="AO103" s="14">
        <v>0</v>
      </c>
    </row>
    <row r="104" spans="36:41" x14ac:dyDescent="0.35">
      <c r="AJ104" s="87"/>
      <c r="AK104" s="87"/>
      <c r="AL104" s="87"/>
      <c r="AM104" s="87"/>
      <c r="AN104" s="87"/>
      <c r="AO104" s="87"/>
    </row>
    <row r="105" spans="36:41" x14ac:dyDescent="0.35">
      <c r="AJ105" s="87"/>
      <c r="AK105" s="87"/>
      <c r="AL105" s="87"/>
      <c r="AM105" s="87"/>
      <c r="AN105" s="87"/>
      <c r="AO105" s="87"/>
    </row>
    <row r="106" spans="36:41" x14ac:dyDescent="0.35">
      <c r="AJ106" s="87"/>
      <c r="AK106" s="87"/>
      <c r="AL106" s="87"/>
      <c r="AM106" s="87"/>
      <c r="AN106" s="87"/>
      <c r="AO106" s="87"/>
    </row>
    <row r="107" spans="36:41" x14ac:dyDescent="0.35">
      <c r="AJ107" s="87"/>
      <c r="AK107" s="87"/>
      <c r="AL107" s="87"/>
      <c r="AM107" s="87"/>
      <c r="AN107" s="87"/>
      <c r="AO107" s="87"/>
    </row>
    <row r="108" spans="36:41" x14ac:dyDescent="0.35">
      <c r="AJ108" s="87"/>
      <c r="AK108" s="87"/>
      <c r="AL108" s="87"/>
      <c r="AM108" s="87"/>
      <c r="AN108" s="87"/>
      <c r="AO108" s="87"/>
    </row>
    <row r="109" spans="36:41" x14ac:dyDescent="0.35">
      <c r="AJ109" s="87"/>
      <c r="AK109" s="87"/>
      <c r="AL109" s="87"/>
      <c r="AM109" s="87"/>
      <c r="AN109" s="87"/>
      <c r="AO109" s="87"/>
    </row>
    <row r="110" spans="36:41" x14ac:dyDescent="0.35">
      <c r="AJ110" s="87"/>
      <c r="AK110" s="87"/>
      <c r="AL110" s="87"/>
      <c r="AM110" s="87"/>
      <c r="AN110" s="87"/>
      <c r="AO110" s="87"/>
    </row>
    <row r="111" spans="36:41" x14ac:dyDescent="0.35">
      <c r="AJ111" s="87"/>
      <c r="AK111" s="87"/>
      <c r="AL111" s="87"/>
      <c r="AM111" s="87"/>
      <c r="AN111" s="87"/>
      <c r="AO111" s="87"/>
    </row>
    <row r="112" spans="36:41" x14ac:dyDescent="0.35">
      <c r="AJ112" s="87"/>
      <c r="AK112" s="87"/>
      <c r="AL112" s="87"/>
      <c r="AM112" s="87"/>
      <c r="AN112" s="87"/>
      <c r="AO112" s="87"/>
    </row>
    <row r="113" spans="38:40" x14ac:dyDescent="0.35">
      <c r="AL113" s="87"/>
      <c r="AM113" s="87"/>
      <c r="AN113" s="87"/>
    </row>
    <row r="114" spans="38:40" x14ac:dyDescent="0.35">
      <c r="AL114" s="87"/>
      <c r="AM114" s="87"/>
      <c r="AN114" s="87"/>
    </row>
    <row r="115" spans="38:40" x14ac:dyDescent="0.35">
      <c r="AL115" s="87"/>
      <c r="AM115" s="87"/>
      <c r="AN115" s="87"/>
    </row>
    <row r="116" spans="38:40" x14ac:dyDescent="0.35">
      <c r="AL116" s="87"/>
      <c r="AM116" s="87"/>
      <c r="AN116" s="87"/>
    </row>
    <row r="117" spans="38:40" x14ac:dyDescent="0.35">
      <c r="AL117" s="87"/>
      <c r="AM117" s="87"/>
      <c r="AN117" s="87"/>
    </row>
    <row r="118" spans="38:40" x14ac:dyDescent="0.35">
      <c r="AL118" s="87"/>
      <c r="AM118" s="87"/>
      <c r="AN118" s="87"/>
    </row>
    <row r="119" spans="38:40" x14ac:dyDescent="0.35">
      <c r="AL119" s="87"/>
      <c r="AM119" s="87"/>
      <c r="AN119" s="87"/>
    </row>
    <row r="120" spans="38:40" x14ac:dyDescent="0.35">
      <c r="AL120" s="87"/>
      <c r="AM120" s="87"/>
      <c r="AN120" s="87"/>
    </row>
    <row r="121" spans="38:40" x14ac:dyDescent="0.35">
      <c r="AL121" s="87"/>
      <c r="AM121" s="87"/>
      <c r="AN121" s="87"/>
    </row>
    <row r="122" spans="38:40" x14ac:dyDescent="0.35">
      <c r="AL122" s="87"/>
      <c r="AM122" s="87"/>
      <c r="AN122" s="87"/>
    </row>
    <row r="123" spans="38:40" x14ac:dyDescent="0.35">
      <c r="AL123" s="87"/>
      <c r="AM123" s="87"/>
      <c r="AN123" s="87"/>
    </row>
    <row r="124" spans="38:40" x14ac:dyDescent="0.35">
      <c r="AL124" s="87"/>
      <c r="AM124" s="87"/>
      <c r="AN124" s="87"/>
    </row>
    <row r="125" spans="38:40" x14ac:dyDescent="0.35">
      <c r="AL125" s="87"/>
      <c r="AM125" s="87"/>
      <c r="AN125" s="87"/>
    </row>
    <row r="126" spans="38:40" x14ac:dyDescent="0.35">
      <c r="AL126" s="87"/>
      <c r="AM126" s="87"/>
      <c r="AN126" s="87"/>
    </row>
    <row r="127" spans="38:40" x14ac:dyDescent="0.35">
      <c r="AL127" s="87"/>
      <c r="AM127" s="87"/>
      <c r="AN127" s="87"/>
    </row>
    <row r="128" spans="38:40" x14ac:dyDescent="0.35">
      <c r="AL128" s="87"/>
      <c r="AM128" s="87"/>
      <c r="AN128" s="87"/>
    </row>
    <row r="129" spans="38:40" x14ac:dyDescent="0.35">
      <c r="AL129" s="87"/>
      <c r="AM129" s="87"/>
      <c r="AN129" s="87"/>
    </row>
    <row r="130" spans="38:40" x14ac:dyDescent="0.35">
      <c r="AL130" s="87"/>
      <c r="AM130" s="87"/>
      <c r="AN130" s="87"/>
    </row>
    <row r="131" spans="38:40" x14ac:dyDescent="0.35">
      <c r="AL131" s="87"/>
      <c r="AM131" s="87"/>
      <c r="AN131" s="87"/>
    </row>
    <row r="132" spans="38:40" x14ac:dyDescent="0.35">
      <c r="AL132" s="87"/>
      <c r="AM132" s="87"/>
      <c r="AN132" s="87"/>
    </row>
  </sheetData>
  <autoFilter ref="A4:D11" xr:uid="{00000000-0009-0000-0000-000002000000}">
    <sortState xmlns:xlrd2="http://schemas.microsoft.com/office/spreadsheetml/2017/richdata2" ref="A5:D18">
      <sortCondition ref="C4:C11"/>
    </sortState>
  </autoFilter>
  <mergeCells count="129">
    <mergeCell ref="A48:B48"/>
    <mergeCell ref="C48:D48"/>
    <mergeCell ref="E48:F48"/>
    <mergeCell ref="G48:H48"/>
    <mergeCell ref="I48:J48"/>
    <mergeCell ref="B2:O2"/>
    <mergeCell ref="S45:T45"/>
    <mergeCell ref="M44:N44"/>
    <mergeCell ref="O44:P44"/>
    <mergeCell ref="M46:N46"/>
    <mergeCell ref="O46:P46"/>
    <mergeCell ref="Q46:R46"/>
    <mergeCell ref="S46:T46"/>
    <mergeCell ref="Q44:R44"/>
    <mergeCell ref="M45:N45"/>
    <mergeCell ref="O45:P45"/>
    <mergeCell ref="Q45:R45"/>
    <mergeCell ref="C46:D46"/>
    <mergeCell ref="E46:F46"/>
    <mergeCell ref="G46:H46"/>
    <mergeCell ref="I46:J46"/>
    <mergeCell ref="K48:L48"/>
    <mergeCell ref="M48:N48"/>
    <mergeCell ref="O48:P48"/>
    <mergeCell ref="S48:T48"/>
    <mergeCell ref="O47:P47"/>
    <mergeCell ref="Q47:R47"/>
    <mergeCell ref="M47:N47"/>
    <mergeCell ref="Q48:R48"/>
    <mergeCell ref="S47:T47"/>
    <mergeCell ref="K46:L46"/>
    <mergeCell ref="C45:D45"/>
    <mergeCell ref="E45:F45"/>
    <mergeCell ref="G45:H45"/>
    <mergeCell ref="I45:J45"/>
    <mergeCell ref="K45:L45"/>
    <mergeCell ref="C47:D47"/>
    <mergeCell ref="E47:F47"/>
    <mergeCell ref="G47:H47"/>
    <mergeCell ref="I47:J47"/>
    <mergeCell ref="K47:L47"/>
    <mergeCell ref="S43:T43"/>
    <mergeCell ref="C44:D44"/>
    <mergeCell ref="E44:F44"/>
    <mergeCell ref="G44:H44"/>
    <mergeCell ref="I44:J44"/>
    <mergeCell ref="K44:L44"/>
    <mergeCell ref="C43:D43"/>
    <mergeCell ref="E43:F43"/>
    <mergeCell ref="G43:H43"/>
    <mergeCell ref="I43:J43"/>
    <mergeCell ref="S44:T44"/>
    <mergeCell ref="K43:L43"/>
    <mergeCell ref="M43:N43"/>
    <mergeCell ref="O43:P43"/>
    <mergeCell ref="Q43:R43"/>
    <mergeCell ref="C41:D41"/>
    <mergeCell ref="E41:F41"/>
    <mergeCell ref="G41:H41"/>
    <mergeCell ref="I41:J41"/>
    <mergeCell ref="K41:L41"/>
    <mergeCell ref="S41:T41"/>
    <mergeCell ref="AC38:AC40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39:P39"/>
    <mergeCell ref="S39:T39"/>
    <mergeCell ref="M41:N41"/>
    <mergeCell ref="O41:P41"/>
    <mergeCell ref="Q41:R41"/>
    <mergeCell ref="AJ5:AK5"/>
    <mergeCell ref="A23:B23"/>
    <mergeCell ref="A33:P33"/>
    <mergeCell ref="A34:G34"/>
    <mergeCell ref="A35:B35"/>
    <mergeCell ref="A21:O21"/>
    <mergeCell ref="A22:B22"/>
    <mergeCell ref="A38:B40"/>
    <mergeCell ref="C39:D39"/>
    <mergeCell ref="E39:F39"/>
    <mergeCell ref="G39:H39"/>
    <mergeCell ref="I39:J39"/>
    <mergeCell ref="C38:T38"/>
    <mergeCell ref="Q39:R39"/>
    <mergeCell ref="K39:L39"/>
    <mergeCell ref="M39:N39"/>
    <mergeCell ref="U45:V45"/>
    <mergeCell ref="U46:V46"/>
    <mergeCell ref="U47:V47"/>
    <mergeCell ref="U48:V48"/>
    <mergeCell ref="W39:X39"/>
    <mergeCell ref="W41:X41"/>
    <mergeCell ref="W42:X42"/>
    <mergeCell ref="W43:X43"/>
    <mergeCell ref="W44:X44"/>
    <mergeCell ref="W45:X45"/>
    <mergeCell ref="W46:X46"/>
    <mergeCell ref="W47:X47"/>
    <mergeCell ref="W48:X48"/>
    <mergeCell ref="U39:V39"/>
    <mergeCell ref="U41:V41"/>
    <mergeCell ref="U42:V42"/>
    <mergeCell ref="U43:V43"/>
    <mergeCell ref="U44:V44"/>
    <mergeCell ref="Y45:Z45"/>
    <mergeCell ref="Y46:Z46"/>
    <mergeCell ref="Y47:Z47"/>
    <mergeCell ref="Y48:Z48"/>
    <mergeCell ref="AA39:AB39"/>
    <mergeCell ref="AA41:AB41"/>
    <mergeCell ref="AA42:AB42"/>
    <mergeCell ref="AA43:AB43"/>
    <mergeCell ref="AA44:AB44"/>
    <mergeCell ref="AA45:AB45"/>
    <mergeCell ref="AA46:AB46"/>
    <mergeCell ref="AA47:AB47"/>
    <mergeCell ref="AA48:AB48"/>
    <mergeCell ref="Y39:Z39"/>
    <mergeCell ref="Y41:Z41"/>
    <mergeCell ref="Y42:Z42"/>
    <mergeCell ref="Y43:Z43"/>
    <mergeCell ref="Y44:Z44"/>
  </mergeCells>
  <conditionalFormatting sqref="O41:R41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 G41 I41 K41">
    <cfRule type="colorScale" priority="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L41">
    <cfRule type="colorScale" priority="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D41">
    <cfRule type="colorScale" priority="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">
    <cfRule type="colorScale" priority="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:N41">
    <cfRule type="colorScale" priority="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 O41">
    <cfRule type="colorScale" priority="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R41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:R42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2 G42 I42 K42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L42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D42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N42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 O42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R42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1:U47 S41 W41:W47 Y41:Y47 AA41:AA47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3:R43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3 G43 I43 K4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L43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D43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:N43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 O4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R43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3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4:R4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 G44 I44 K44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L44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D44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:N44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4 Q44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R44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5:R4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5 G45 I45 K45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L45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D4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:N4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 O45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R4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5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6:R46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6 G46 I46 K4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L4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D46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:N46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6 Q4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R46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7:R4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7 E47 I47 K4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L4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D4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:N4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7 Q4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R4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AB41 U42:AB47">
    <cfRule type="colorScale" priority="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AB41 U42:AB47">
    <cfRule type="colorScale" priority="8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AB41 U42:AB47">
    <cfRule type="colorScale" priority="8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T42"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T42">
    <cfRule type="colorScale" priority="8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T42">
    <cfRule type="colorScale" priority="8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3:T43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T43">
    <cfRule type="colorScale" priority="8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T43">
    <cfRule type="colorScale" priority="8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:T44">
    <cfRule type="colorScale" priority="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T44">
    <cfRule type="colorScale" priority="8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T44">
    <cfRule type="colorScale" priority="8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5:T45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T45">
    <cfRule type="colorScale" priority="8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T45">
    <cfRule type="colorScale" priority="8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:T46">
    <cfRule type="colorScale" priority="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T46">
    <cfRule type="colorScale" priority="8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T46">
    <cfRule type="colorScale" priority="8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:T47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T47">
    <cfRule type="colorScale" priority="8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T47">
    <cfRule type="colorScale" priority="8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3"/>
  <sheetViews>
    <sheetView workbookViewId="0"/>
  </sheetViews>
  <sheetFormatPr defaultRowHeight="14.5" x14ac:dyDescent="0.35"/>
  <cols>
    <col min="2" max="2" width="18.54296875" bestFit="1" customWidth="1"/>
    <col min="15" max="15" width="17.7265625" customWidth="1"/>
  </cols>
  <sheetData>
    <row r="1" spans="1:18" s="87" customFormat="1" x14ac:dyDescent="0.35"/>
    <row r="2" spans="1:18" ht="15.5" x14ac:dyDescent="0.35">
      <c r="A2" s="87"/>
      <c r="B2" s="157" t="s">
        <v>63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87"/>
      <c r="Q2" s="87"/>
      <c r="R2" s="87"/>
    </row>
    <row r="3" spans="1:18" ht="17" x14ac:dyDescent="0.35">
      <c r="A3" s="124"/>
      <c r="B3" s="124"/>
      <c r="C3" s="158" t="s">
        <v>64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9" t="s">
        <v>65</v>
      </c>
      <c r="Q3" s="159"/>
      <c r="R3" s="159"/>
    </row>
    <row r="4" spans="1:18" ht="174" x14ac:dyDescent="0.35">
      <c r="A4" s="66"/>
      <c r="B4" s="64"/>
      <c r="C4" s="89" t="s">
        <v>9</v>
      </c>
      <c r="D4" s="89" t="s">
        <v>10</v>
      </c>
      <c r="E4" s="89" t="s">
        <v>12</v>
      </c>
      <c r="F4" s="89" t="s">
        <v>14</v>
      </c>
      <c r="G4" s="89" t="s">
        <v>16</v>
      </c>
      <c r="H4" s="89" t="s">
        <v>13</v>
      </c>
      <c r="I4" s="89" t="s">
        <v>17</v>
      </c>
      <c r="J4" s="89" t="s">
        <v>15</v>
      </c>
      <c r="K4" s="89" t="s">
        <v>18</v>
      </c>
      <c r="L4" s="89" t="s">
        <v>20</v>
      </c>
      <c r="M4" s="89" t="s">
        <v>19</v>
      </c>
      <c r="N4" s="89" t="s">
        <v>21</v>
      </c>
      <c r="O4" s="89" t="s">
        <v>11</v>
      </c>
      <c r="P4" s="158"/>
      <c r="Q4" s="158"/>
      <c r="R4" s="158"/>
    </row>
    <row r="5" spans="1:18" x14ac:dyDescent="0.35">
      <c r="A5" s="131" t="s">
        <v>66</v>
      </c>
      <c r="B5" s="131"/>
      <c r="C5" s="117">
        <v>1</v>
      </c>
      <c r="D5" s="117">
        <v>2</v>
      </c>
      <c r="E5" s="117">
        <v>3</v>
      </c>
      <c r="F5" s="117">
        <v>4</v>
      </c>
      <c r="G5" s="117">
        <v>5</v>
      </c>
      <c r="H5" s="117">
        <v>6</v>
      </c>
      <c r="I5" s="117">
        <v>7</v>
      </c>
      <c r="J5" s="117">
        <v>8</v>
      </c>
      <c r="K5" s="117">
        <v>9</v>
      </c>
      <c r="L5" s="117">
        <v>10</v>
      </c>
      <c r="M5" s="117">
        <v>11</v>
      </c>
      <c r="N5" s="117">
        <v>12</v>
      </c>
      <c r="O5" s="117">
        <v>13</v>
      </c>
      <c r="P5" s="122" t="s">
        <v>67</v>
      </c>
      <c r="Q5" s="117" t="s">
        <v>68</v>
      </c>
      <c r="R5" s="117" t="s">
        <v>69</v>
      </c>
    </row>
    <row r="6" spans="1:18" x14ac:dyDescent="0.35">
      <c r="A6" s="117" t="s">
        <v>30</v>
      </c>
      <c r="B6" s="121" t="s">
        <v>70</v>
      </c>
      <c r="C6" s="115">
        <f>Summary!$D$7/'Alberhill System Project'!$B44</f>
        <v>6.0994427195751738E-2</v>
      </c>
      <c r="D6" s="115">
        <f>Summary!$D$8/'SDG&amp;E'!$B44</f>
        <v>4.8864960431736638E-2</v>
      </c>
      <c r="E6" s="115">
        <f>Summary!$D$9/'Valley S to Valley N to Vista'!$B45</f>
        <v>0.18354310333620755</v>
      </c>
      <c r="F6" s="115">
        <f>Summary!$D$10/'Centralized BESS in Valley S'!$B44</f>
        <v>9.5684701688048879E-2</v>
      </c>
      <c r="G6" s="115">
        <f>Summary!$D$11/'MiraLoma &amp; Centralized BESS VS'!$B44</f>
        <v>9.7847539198312433E-2</v>
      </c>
      <c r="H6" s="115">
        <f>Summary!$D$12/'VS to VN &amp; Distributed BESS VS'!$B45</f>
        <v>8.0649806577169705E-2</v>
      </c>
      <c r="I6" s="115">
        <f>Summary!$D$13/Menifee!$B44</f>
        <v>0.16666883208049113</v>
      </c>
      <c r="J6" s="115">
        <f>Summary!$D$14/'Mira Loma'!$B44</f>
        <v>0.1097200280414376</v>
      </c>
      <c r="K6" s="115">
        <f>Summary!$D$15/'SCE Orange County'!$B44</f>
        <v>0.10608082474930706</v>
      </c>
      <c r="L6" s="115">
        <f>Summary!$D$16/'VS to VN &amp; Central BESS VS VN '!$B45</f>
        <v>0.21241721239126329</v>
      </c>
      <c r="M6" s="115">
        <f>Summary!$D$17/'VS to VN to VST &amp; Cen BESS VS'!$B45</f>
        <v>0.11703427679959409</v>
      </c>
      <c r="N6" s="115">
        <f>Summary!$D$18/'SDG&amp;E and Central BESS in VS'!$B44</f>
        <v>7.2615446783746582E-2</v>
      </c>
      <c r="O6" s="115">
        <f>Summary!$D$19/'Valley South to Valley North'!$B45</f>
        <v>0.12576101524888295</v>
      </c>
      <c r="P6" s="122">
        <f>INDEX($C$5:$O$5,1,MATCH(SMALL($C6:$O6,1),$C6:$O6,0))</f>
        <v>2</v>
      </c>
      <c r="Q6" s="117">
        <f>INDEX($C$5:$O$5,1,MATCH(SMALL($C6:$O6,2),$C6:$O6,0))</f>
        <v>1</v>
      </c>
      <c r="R6" s="117">
        <f>INDEX($C$5:$O$5,1,MATCH(SMALL($C6:$O6,3),$C6:$O6,0))</f>
        <v>12</v>
      </c>
    </row>
    <row r="7" spans="1:18" x14ac:dyDescent="0.35">
      <c r="A7" s="117" t="s">
        <v>30</v>
      </c>
      <c r="B7" s="121" t="s">
        <v>71</v>
      </c>
      <c r="C7" s="115">
        <f>Summary!$D$7/'Alberhill System Project'!$B45</f>
        <v>2.6217075936830869</v>
      </c>
      <c r="D7" s="115">
        <f>Summary!$D$8/'SDG&amp;E'!$B45</f>
        <v>1.8074840444530098</v>
      </c>
      <c r="E7" s="115">
        <f>ABS(Summary!$D$9/'Valley S to Valley N to Vista'!$B46)</f>
        <v>8.2520861647972303</v>
      </c>
      <c r="F7" s="115">
        <f>Summary!$D$10/'Centralized BESS in Valley S'!$B45</f>
        <v>3.4935215153402792</v>
      </c>
      <c r="G7" s="115">
        <f>Summary!$D$11/'MiraLoma &amp; Centralized BESS VS'!$B45</f>
        <v>6.2005576397520281</v>
      </c>
      <c r="H7" s="115">
        <f>ABS(Summary!$D$12/'VS to VN &amp; Distributed BESS VS'!$B46)</f>
        <v>4.0572063018550644</v>
      </c>
      <c r="I7" s="115">
        <f>ABS(Summary!$D$13/Menifee!$B45)</f>
        <v>6.822105697084651</v>
      </c>
      <c r="J7" s="115">
        <f>Summary!$D$14/'Mira Loma'!$B45</f>
        <v>10.412048767322252</v>
      </c>
      <c r="K7" s="115">
        <f>Summary!$D$15/'SCE Orange County'!$B45</f>
        <v>5.5619053747739713</v>
      </c>
      <c r="L7" s="115">
        <f>ABS(Summary!$D$16/'VS to VN &amp; Central BESS VS VN '!$B46)</f>
        <v>13.304489116982619</v>
      </c>
      <c r="M7" s="115">
        <f>ABS(Summary!$D$17/'VS to VN to VST &amp; Cen BESS VS'!$B46)</f>
        <v>7.3302970341502034</v>
      </c>
      <c r="N7" s="115">
        <f>Summary!$D$18/'SDG&amp;E and Central BESS in VS'!$B45</f>
        <v>2.6359306314451918</v>
      </c>
      <c r="O7" s="115">
        <f>ABS(Summary!$D$19/'Valley South to Valley North'!$B46)</f>
        <v>5.6542071869906954</v>
      </c>
      <c r="P7" s="122">
        <f>INDEX($C$5:$O$5,1,MATCH(SMALL($C7:$O7,1),$C7:$O7,0))</f>
        <v>2</v>
      </c>
      <c r="Q7" s="117">
        <f>INDEX($C$5:$O$5,1,MATCH(SMALL($C7:$O7,2),$C7:$O7,0))</f>
        <v>1</v>
      </c>
      <c r="R7" s="117">
        <f>INDEX($C$5:$O$5,1,MATCH(SMALL($C7:$O7,3),$C7:$O7,0))</f>
        <v>12</v>
      </c>
    </row>
    <row r="8" spans="1:18" x14ac:dyDescent="0.35">
      <c r="A8" s="117" t="s">
        <v>30</v>
      </c>
      <c r="B8" s="121" t="s">
        <v>72</v>
      </c>
      <c r="C8" s="115">
        <f>Summary!$D$7/'Alberhill System Project'!$B46</f>
        <v>0.50681180124043046</v>
      </c>
      <c r="D8" s="115">
        <f>Summary!$D$8/'SDG&amp;E'!$B46</f>
        <v>0.41269213558575474</v>
      </c>
      <c r="E8" s="115">
        <f>Summary!$D$9/'Valley S to Valley N to Vista'!$B47</f>
        <v>0.72167374065275136</v>
      </c>
      <c r="F8" s="115">
        <f>Summary!$D$10/'Centralized BESS in Valley S'!$B46</f>
        <v>0.81144760134654403</v>
      </c>
      <c r="G8" s="115">
        <f>Summary!$D$11/'MiraLoma &amp; Centralized BESS VS'!$B46</f>
        <v>0.76613387803485145</v>
      </c>
      <c r="H8" s="115">
        <f>Summary!$D$12/'VS to VN &amp; Distributed BESS VS'!$B47</f>
        <v>0.43825109684702712</v>
      </c>
      <c r="I8" s="115">
        <f>Summary!$D$13/Menifee!$B46</f>
        <v>0.51939051268123204</v>
      </c>
      <c r="J8" s="115">
        <f>Summary!$D$14/'Mira Loma'!$B46</f>
        <v>0.46504055639100284</v>
      </c>
      <c r="K8" s="115">
        <f>Summary!$D$15/'SCE Orange County'!$B46</f>
        <v>0.76108582652155465</v>
      </c>
      <c r="L8" s="115">
        <f>Summary!$D$16/'VS to VN &amp; Central BESS VS VN '!$B47</f>
        <v>1.1432745365971317</v>
      </c>
      <c r="M8" s="115">
        <f>Summary!$D$17/'VS to VN to VST &amp; Cen BESS VS'!$B47</f>
        <v>0.62990332594883292</v>
      </c>
      <c r="N8" s="115">
        <f>Summary!$D$18/'SDG&amp;E and Central BESS in VS'!$B46</f>
        <v>0.61618450595879326</v>
      </c>
      <c r="O8" s="115">
        <f>Summary!$D$19/'Valley South to Valley North'!$B47</f>
        <v>0.49448015563244074</v>
      </c>
      <c r="P8" s="122">
        <f>INDEX($C$5:$O$5,1,MATCH(SMALL($C8:$O8,1),$C8:$O8,0))</f>
        <v>2</v>
      </c>
      <c r="Q8" s="117">
        <f>INDEX($C$5:$O$5,1,MATCH(SMALL($C8:$O8,2),$C8:$O8,0))</f>
        <v>6</v>
      </c>
      <c r="R8" s="117">
        <f>INDEX($C$5:$O$5,1,MATCH(SMALL($C8:$O8,3),$C8:$O8,0))</f>
        <v>8</v>
      </c>
    </row>
    <row r="9" spans="1:18" x14ac:dyDescent="0.35">
      <c r="A9" s="117" t="s">
        <v>30</v>
      </c>
      <c r="B9" s="121" t="s">
        <v>73</v>
      </c>
      <c r="C9" s="115">
        <f>Summary!$D$7/'Alberhill System Project'!$B47</f>
        <v>81.432808542291795</v>
      </c>
      <c r="D9" s="115">
        <f>Summary!$D$8/'SDG&amp;E'!$B47</f>
        <v>55.49795249241766</v>
      </c>
      <c r="E9" s="115">
        <f>Summary!$D$9/'Valley S to Valley N to Vista'!$B48</f>
        <v>318.12105051426914</v>
      </c>
      <c r="F9" s="115">
        <f>Summary!$D$10/'Centralized BESS in Valley S'!$B47</f>
        <v>108.70910558166587</v>
      </c>
      <c r="G9" s="115">
        <f>Summary!$D$11/'MiraLoma &amp; Centralized BESS VS'!$B47</f>
        <v>113.784939113387</v>
      </c>
      <c r="H9" s="115">
        <f>Summary!$D$12/'VS to VN &amp; Distributed BESS VS'!$B48</f>
        <v>106.77973963207393</v>
      </c>
      <c r="I9" s="115">
        <f>ABS(Summary!$D$13/Menifee!$B47)</f>
        <v>147.45864370430729</v>
      </c>
      <c r="J9" s="115">
        <f>Summary!$D$14/'Mira Loma'!$B47</f>
        <v>148.47044822127614</v>
      </c>
      <c r="K9" s="115">
        <f>Summary!$D$15/'SCE Orange County'!$B47</f>
        <v>131.75128556757909</v>
      </c>
      <c r="L9" s="115">
        <f>Summary!$D$16/'VS to VN &amp; Central BESS VS VN '!$B48</f>
        <v>269.18320334685166</v>
      </c>
      <c r="M9" s="115">
        <f>Summary!$D$17/'VS to VN to VST &amp; Cen BESS VS'!$B48</f>
        <v>148.31030487429845</v>
      </c>
      <c r="N9" s="115">
        <f>Summary!$D$18/'SDG&amp;E and Central BESS in VS'!$B47</f>
        <v>82.390912137816812</v>
      </c>
      <c r="O9" s="115">
        <f>Summary!$D$19/'Valley South to Valley North'!$B48</f>
        <v>217.97183090792515</v>
      </c>
      <c r="P9" s="122">
        <f>INDEX($C$5:$O$5,1,MATCH(SMALL($C9:$O9,1),$C9:$O9,0))</f>
        <v>2</v>
      </c>
      <c r="Q9" s="117">
        <f>INDEX($C$5:$O$5,1,MATCH(SMALL($C9:$O9,2),$C9:$O9,0))</f>
        <v>1</v>
      </c>
      <c r="R9" s="117">
        <f>INDEX($C$5:$O$5,1,MATCH(SMALL($C9:$O9,3),$C9:$O9,0))</f>
        <v>12</v>
      </c>
    </row>
    <row r="10" spans="1:18" x14ac:dyDescent="0.35">
      <c r="A10" s="117" t="s">
        <v>30</v>
      </c>
      <c r="B10" s="121" t="s">
        <v>74</v>
      </c>
      <c r="C10" s="115">
        <f>Summary!$D$7/'Alberhill System Project'!$B48</f>
        <v>0.8029069578305762</v>
      </c>
      <c r="D10" s="115">
        <f>Summary!$D$8/'SDG&amp;E'!$B48</f>
        <v>0.66947239656703772</v>
      </c>
      <c r="E10" s="115">
        <f>Summary!$D$9/'Valley S to Valley N to Vista'!$B49</f>
        <v>0.73974521997283393</v>
      </c>
      <c r="F10" s="115">
        <f>Summary!$D$10/'Centralized BESS in Valley S'!$B48</f>
        <v>1.3135204417468733</v>
      </c>
      <c r="G10" s="115">
        <f>Summary!$D$11/'MiraLoma &amp; Centralized BESS VS'!$B48</f>
        <v>1.6747717466552845</v>
      </c>
      <c r="H10" s="115">
        <f>Summary!$D$12/'VS to VN &amp; Distributed BESS VS'!$B49</f>
        <v>0.5790143963595632</v>
      </c>
      <c r="I10" s="115">
        <f>Summary!$D$13/Menifee!$B48</f>
        <v>0.81056472184854134</v>
      </c>
      <c r="J10" s="115">
        <f>Summary!$D$14/'Mira Loma'!$B48</f>
        <v>0.65236434347770389</v>
      </c>
      <c r="K10" s="115">
        <f>Summary!$D$15/'SCE Orange County'!$B48</f>
        <v>1.3059893485699421</v>
      </c>
      <c r="L10" s="115">
        <f>Summary!$D$16/'VS to VN &amp; Central BESS VS VN '!$B49</f>
        <v>1.875886062656789</v>
      </c>
      <c r="M10" s="115">
        <f>Summary!$D$17/'VS to VN to VST &amp; Cen BESS VS'!$B49</f>
        <v>1.0335460400312886</v>
      </c>
      <c r="N10" s="115">
        <f>Summary!$D$18/'SDG&amp;E and Central BESS in VS'!$B48</f>
        <v>0.99624313162550759</v>
      </c>
      <c r="O10" s="115">
        <f>Summary!$D$19/'Valley South to Valley North'!$B49</f>
        <v>0.50686246553694181</v>
      </c>
      <c r="P10" s="122">
        <f>INDEX($C$5:$O$5,1,MATCH(SMALL($C10:$O10,1),$C10:$O10,0))</f>
        <v>13</v>
      </c>
      <c r="Q10" s="117">
        <f>INDEX($C$5:$O$5,1,MATCH(SMALL($C10:$O10,2),$C10:$O10,0))</f>
        <v>6</v>
      </c>
      <c r="R10" s="117">
        <f>INDEX($C$5:$O$5,1,MATCH(SMALL($C10:$O10,3),$C10:$O10,0))</f>
        <v>8</v>
      </c>
    </row>
    <row r="11" spans="1:18" x14ac:dyDescent="0.35">
      <c r="A11" s="117" t="s">
        <v>30</v>
      </c>
      <c r="B11" s="121" t="s">
        <v>75</v>
      </c>
      <c r="C11" s="48">
        <f>Summary!$D$7/'Alberhill System Project'!$B49</f>
        <v>1.8212766974642128E-3</v>
      </c>
      <c r="D11" s="48">
        <f>Summary!$D$8/'SDG&amp;E'!$B49</f>
        <v>3.8349741080862605E-3</v>
      </c>
      <c r="E11" s="48">
        <f>Summary!$D$9/'Valley S to Valley N to Vista'!$B50</f>
        <v>2.7340228838090299E-3</v>
      </c>
      <c r="F11" s="48">
        <f>Summary!$D$10/'Centralized BESS in Valley S'!$B49</f>
        <v>9.4565849644379172E-3</v>
      </c>
      <c r="G11" s="48">
        <f>Summary!$D$11/'MiraLoma &amp; Centralized BESS VS'!$B49</f>
        <v>3.8811401636712384E-3</v>
      </c>
      <c r="H11" s="48">
        <f>Summary!$D$12/'VS to VN &amp; Distributed BESS VS'!$B50</f>
        <v>1.9617444528627526E-3</v>
      </c>
      <c r="I11" s="48">
        <f>Summary!$D$13/Menifee!$B49</f>
        <v>3.217191494037974E-3</v>
      </c>
      <c r="J11" s="48">
        <f>Summary!$D$14/'Mira Loma'!$B49</f>
        <v>2.0201192806743348E-3</v>
      </c>
      <c r="K11" s="48">
        <f>Summary!$D$15/'SCE Orange County'!$B49</f>
        <v>3.1952435942019701E-3</v>
      </c>
      <c r="L11" s="48">
        <f>Summary!$D$16/'VS to VN &amp; Central BESS VS VN '!$B50</f>
        <v>6.4539518601125761E-3</v>
      </c>
      <c r="M11" s="48">
        <f>Summary!$D$17/'VS to VN to VST &amp; Cen BESS VS'!$B50</f>
        <v>3.5558963416598213E-3</v>
      </c>
      <c r="N11" s="48">
        <f>Summary!$D$18/'SDG&amp;E and Central BESS in VS'!$B49</f>
        <v>5.2592543413834854E-3</v>
      </c>
      <c r="O11" s="48">
        <f>Summary!$D$19/'Valley South to Valley North'!$B50</f>
        <v>1.8733119759432244E-3</v>
      </c>
      <c r="P11" s="122">
        <f t="shared" ref="P11:P13" si="0">INDEX($C$5:$O$5,1,MATCH(SMALL($C11:$O11,1),$C11:$O11,0))</f>
        <v>1</v>
      </c>
      <c r="Q11" s="117">
        <f t="shared" ref="Q11:Q13" si="1">INDEX($C$5:$O$5,1,MATCH(SMALL($C11:$O11,2),$C11:$O11,0))</f>
        <v>13</v>
      </c>
      <c r="R11" s="117">
        <f t="shared" ref="R11:R13" si="2">INDEX($C$5:$O$5,1,MATCH(SMALL($C11:$O11,3),$C11:$O11,0))</f>
        <v>6</v>
      </c>
    </row>
    <row r="12" spans="1:18" x14ac:dyDescent="0.35">
      <c r="A12" s="117" t="s">
        <v>30</v>
      </c>
      <c r="B12" s="121" t="s">
        <v>76</v>
      </c>
      <c r="C12" s="48">
        <f>Summary!$D$7/'Alberhill System Project'!$B50</f>
        <v>2.9256030483678508E-4</v>
      </c>
      <c r="D12" s="48">
        <f>Summary!$D$8/'SDG&amp;E'!$B50</f>
        <v>3.5997628874528574E-4</v>
      </c>
      <c r="E12" s="84"/>
      <c r="F12" s="84"/>
      <c r="G12" s="48">
        <f>Summary!$D$11/'MiraLoma &amp; Centralized BESS VS'!$B50</f>
        <v>1.6174771639754974E-3</v>
      </c>
      <c r="H12" s="84"/>
      <c r="I12" s="48">
        <f>Summary!$D$13/Menifee!$B50</f>
        <v>2.716633419559912E-4</v>
      </c>
      <c r="J12" s="48">
        <f>Summary!$D$14/'Mira Loma'!$B50</f>
        <v>5.6582433962954674E-4</v>
      </c>
      <c r="K12" s="48">
        <f>Summary!$D$15/'SCE Orange County'!$B50</f>
        <v>6.0624042043238831E-4</v>
      </c>
      <c r="L12" s="84"/>
      <c r="M12" s="84"/>
      <c r="N12" s="48">
        <f>Summary!$D$18/'SDG&amp;E and Central BESS in VS'!$B50</f>
        <v>5.3804558296470214E-4</v>
      </c>
      <c r="O12" s="84"/>
      <c r="P12" s="122">
        <f t="shared" si="0"/>
        <v>7</v>
      </c>
      <c r="Q12" s="117">
        <f t="shared" si="1"/>
        <v>1</v>
      </c>
      <c r="R12" s="117">
        <f t="shared" si="2"/>
        <v>2</v>
      </c>
    </row>
    <row r="13" spans="1:18" s="80" customFormat="1" x14ac:dyDescent="0.35">
      <c r="A13" s="117" t="s">
        <v>30</v>
      </c>
      <c r="B13" s="121" t="s">
        <v>77</v>
      </c>
      <c r="C13" s="48">
        <f>Summary!$D$7/'Alberhill System Project'!$B51</f>
        <v>5.6092044884122354E-4</v>
      </c>
      <c r="D13" s="48">
        <f>Summary!$D$8/'SDG&amp;E'!$B51</f>
        <v>6.7792416491609889E-4</v>
      </c>
      <c r="E13" s="48">
        <f>Summary!$D$9/'Valley S to Valley N to Vista'!$B52</f>
        <v>4.3166878159105892E-4</v>
      </c>
      <c r="F13" s="48">
        <f>Summary!$D$10/'Centralized BESS in Valley S'!$B51</f>
        <v>4.5778914096647493E-2</v>
      </c>
      <c r="G13" s="48">
        <f>Summary!$D$11/'MiraLoma &amp; Centralized BESS VS'!$B51</f>
        <v>1.410496946899278E-3</v>
      </c>
      <c r="H13" s="48">
        <f>Summary!$D$12/'VS to VN &amp; Distributed BESS VS'!$B52</f>
        <v>3.3909614847769075E-4</v>
      </c>
      <c r="I13" s="48">
        <f>Summary!$D$13/Menifee!$B51</f>
        <v>5.0361357852290209E-4</v>
      </c>
      <c r="J13" s="48">
        <f>Summary!$D$14/'Mira Loma'!$B51</f>
        <v>4.9393833316530868E-4</v>
      </c>
      <c r="K13" s="48">
        <f>Summary!$D$15/'SCE Orange County'!$B51</f>
        <v>1.0959867277417364E-3</v>
      </c>
      <c r="L13" s="48">
        <f>Summary!$D$16/'VS to VN &amp; Central BESS VS VN '!$B52</f>
        <v>1.1607093905004028E-3</v>
      </c>
      <c r="M13" s="48">
        <f>Summary!$D$17/'VS to VN to VST &amp; Cen BESS VS'!$B52</f>
        <v>6.3950930606082807E-4</v>
      </c>
      <c r="N13" s="48">
        <f>Summary!$D$18/'SDG&amp;E and Central BESS in VS'!$B51</f>
        <v>1.0130883723641964E-3</v>
      </c>
      <c r="O13" s="48">
        <f>Summary!$D$19/'Valley South to Valley North'!$B52</f>
        <v>2.95773054053133E-4</v>
      </c>
      <c r="P13" s="122">
        <f t="shared" si="0"/>
        <v>13</v>
      </c>
      <c r="Q13" s="117">
        <f t="shared" si="1"/>
        <v>6</v>
      </c>
      <c r="R13" s="117">
        <f t="shared" si="2"/>
        <v>3</v>
      </c>
    </row>
    <row r="14" spans="1:18" x14ac:dyDescent="0.35">
      <c r="A14" s="117" t="s">
        <v>39</v>
      </c>
      <c r="B14" s="121" t="s">
        <v>70</v>
      </c>
      <c r="C14" s="115">
        <f>Summary!$D$7/'Alberhill System Project'!$B52</f>
        <v>2.576899450915511E-2</v>
      </c>
      <c r="D14" s="115">
        <f>Summary!$D$8/'SDG&amp;E'!$B52</f>
        <v>2.3119686132440878E-2</v>
      </c>
      <c r="E14" s="115">
        <f>Summary!$D$9/'Valley S to Valley N to Vista'!$B53</f>
        <v>1.6603387834010472E-2</v>
      </c>
      <c r="F14" s="115">
        <f>Summary!$D$10/'Centralized BESS in Valley S'!$B52</f>
        <v>4.3571015064691673E-2</v>
      </c>
      <c r="G14" s="115">
        <f>Summary!$D$11/'MiraLoma &amp; Centralized BESS VS'!$B52</f>
        <v>3.9133663584647232E-2</v>
      </c>
      <c r="H14" s="115">
        <f>Summary!$D$12/'VS to VN &amp; Distributed BESS VS'!$B53</f>
        <v>1.9744263448380889E-2</v>
      </c>
      <c r="I14" s="115">
        <f>Summary!$D$13/Menifee!$B52</f>
        <v>1.5244851282851749E-2</v>
      </c>
      <c r="J14" s="115">
        <f>Summary!$D$14/'Mira Loma'!$B52</f>
        <v>2.0461000453446402E-2</v>
      </c>
      <c r="K14" s="115">
        <f>Summary!$D$15/'SCE Orange County'!$B52</f>
        <v>3.9564409202630407E-2</v>
      </c>
      <c r="L14" s="115">
        <f>Summary!$D$16/'VS to VN &amp; Central BESS VS VN '!$B53</f>
        <v>3.4271459303321941E-2</v>
      </c>
      <c r="M14" s="115">
        <f>Summary!$D$17/'VS to VN to VST &amp; Cen BESS VS'!$B53</f>
        <v>2.3822879142486101E-2</v>
      </c>
      <c r="N14" s="115">
        <f>Summary!$D$18/'SDG&amp;E and Central BESS in VS'!$B52</f>
        <v>3.3091312633097357E-2</v>
      </c>
      <c r="O14" s="115">
        <f>Summary!$D$19/'Valley South to Valley North'!$B53</f>
        <v>1.7828025381334971E-2</v>
      </c>
      <c r="P14" s="122">
        <f>INDEX($C$5:$O$5,1,MATCH(SMALL($C14:$O14,1),$C14:$O14,0))</f>
        <v>7</v>
      </c>
      <c r="Q14" s="117">
        <f>INDEX($C$5:$O$5,1,MATCH(SMALL($C14:$O14,2),$C14:$O14,0))</f>
        <v>3</v>
      </c>
      <c r="R14" s="117">
        <f>INDEX($C$5:$O$5,1,MATCH(SMALL($C14:$O14,3),$C14:$O14,0))</f>
        <v>13</v>
      </c>
    </row>
    <row r="15" spans="1:18" x14ac:dyDescent="0.35">
      <c r="A15" s="117" t="s">
        <v>39</v>
      </c>
      <c r="B15" s="121" t="s">
        <v>71</v>
      </c>
      <c r="C15" s="115">
        <f>Summary!$D$7/'Alberhill System Project'!$B53</f>
        <v>0.41039564594552502</v>
      </c>
      <c r="D15" s="115">
        <f>Summary!$D$8/'SDG&amp;E'!$B53</f>
        <v>0.39722505334791292</v>
      </c>
      <c r="E15" s="115">
        <f>Summary!$D$9/'Valley S to Valley N to Vista'!$B54</f>
        <v>0.2672835797262138</v>
      </c>
      <c r="F15" s="115">
        <f>Summary!$D$10/'Centralized BESS in Valley S'!$B53</f>
        <v>0.69102220076538834</v>
      </c>
      <c r="G15" s="115">
        <f>Summary!$D$11/'MiraLoma &amp; Centralized BESS VS'!$B53</f>
        <v>0.62064724207422206</v>
      </c>
      <c r="H15" s="115">
        <f>Summary!$D$12/'VS to VN &amp; Distributed BESS VS'!$B54</f>
        <v>0.23582261572555396</v>
      </c>
      <c r="I15" s="115">
        <f>Summary!$D$13/Menifee!$B53</f>
        <v>0.25446608649719904</v>
      </c>
      <c r="J15" s="115">
        <f>Summary!$D$14/'Mira Loma'!$B53</f>
        <v>0.39869141627615429</v>
      </c>
      <c r="K15" s="115">
        <f>Summary!$D$15/'SCE Orange County'!$B53</f>
        <v>0.68031965278133932</v>
      </c>
      <c r="L15" s="115">
        <f>Summary!$D$16/'VS to VN &amp; Central BESS VS VN '!$B54</f>
        <v>0.54353425542326317</v>
      </c>
      <c r="M15" s="115">
        <f>Summary!$D$17/'VS to VN to VST &amp; Cen BESS VS'!$B54</f>
        <v>0.3590301942552655</v>
      </c>
      <c r="N15" s="115">
        <f>Summary!$D$18/'SDG&amp;E and Central BESS in VS'!$B53</f>
        <v>0.52481751109050623</v>
      </c>
      <c r="O15" s="115">
        <f>Summary!$D$19/'Valley South to Valley North'!$B54</f>
        <v>0.22037201601967121</v>
      </c>
      <c r="P15" s="122">
        <f>INDEX($C$5:$O$5,1,MATCH(SMALL($C15:$O15,1),$C15:$O15,0))</f>
        <v>13</v>
      </c>
      <c r="Q15" s="117">
        <f>INDEX($C$5:$O$5,1,MATCH(SMALL($C15:$O15,2),$C15:$O15,0))</f>
        <v>6</v>
      </c>
      <c r="R15" s="117">
        <f>INDEX($C$5:$O$5,1,MATCH(SMALL($C15:$O15,3),$C15:$O15,0))</f>
        <v>7</v>
      </c>
    </row>
    <row r="16" spans="1:18" x14ac:dyDescent="0.35">
      <c r="A16" s="117" t="s">
        <v>39</v>
      </c>
      <c r="B16" s="121" t="s">
        <v>72</v>
      </c>
      <c r="C16" s="115">
        <f>Summary!$D$7/'Alberhill System Project'!$B54</f>
        <v>0.31046147152292208</v>
      </c>
      <c r="D16" s="115">
        <f>Summary!$D$8/'SDG&amp;E'!$B54</f>
        <v>0.26901415530464184</v>
      </c>
      <c r="E16" s="115">
        <f>Summary!$D$9/'Valley S to Valley N to Vista'!$B55</f>
        <v>0.18504367315811482</v>
      </c>
      <c r="F16" s="115">
        <f>Summary!$D$10/'Centralized BESS in Valley S'!$B54</f>
        <v>0.52538334708169421</v>
      </c>
      <c r="G16" s="115">
        <f>Summary!$D$11/'MiraLoma &amp; Centralized BESS VS'!$B54</f>
        <v>0.47187735073751297</v>
      </c>
      <c r="H16" s="115">
        <f>Summary!$D$12/'VS to VN &amp; Distributed BESS VS'!$B55</f>
        <v>0.34878009523214643</v>
      </c>
      <c r="I16" s="115">
        <f>Summary!$D$13/Menifee!$B54</f>
        <v>0.18064409971036599</v>
      </c>
      <c r="J16" s="115">
        <f>Summary!$D$14/'Mira Loma'!$B54</f>
        <v>0.19264698041763897</v>
      </c>
      <c r="K16" s="115">
        <f>Summary!$D$15/'SCE Orange County'!$B54</f>
        <v>0.46267307609355751</v>
      </c>
      <c r="L16" s="115">
        <f>Summary!$D$16/'VS to VN &amp; Central BESS VS VN '!$B55</f>
        <v>0.41324843984973997</v>
      </c>
      <c r="M16" s="115">
        <f>Summary!$D$17/'VS to VN to VST &amp; Cen BESS VS'!$B55</f>
        <v>0.27213167244132314</v>
      </c>
      <c r="N16" s="115">
        <f>Summary!$D$18/'SDG&amp;E and Central BESS in VS'!$B54</f>
        <v>0.39901812167309603</v>
      </c>
      <c r="O16" s="115">
        <f>Summary!$D$19/'Valley South to Valley North'!$B55</f>
        <v>0.30761191293717322</v>
      </c>
      <c r="P16" s="122">
        <f>INDEX($C$5:$O$5,1,MATCH(SMALL($C16:$O16,1),$C16:$O16,0))</f>
        <v>7</v>
      </c>
      <c r="Q16" s="117">
        <f>INDEX($C$5:$O$5,1,MATCH(SMALL($C16:$O16,2),$C16:$O16,0))</f>
        <v>3</v>
      </c>
      <c r="R16" s="117">
        <f>INDEX($C$5:$O$5,1,MATCH(SMALL($C16:$O16,3),$C16:$O16,0))</f>
        <v>8</v>
      </c>
    </row>
    <row r="17" spans="1:18" x14ac:dyDescent="0.35">
      <c r="A17" s="117" t="s">
        <v>39</v>
      </c>
      <c r="B17" s="121" t="s">
        <v>73</v>
      </c>
      <c r="C17" s="115">
        <f>Summary!$D$7/'Alberhill System Project'!$B55</f>
        <v>24.301971937912999</v>
      </c>
      <c r="D17" s="115">
        <f>Summary!$D$8/'SDG&amp;E'!$B55</f>
        <v>21.548664496064035</v>
      </c>
      <c r="E17" s="115">
        <f>Summary!$D$9/'Valley S to Valley N to Vista'!$B56</f>
        <v>14.876180191806295</v>
      </c>
      <c r="F17" s="115">
        <f>Summary!$D$10/'Centralized BESS in Valley S'!$B55</f>
        <v>40.939863617075517</v>
      </c>
      <c r="G17" s="115">
        <f>Summary!$D$11/'MiraLoma &amp; Centralized BESS VS'!$B55</f>
        <v>36.770473389551036</v>
      </c>
      <c r="H17" s="115">
        <f>Summary!$D$12/'VS to VN &amp; Distributed BESS VS'!$B56</f>
        <v>19.555642472384342</v>
      </c>
      <c r="I17" s="115">
        <f>Summary!$D$13/Menifee!$B55</f>
        <v>14.337650683599451</v>
      </c>
      <c r="J17" s="115">
        <f>Summary!$D$14/'Mira Loma'!$B55</f>
        <v>17.13317179217805</v>
      </c>
      <c r="K17" s="115">
        <f>Summary!$D$15/'SCE Orange County'!$B55</f>
        <v>37.232788403883738</v>
      </c>
      <c r="L17" s="115">
        <f>Summary!$D$16/'VS to VN &amp; Central BESS VS VN '!$B56</f>
        <v>32.201886225348673</v>
      </c>
      <c r="M17" s="115">
        <f>Summary!$D$17/'VS to VN to VST &amp; Cen BESS VS'!$B56</f>
        <v>21.47855659221808</v>
      </c>
      <c r="N17" s="115">
        <f>Summary!$D$18/'SDG&amp;E and Central BESS in VS'!$B55</f>
        <v>31.093005845687905</v>
      </c>
      <c r="O17" s="115">
        <f>Summary!$D$19/'Valley South to Valley North'!$B56</f>
        <v>17.546954007524807</v>
      </c>
      <c r="P17" s="122">
        <f>INDEX($C$5:$O$5,1,MATCH(SMALL($C17:$O17,1),$C17:$O17,0))</f>
        <v>7</v>
      </c>
      <c r="Q17" s="117">
        <f>INDEX($C$5:$O$5,1,MATCH(SMALL($C17:$O17,2),$C17:$O17,0))</f>
        <v>3</v>
      </c>
      <c r="R17" s="117">
        <f>INDEX($C$5:$O$5,1,MATCH(SMALL($C17:$O17,3),$C17:$O17,0))</f>
        <v>8</v>
      </c>
    </row>
    <row r="18" spans="1:18" x14ac:dyDescent="0.35">
      <c r="A18" s="117" t="s">
        <v>39</v>
      </c>
      <c r="B18" s="121" t="s">
        <v>74</v>
      </c>
      <c r="C18" s="115">
        <f>Summary!$D$7/'Alberhill System Project'!$B56</f>
        <v>1.9566275456556852</v>
      </c>
      <c r="D18" s="115">
        <f>Summary!$D$8/'SDG&amp;E'!$B56</f>
        <v>1.7663878840288292</v>
      </c>
      <c r="E18" s="115">
        <f>Summary!$D$9/'Valley S to Valley N to Vista'!$B57</f>
        <v>1.35248113345637</v>
      </c>
      <c r="F18" s="115">
        <f>Summary!$D$10/'Centralized BESS in Valley S'!$B56</f>
        <v>3.2457341189684605</v>
      </c>
      <c r="G18" s="115">
        <f>Summary!$D$11/'MiraLoma &amp; Centralized BESS VS'!$B56</f>
        <v>2.9151826485643051</v>
      </c>
      <c r="H18" s="115">
        <f>Summary!$D$12/'VS to VN &amp; Distributed BESS VS'!$B57</f>
        <v>1.6834673407784075</v>
      </c>
      <c r="I18" s="115">
        <f>Summary!$D$13/Menifee!$B56</f>
        <v>1.1506357696378431</v>
      </c>
      <c r="J18" s="115">
        <f>Summary!$D$14/'Mira Loma'!$B56</f>
        <v>1.776262014596208</v>
      </c>
      <c r="K18" s="115">
        <f>Summary!$D$15/'SCE Orange County'!$B56</f>
        <v>3.0174195424526999</v>
      </c>
      <c r="L18" s="115">
        <f>Summary!$D$16/'VS to VN &amp; Central BESS VS VN '!$B57</f>
        <v>2.5529826331214545</v>
      </c>
      <c r="M18" s="115">
        <f>Summary!$D$17/'VS to VN to VST &amp; Cen BESS VS'!$B57</f>
        <v>1.8800350236819576</v>
      </c>
      <c r="N18" s="115">
        <f>Summary!$D$18/'SDG&amp;E and Central BESS in VS'!$B56</f>
        <v>2.4650700080139663</v>
      </c>
      <c r="O18" s="115">
        <f>Summary!$D$19/'Valley South to Valley North'!$B57</f>
        <v>1.5182062488787005</v>
      </c>
      <c r="P18" s="122">
        <f>INDEX($C$5:$O$5,1,MATCH(SMALL($C18:$O18,1),$C18:$O18,0))</f>
        <v>7</v>
      </c>
      <c r="Q18" s="117">
        <f>INDEX($C$5:$O$5,1,MATCH(SMALL($C18:$O18,2),$C18:$O18,0))</f>
        <v>3</v>
      </c>
      <c r="R18" s="117">
        <f>INDEX($C$5:$O$5,1,MATCH(SMALL($C18:$O18,3),$C18:$O18,0))</f>
        <v>13</v>
      </c>
    </row>
    <row r="19" spans="1:18" ht="15.5" x14ac:dyDescent="0.35">
      <c r="A19" s="160" t="s">
        <v>78</v>
      </c>
      <c r="B19" s="160"/>
      <c r="C19" s="91">
        <f t="shared" ref="C19:O19" si="3">COUNTIF($P$6:$P$18,"="&amp;C5)</f>
        <v>1</v>
      </c>
      <c r="D19" s="91">
        <f t="shared" si="3"/>
        <v>4</v>
      </c>
      <c r="E19" s="91">
        <f t="shared" si="3"/>
        <v>0</v>
      </c>
      <c r="F19" s="91">
        <f t="shared" si="3"/>
        <v>0</v>
      </c>
      <c r="G19" s="91">
        <f t="shared" si="3"/>
        <v>0</v>
      </c>
      <c r="H19" s="91">
        <f t="shared" si="3"/>
        <v>0</v>
      </c>
      <c r="I19" s="91">
        <f t="shared" si="3"/>
        <v>5</v>
      </c>
      <c r="J19" s="91">
        <f t="shared" si="3"/>
        <v>0</v>
      </c>
      <c r="K19" s="91">
        <f t="shared" si="3"/>
        <v>0</v>
      </c>
      <c r="L19" s="91">
        <f t="shared" si="3"/>
        <v>0</v>
      </c>
      <c r="M19" s="91">
        <f t="shared" si="3"/>
        <v>0</v>
      </c>
      <c r="N19" s="91">
        <f t="shared" si="3"/>
        <v>0</v>
      </c>
      <c r="O19" s="91">
        <f t="shared" si="3"/>
        <v>3</v>
      </c>
      <c r="P19" s="87"/>
      <c r="Q19" s="87"/>
      <c r="R19" s="87"/>
    </row>
    <row r="21" spans="1:18" x14ac:dyDescent="0.35">
      <c r="A21" s="102"/>
      <c r="B21" s="9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spans="1:18" ht="15" customHeight="1" x14ac:dyDescent="0.35">
      <c r="A22" s="102"/>
      <c r="B22" s="90"/>
      <c r="C22" s="87"/>
      <c r="D22" s="87"/>
      <c r="E22" s="87"/>
      <c r="F22" s="87"/>
      <c r="G22" s="87"/>
      <c r="H22" s="87"/>
      <c r="I22" s="88"/>
      <c r="J22" s="88"/>
      <c r="K22" s="88"/>
      <c r="L22" s="88"/>
      <c r="M22" s="88"/>
      <c r="N22" s="88"/>
      <c r="O22" s="87"/>
      <c r="P22" s="87"/>
      <c r="Q22" s="87"/>
      <c r="R22" s="87"/>
    </row>
    <row r="23" spans="1:18" ht="21" x14ac:dyDescent="0.35">
      <c r="A23" s="102"/>
      <c r="B23" s="90"/>
      <c r="C23" s="87"/>
      <c r="D23" s="87"/>
      <c r="E23" s="87"/>
      <c r="F23" s="87"/>
      <c r="G23" s="87"/>
      <c r="H23" s="87"/>
      <c r="I23" s="88"/>
      <c r="J23" s="88"/>
      <c r="K23" s="88"/>
      <c r="L23" s="88"/>
      <c r="M23" s="88"/>
      <c r="N23" s="88"/>
      <c r="O23" s="87"/>
      <c r="P23" s="87"/>
      <c r="Q23" s="87"/>
      <c r="R23" s="87"/>
    </row>
    <row r="24" spans="1:18" ht="21" x14ac:dyDescent="0.35">
      <c r="A24" s="102"/>
      <c r="B24" s="90"/>
      <c r="C24" s="87"/>
      <c r="D24" s="87"/>
      <c r="E24" s="87"/>
      <c r="F24" s="87"/>
      <c r="G24" s="87"/>
      <c r="H24" s="87"/>
      <c r="I24" s="88"/>
      <c r="J24" s="88"/>
      <c r="K24" s="88"/>
      <c r="L24" s="88"/>
      <c r="M24" s="88"/>
      <c r="N24" s="88"/>
      <c r="O24" s="87"/>
      <c r="P24" s="87"/>
      <c r="Q24" s="87"/>
      <c r="R24" s="87"/>
    </row>
    <row r="25" spans="1:18" ht="21" x14ac:dyDescent="0.35">
      <c r="A25" s="102"/>
      <c r="B25" s="90"/>
      <c r="C25" s="87"/>
      <c r="D25" s="87"/>
      <c r="E25" s="87"/>
      <c r="F25" s="87"/>
      <c r="G25" s="87"/>
      <c r="H25" s="87"/>
      <c r="I25" s="88"/>
      <c r="J25" s="88"/>
      <c r="K25" s="88"/>
      <c r="L25" s="88"/>
      <c r="M25" s="88"/>
      <c r="N25" s="88"/>
      <c r="O25" s="87"/>
      <c r="P25" s="87"/>
      <c r="Q25" s="87"/>
      <c r="R25" s="87"/>
    </row>
    <row r="26" spans="1:18" ht="21" x14ac:dyDescent="0.35">
      <c r="A26" s="102"/>
      <c r="B26" s="90"/>
      <c r="C26" s="87"/>
      <c r="D26" s="87"/>
      <c r="E26" s="87"/>
      <c r="F26" s="87"/>
      <c r="G26" s="87"/>
      <c r="H26" s="87"/>
      <c r="I26" s="88"/>
      <c r="J26" s="88"/>
      <c r="K26" s="88"/>
      <c r="L26" s="88"/>
      <c r="M26" s="88"/>
      <c r="N26" s="88"/>
      <c r="O26" s="87"/>
      <c r="P26" s="87"/>
      <c r="Q26" s="87"/>
      <c r="R26" s="87"/>
    </row>
    <row r="27" spans="1:18" ht="15" customHeight="1" x14ac:dyDescent="0.35">
      <c r="A27" s="102"/>
      <c r="B27" s="90"/>
      <c r="C27" s="87"/>
      <c r="D27" s="87"/>
      <c r="E27" s="87"/>
      <c r="F27" s="87"/>
      <c r="G27" s="87"/>
      <c r="H27" s="87"/>
      <c r="I27" s="88"/>
      <c r="J27" s="88"/>
      <c r="K27" s="88"/>
      <c r="L27" s="88"/>
      <c r="M27" s="88"/>
      <c r="N27" s="88"/>
      <c r="O27" s="87"/>
      <c r="P27" s="87"/>
      <c r="Q27" s="87"/>
      <c r="R27" s="87"/>
    </row>
    <row r="28" spans="1:18" ht="15" customHeight="1" x14ac:dyDescent="0.35">
      <c r="A28" s="102"/>
      <c r="B28" s="90"/>
      <c r="C28" s="87"/>
      <c r="D28" s="87"/>
      <c r="E28" s="87"/>
      <c r="F28" s="87"/>
      <c r="G28" s="87"/>
      <c r="H28" s="87"/>
      <c r="I28" s="88"/>
      <c r="J28" s="88"/>
      <c r="K28" s="88"/>
      <c r="L28" s="88"/>
      <c r="M28" s="88"/>
      <c r="N28" s="88"/>
      <c r="O28" s="87"/>
      <c r="P28" s="87"/>
      <c r="Q28" s="87"/>
      <c r="R28" s="87"/>
    </row>
    <row r="29" spans="1:18" x14ac:dyDescent="0.35">
      <c r="A29" s="102"/>
      <c r="B29" s="90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  <row r="30" spans="1:18" x14ac:dyDescent="0.35">
      <c r="A30" s="102"/>
      <c r="B30" s="90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18" x14ac:dyDescent="0.35">
      <c r="A31" s="102"/>
      <c r="B31" s="90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</row>
    <row r="32" spans="1:18" x14ac:dyDescent="0.35">
      <c r="A32" s="102"/>
      <c r="B32" s="90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</row>
    <row r="33" spans="1:2" x14ac:dyDescent="0.35">
      <c r="A33" s="102"/>
      <c r="B33" s="90"/>
    </row>
  </sheetData>
  <mergeCells count="5">
    <mergeCell ref="B2:O2"/>
    <mergeCell ref="A5:B5"/>
    <mergeCell ref="C3:O3"/>
    <mergeCell ref="P3:R4"/>
    <mergeCell ref="A19:B19"/>
  </mergeCells>
  <conditionalFormatting sqref="C6:N6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N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N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O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O7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O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O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O1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O1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N1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N1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N1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O1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O1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O1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O1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O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 C13:D1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O12 C13:D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:O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:O1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:O1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5"/>
  <sheetViews>
    <sheetView workbookViewId="0"/>
  </sheetViews>
  <sheetFormatPr defaultRowHeight="14.5" x14ac:dyDescent="0.35"/>
  <cols>
    <col min="1" max="1" width="63.54296875" customWidth="1"/>
    <col min="2" max="2" width="13.81640625" style="15" customWidth="1"/>
    <col min="3" max="3" width="10.453125" style="15" customWidth="1"/>
    <col min="4" max="4" width="9.1796875" style="15"/>
  </cols>
  <sheetData>
    <row r="2" spans="1:4" x14ac:dyDescent="0.35">
      <c r="A2" s="11" t="s">
        <v>79</v>
      </c>
      <c r="B2" s="12" t="s">
        <v>80</v>
      </c>
      <c r="C2" s="25" t="s">
        <v>81</v>
      </c>
      <c r="D2" s="25" t="s">
        <v>82</v>
      </c>
    </row>
    <row r="3" spans="1:4" ht="15.5" x14ac:dyDescent="0.35">
      <c r="A3" s="7" t="s">
        <v>83</v>
      </c>
      <c r="B3" s="23">
        <v>0.1</v>
      </c>
      <c r="C3" s="21"/>
      <c r="D3" s="21" t="s">
        <v>84</v>
      </c>
    </row>
    <row r="4" spans="1:4" ht="31" x14ac:dyDescent="0.35">
      <c r="A4" s="19" t="s">
        <v>85</v>
      </c>
      <c r="B4" s="24">
        <v>40</v>
      </c>
      <c r="C4" s="21" t="s">
        <v>86</v>
      </c>
      <c r="D4" s="21" t="s">
        <v>87</v>
      </c>
    </row>
    <row r="5" spans="1:4" ht="15.5" x14ac:dyDescent="0.35">
      <c r="A5" s="7" t="s">
        <v>88</v>
      </c>
      <c r="B5" s="24">
        <v>1.0249999999999999</v>
      </c>
      <c r="C5" s="21"/>
      <c r="D5" s="21" t="s">
        <v>89</v>
      </c>
    </row>
    <row r="6" spans="1:4" ht="15.5" x14ac:dyDescent="0.35">
      <c r="A6" s="7" t="s">
        <v>90</v>
      </c>
      <c r="B6" s="23">
        <v>0.9</v>
      </c>
      <c r="C6" s="21"/>
      <c r="D6" s="21" t="s">
        <v>91</v>
      </c>
    </row>
    <row r="7" spans="1:4" ht="15.5" x14ac:dyDescent="0.35">
      <c r="A7" s="7" t="s">
        <v>92</v>
      </c>
      <c r="B7" s="23">
        <f>1-B6</f>
        <v>9.9999999999999978E-2</v>
      </c>
      <c r="C7" s="21"/>
      <c r="D7" s="21" t="s">
        <v>91</v>
      </c>
    </row>
    <row r="8" spans="1:4" ht="31" x14ac:dyDescent="0.35">
      <c r="A8" s="19" t="s">
        <v>93</v>
      </c>
      <c r="B8" s="22">
        <v>4.1725000000000003</v>
      </c>
      <c r="C8" s="21" t="s">
        <v>94</v>
      </c>
      <c r="D8" s="21" t="s">
        <v>95</v>
      </c>
    </row>
    <row r="9" spans="1:4" ht="31" x14ac:dyDescent="0.35">
      <c r="A9" s="19" t="s">
        <v>96</v>
      </c>
      <c r="B9" s="22">
        <v>3.5212499999999998</v>
      </c>
      <c r="C9" s="21" t="s">
        <v>94</v>
      </c>
      <c r="D9" s="21" t="s">
        <v>95</v>
      </c>
    </row>
    <row r="10" spans="1:4" ht="31" x14ac:dyDescent="0.35">
      <c r="A10" s="19" t="s">
        <v>97</v>
      </c>
      <c r="B10" s="22">
        <v>154.70249999999999</v>
      </c>
      <c r="C10" s="21" t="s">
        <v>94</v>
      </c>
      <c r="D10" s="21" t="s">
        <v>95</v>
      </c>
    </row>
    <row r="11" spans="1:4" ht="31" x14ac:dyDescent="0.35">
      <c r="A11" s="19" t="s">
        <v>98</v>
      </c>
      <c r="B11" s="22">
        <v>142.85312500000003</v>
      </c>
      <c r="C11" s="21" t="s">
        <v>94</v>
      </c>
      <c r="D11" s="21" t="s">
        <v>95</v>
      </c>
    </row>
    <row r="12" spans="1:4" s="60" customFormat="1" ht="15.5" x14ac:dyDescent="0.35">
      <c r="A12" s="7" t="s">
        <v>99</v>
      </c>
      <c r="B12" s="24">
        <f>0.13*0.13</f>
        <v>1.6900000000000002E-2</v>
      </c>
      <c r="C12" s="21"/>
      <c r="D12" s="21" t="s">
        <v>100</v>
      </c>
    </row>
    <row r="13" spans="1:4" ht="15" customHeight="1" x14ac:dyDescent="0.35">
      <c r="A13" s="7" t="s">
        <v>101</v>
      </c>
      <c r="B13" s="24">
        <v>0.01</v>
      </c>
      <c r="C13" s="21"/>
      <c r="D13" s="21" t="s">
        <v>100</v>
      </c>
    </row>
    <row r="14" spans="1:4" ht="15.5" x14ac:dyDescent="0.35">
      <c r="A14" s="54" t="s">
        <v>102</v>
      </c>
      <c r="B14" s="22">
        <v>1</v>
      </c>
      <c r="C14" s="21" t="s">
        <v>103</v>
      </c>
      <c r="D14" s="21" t="s">
        <v>89</v>
      </c>
    </row>
    <row r="15" spans="1:4" ht="15.5" x14ac:dyDescent="0.35">
      <c r="A15" s="55" t="s">
        <v>104</v>
      </c>
      <c r="B15" s="22">
        <v>1</v>
      </c>
      <c r="C15" s="21"/>
      <c r="D15" s="21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7"/>
  <sheetViews>
    <sheetView zoomScale="82" zoomScaleNormal="82" workbookViewId="0">
      <selection activeCell="G8" sqref="G8"/>
    </sheetView>
  </sheetViews>
  <sheetFormatPr defaultRowHeight="14.5" x14ac:dyDescent="0.35"/>
  <cols>
    <col min="1" max="1" width="18.81640625" customWidth="1"/>
    <col min="2" max="2" width="28.7265625" customWidth="1"/>
    <col min="3" max="3" width="27" customWidth="1"/>
    <col min="4" max="4" width="27" style="87" customWidth="1"/>
    <col min="5" max="5" width="21.26953125" customWidth="1"/>
    <col min="6" max="6" width="19.1796875" customWidth="1"/>
    <col min="7" max="7" width="21.453125" customWidth="1"/>
    <col min="8" max="8" width="18.81640625" customWidth="1"/>
    <col min="9" max="9" width="16.54296875" customWidth="1"/>
    <col min="10" max="14" width="17.81640625" customWidth="1"/>
    <col min="15" max="25" width="18.81640625" customWidth="1"/>
    <col min="26" max="30" width="19.81640625" customWidth="1"/>
    <col min="31" max="31" width="19.81640625" bestFit="1" customWidth="1"/>
    <col min="32" max="33" width="10" bestFit="1" customWidth="1"/>
  </cols>
  <sheetData>
    <row r="1" spans="1:33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  <c r="AF1" s="87"/>
      <c r="AG1" s="87"/>
    </row>
    <row r="2" spans="1:33" ht="15" thickTop="1" x14ac:dyDescent="0.35">
      <c r="A2" s="87" t="s">
        <v>106</v>
      </c>
      <c r="B2" s="161" t="s">
        <v>26</v>
      </c>
      <c r="C2" s="87" t="s">
        <v>107</v>
      </c>
      <c r="D2" s="61">
        <v>50081.749999999476</v>
      </c>
      <c r="E2" s="61">
        <v>50888.049999999792</v>
      </c>
      <c r="F2" s="61">
        <f>E2+($AE2-$E2)/(COLUMN($AE2)-COLUMN($E2))</f>
        <v>51484.553846153649</v>
      </c>
      <c r="G2" s="61">
        <f t="shared" ref="G2:AD2" si="0">F2+($AE2-$E2)/(COLUMN($AE2)-COLUMN($E2))</f>
        <v>52081.057692307506</v>
      </c>
      <c r="H2" s="61">
        <f t="shared" si="0"/>
        <v>52677.561538461363</v>
      </c>
      <c r="I2" s="61">
        <f t="shared" si="0"/>
        <v>53274.06538461522</v>
      </c>
      <c r="J2" s="61">
        <f t="shared" si="0"/>
        <v>53870.569230769077</v>
      </c>
      <c r="K2" s="61">
        <f t="shared" si="0"/>
        <v>54467.073076922934</v>
      </c>
      <c r="L2" s="61">
        <f t="shared" si="0"/>
        <v>55063.576923076791</v>
      </c>
      <c r="M2" s="61">
        <f t="shared" si="0"/>
        <v>55660.080769230648</v>
      </c>
      <c r="N2" s="61">
        <f t="shared" si="0"/>
        <v>56256.584615384505</v>
      </c>
      <c r="O2" s="61">
        <f t="shared" si="0"/>
        <v>56853.088461538362</v>
      </c>
      <c r="P2" s="61">
        <f t="shared" si="0"/>
        <v>57449.592307692219</v>
      </c>
      <c r="Q2" s="61">
        <f t="shared" si="0"/>
        <v>58046.096153846076</v>
      </c>
      <c r="R2" s="61">
        <f t="shared" si="0"/>
        <v>58642.599999999933</v>
      </c>
      <c r="S2" s="61">
        <f t="shared" si="0"/>
        <v>59239.10384615379</v>
      </c>
      <c r="T2" s="61">
        <f t="shared" si="0"/>
        <v>59835.607692307647</v>
      </c>
      <c r="U2" s="61">
        <f t="shared" si="0"/>
        <v>60432.111538461504</v>
      </c>
      <c r="V2" s="61">
        <f t="shared" si="0"/>
        <v>61028.615384615361</v>
      </c>
      <c r="W2" s="61">
        <f t="shared" si="0"/>
        <v>61625.119230769218</v>
      </c>
      <c r="X2" s="61">
        <f t="shared" si="0"/>
        <v>62221.623076923075</v>
      </c>
      <c r="Y2" s="61">
        <f t="shared" si="0"/>
        <v>62818.126923076932</v>
      </c>
      <c r="Z2" s="61">
        <f t="shared" si="0"/>
        <v>63414.630769230789</v>
      </c>
      <c r="AA2" s="61">
        <f t="shared" si="0"/>
        <v>64011.134615384646</v>
      </c>
      <c r="AB2" s="61">
        <f t="shared" si="0"/>
        <v>64607.638461538503</v>
      </c>
      <c r="AC2" s="61">
        <f t="shared" si="0"/>
        <v>65204.14230769236</v>
      </c>
      <c r="AD2" s="61">
        <f t="shared" si="0"/>
        <v>65800.646153846217</v>
      </c>
      <c r="AE2" s="61">
        <v>66397.149999999994</v>
      </c>
      <c r="AF2" s="61"/>
      <c r="AG2" s="87"/>
    </row>
    <row r="3" spans="1:33" x14ac:dyDescent="0.35">
      <c r="A3" s="87" t="s">
        <v>30</v>
      </c>
      <c r="B3" s="162"/>
      <c r="C3" s="87" t="s">
        <v>31</v>
      </c>
      <c r="D3" s="61">
        <v>18</v>
      </c>
      <c r="E3" s="61">
        <v>40</v>
      </c>
      <c r="F3" s="61">
        <f>E3+($K3-$E3)/(COLUMN($K3)-COLUMN($E3))</f>
        <v>71.833333333333343</v>
      </c>
      <c r="G3" s="61">
        <f>F3+($K3-$E3)/(COLUMN($K3)-COLUMN($E3))</f>
        <v>103.66666666666669</v>
      </c>
      <c r="H3" s="61">
        <f>G3+($K3-$E3)/(COLUMN($K3)-COLUMN($E3))</f>
        <v>135.50000000000003</v>
      </c>
      <c r="I3" s="61">
        <f>H3+($K3-$E3)/(COLUMN($K3)-COLUMN($E3))</f>
        <v>167.33333333333337</v>
      </c>
      <c r="J3" s="61">
        <f>I3+($K$3-$F$3)/(COLUMN($K$3)-COLUMN($F$3))</f>
        <v>199.16666666666671</v>
      </c>
      <c r="K3" s="61">
        <v>231.00000000000003</v>
      </c>
      <c r="L3" s="61">
        <f t="shared" ref="L3:N7" si="1">K3+(($O3-$K3)/(COLUMN($O3)-COLUMN($K3)))</f>
        <v>348.1</v>
      </c>
      <c r="M3" s="61">
        <f t="shared" si="1"/>
        <v>465.20000000000005</v>
      </c>
      <c r="N3" s="61">
        <f>M3+(($O3-$K3)/(COLUMN($O3)-COLUMN($K3)))</f>
        <v>582.30000000000007</v>
      </c>
      <c r="O3" s="61">
        <v>699.4</v>
      </c>
      <c r="P3" s="61">
        <f>O3+(($U3-$O3)/(COLUMN($U3)-COLUMN($O3)))</f>
        <v>988.65</v>
      </c>
      <c r="Q3" s="61">
        <f>P3+(($U3-$O3)/(COLUMN($U3)-COLUMN($O3)))</f>
        <v>1277.9000000000001</v>
      </c>
      <c r="R3" s="61">
        <f>Q3+(($U3-$O3)/(COLUMN($U3)-COLUMN($O3)))</f>
        <v>1567.15</v>
      </c>
      <c r="S3" s="61">
        <f>R3+(($U3-$O3)/(COLUMN($U3)-COLUMN($O3)))</f>
        <v>1856.4</v>
      </c>
      <c r="T3" s="61">
        <f>S3+(($U3-$O3)/(COLUMN($U3)-COLUMN($O3)))</f>
        <v>2145.65</v>
      </c>
      <c r="U3" s="61">
        <v>2434.9</v>
      </c>
      <c r="V3" s="61">
        <f>U3+(($AE3-$U3)/(COLUMN($AE3)-COLUMN($U3)))</f>
        <v>3114.9700000000003</v>
      </c>
      <c r="W3" s="61">
        <f>V3+(($AE3-$U3)/(COLUMN($AE3)-COLUMN($U3)))</f>
        <v>3795.04</v>
      </c>
      <c r="X3" s="61">
        <f>W3+(($AE3-$U3)/(COLUMN($AE3)-COLUMN($U3)))</f>
        <v>4475.1099999999997</v>
      </c>
      <c r="Y3" s="61">
        <f>X3+(($AE3-$U3)/(COLUMN($AE3)-COLUMN($U3)))</f>
        <v>5155.1799999999994</v>
      </c>
      <c r="Z3" s="61">
        <v>5262.7000000000007</v>
      </c>
      <c r="AA3" s="61">
        <f t="shared" ref="AA3:AD12" si="2">Z3+(($AE3-$Z3)/(COLUMN($AE3)-COLUMN($Z3)))</f>
        <v>6057.2800000000007</v>
      </c>
      <c r="AB3" s="61">
        <f t="shared" si="2"/>
        <v>6851.8600000000006</v>
      </c>
      <c r="AC3" s="61">
        <f t="shared" si="2"/>
        <v>7646.4400000000005</v>
      </c>
      <c r="AD3" s="61">
        <f t="shared" si="2"/>
        <v>8441.02</v>
      </c>
      <c r="AE3" s="61">
        <v>9235.5999999999985</v>
      </c>
      <c r="AF3" s="87"/>
      <c r="AG3" s="87"/>
    </row>
    <row r="4" spans="1:33" x14ac:dyDescent="0.35">
      <c r="A4" s="87" t="s">
        <v>30</v>
      </c>
      <c r="B4" s="162"/>
      <c r="C4" s="87" t="s">
        <v>32</v>
      </c>
      <c r="D4" s="61">
        <v>3.5</v>
      </c>
      <c r="E4" s="61">
        <v>6</v>
      </c>
      <c r="F4" s="61">
        <f t="shared" ref="F4:I7" si="3">E4+($K4-$E4)/(COLUMN($K4)-COLUMN($E4))</f>
        <v>8.8833333333333346</v>
      </c>
      <c r="G4" s="61">
        <f t="shared" si="3"/>
        <v>11.766666666666669</v>
      </c>
      <c r="H4" s="61">
        <f t="shared" si="3"/>
        <v>14.650000000000004</v>
      </c>
      <c r="I4" s="61">
        <f t="shared" si="3"/>
        <v>17.533333333333339</v>
      </c>
      <c r="J4" s="61">
        <f>I4+($K4-$F4)/(COLUMN($K4)-COLUMN($F4))</f>
        <v>20.416666666666675</v>
      </c>
      <c r="K4" s="61">
        <v>23.300000000000011</v>
      </c>
      <c r="L4" s="61">
        <f t="shared" si="1"/>
        <v>26.250000000000014</v>
      </c>
      <c r="M4" s="61">
        <f t="shared" si="1"/>
        <v>29.200000000000017</v>
      </c>
      <c r="N4" s="61">
        <f t="shared" si="1"/>
        <v>32.15000000000002</v>
      </c>
      <c r="O4" s="61">
        <v>35.100000000000023</v>
      </c>
      <c r="P4" s="61">
        <f t="shared" ref="P4:T7" si="4">O4+(($U4-$O4)/(COLUMN($U4)-COLUMN($O4)))</f>
        <v>39.500000000000021</v>
      </c>
      <c r="Q4" s="61">
        <f>P4+(($U4-$O4)/(COLUMN($U4)-COLUMN($O4)))</f>
        <v>43.90000000000002</v>
      </c>
      <c r="R4" s="61">
        <f t="shared" si="4"/>
        <v>48.300000000000018</v>
      </c>
      <c r="S4" s="61">
        <f t="shared" si="4"/>
        <v>52.700000000000017</v>
      </c>
      <c r="T4" s="61">
        <f t="shared" si="4"/>
        <v>57.100000000000016</v>
      </c>
      <c r="U4" s="61">
        <v>61.5</v>
      </c>
      <c r="V4" s="61">
        <f t="shared" ref="V4:Y12" si="5">U4+(($Z4-$U4)/(COLUMN($Z4)-COLUMN($U4)))</f>
        <v>63.48</v>
      </c>
      <c r="W4" s="61">
        <f>V4+(($Z4-$U4)/(COLUMN($Z4)-COLUMN($U4)))</f>
        <v>65.459999999999994</v>
      </c>
      <c r="X4" s="61">
        <f t="shared" si="5"/>
        <v>67.439999999999984</v>
      </c>
      <c r="Y4" s="61">
        <f t="shared" si="5"/>
        <v>69.419999999999973</v>
      </c>
      <c r="Z4" s="61">
        <v>71.399999999999977</v>
      </c>
      <c r="AA4" s="61">
        <f t="shared" si="2"/>
        <v>82.799999999999983</v>
      </c>
      <c r="AB4" s="61">
        <f t="shared" si="2"/>
        <v>94.199999999999989</v>
      </c>
      <c r="AC4" s="61">
        <f>AB4+(($AE4-$Z4)/(COLUMN($AE4)-COLUMN($Z4)))</f>
        <v>105.6</v>
      </c>
      <c r="AD4" s="61">
        <f t="shared" si="2"/>
        <v>117</v>
      </c>
      <c r="AE4" s="61">
        <v>128.40000000000003</v>
      </c>
      <c r="AF4" s="87"/>
      <c r="AG4" s="87"/>
    </row>
    <row r="5" spans="1:33" x14ac:dyDescent="0.35">
      <c r="A5" s="87" t="s">
        <v>30</v>
      </c>
      <c r="B5" s="162"/>
      <c r="C5" s="87" t="s">
        <v>33</v>
      </c>
      <c r="D5" s="61">
        <v>0.20339500662097962</v>
      </c>
      <c r="E5" s="61">
        <v>0.45604357175421173</v>
      </c>
      <c r="F5" s="61">
        <f t="shared" si="3"/>
        <v>1.1323955044854586</v>
      </c>
      <c r="G5" s="61">
        <f t="shared" si="3"/>
        <v>1.8087474372167054</v>
      </c>
      <c r="H5" s="61">
        <f t="shared" si="3"/>
        <v>2.4850993699479522</v>
      </c>
      <c r="I5" s="61">
        <f t="shared" si="3"/>
        <v>3.161451302679199</v>
      </c>
      <c r="J5" s="61">
        <f t="shared" ref="J5:J12" si="6">I5+($K5-$F5)/(COLUMN($K5)-COLUMN($F5))</f>
        <v>3.8378032354104459</v>
      </c>
      <c r="K5" s="61">
        <v>4.5141551681416932</v>
      </c>
      <c r="L5" s="61">
        <f t="shared" si="1"/>
        <v>9.7534462457669928</v>
      </c>
      <c r="M5" s="61">
        <f t="shared" si="1"/>
        <v>14.992737323392292</v>
      </c>
      <c r="N5" s="61">
        <f t="shared" si="1"/>
        <v>20.232028401017594</v>
      </c>
      <c r="O5" s="61">
        <v>25.47131947864289</v>
      </c>
      <c r="P5" s="61">
        <f t="shared" si="4"/>
        <v>54.136770269638852</v>
      </c>
      <c r="Q5" s="61">
        <f t="shared" si="4"/>
        <v>82.802221060634821</v>
      </c>
      <c r="R5" s="61">
        <f t="shared" si="4"/>
        <v>111.46767185163078</v>
      </c>
      <c r="S5" s="61">
        <f t="shared" si="4"/>
        <v>140.13312264262674</v>
      </c>
      <c r="T5" s="61">
        <f t="shared" si="4"/>
        <v>168.79857343362272</v>
      </c>
      <c r="U5" s="61">
        <v>197.46402422461867</v>
      </c>
      <c r="V5" s="61">
        <f t="shared" si="5"/>
        <v>305.59912830497183</v>
      </c>
      <c r="W5" s="61">
        <f t="shared" si="5"/>
        <v>413.73423238532496</v>
      </c>
      <c r="X5" s="61">
        <f t="shared" si="5"/>
        <v>521.86933646567809</v>
      </c>
      <c r="Y5" s="61">
        <f t="shared" si="5"/>
        <v>630.00444054603122</v>
      </c>
      <c r="Z5" s="61">
        <v>738.13954462638446</v>
      </c>
      <c r="AA5" s="61">
        <f t="shared" si="2"/>
        <v>977.35685377183961</v>
      </c>
      <c r="AB5" s="61">
        <f t="shared" si="2"/>
        <v>1216.5741629172949</v>
      </c>
      <c r="AC5" s="61">
        <f t="shared" si="2"/>
        <v>1455.79147206275</v>
      </c>
      <c r="AD5" s="61">
        <f t="shared" si="2"/>
        <v>1695.0087812082052</v>
      </c>
      <c r="AE5" s="61">
        <v>1934.2260903536601</v>
      </c>
      <c r="AF5" s="87"/>
      <c r="AG5" s="87"/>
    </row>
    <row r="6" spans="1:33" x14ac:dyDescent="0.35">
      <c r="A6" s="87" t="s">
        <v>30</v>
      </c>
      <c r="B6" s="162"/>
      <c r="C6" s="87" t="s">
        <v>34</v>
      </c>
      <c r="D6" s="61">
        <v>1.4005750795433276E-2</v>
      </c>
      <c r="E6" s="61">
        <v>3.0923092581675603E-2</v>
      </c>
      <c r="F6" s="61">
        <f t="shared" si="3"/>
        <v>5.759084080794194E-2</v>
      </c>
      <c r="G6" s="61">
        <f t="shared" si="3"/>
        <v>8.425858903420827E-2</v>
      </c>
      <c r="H6" s="61">
        <f t="shared" si="3"/>
        <v>0.1109263372604746</v>
      </c>
      <c r="I6" s="61">
        <f t="shared" si="3"/>
        <v>0.13759408548674093</v>
      </c>
      <c r="J6" s="61">
        <f t="shared" si="6"/>
        <v>0.16426183371300726</v>
      </c>
      <c r="K6" s="61">
        <v>0.19092958193927362</v>
      </c>
      <c r="L6" s="61">
        <f t="shared" si="1"/>
        <v>0.29587438223639861</v>
      </c>
      <c r="M6" s="61">
        <f t="shared" si="1"/>
        <v>0.40081918253352361</v>
      </c>
      <c r="N6" s="61">
        <f t="shared" si="1"/>
        <v>0.50576398283064861</v>
      </c>
      <c r="O6" s="61">
        <v>0.61070878312777355</v>
      </c>
      <c r="P6" s="61">
        <f t="shared" si="4"/>
        <v>0.87239668235874701</v>
      </c>
      <c r="Q6" s="61">
        <f t="shared" si="4"/>
        <v>1.1340845815897205</v>
      </c>
      <c r="R6" s="61">
        <f t="shared" si="4"/>
        <v>1.3957724808206939</v>
      </c>
      <c r="S6" s="61">
        <f t="shared" si="4"/>
        <v>1.6574603800516674</v>
      </c>
      <c r="T6" s="61">
        <f t="shared" si="4"/>
        <v>1.9191482792826409</v>
      </c>
      <c r="U6" s="61">
        <v>2.1808361785136139</v>
      </c>
      <c r="V6" s="61">
        <f t="shared" si="5"/>
        <v>2.7006647240796955</v>
      </c>
      <c r="W6" s="61">
        <f t="shared" si="5"/>
        <v>3.2204932696457771</v>
      </c>
      <c r="X6" s="61">
        <f t="shared" si="5"/>
        <v>3.7403218152118587</v>
      </c>
      <c r="Y6" s="61">
        <f t="shared" si="5"/>
        <v>4.2601503607779403</v>
      </c>
      <c r="Z6" s="61">
        <v>4.779978906344021</v>
      </c>
      <c r="AA6" s="61">
        <f t="shared" si="2"/>
        <v>5.5135775055585849</v>
      </c>
      <c r="AB6" s="61">
        <f t="shared" si="2"/>
        <v>6.2471761047731489</v>
      </c>
      <c r="AC6" s="61">
        <f t="shared" si="2"/>
        <v>6.9807747039877128</v>
      </c>
      <c r="AD6" s="61">
        <f t="shared" si="2"/>
        <v>7.7143733032022768</v>
      </c>
      <c r="AE6" s="61">
        <v>8.4479719024168425</v>
      </c>
      <c r="AF6" s="87"/>
      <c r="AG6" s="87"/>
    </row>
    <row r="7" spans="1:33" x14ac:dyDescent="0.35">
      <c r="A7" s="87" t="s">
        <v>30</v>
      </c>
      <c r="B7" s="162"/>
      <c r="C7" s="87" t="s">
        <v>35</v>
      </c>
      <c r="D7" s="61">
        <v>18</v>
      </c>
      <c r="E7" s="61">
        <v>28</v>
      </c>
      <c r="F7" s="61">
        <f t="shared" si="3"/>
        <v>33.333333333333336</v>
      </c>
      <c r="G7" s="61">
        <f t="shared" si="3"/>
        <v>38.666666666666671</v>
      </c>
      <c r="H7" s="61">
        <f t="shared" si="3"/>
        <v>44.000000000000007</v>
      </c>
      <c r="I7" s="61">
        <f t="shared" si="3"/>
        <v>49.333333333333343</v>
      </c>
      <c r="J7" s="61">
        <f t="shared" si="6"/>
        <v>54.666666666666679</v>
      </c>
      <c r="K7" s="61">
        <v>60</v>
      </c>
      <c r="L7" s="61">
        <f t="shared" si="1"/>
        <v>67</v>
      </c>
      <c r="M7" s="61">
        <f t="shared" si="1"/>
        <v>74</v>
      </c>
      <c r="N7" s="61">
        <f t="shared" si="1"/>
        <v>81</v>
      </c>
      <c r="O7" s="61">
        <v>88</v>
      </c>
      <c r="P7" s="61">
        <f t="shared" si="4"/>
        <v>97.833333333333329</v>
      </c>
      <c r="Q7" s="61">
        <f t="shared" si="4"/>
        <v>107.66666666666666</v>
      </c>
      <c r="R7" s="61">
        <f t="shared" si="4"/>
        <v>117.49999999999999</v>
      </c>
      <c r="S7" s="61">
        <f t="shared" si="4"/>
        <v>127.33333333333331</v>
      </c>
      <c r="T7" s="61">
        <f t="shared" si="4"/>
        <v>137.16666666666666</v>
      </c>
      <c r="U7" s="61">
        <v>147</v>
      </c>
      <c r="V7" s="61">
        <f t="shared" si="5"/>
        <v>158.4</v>
      </c>
      <c r="W7" s="61">
        <f t="shared" si="5"/>
        <v>169.8</v>
      </c>
      <c r="X7" s="61">
        <f t="shared" si="5"/>
        <v>181.20000000000002</v>
      </c>
      <c r="Y7" s="61">
        <f t="shared" si="5"/>
        <v>192.60000000000002</v>
      </c>
      <c r="Z7" s="61">
        <v>204</v>
      </c>
      <c r="AA7" s="61">
        <f t="shared" si="2"/>
        <v>215.4</v>
      </c>
      <c r="AB7" s="61">
        <f t="shared" si="2"/>
        <v>226.8</v>
      </c>
      <c r="AC7" s="61">
        <f t="shared" si="2"/>
        <v>238.20000000000002</v>
      </c>
      <c r="AD7" s="61">
        <f t="shared" si="2"/>
        <v>249.60000000000002</v>
      </c>
      <c r="AE7" s="61">
        <v>261</v>
      </c>
      <c r="AF7" s="87"/>
      <c r="AG7" s="87"/>
    </row>
    <row r="8" spans="1:33" x14ac:dyDescent="0.35">
      <c r="A8" s="87" t="s">
        <v>39</v>
      </c>
      <c r="B8" s="162"/>
      <c r="C8" s="87" t="s">
        <v>31</v>
      </c>
      <c r="D8" s="61">
        <v>49.800000000000182</v>
      </c>
      <c r="E8" s="61">
        <v>129.00000000000023</v>
      </c>
      <c r="F8" s="61">
        <f>E8+($K8-$E8)/(COLUMN($K8)-COLUMN($E8))</f>
        <v>258.75000000000023</v>
      </c>
      <c r="G8" s="61">
        <f>F8+($K8-$E8)/(COLUMN($K8)-COLUMN($E8))</f>
        <v>388.50000000000023</v>
      </c>
      <c r="H8" s="61">
        <f>G8+($K8-$E8)/(COLUMN($K8)-COLUMN($E8))</f>
        <v>518.25000000000023</v>
      </c>
      <c r="I8" s="61">
        <f>H8+($K8-$E8)/(COLUMN($K8)-COLUMN($E8))</f>
        <v>648.00000000000023</v>
      </c>
      <c r="J8" s="61">
        <f t="shared" si="6"/>
        <v>777.75000000000023</v>
      </c>
      <c r="K8" s="61">
        <v>907.5</v>
      </c>
      <c r="L8" s="61">
        <f t="shared" ref="L8:N12" si="7">K8+($O8-$K8)/(COLUMN($O8)-COLUMN($K8))</f>
        <v>1246.7</v>
      </c>
      <c r="M8" s="61">
        <f t="shared" si="7"/>
        <v>1585.9</v>
      </c>
      <c r="N8" s="61">
        <f t="shared" si="7"/>
        <v>1925.1000000000001</v>
      </c>
      <c r="O8" s="61">
        <v>2264.3000000000002</v>
      </c>
      <c r="P8" s="61">
        <f>O8+(($U8-$O8)/(COLUMN($U8)-COLUMN($O8)))</f>
        <v>2843.6833333333334</v>
      </c>
      <c r="Q8" s="61">
        <f>P8+(($U8-$O8)/(COLUMN($U8)-COLUMN($O8)))</f>
        <v>3423.0666666666666</v>
      </c>
      <c r="R8" s="61">
        <f>Q8+(($U8-$O8)/(COLUMN($U8)-COLUMN($O8)))</f>
        <v>4002.45</v>
      </c>
      <c r="S8" s="61">
        <f>R8+(($U8-$O8)/(COLUMN($U8)-COLUMN($O8)))</f>
        <v>4581.833333333333</v>
      </c>
      <c r="T8" s="61">
        <f>S8+(($U8-$O8)/(COLUMN($U8)-COLUMN($O8)))</f>
        <v>5161.2166666666662</v>
      </c>
      <c r="U8" s="61">
        <v>5740.5999999999995</v>
      </c>
      <c r="V8" s="61">
        <f t="shared" si="5"/>
        <v>6569.9999999999991</v>
      </c>
      <c r="W8" s="61">
        <f t="shared" si="5"/>
        <v>7399.3999999999987</v>
      </c>
      <c r="X8" s="61">
        <f t="shared" si="5"/>
        <v>8228.7999999999993</v>
      </c>
      <c r="Y8" s="61">
        <f t="shared" si="5"/>
        <v>9058.1999999999989</v>
      </c>
      <c r="Z8" s="61">
        <v>9887.5999999999985</v>
      </c>
      <c r="AA8" s="61">
        <f t="shared" si="2"/>
        <v>10814.56</v>
      </c>
      <c r="AB8" s="61">
        <f t="shared" si="2"/>
        <v>11741.52</v>
      </c>
      <c r="AC8" s="61">
        <f t="shared" si="2"/>
        <v>12668.480000000001</v>
      </c>
      <c r="AD8" s="61">
        <f t="shared" si="2"/>
        <v>13595.440000000002</v>
      </c>
      <c r="AE8" s="61">
        <v>14522.400000000003</v>
      </c>
      <c r="AF8" s="61"/>
      <c r="AG8" s="5"/>
    </row>
    <row r="9" spans="1:33" x14ac:dyDescent="0.35">
      <c r="A9" s="87" t="s">
        <v>39</v>
      </c>
      <c r="B9" s="162"/>
      <c r="C9" s="87" t="s">
        <v>32</v>
      </c>
      <c r="D9" s="61">
        <v>22.400000000000091</v>
      </c>
      <c r="E9" s="61">
        <v>42.200000000000045</v>
      </c>
      <c r="F9" s="61">
        <f t="shared" ref="F9:I12" si="8">E9+($K9-$E9)/(COLUMN($K9)-COLUMN($E9))</f>
        <v>57.06666666666672</v>
      </c>
      <c r="G9" s="61">
        <f t="shared" si="8"/>
        <v>71.933333333333394</v>
      </c>
      <c r="H9" s="61">
        <f t="shared" si="8"/>
        <v>86.800000000000068</v>
      </c>
      <c r="I9" s="61">
        <f t="shared" si="8"/>
        <v>101.66666666666674</v>
      </c>
      <c r="J9" s="61">
        <f t="shared" si="6"/>
        <v>116.53333333333342</v>
      </c>
      <c r="K9" s="61">
        <v>131.40000000000009</v>
      </c>
      <c r="L9" s="61">
        <f t="shared" si="7"/>
        <v>146.05000000000007</v>
      </c>
      <c r="M9" s="61">
        <f t="shared" si="7"/>
        <v>160.70000000000005</v>
      </c>
      <c r="N9" s="61">
        <f t="shared" si="7"/>
        <v>175.35000000000002</v>
      </c>
      <c r="O9" s="61">
        <v>190</v>
      </c>
      <c r="P9" s="61">
        <f t="shared" ref="P9:T12" si="9">O9+(($U9-$O9)/(COLUMN($U9)-COLUMN($O9)))</f>
        <v>205</v>
      </c>
      <c r="Q9" s="61">
        <f t="shared" si="9"/>
        <v>220</v>
      </c>
      <c r="R9" s="61">
        <f t="shared" si="9"/>
        <v>235</v>
      </c>
      <c r="S9" s="61">
        <f t="shared" si="9"/>
        <v>250</v>
      </c>
      <c r="T9" s="61">
        <f t="shared" si="9"/>
        <v>265</v>
      </c>
      <c r="U9" s="61">
        <v>280</v>
      </c>
      <c r="V9" s="61">
        <f t="shared" si="5"/>
        <v>293.68</v>
      </c>
      <c r="W9" s="61">
        <f t="shared" si="5"/>
        <v>307.36</v>
      </c>
      <c r="X9" s="61">
        <f t="shared" si="5"/>
        <v>321.04000000000002</v>
      </c>
      <c r="Y9" s="61">
        <f t="shared" si="5"/>
        <v>334.72</v>
      </c>
      <c r="Z9" s="61">
        <v>348.40000000000009</v>
      </c>
      <c r="AA9" s="61">
        <f t="shared" si="2"/>
        <v>360.84000000000003</v>
      </c>
      <c r="AB9" s="61">
        <f t="shared" si="2"/>
        <v>373.28</v>
      </c>
      <c r="AC9" s="61">
        <f t="shared" si="2"/>
        <v>385.71999999999991</v>
      </c>
      <c r="AD9" s="61">
        <f t="shared" si="2"/>
        <v>398.15999999999985</v>
      </c>
      <c r="AE9" s="61">
        <v>410.59999999999991</v>
      </c>
      <c r="AF9" s="87"/>
      <c r="AG9" s="87"/>
    </row>
    <row r="10" spans="1:33" x14ac:dyDescent="0.35">
      <c r="A10" s="87" t="s">
        <v>39</v>
      </c>
      <c r="B10" s="162"/>
      <c r="C10" s="87" t="s">
        <v>33</v>
      </c>
      <c r="D10" s="61">
        <v>0.21200232326290805</v>
      </c>
      <c r="E10" s="61">
        <v>0.68645330574586072</v>
      </c>
      <c r="F10" s="61">
        <f t="shared" si="8"/>
        <v>3.6304865724427344</v>
      </c>
      <c r="G10" s="61">
        <f t="shared" si="8"/>
        <v>6.574519839139608</v>
      </c>
      <c r="H10" s="61">
        <f t="shared" si="8"/>
        <v>9.5185531058364816</v>
      </c>
      <c r="I10" s="61">
        <f t="shared" si="8"/>
        <v>12.462586372533355</v>
      </c>
      <c r="J10" s="61">
        <f t="shared" si="6"/>
        <v>15.406619639230229</v>
      </c>
      <c r="K10" s="61">
        <v>18.350652905927102</v>
      </c>
      <c r="L10" s="61">
        <f t="shared" si="7"/>
        <v>36.053857953636381</v>
      </c>
      <c r="M10" s="61">
        <f t="shared" si="7"/>
        <v>53.757063001345664</v>
      </c>
      <c r="N10" s="61">
        <f t="shared" si="7"/>
        <v>71.460268049054946</v>
      </c>
      <c r="O10" s="61">
        <v>89.163473096764235</v>
      </c>
      <c r="P10" s="61">
        <f t="shared" si="9"/>
        <v>144.562613999387</v>
      </c>
      <c r="Q10" s="61">
        <f t="shared" si="9"/>
        <v>199.96175490200974</v>
      </c>
      <c r="R10" s="61">
        <f t="shared" si="9"/>
        <v>255.36089580463249</v>
      </c>
      <c r="S10" s="61">
        <f t="shared" si="9"/>
        <v>310.76003670725527</v>
      </c>
      <c r="T10" s="61">
        <f t="shared" si="9"/>
        <v>366.15917760987804</v>
      </c>
      <c r="U10" s="61">
        <v>421.5583185125007</v>
      </c>
      <c r="V10" s="61">
        <f t="shared" si="5"/>
        <v>551.91714225219016</v>
      </c>
      <c r="W10" s="61">
        <f t="shared" si="5"/>
        <v>682.27596599187962</v>
      </c>
      <c r="X10" s="61">
        <f t="shared" si="5"/>
        <v>812.63478973156907</v>
      </c>
      <c r="Y10" s="61">
        <f t="shared" si="5"/>
        <v>942.99361347125853</v>
      </c>
      <c r="Z10" s="61">
        <v>1073.352437210948</v>
      </c>
      <c r="AA10" s="61">
        <f t="shared" si="2"/>
        <v>1297.6248419255464</v>
      </c>
      <c r="AB10" s="61">
        <f t="shared" si="2"/>
        <v>1521.8972466401449</v>
      </c>
      <c r="AC10" s="61">
        <f t="shared" si="2"/>
        <v>1746.1696513547433</v>
      </c>
      <c r="AD10" s="61">
        <f t="shared" si="2"/>
        <v>1970.4420560693418</v>
      </c>
      <c r="AE10" s="61">
        <v>2194.71446078394</v>
      </c>
      <c r="AF10" s="87"/>
      <c r="AG10" s="87"/>
    </row>
    <row r="11" spans="1:33" x14ac:dyDescent="0.35">
      <c r="A11" s="87" t="s">
        <v>39</v>
      </c>
      <c r="B11" s="162"/>
      <c r="C11" s="87" t="s">
        <v>34</v>
      </c>
      <c r="D11" s="61">
        <v>5.3000580815727012E-2</v>
      </c>
      <c r="E11" s="61">
        <v>0.13729066114917213</v>
      </c>
      <c r="F11" s="61">
        <f t="shared" si="8"/>
        <v>0.27537952381665309</v>
      </c>
      <c r="G11" s="61">
        <f t="shared" si="8"/>
        <v>0.41346838648413409</v>
      </c>
      <c r="H11" s="61">
        <f t="shared" si="8"/>
        <v>0.55155724915161508</v>
      </c>
      <c r="I11" s="61">
        <f t="shared" si="8"/>
        <v>0.68964611181909607</v>
      </c>
      <c r="J11" s="61">
        <f t="shared" si="6"/>
        <v>0.82773497448657707</v>
      </c>
      <c r="K11" s="61">
        <v>0.96582383715405795</v>
      </c>
      <c r="L11" s="61">
        <f t="shared" si="7"/>
        <v>1.3268237771680045</v>
      </c>
      <c r="M11" s="61">
        <f t="shared" si="7"/>
        <v>1.687823717181951</v>
      </c>
      <c r="N11" s="61">
        <f t="shared" si="7"/>
        <v>2.0488236571958973</v>
      </c>
      <c r="O11" s="61">
        <v>2.4098235972098441</v>
      </c>
      <c r="P11" s="61">
        <f t="shared" si="9"/>
        <v>3.0264431390094124</v>
      </c>
      <c r="Q11" s="61">
        <f t="shared" si="9"/>
        <v>3.6430626808089812</v>
      </c>
      <c r="R11" s="61">
        <f t="shared" si="9"/>
        <v>4.25968222260855</v>
      </c>
      <c r="S11" s="61">
        <f t="shared" si="9"/>
        <v>4.8763017644081188</v>
      </c>
      <c r="T11" s="61">
        <f t="shared" si="9"/>
        <v>5.4929213062076876</v>
      </c>
      <c r="U11" s="61">
        <v>6.1095408480072555</v>
      </c>
      <c r="V11" s="61">
        <f t="shared" si="5"/>
        <v>6.9922453003880554</v>
      </c>
      <c r="W11" s="61">
        <f t="shared" si="5"/>
        <v>7.8749497527688552</v>
      </c>
      <c r="X11" s="61">
        <f t="shared" si="5"/>
        <v>8.7576542051496542</v>
      </c>
      <c r="Y11" s="61">
        <f t="shared" si="5"/>
        <v>9.6403586575304541</v>
      </c>
      <c r="Z11" s="61">
        <v>10.523063109911254</v>
      </c>
      <c r="AA11" s="61">
        <f t="shared" si="2"/>
        <v>11.509597615793707</v>
      </c>
      <c r="AB11" s="61">
        <f t="shared" si="2"/>
        <v>12.49613212167616</v>
      </c>
      <c r="AC11" s="61">
        <f>AB11+(($AE11-$Z11)/(COLUMN($AE11)-COLUMN($Z11)))</f>
        <v>13.482666627558613</v>
      </c>
      <c r="AD11" s="61">
        <f t="shared" si="2"/>
        <v>14.469201133441066</v>
      </c>
      <c r="AE11" s="61">
        <v>15.455735639323521</v>
      </c>
      <c r="AF11" s="87"/>
      <c r="AG11" s="87"/>
    </row>
    <row r="12" spans="1:33" x14ac:dyDescent="0.35">
      <c r="A12" s="87" t="s">
        <v>39</v>
      </c>
      <c r="B12" s="162"/>
      <c r="C12" s="87" t="s">
        <v>35</v>
      </c>
      <c r="D12" s="61">
        <v>4</v>
      </c>
      <c r="E12" s="61">
        <v>5</v>
      </c>
      <c r="F12" s="61">
        <f t="shared" si="8"/>
        <v>7.3333333333333339</v>
      </c>
      <c r="G12" s="61">
        <f t="shared" si="8"/>
        <v>9.6666666666666679</v>
      </c>
      <c r="H12" s="61">
        <f t="shared" si="8"/>
        <v>12.000000000000002</v>
      </c>
      <c r="I12" s="61">
        <f t="shared" si="8"/>
        <v>14.333333333333336</v>
      </c>
      <c r="J12" s="61">
        <f t="shared" si="6"/>
        <v>16.666666666666668</v>
      </c>
      <c r="K12" s="61">
        <v>19</v>
      </c>
      <c r="L12" s="61">
        <f t="shared" si="7"/>
        <v>23.5</v>
      </c>
      <c r="M12" s="61">
        <f t="shared" si="7"/>
        <v>28</v>
      </c>
      <c r="N12" s="61">
        <f t="shared" si="7"/>
        <v>32.5</v>
      </c>
      <c r="O12" s="61">
        <v>37</v>
      </c>
      <c r="P12" s="61">
        <f t="shared" si="9"/>
        <v>42.333333333333336</v>
      </c>
      <c r="Q12" s="61">
        <f t="shared" si="9"/>
        <v>47.666666666666671</v>
      </c>
      <c r="R12" s="61">
        <f t="shared" si="9"/>
        <v>53.000000000000007</v>
      </c>
      <c r="S12" s="61">
        <f t="shared" si="9"/>
        <v>58.333333333333343</v>
      </c>
      <c r="T12" s="61">
        <f t="shared" si="9"/>
        <v>63.666666666666679</v>
      </c>
      <c r="U12" s="61">
        <v>69</v>
      </c>
      <c r="V12" s="61">
        <f t="shared" si="5"/>
        <v>75.599999999999994</v>
      </c>
      <c r="W12" s="61">
        <f t="shared" si="5"/>
        <v>82.199999999999989</v>
      </c>
      <c r="X12" s="61">
        <f t="shared" si="5"/>
        <v>88.799999999999983</v>
      </c>
      <c r="Y12" s="61">
        <f t="shared" si="5"/>
        <v>95.399999999999977</v>
      </c>
      <c r="Z12" s="61">
        <v>102</v>
      </c>
      <c r="AA12" s="61">
        <f t="shared" si="2"/>
        <v>110</v>
      </c>
      <c r="AB12" s="61">
        <f t="shared" si="2"/>
        <v>118</v>
      </c>
      <c r="AC12" s="61">
        <f t="shared" si="2"/>
        <v>126</v>
      </c>
      <c r="AD12" s="61">
        <f t="shared" si="2"/>
        <v>134</v>
      </c>
      <c r="AE12" s="61">
        <v>142</v>
      </c>
      <c r="AF12" s="87"/>
      <c r="AG12" s="87"/>
    </row>
    <row r="13" spans="1:33" ht="17.5" customHeight="1" x14ac:dyDescent="0.35">
      <c r="A13" s="87" t="s">
        <v>30</v>
      </c>
      <c r="B13" s="162"/>
      <c r="C13" s="87" t="s">
        <v>108</v>
      </c>
      <c r="D13" s="61">
        <v>6327.0339692588404</v>
      </c>
      <c r="E13" s="61">
        <v>9590.5671410490813</v>
      </c>
      <c r="F13" s="61">
        <v>12854.100312839322</v>
      </c>
      <c r="G13" s="61">
        <v>16117.633484629563</v>
      </c>
      <c r="H13" s="61">
        <v>19381.166656419802</v>
      </c>
      <c r="I13" s="61">
        <v>22644.699828210043</v>
      </c>
      <c r="J13" s="61">
        <v>25908.233000000284</v>
      </c>
      <c r="K13" s="61">
        <v>29171.766171790525</v>
      </c>
      <c r="L13" s="61">
        <v>32435.299343580766</v>
      </c>
      <c r="M13" s="61">
        <v>35698.832515371003</v>
      </c>
      <c r="N13" s="61">
        <v>38962.36568716124</v>
      </c>
      <c r="O13" s="61">
        <v>42225.898858951477</v>
      </c>
      <c r="P13" s="61">
        <v>45489.432030741715</v>
      </c>
      <c r="Q13" s="61">
        <v>48752.965202531952</v>
      </c>
      <c r="R13" s="61">
        <v>52016.498374322189</v>
      </c>
      <c r="S13" s="61">
        <v>55280.031546112426</v>
      </c>
      <c r="T13" s="61">
        <v>58543.564717902664</v>
      </c>
      <c r="U13" s="61">
        <v>61807.097889692901</v>
      </c>
      <c r="V13" s="61">
        <v>65070.631061483138</v>
      </c>
      <c r="W13" s="61">
        <v>68334.164233273375</v>
      </c>
      <c r="X13" s="61">
        <v>71597.69740506362</v>
      </c>
      <c r="Y13" s="61">
        <v>74861.230576853864</v>
      </c>
      <c r="Z13" s="61">
        <v>78124.763748644109</v>
      </c>
      <c r="AA13" s="61">
        <v>81388.296920434354</v>
      </c>
      <c r="AB13" s="61">
        <v>84651.830092224598</v>
      </c>
      <c r="AC13" s="61">
        <v>87915.363264014843</v>
      </c>
      <c r="AD13" s="61">
        <v>91178.896435805087</v>
      </c>
      <c r="AE13" s="61">
        <v>94442.429607595332</v>
      </c>
      <c r="AF13" s="87"/>
      <c r="AG13" s="87"/>
    </row>
    <row r="14" spans="1:33" ht="17.5" customHeight="1" x14ac:dyDescent="0.35">
      <c r="A14" s="87" t="s">
        <v>30</v>
      </c>
      <c r="B14" s="162"/>
      <c r="C14" s="87" t="s">
        <v>109</v>
      </c>
      <c r="D14" s="61">
        <v>194612.53584062794</v>
      </c>
      <c r="E14" s="61">
        <v>197969.6872907684</v>
      </c>
      <c r="F14" s="61">
        <v>201326.83874090889</v>
      </c>
      <c r="G14" s="61">
        <v>203320.67995748969</v>
      </c>
      <c r="H14" s="61">
        <v>205331.56255199015</v>
      </c>
      <c r="I14" s="61">
        <v>207325.40376857092</v>
      </c>
      <c r="J14" s="61">
        <v>209489.65876434682</v>
      </c>
      <c r="K14" s="61">
        <v>211636.87238220318</v>
      </c>
      <c r="L14" s="61">
        <v>213784.08600005924</v>
      </c>
      <c r="M14" s="61">
        <v>215931.29961791576</v>
      </c>
      <c r="N14" s="61">
        <v>218129.63736953077</v>
      </c>
      <c r="O14" s="61">
        <v>220327.97512114537</v>
      </c>
      <c r="P14" s="61">
        <v>222543.35425067964</v>
      </c>
      <c r="Q14" s="61">
        <v>224741.69200229441</v>
      </c>
      <c r="R14" s="61">
        <v>226871.86424223153</v>
      </c>
      <c r="S14" s="61">
        <v>229002.03648216819</v>
      </c>
      <c r="T14" s="61">
        <v>231149.25010002451</v>
      </c>
      <c r="U14" s="61">
        <v>233279.42233996128</v>
      </c>
      <c r="V14" s="61">
        <v>235256.22217862285</v>
      </c>
      <c r="W14" s="61">
        <v>237233.02201728406</v>
      </c>
      <c r="X14" s="61">
        <v>239209.8218559456</v>
      </c>
      <c r="Y14" s="61">
        <v>241169.58031668732</v>
      </c>
      <c r="Z14" s="61">
        <v>242924.84224239527</v>
      </c>
      <c r="AA14" s="61">
        <v>244663.06279018364</v>
      </c>
      <c r="AB14" s="61">
        <v>246401.28333797198</v>
      </c>
      <c r="AC14" s="61">
        <v>248156.5452636799</v>
      </c>
      <c r="AD14" s="61">
        <v>249639.14514267584</v>
      </c>
      <c r="AE14" s="61">
        <v>251121.74502167213</v>
      </c>
      <c r="AF14" s="87"/>
      <c r="AG14" s="87"/>
    </row>
    <row r="15" spans="1:33" s="60" customFormat="1" x14ac:dyDescent="0.35">
      <c r="A15" s="87" t="s">
        <v>30</v>
      </c>
      <c r="B15" s="162"/>
      <c r="C15" s="87" t="s">
        <v>110</v>
      </c>
      <c r="D15" s="61">
        <v>61013.964889704475</v>
      </c>
      <c r="E15" s="61">
        <v>67510.279902947688</v>
      </c>
      <c r="F15" s="61">
        <v>74377.574709919048</v>
      </c>
      <c r="G15" s="61">
        <v>78618.22602925339</v>
      </c>
      <c r="H15" s="61">
        <v>82988.981521506663</v>
      </c>
      <c r="I15" s="61">
        <v>87389.403277175617</v>
      </c>
      <c r="J15" s="61">
        <v>92321.315639419001</v>
      </c>
      <c r="K15" s="61">
        <v>97360.528216872204</v>
      </c>
      <c r="L15" s="61">
        <v>102558.35427416883</v>
      </c>
      <c r="M15" s="61">
        <v>107902.99911183663</v>
      </c>
      <c r="N15" s="61">
        <v>113510.28228388321</v>
      </c>
      <c r="O15" s="61">
        <v>119215.54459930227</v>
      </c>
      <c r="P15" s="61">
        <v>125103.31853562905</v>
      </c>
      <c r="Q15" s="61">
        <v>131061.65320291194</v>
      </c>
      <c r="R15" s="61">
        <v>136927.3781305576</v>
      </c>
      <c r="S15" s="61">
        <v>142928.4691747727</v>
      </c>
      <c r="T15" s="61">
        <v>149096.22979827592</v>
      </c>
      <c r="U15" s="61">
        <v>155355.88344360888</v>
      </c>
      <c r="V15" s="61">
        <v>161287.72067303676</v>
      </c>
      <c r="W15" s="61">
        <v>167330.55136063692</v>
      </c>
      <c r="X15" s="61">
        <v>173485.43148681833</v>
      </c>
      <c r="Y15" s="61">
        <v>179737.56545339135</v>
      </c>
      <c r="Z15" s="61">
        <v>185397.93164546805</v>
      </c>
      <c r="AA15" s="61">
        <v>191060.8895594143</v>
      </c>
      <c r="AB15" s="61">
        <v>196805.23517846514</v>
      </c>
      <c r="AC15" s="61">
        <v>202686.63089115554</v>
      </c>
      <c r="AD15" s="61">
        <v>207726.8390138846</v>
      </c>
      <c r="AE15" s="61">
        <v>212822.72827512978</v>
      </c>
      <c r="AF15" s="87"/>
      <c r="AG15" s="87"/>
    </row>
    <row r="17" spans="1:31" x14ac:dyDescent="0.35">
      <c r="A17" s="87" t="s">
        <v>111</v>
      </c>
      <c r="B17" s="87" t="s">
        <v>112</v>
      </c>
      <c r="C17" s="87" t="s">
        <v>94</v>
      </c>
      <c r="D17" s="5">
        <f>'Cost Assumptions'!B8*('Cost Assumptions'!B5^2)</f>
        <v>4.3837328124999999</v>
      </c>
      <c r="E17" s="5">
        <f>D17*'Cost Assumptions'!$B$5</f>
        <v>4.4933261328124994</v>
      </c>
      <c r="F17" s="5">
        <f>E17*'Cost Assumptions'!$B$5</f>
        <v>4.6056592861328118</v>
      </c>
      <c r="G17" s="5">
        <f>F17*'Cost Assumptions'!$B$5</f>
        <v>4.7208007682861322</v>
      </c>
      <c r="H17" s="5">
        <f>G17*'Cost Assumptions'!$B$5</f>
        <v>4.8388207874932849</v>
      </c>
      <c r="I17" s="5">
        <f>H17*'Cost Assumptions'!$B$5</f>
        <v>4.959791307180617</v>
      </c>
      <c r="J17" s="5">
        <f>I17*'Cost Assumptions'!$B$5</f>
        <v>5.0837860898601317</v>
      </c>
      <c r="K17" s="5">
        <f>J17*'Cost Assumptions'!$B$5</f>
        <v>5.2108807421066343</v>
      </c>
      <c r="L17" s="5">
        <f>K17*'Cost Assumptions'!$B$5</f>
        <v>5.3411527606593001</v>
      </c>
      <c r="M17" s="5">
        <f>L17*'Cost Assumptions'!$B$5</f>
        <v>5.4746815796757824</v>
      </c>
      <c r="N17" s="5">
        <f>M17*'Cost Assumptions'!$B$5</f>
        <v>5.6115486191676762</v>
      </c>
      <c r="O17" s="5">
        <f>N17*'Cost Assumptions'!$B$5</f>
        <v>5.7518373346468676</v>
      </c>
      <c r="P17" s="5">
        <f>O17*'Cost Assumptions'!$B$5</f>
        <v>5.8956332680130386</v>
      </c>
      <c r="Q17" s="5">
        <f>P17*'Cost Assumptions'!$B$5</f>
        <v>6.0430240997133637</v>
      </c>
      <c r="R17" s="5">
        <f>Q17*'Cost Assumptions'!$B$5</f>
        <v>6.1940997022061977</v>
      </c>
      <c r="S17" s="5">
        <f>R17*'Cost Assumptions'!$B$5</f>
        <v>6.3489521947613516</v>
      </c>
      <c r="T17" s="5">
        <f>S17*'Cost Assumptions'!$B$5</f>
        <v>6.5076759996303846</v>
      </c>
      <c r="U17" s="5">
        <f>T17*'Cost Assumptions'!$B$5</f>
        <v>6.6703678996211435</v>
      </c>
      <c r="V17" s="5">
        <f>U17*'Cost Assumptions'!$B$5</f>
        <v>6.8371270971116713</v>
      </c>
      <c r="W17" s="5">
        <f>V17*'Cost Assumptions'!$B$5</f>
        <v>7.0080552745394629</v>
      </c>
      <c r="X17" s="5">
        <f>W17*'Cost Assumptions'!$B$5</f>
        <v>7.183256656402949</v>
      </c>
      <c r="Y17" s="5">
        <f>X17*'Cost Assumptions'!$B$5</f>
        <v>7.3628380728130223</v>
      </c>
      <c r="Z17" s="5">
        <f>Y17*'Cost Assumptions'!$B$5</f>
        <v>7.5469090246333472</v>
      </c>
      <c r="AA17" s="5">
        <f>Z17*'Cost Assumptions'!$B$5</f>
        <v>7.7355817502491799</v>
      </c>
      <c r="AB17" s="5">
        <f>AA17*'Cost Assumptions'!$B$5</f>
        <v>7.9289712940054091</v>
      </c>
      <c r="AC17" s="5">
        <f>AB17*'Cost Assumptions'!$B$5</f>
        <v>8.1271955763555432</v>
      </c>
      <c r="AD17" s="5">
        <f>AC17*'Cost Assumptions'!$B$5</f>
        <v>8.3303754657644316</v>
      </c>
      <c r="AE17" s="5">
        <f>AD17*'Cost Assumptions'!$B$5</f>
        <v>8.538634852408542</v>
      </c>
    </row>
    <row r="18" spans="1:31" x14ac:dyDescent="0.35">
      <c r="A18" s="87" t="s">
        <v>111</v>
      </c>
      <c r="B18" s="87" t="s">
        <v>113</v>
      </c>
      <c r="C18" s="87" t="s">
        <v>94</v>
      </c>
      <c r="D18" s="5">
        <f>'Cost Assumptions'!B9*('Cost Assumptions'!B5^2)</f>
        <v>3.6995132812499993</v>
      </c>
      <c r="E18" s="5">
        <f>D18*'Cost Assumptions'!$B$5</f>
        <v>3.7920011132812488</v>
      </c>
      <c r="F18" s="5">
        <f>E18*'Cost Assumptions'!$B$5</f>
        <v>3.8868011411132795</v>
      </c>
      <c r="G18" s="5">
        <f>F18*'Cost Assumptions'!$B$5</f>
        <v>3.9839711696411113</v>
      </c>
      <c r="H18" s="5">
        <f>G18*'Cost Assumptions'!$B$5</f>
        <v>4.0835704488821385</v>
      </c>
      <c r="I18" s="5">
        <f>H18*'Cost Assumptions'!$B$5</f>
        <v>4.1856597101041917</v>
      </c>
      <c r="J18" s="5">
        <f>I18*'Cost Assumptions'!$B$5</f>
        <v>4.2903012028567957</v>
      </c>
      <c r="K18" s="5">
        <f>J18*'Cost Assumptions'!$B$5</f>
        <v>4.3975587329282151</v>
      </c>
      <c r="L18" s="5">
        <f>K18*'Cost Assumptions'!$B$5</f>
        <v>4.5074977012514204</v>
      </c>
      <c r="M18" s="5">
        <f>L18*'Cost Assumptions'!$B$5</f>
        <v>4.6201851437827051</v>
      </c>
      <c r="N18" s="5">
        <f>M18*'Cost Assumptions'!$B$5</f>
        <v>4.7356897723772722</v>
      </c>
      <c r="O18" s="5">
        <f>N18*'Cost Assumptions'!$B$5</f>
        <v>4.8540820166867036</v>
      </c>
      <c r="P18" s="5">
        <f>O18*'Cost Assumptions'!$B$5</f>
        <v>4.9754340671038708</v>
      </c>
      <c r="Q18" s="5">
        <f>P18*'Cost Assumptions'!$B$5</f>
        <v>5.099819918781467</v>
      </c>
      <c r="R18" s="5">
        <f>Q18*'Cost Assumptions'!$B$5</f>
        <v>5.2273154167510034</v>
      </c>
      <c r="S18" s="5">
        <f>R18*'Cost Assumptions'!$B$5</f>
        <v>5.3579983021697783</v>
      </c>
      <c r="T18" s="5">
        <f>S18*'Cost Assumptions'!$B$5</f>
        <v>5.4919482597240226</v>
      </c>
      <c r="U18" s="5">
        <f>T18*'Cost Assumptions'!$B$5</f>
        <v>5.6292469662171225</v>
      </c>
      <c r="V18" s="5">
        <f>U18*'Cost Assumptions'!$B$5</f>
        <v>5.7699781403725501</v>
      </c>
      <c r="W18" s="5">
        <f>V18*'Cost Assumptions'!$B$5</f>
        <v>5.9142275938818631</v>
      </c>
      <c r="X18" s="5">
        <f>W18*'Cost Assumptions'!$B$5</f>
        <v>6.0620832837289091</v>
      </c>
      <c r="Y18" s="5">
        <f>X18*'Cost Assumptions'!$B$5</f>
        <v>6.2136353658221317</v>
      </c>
      <c r="Z18" s="5">
        <f>Y18*'Cost Assumptions'!$B$5</f>
        <v>6.3689762499676847</v>
      </c>
      <c r="AA18" s="5">
        <f>Z18*'Cost Assumptions'!$B$5</f>
        <v>6.5282006562168764</v>
      </c>
      <c r="AB18" s="5">
        <f>AA18*'Cost Assumptions'!$B$5</f>
        <v>6.6914056726222979</v>
      </c>
      <c r="AC18" s="5">
        <f>AB18*'Cost Assumptions'!$B$5</f>
        <v>6.8586908144378551</v>
      </c>
      <c r="AD18" s="5">
        <f>AC18*'Cost Assumptions'!$B$5</f>
        <v>7.030158084798801</v>
      </c>
      <c r="AE18" s="5">
        <f>AD18*'Cost Assumptions'!$B$5</f>
        <v>7.2059120369187708</v>
      </c>
    </row>
    <row r="19" spans="1:31" x14ac:dyDescent="0.35">
      <c r="A19" s="87" t="s">
        <v>114</v>
      </c>
      <c r="B19" s="87" t="s">
        <v>112</v>
      </c>
      <c r="C19" s="87" t="s">
        <v>94</v>
      </c>
      <c r="D19" s="5">
        <f>'Cost Assumptions'!B10*('Cost Assumptions'!B5^2)</f>
        <v>162.53431406249996</v>
      </c>
      <c r="E19" s="5">
        <f>D19*'Cost Assumptions'!$B$5</f>
        <v>166.59767191406243</v>
      </c>
      <c r="F19" s="5">
        <f>E19*'Cost Assumptions'!$B$5</f>
        <v>170.76261371191399</v>
      </c>
      <c r="G19" s="5">
        <f>F19*'Cost Assumptions'!$B$5</f>
        <v>175.03167905471182</v>
      </c>
      <c r="H19" s="5">
        <f>G19*'Cost Assumptions'!$B$5</f>
        <v>179.40747103107961</v>
      </c>
      <c r="I19" s="5">
        <f>H19*'Cost Assumptions'!$B$5</f>
        <v>183.89265780685659</v>
      </c>
      <c r="J19" s="5">
        <f>I19*'Cost Assumptions'!$B$5</f>
        <v>188.48997425202799</v>
      </c>
      <c r="K19" s="5">
        <f>J19*'Cost Assumptions'!$B$5</f>
        <v>193.20222360832867</v>
      </c>
      <c r="L19" s="5">
        <f>K19*'Cost Assumptions'!$B$5</f>
        <v>198.03227919853686</v>
      </c>
      <c r="M19" s="5">
        <f>L19*'Cost Assumptions'!$B$5</f>
        <v>202.98308617850026</v>
      </c>
      <c r="N19" s="5">
        <f>M19*'Cost Assumptions'!$B$5</f>
        <v>208.05766333296273</v>
      </c>
      <c r="O19" s="5">
        <f>N19*'Cost Assumptions'!$B$5</f>
        <v>213.25910491628679</v>
      </c>
      <c r="P19" s="5">
        <f>O19*'Cost Assumptions'!$B$5</f>
        <v>218.59058253919395</v>
      </c>
      <c r="Q19" s="5">
        <f>P19*'Cost Assumptions'!$B$5</f>
        <v>224.05534710267378</v>
      </c>
      <c r="R19" s="5">
        <f>Q19*'Cost Assumptions'!$B$5</f>
        <v>229.65673078024059</v>
      </c>
      <c r="S19" s="5">
        <f>R19*'Cost Assumptions'!$B$5</f>
        <v>235.39814904974659</v>
      </c>
      <c r="T19" s="5">
        <f>S19*'Cost Assumptions'!$B$5</f>
        <v>241.28310277599024</v>
      </c>
      <c r="U19" s="5">
        <f>T19*'Cost Assumptions'!$B$5</f>
        <v>247.31518034538999</v>
      </c>
      <c r="V19" s="5">
        <f>U19*'Cost Assumptions'!$B$5</f>
        <v>253.49805985402472</v>
      </c>
      <c r="W19" s="5">
        <f>V19*'Cost Assumptions'!$B$5</f>
        <v>259.83551135037533</v>
      </c>
      <c r="X19" s="5">
        <f>W19*'Cost Assumptions'!$B$5</f>
        <v>266.3313991341347</v>
      </c>
      <c r="Y19" s="5">
        <f>X19*'Cost Assumptions'!$B$5</f>
        <v>272.98968411248802</v>
      </c>
      <c r="Z19" s="5">
        <f>Y19*'Cost Assumptions'!$B$5</f>
        <v>279.81442621530022</v>
      </c>
      <c r="AA19" s="5">
        <f>Z19*'Cost Assumptions'!$B$5</f>
        <v>286.80978687068267</v>
      </c>
      <c r="AB19" s="5">
        <f>AA19*'Cost Assumptions'!$B$5</f>
        <v>293.98003154244969</v>
      </c>
      <c r="AC19" s="5">
        <f>AB19*'Cost Assumptions'!$B$5</f>
        <v>301.32953233101091</v>
      </c>
      <c r="AD19" s="5">
        <f>AC19*'Cost Assumptions'!$B$5</f>
        <v>308.86277063928617</v>
      </c>
      <c r="AE19" s="5">
        <f>AD19*'Cost Assumptions'!$B$5</f>
        <v>316.58433990526828</v>
      </c>
    </row>
    <row r="20" spans="1:31" x14ac:dyDescent="0.35">
      <c r="A20" s="87" t="s">
        <v>114</v>
      </c>
      <c r="B20" s="87" t="s">
        <v>113</v>
      </c>
      <c r="C20" s="87" t="s">
        <v>94</v>
      </c>
      <c r="D20" s="5">
        <f>'Cost Assumptions'!B11*('Cost Assumptions'!B5^2)</f>
        <v>150.08506445312503</v>
      </c>
      <c r="E20" s="5">
        <f>D20*'Cost Assumptions'!$B$5</f>
        <v>153.83719106445315</v>
      </c>
      <c r="F20" s="5">
        <f>E20*'Cost Assumptions'!$B$5</f>
        <v>157.68312084106446</v>
      </c>
      <c r="G20" s="5">
        <f>F20*'Cost Assumptions'!$B$5</f>
        <v>161.62519886209105</v>
      </c>
      <c r="H20" s="5">
        <f>G20*'Cost Assumptions'!$B$5</f>
        <v>165.6658288336433</v>
      </c>
      <c r="I20" s="5">
        <f>H20*'Cost Assumptions'!$B$5</f>
        <v>169.80747455448437</v>
      </c>
      <c r="J20" s="5">
        <f>I20*'Cost Assumptions'!$B$5</f>
        <v>174.05266141834647</v>
      </c>
      <c r="K20" s="5">
        <f>J20*'Cost Assumptions'!$B$5</f>
        <v>178.40397795380511</v>
      </c>
      <c r="L20" s="5">
        <f>K20*'Cost Assumptions'!$B$5</f>
        <v>182.86407740265022</v>
      </c>
      <c r="M20" s="5">
        <f>L20*'Cost Assumptions'!$B$5</f>
        <v>187.43567933771646</v>
      </c>
      <c r="N20" s="5">
        <f>M20*'Cost Assumptions'!$B$5</f>
        <v>192.12157132115937</v>
      </c>
      <c r="O20" s="5">
        <f>N20*'Cost Assumptions'!$B$5</f>
        <v>196.92461060418833</v>
      </c>
      <c r="P20" s="5">
        <f>O20*'Cost Assumptions'!$B$5</f>
        <v>201.84772586929301</v>
      </c>
      <c r="Q20" s="5">
        <f>P20*'Cost Assumptions'!$B$5</f>
        <v>206.89391901602534</v>
      </c>
      <c r="R20" s="5">
        <f>Q20*'Cost Assumptions'!$B$5</f>
        <v>212.06626699142595</v>
      </c>
      <c r="S20" s="5">
        <f>R20*'Cost Assumptions'!$B$5</f>
        <v>217.36792366621157</v>
      </c>
      <c r="T20" s="5">
        <f>S20*'Cost Assumptions'!$B$5</f>
        <v>222.80212175786684</v>
      </c>
      <c r="U20" s="5">
        <f>T20*'Cost Assumptions'!$B$5</f>
        <v>228.37217480181349</v>
      </c>
      <c r="V20" s="5">
        <f>U20*'Cost Assumptions'!$B$5</f>
        <v>234.0814791718588</v>
      </c>
      <c r="W20" s="5">
        <f>V20*'Cost Assumptions'!$B$5</f>
        <v>239.93351615115526</v>
      </c>
      <c r="X20" s="5">
        <f>W20*'Cost Assumptions'!$B$5</f>
        <v>245.93185405493412</v>
      </c>
      <c r="Y20" s="5">
        <f>X20*'Cost Assumptions'!$B$5</f>
        <v>252.08015040630744</v>
      </c>
      <c r="Z20" s="5">
        <f>Y20*'Cost Assumptions'!$B$5</f>
        <v>258.38215416646511</v>
      </c>
      <c r="AA20" s="5">
        <f>Z20*'Cost Assumptions'!$B$5</f>
        <v>264.8417080206267</v>
      </c>
      <c r="AB20" s="5">
        <f>AA20*'Cost Assumptions'!$B$5</f>
        <v>271.46275072114236</v>
      </c>
      <c r="AC20" s="5">
        <f>AB20*'Cost Assumptions'!$B$5</f>
        <v>278.24931948917089</v>
      </c>
      <c r="AD20" s="5">
        <f>AC20*'Cost Assumptions'!$B$5</f>
        <v>285.20555247640016</v>
      </c>
      <c r="AE20" s="5">
        <f>AD20*'Cost Assumptions'!$B$5</f>
        <v>292.33569128831016</v>
      </c>
    </row>
    <row r="21" spans="1:31" hidden="1" x14ac:dyDescent="0.35">
      <c r="A21" s="87" t="s">
        <v>111</v>
      </c>
      <c r="B21" s="87" t="s">
        <v>115</v>
      </c>
      <c r="C21" s="87" t="s">
        <v>116</v>
      </c>
      <c r="E21" s="5" t="e">
        <f>'Cost Assumptions'!#REF!*('Cost Assumptions'!B5^18)</f>
        <v>#REF!</v>
      </c>
      <c r="F21" s="5" t="e">
        <f>E21*'Cost Assumptions'!$B$5</f>
        <v>#REF!</v>
      </c>
      <c r="G21" s="5" t="e">
        <f>F21*'Cost Assumptions'!$B$5</f>
        <v>#REF!</v>
      </c>
      <c r="H21" s="5" t="e">
        <f>G21*'Cost Assumptions'!$B$5</f>
        <v>#REF!</v>
      </c>
      <c r="I21" s="5" t="e">
        <f>H21*'Cost Assumptions'!$B$5</f>
        <v>#REF!</v>
      </c>
      <c r="J21" s="5" t="e">
        <f>I21*'Cost Assumptions'!$B$5</f>
        <v>#REF!</v>
      </c>
      <c r="K21" s="5" t="e">
        <f>J21*'Cost Assumptions'!$B$5</f>
        <v>#REF!</v>
      </c>
      <c r="L21" s="5" t="e">
        <f>K21*'Cost Assumptions'!$B$5</f>
        <v>#REF!</v>
      </c>
      <c r="M21" s="5" t="e">
        <f>L21*'Cost Assumptions'!$B$5</f>
        <v>#REF!</v>
      </c>
      <c r="N21" s="5" t="e">
        <f>M21*'Cost Assumptions'!$B$5</f>
        <v>#REF!</v>
      </c>
      <c r="O21" s="5" t="e">
        <f>N21*'Cost Assumptions'!$B$5</f>
        <v>#REF!</v>
      </c>
      <c r="P21" s="5" t="e">
        <f>O21*'Cost Assumptions'!$B$5</f>
        <v>#REF!</v>
      </c>
      <c r="Q21" s="5" t="e">
        <f>P21*'Cost Assumptions'!$B$5</f>
        <v>#REF!</v>
      </c>
      <c r="R21" s="5" t="e">
        <f>Q21*'Cost Assumptions'!$B$5</f>
        <v>#REF!</v>
      </c>
      <c r="S21" s="5" t="e">
        <f>R21*'Cost Assumptions'!$B$5</f>
        <v>#REF!</v>
      </c>
      <c r="T21" s="5" t="e">
        <f>S21*'Cost Assumptions'!$B$5</f>
        <v>#REF!</v>
      </c>
      <c r="U21" s="5" t="e">
        <f>T21*'Cost Assumptions'!$B$5</f>
        <v>#REF!</v>
      </c>
      <c r="V21" s="5" t="e">
        <f>U21*'Cost Assumptions'!$B$5</f>
        <v>#REF!</v>
      </c>
      <c r="W21" s="5" t="e">
        <f>V21*'Cost Assumptions'!$B$5</f>
        <v>#REF!</v>
      </c>
      <c r="X21" s="5" t="e">
        <f>W21*'Cost Assumptions'!$B$5</f>
        <v>#REF!</v>
      </c>
      <c r="Y21" s="5" t="e">
        <f>X21*'Cost Assumptions'!$B$5</f>
        <v>#REF!</v>
      </c>
      <c r="Z21" s="5" t="e">
        <f>Y21*'Cost Assumptions'!$B$5</f>
        <v>#REF!</v>
      </c>
      <c r="AA21" s="5" t="e">
        <f>Z21*'Cost Assumptions'!$B$5</f>
        <v>#REF!</v>
      </c>
      <c r="AB21" s="5" t="e">
        <f>AA21*'Cost Assumptions'!$B$5</f>
        <v>#REF!</v>
      </c>
      <c r="AC21" s="5" t="e">
        <f>AB21*'Cost Assumptions'!$B$5</f>
        <v>#REF!</v>
      </c>
      <c r="AD21" s="5" t="e">
        <f>AC21*'Cost Assumptions'!$B$5</f>
        <v>#REF!</v>
      </c>
      <c r="AE21" s="5" t="e">
        <f>AD21*'Cost Assumptions'!$B$5</f>
        <v>#REF!</v>
      </c>
    </row>
    <row r="22" spans="1:31" hidden="1" x14ac:dyDescent="0.35">
      <c r="A22" s="87" t="s">
        <v>114</v>
      </c>
      <c r="B22" s="87" t="s">
        <v>115</v>
      </c>
      <c r="C22" s="87" t="s">
        <v>116</v>
      </c>
      <c r="E22" s="5" t="e">
        <f>'Cost Assumptions'!#REF!*('Cost Assumptions'!B5^18)</f>
        <v>#REF!</v>
      </c>
      <c r="F22" s="5" t="e">
        <f>E22*'Cost Assumptions'!$B$5</f>
        <v>#REF!</v>
      </c>
      <c r="G22" s="5" t="e">
        <f>F22*'Cost Assumptions'!$B$5</f>
        <v>#REF!</v>
      </c>
      <c r="H22" s="5" t="e">
        <f>G22*'Cost Assumptions'!$B$5</f>
        <v>#REF!</v>
      </c>
      <c r="I22" s="5" t="e">
        <f>H22*'Cost Assumptions'!$B$5</f>
        <v>#REF!</v>
      </c>
      <c r="J22" s="5" t="e">
        <f>I22*'Cost Assumptions'!$B$5</f>
        <v>#REF!</v>
      </c>
      <c r="K22" s="5" t="e">
        <f>J22*'Cost Assumptions'!$B$5</f>
        <v>#REF!</v>
      </c>
      <c r="L22" s="5" t="e">
        <f>K22*'Cost Assumptions'!$B$5</f>
        <v>#REF!</v>
      </c>
      <c r="M22" s="5" t="e">
        <f>L22*'Cost Assumptions'!$B$5</f>
        <v>#REF!</v>
      </c>
      <c r="N22" s="5" t="e">
        <f>M22*'Cost Assumptions'!$B$5</f>
        <v>#REF!</v>
      </c>
      <c r="O22" s="5" t="e">
        <f>N22*'Cost Assumptions'!$B$5</f>
        <v>#REF!</v>
      </c>
      <c r="P22" s="5" t="e">
        <f>O22*'Cost Assumptions'!$B$5</f>
        <v>#REF!</v>
      </c>
      <c r="Q22" s="5" t="e">
        <f>P22*'Cost Assumptions'!$B$5</f>
        <v>#REF!</v>
      </c>
      <c r="R22" s="5" t="e">
        <f>Q22*'Cost Assumptions'!$B$5</f>
        <v>#REF!</v>
      </c>
      <c r="S22" s="5" t="e">
        <f>R22*'Cost Assumptions'!$B$5</f>
        <v>#REF!</v>
      </c>
      <c r="T22" s="5" t="e">
        <f>S22*'Cost Assumptions'!$B$5</f>
        <v>#REF!</v>
      </c>
      <c r="U22" s="5" t="e">
        <f>T22*'Cost Assumptions'!$B$5</f>
        <v>#REF!</v>
      </c>
      <c r="V22" s="5" t="e">
        <f>U22*'Cost Assumptions'!$B$5</f>
        <v>#REF!</v>
      </c>
      <c r="W22" s="5" t="e">
        <f>V22*'Cost Assumptions'!$B$5</f>
        <v>#REF!</v>
      </c>
      <c r="X22" s="5" t="e">
        <f>W22*'Cost Assumptions'!$B$5</f>
        <v>#REF!</v>
      </c>
      <c r="Y22" s="5" t="e">
        <f>X22*'Cost Assumptions'!$B$5</f>
        <v>#REF!</v>
      </c>
      <c r="Z22" s="5" t="e">
        <f>Y22*'Cost Assumptions'!$B$5</f>
        <v>#REF!</v>
      </c>
      <c r="AA22" s="5" t="e">
        <f>Z22*'Cost Assumptions'!$B$5</f>
        <v>#REF!</v>
      </c>
      <c r="AB22" s="5" t="e">
        <f>AA22*'Cost Assumptions'!$B$5</f>
        <v>#REF!</v>
      </c>
      <c r="AC22" s="5" t="e">
        <f>AB22*'Cost Assumptions'!$B$5</f>
        <v>#REF!</v>
      </c>
      <c r="AD22" s="5" t="e">
        <f>AC22*'Cost Assumptions'!$B$5</f>
        <v>#REF!</v>
      </c>
      <c r="AE22" s="5" t="e">
        <f>AD22*'Cost Assumptions'!$B$5</f>
        <v>#REF!</v>
      </c>
    </row>
    <row r="23" spans="1:31" x14ac:dyDescent="0.35">
      <c r="A23" s="87"/>
      <c r="B23" s="87"/>
      <c r="C23" s="87"/>
      <c r="E23" s="87"/>
      <c r="F23" s="87"/>
      <c r="G23" s="8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x14ac:dyDescent="0.35">
      <c r="A24" s="87" t="s">
        <v>117</v>
      </c>
      <c r="B24" s="87" t="s">
        <v>118</v>
      </c>
      <c r="C24" s="17">
        <f>NPV('Cost Assumptions'!$B$3,D24:AE24)</f>
        <v>4652002.7758050347</v>
      </c>
      <c r="D24" s="16">
        <v>2664.1723479509105</v>
      </c>
      <c r="E24" s="16">
        <v>6696.6564957916835</v>
      </c>
      <c r="F24" s="16">
        <v>15296.141952645759</v>
      </c>
      <c r="G24" s="16">
        <v>23895.627409499837</v>
      </c>
      <c r="H24" s="16">
        <v>32495.112866353913</v>
      </c>
      <c r="I24" s="16">
        <v>41094.598323207989</v>
      </c>
      <c r="J24" s="16">
        <v>49694.083780062065</v>
      </c>
      <c r="K24" s="16">
        <v>58293.569236916141</v>
      </c>
      <c r="L24" s="16">
        <v>105854.92342039704</v>
      </c>
      <c r="M24" s="16">
        <v>153416.27760387794</v>
      </c>
      <c r="N24" s="16">
        <v>200977.63178735884</v>
      </c>
      <c r="O24" s="16">
        <v>248538.98597083971</v>
      </c>
      <c r="P24" s="16">
        <v>392537.65548732539</v>
      </c>
      <c r="Q24" s="16">
        <v>536536.32500381116</v>
      </c>
      <c r="R24" s="16">
        <v>680534.99452029681</v>
      </c>
      <c r="S24" s="16">
        <v>824533.66403678246</v>
      </c>
      <c r="T24" s="16">
        <v>968532.33355326811</v>
      </c>
      <c r="U24" s="16">
        <v>1112531.003069754</v>
      </c>
      <c r="V24" s="16">
        <v>1456952.4967023456</v>
      </c>
      <c r="W24" s="16">
        <v>1801373.9903349369</v>
      </c>
      <c r="X24" s="16">
        <v>2145795.4839675282</v>
      </c>
      <c r="Y24" s="16">
        <v>2490216.9776001195</v>
      </c>
      <c r="Z24" s="16">
        <v>2834638.4712327113</v>
      </c>
      <c r="AA24" s="16">
        <v>3388540.2700453186</v>
      </c>
      <c r="AB24" s="16">
        <v>3942442.0688579259</v>
      </c>
      <c r="AC24" s="16">
        <v>4496343.8676705332</v>
      </c>
      <c r="AD24" s="16">
        <v>5050245.6664831406</v>
      </c>
      <c r="AE24" s="16">
        <v>5604147.4652957488</v>
      </c>
    </row>
    <row r="25" spans="1:31" x14ac:dyDescent="0.35">
      <c r="A25" s="87" t="s">
        <v>119</v>
      </c>
      <c r="B25" s="87" t="s">
        <v>118</v>
      </c>
      <c r="C25" s="17">
        <f>NPV('Cost Assumptions'!$B$3,D25:AE25)</f>
        <v>19303419.594411455</v>
      </c>
      <c r="D25" s="16">
        <v>11054.945403686945</v>
      </c>
      <c r="E25" s="16">
        <v>27787.681230593829</v>
      </c>
      <c r="F25" s="16">
        <v>63471.124270020417</v>
      </c>
      <c r="G25" s="16">
        <v>99154.567309447011</v>
      </c>
      <c r="H25" s="16">
        <v>134838.01034887359</v>
      </c>
      <c r="I25" s="16">
        <v>170521.45338830017</v>
      </c>
      <c r="J25" s="16">
        <v>206204.89642772675</v>
      </c>
      <c r="K25" s="16">
        <v>241888.33946715333</v>
      </c>
      <c r="L25" s="16">
        <v>439243.50465689693</v>
      </c>
      <c r="M25" s="16">
        <v>636598.66984664055</v>
      </c>
      <c r="N25" s="16">
        <v>833953.83503638417</v>
      </c>
      <c r="O25" s="16">
        <v>1031309.0002261278</v>
      </c>
      <c r="P25" s="16">
        <v>1628829.4387715852</v>
      </c>
      <c r="Q25" s="16">
        <v>2226349.8773170426</v>
      </c>
      <c r="R25" s="16">
        <v>2823870.3158625001</v>
      </c>
      <c r="S25" s="16">
        <v>3421390.7544079577</v>
      </c>
      <c r="T25" s="16">
        <v>4018911.1929534152</v>
      </c>
      <c r="U25" s="16">
        <v>4616431.6314988723</v>
      </c>
      <c r="V25" s="16">
        <v>6045603.7385110594</v>
      </c>
      <c r="W25" s="16">
        <v>7474775.8455232456</v>
      </c>
      <c r="X25" s="16">
        <v>8903947.9525354318</v>
      </c>
      <c r="Y25" s="16">
        <v>10333120.059547618</v>
      </c>
      <c r="Z25" s="16">
        <v>11762292.166559806</v>
      </c>
      <c r="AA25" s="16">
        <v>14060699.831359351</v>
      </c>
      <c r="AB25" s="16">
        <v>16359107.496158896</v>
      </c>
      <c r="AC25" s="16">
        <v>18657515.160958443</v>
      </c>
      <c r="AD25" s="16">
        <v>20955922.825757988</v>
      </c>
      <c r="AE25" s="16">
        <v>23254330.490557533</v>
      </c>
    </row>
    <row r="26" spans="1:31" x14ac:dyDescent="0.35">
      <c r="A26" s="87" t="s">
        <v>24</v>
      </c>
      <c r="B26" s="87" t="s">
        <v>118</v>
      </c>
      <c r="C26" s="17">
        <f>NPV('Cost Assumptions'!$B$3,D26:AE26)</f>
        <v>23955422.370216489</v>
      </c>
      <c r="D26" s="16">
        <v>13719.117751637856</v>
      </c>
      <c r="E26" s="16">
        <v>34484.337726385515</v>
      </c>
      <c r="F26" s="16">
        <v>78767.266222666178</v>
      </c>
      <c r="G26" s="16">
        <v>123050.19471894685</v>
      </c>
      <c r="H26" s="16">
        <v>167333.1232152275</v>
      </c>
      <c r="I26" s="16">
        <v>211616.05171150816</v>
      </c>
      <c r="J26" s="16">
        <v>255898.98020778882</v>
      </c>
      <c r="K26" s="16">
        <v>300181.90870406944</v>
      </c>
      <c r="L26" s="16">
        <v>545098.42807729403</v>
      </c>
      <c r="M26" s="16">
        <v>790014.94745051849</v>
      </c>
      <c r="N26" s="16">
        <v>1034931.466823743</v>
      </c>
      <c r="O26" s="16">
        <v>1279847.9861969675</v>
      </c>
      <c r="P26" s="16">
        <v>2021367.0942589105</v>
      </c>
      <c r="Q26" s="16">
        <v>2762886.2023208537</v>
      </c>
      <c r="R26" s="16">
        <v>3504405.3103827969</v>
      </c>
      <c r="S26" s="16">
        <v>4245924.4184447397</v>
      </c>
      <c r="T26" s="16">
        <v>4987443.5265066829</v>
      </c>
      <c r="U26" s="16">
        <v>5728962.6345686261</v>
      </c>
      <c r="V26" s="16">
        <v>7502556.2352134045</v>
      </c>
      <c r="W26" s="16">
        <v>9276149.835858183</v>
      </c>
      <c r="X26" s="16">
        <v>11049743.43650296</v>
      </c>
      <c r="Y26" s="16">
        <v>12823337.037147738</v>
      </c>
      <c r="Z26" s="16">
        <v>14596930.637792516</v>
      </c>
      <c r="AA26" s="16">
        <v>17449240.101404671</v>
      </c>
      <c r="AB26" s="16">
        <v>20301549.565016821</v>
      </c>
      <c r="AC26" s="16">
        <v>23153859.028628975</v>
      </c>
      <c r="AD26" s="16">
        <v>26006168.492241129</v>
      </c>
      <c r="AE26" s="16">
        <v>28858477.955853283</v>
      </c>
    </row>
    <row r="27" spans="1:31" x14ac:dyDescent="0.35">
      <c r="A27" s="87"/>
      <c r="B27" s="87"/>
      <c r="C27" s="87"/>
      <c r="E27" s="87"/>
      <c r="F27" s="87"/>
      <c r="G27" s="8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x14ac:dyDescent="0.35">
      <c r="A28" s="87" t="s">
        <v>120</v>
      </c>
      <c r="B28" s="87" t="s">
        <v>118</v>
      </c>
      <c r="C28" s="17">
        <f>NPV('Cost Assumptions'!$B$3,D28:AE28)</f>
        <v>122402385.45052689</v>
      </c>
      <c r="D28" s="16">
        <v>310386.79798866023</v>
      </c>
      <c r="E28" s="16">
        <v>817408.12222421367</v>
      </c>
      <c r="F28" s="16">
        <v>1334522.6987350811</v>
      </c>
      <c r="G28" s="16">
        <v>1839795.5479560234</v>
      </c>
      <c r="H28" s="16">
        <v>2286697.9912531795</v>
      </c>
      <c r="I28" s="16">
        <v>2696419.0538857356</v>
      </c>
      <c r="J28" s="16">
        <v>3587048.7001477713</v>
      </c>
      <c r="K28" s="16">
        <v>4534084.5657563498</v>
      </c>
      <c r="L28" s="16">
        <v>5693348.9186131302</v>
      </c>
      <c r="M28" s="16">
        <v>7548985.0743932622</v>
      </c>
      <c r="N28" s="16">
        <v>9794691.5976483021</v>
      </c>
      <c r="O28" s="16">
        <v>12474348.375717288</v>
      </c>
      <c r="P28" s="16">
        <v>15347020.983958816</v>
      </c>
      <c r="Q28" s="16">
        <v>17866466.956706397</v>
      </c>
      <c r="R28" s="16">
        <v>20996797.786055777</v>
      </c>
      <c r="S28" s="16">
        <v>24698098.988227863</v>
      </c>
      <c r="T28" s="16">
        <v>28840317.341671247</v>
      </c>
      <c r="U28" s="16">
        <v>33541217.353331745</v>
      </c>
      <c r="V28" s="16">
        <v>38471074.127916157</v>
      </c>
      <c r="W28" s="16">
        <v>44538095.497219943</v>
      </c>
      <c r="X28" s="16">
        <v>50065147.454451628</v>
      </c>
      <c r="Y28" s="16">
        <v>56027611.218482688</v>
      </c>
      <c r="Z28" s="16">
        <v>61953016.92696394</v>
      </c>
      <c r="AA28" s="16">
        <v>68192076.492750496</v>
      </c>
      <c r="AB28" s="16">
        <v>75753576.054779172</v>
      </c>
      <c r="AC28" s="16">
        <v>84072896.775216386</v>
      </c>
      <c r="AD28" s="16">
        <v>90296154.735241339</v>
      </c>
      <c r="AE28" s="16">
        <v>99941321.925509945</v>
      </c>
    </row>
    <row r="29" spans="1:31" x14ac:dyDescent="0.35">
      <c r="A29" s="87" t="s">
        <v>121</v>
      </c>
      <c r="B29" s="87" t="s">
        <v>118</v>
      </c>
      <c r="C29" s="17">
        <f>NPV('Cost Assumptions'!$B$3,D29:AE29)</f>
        <v>524690134.18495488</v>
      </c>
      <c r="D29" s="16">
        <v>1628153.2445022203</v>
      </c>
      <c r="E29" s="16">
        <v>4276437.722523096</v>
      </c>
      <c r="F29" s="16">
        <v>6406619.8340516584</v>
      </c>
      <c r="G29" s="16">
        <v>8961966.1784057487</v>
      </c>
      <c r="H29" s="16">
        <v>10695561.997562293</v>
      </c>
      <c r="I29" s="16">
        <v>11935292.094424136</v>
      </c>
      <c r="J29" s="16">
        <v>15941642.32252172</v>
      </c>
      <c r="K29" s="16">
        <v>19613619.815275714</v>
      </c>
      <c r="L29" s="16">
        <v>24661704.485005222</v>
      </c>
      <c r="M29" s="16">
        <v>32796387.723990619</v>
      </c>
      <c r="N29" s="16">
        <v>43151911.473019019</v>
      </c>
      <c r="O29" s="16">
        <v>55866474.738844089</v>
      </c>
      <c r="P29" s="16">
        <v>68637387.043348879</v>
      </c>
      <c r="Q29" s="16">
        <v>77675195.110624015</v>
      </c>
      <c r="R29" s="16">
        <v>90392543.566104695</v>
      </c>
      <c r="S29" s="16">
        <v>106694968.75578959</v>
      </c>
      <c r="T29" s="16">
        <v>124345366.11087258</v>
      </c>
      <c r="U29" s="16">
        <v>143712431.51196387</v>
      </c>
      <c r="V29" s="16">
        <v>164558346.42944998</v>
      </c>
      <c r="W29" s="16">
        <v>190732503.36979601</v>
      </c>
      <c r="X29" s="16">
        <v>211736495.75619063</v>
      </c>
      <c r="Y29" s="16">
        <v>237640870.29091629</v>
      </c>
      <c r="Z29" s="16">
        <v>261024283.43241259</v>
      </c>
      <c r="AA29" s="16">
        <v>285410828.68515736</v>
      </c>
      <c r="AB29" s="16">
        <v>316389312.35185409</v>
      </c>
      <c r="AC29" s="16">
        <v>351526819.46737939</v>
      </c>
      <c r="AD29" s="16">
        <v>372036180.3666203</v>
      </c>
      <c r="AE29" s="16">
        <v>405152985.56203926</v>
      </c>
    </row>
    <row r="30" spans="1:31" x14ac:dyDescent="0.35">
      <c r="A30" s="87" t="s">
        <v>24</v>
      </c>
      <c r="B30" s="87" t="s">
        <v>118</v>
      </c>
      <c r="C30" s="17">
        <f>NPV('Cost Assumptions'!$B$3,D30:AE30)</f>
        <v>647092519.63548172</v>
      </c>
      <c r="D30" s="16">
        <v>1938540.0424908805</v>
      </c>
      <c r="E30" s="16">
        <v>5093845.8447473096</v>
      </c>
      <c r="F30" s="16">
        <v>7741142.53278674</v>
      </c>
      <c r="G30" s="16">
        <v>10801761.726361772</v>
      </c>
      <c r="H30" s="16">
        <v>12982259.988815472</v>
      </c>
      <c r="I30" s="16">
        <v>14631711.148309872</v>
      </c>
      <c r="J30" s="16">
        <v>19528691.02266949</v>
      </c>
      <c r="K30" s="16">
        <v>24147704.381032065</v>
      </c>
      <c r="L30" s="16">
        <v>30355053.403618351</v>
      </c>
      <c r="M30" s="16">
        <v>40345372.798383884</v>
      </c>
      <c r="N30" s="16">
        <v>52946603.070667319</v>
      </c>
      <c r="O30" s="16">
        <v>68340823.114561379</v>
      </c>
      <c r="P30" s="16">
        <v>83984408.027307689</v>
      </c>
      <c r="Q30" s="16">
        <v>95541662.06733042</v>
      </c>
      <c r="R30" s="16">
        <v>111389341.35216047</v>
      </c>
      <c r="S30" s="16">
        <v>131393067.74401745</v>
      </c>
      <c r="T30" s="16">
        <v>153185683.45254382</v>
      </c>
      <c r="U30" s="16">
        <v>177253648.86529562</v>
      </c>
      <c r="V30" s="16">
        <v>203029420.55736613</v>
      </c>
      <c r="W30" s="16">
        <v>235270598.86701596</v>
      </c>
      <c r="X30" s="16">
        <v>261801643.21064225</v>
      </c>
      <c r="Y30" s="16">
        <v>293668481.509399</v>
      </c>
      <c r="Z30" s="16">
        <v>322977300.35937655</v>
      </c>
      <c r="AA30" s="16">
        <v>353602905.17790782</v>
      </c>
      <c r="AB30" s="16">
        <v>392142888.40663326</v>
      </c>
      <c r="AC30" s="16">
        <v>435599716.24259579</v>
      </c>
      <c r="AD30" s="16">
        <v>462332335.10186166</v>
      </c>
      <c r="AE30" s="16">
        <v>505094307.48754919</v>
      </c>
    </row>
    <row r="31" spans="1:31" x14ac:dyDescent="0.35">
      <c r="A31" s="87"/>
      <c r="B31" s="87"/>
      <c r="C31" s="87"/>
      <c r="E31" s="87"/>
      <c r="F31" s="87"/>
      <c r="G31" s="87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x14ac:dyDescent="0.35">
      <c r="A32" s="87" t="s">
        <v>117</v>
      </c>
      <c r="B32" s="87" t="s">
        <v>122</v>
      </c>
      <c r="C32" s="17">
        <f>NPV('Cost Assumptions'!$B$3,D32:AE32)</f>
        <v>1642693710.165427</v>
      </c>
      <c r="D32" s="61">
        <f>(D13*D17*1000*'Cost Assumptions'!$B$6)/'Cost Assumptions'!$B$14</f>
        <v>24962423.775157887</v>
      </c>
      <c r="E32" s="61">
        <f>(E13*E17*1000*'Cost Assumptions'!$B$6)/'Cost Assumptions'!$B$14</f>
        <v>38784191.367031828</v>
      </c>
      <c r="F32" s="61">
        <f>(F13*F17*1000*'Cost Assumptions'!$B$6)/'Cost Assumptions'!$B$14</f>
        <v>53281445.823639996</v>
      </c>
      <c r="G32" s="61">
        <f>(G13*G17*1000*'Cost Assumptions'!$B$6)/'Cost Assumptions'!$B$14</f>
        <v>68479322.883474171</v>
      </c>
      <c r="H32" s="61">
        <f>(H13*H17*1000*'Cost Assumptions'!$B$6)/'Cost Assumptions'!$B$14</f>
        <v>84403792.892660275</v>
      </c>
      <c r="I32" s="61">
        <f>(I13*I17*1000*'Cost Assumptions'!$B$6)/'Cost Assumptions'!$B$14</f>
        <v>101081686.82550353</v>
      </c>
      <c r="J32" s="61">
        <f>(J13*J17*1000*'Cost Assumptions'!$B$6)/'Cost Assumptions'!$B$14</f>
        <v>118540723.08443101</v>
      </c>
      <c r="K32" s="61">
        <f>(K13*K17*1000*'Cost Assumptions'!$B$6)/'Cost Assumptions'!$B$14</f>
        <v>136809535.10203895</v>
      </c>
      <c r="L32" s="61">
        <f>(L13*L17*1000*'Cost Assumptions'!$B$6)/'Cost Assumptions'!$B$14</f>
        <v>155917699.76859948</v>
      </c>
      <c r="M32" s="61">
        <f>(M13*M17*1000*'Cost Assumptions'!$B$6)/'Cost Assumptions'!$B$14</f>
        <v>175895766.70904925</v>
      </c>
      <c r="N32" s="61">
        <f>(N13*N17*1000*'Cost Assumptions'!$B$6)/'Cost Assumptions'!$B$14</f>
        <v>196775288.43416613</v>
      </c>
      <c r="O32" s="61">
        <f>(O13*O17*1000*'Cost Assumptions'!$B$6)/'Cost Assumptions'!$B$14</f>
        <v>218588851.39134571</v>
      </c>
      <c r="P32" s="61">
        <f>(P13*P17*1000*'Cost Assumptions'!$B$6)/'Cost Assumptions'!$B$14</f>
        <v>241370107.94111288</v>
      </c>
      <c r="Q32" s="61">
        <f>(Q13*Q17*1000*'Cost Assumptions'!$B$6)/'Cost Assumptions'!$B$14</f>
        <v>265153809.28624886</v>
      </c>
      <c r="R32" s="61">
        <f>(R13*R17*1000*'Cost Assumptions'!$B$6)/'Cost Assumptions'!$B$14</f>
        <v>289975839.38117838</v>
      </c>
      <c r="S32" s="61">
        <f>(S13*S17*1000*'Cost Assumptions'!$B$6)/'Cost Assumptions'!$B$14</f>
        <v>315873249.85005051</v>
      </c>
      <c r="T32" s="61">
        <f>(T13*T17*1000*'Cost Assumptions'!$B$6)/'Cost Assumptions'!$B$14</f>
        <v>342884295.94275296</v>
      </c>
      <c r="U32" s="61">
        <f>(U13*U17*1000*'Cost Assumptions'!$B$6)/'Cost Assumptions'!$B$14</f>
        <v>371048473.55893433</v>
      </c>
      <c r="V32" s="61">
        <f>(V13*V17*1000*'Cost Assumptions'!$B$6)/'Cost Assumptions'!$B$14</f>
        <v>400406557.37096047</v>
      </c>
      <c r="W32" s="61">
        <f>(W13*W17*1000*'Cost Assumptions'!$B$6)/'Cost Assumptions'!$B$14</f>
        <v>431000640.07761365</v>
      </c>
      <c r="X32" s="61">
        <f>(X13*X17*1000*'Cost Assumptions'!$B$6)/'Cost Assumptions'!$B$14</f>
        <v>462874172.82124263</v>
      </c>
      <c r="Y32" s="61">
        <f>(Y13*Y17*1000*'Cost Assumptions'!$B$6)/'Cost Assumptions'!$B$14</f>
        <v>496072006.80200464</v>
      </c>
      <c r="Z32" s="61">
        <f>(Z13*Z17*1000*'Cost Assumptions'!$B$6)/'Cost Assumptions'!$B$14</f>
        <v>530640436.12379134</v>
      </c>
      <c r="AA32" s="61">
        <f>(AA13*AA17*1000*'Cost Assumptions'!$B$6)/'Cost Assumptions'!$B$14</f>
        <v>566627241.90741611</v>
      </c>
      <c r="AB32" s="61">
        <f>(AB13*AB17*1000*'Cost Assumptions'!$B$6)/'Cost Assumptions'!$B$14</f>
        <v>604081737.70764482</v>
      </c>
      <c r="AC32" s="61">
        <f>(AC13*AC17*1000*'Cost Assumptions'!$B$6)/'Cost Assumptions'!$B$14</f>
        <v>643054816.27169287</v>
      </c>
      <c r="AD32" s="61">
        <f>(AD13*AD17*1000*'Cost Assumptions'!$B$6)/'Cost Assumptions'!$B$14</f>
        <v>683598997.677876</v>
      </c>
      <c r="AE32" s="61">
        <f>(AE13*AE17*1000*'Cost Assumptions'!$B$6)/'Cost Assumptions'!$B$14</f>
        <v>725768478.89419866</v>
      </c>
    </row>
    <row r="33" spans="1:31" x14ac:dyDescent="0.35">
      <c r="A33" s="87" t="s">
        <v>119</v>
      </c>
      <c r="B33" s="87" t="s">
        <v>122</v>
      </c>
      <c r="C33" s="17">
        <f>NPV('Cost Assumptions'!$B$3,D33:AE33)</f>
        <v>6767294419.7288284</v>
      </c>
      <c r="D33" s="61">
        <f>(D13*D19*1000*'Cost Assumptions'!$B$7)/'Cost Assumptions'!$B$14</f>
        <v>102836012.62436219</v>
      </c>
      <c r="E33" s="61">
        <f>(E13*E19*1000*'Cost Assumptions'!$B$7)/'Cost Assumptions'!$B$14</f>
        <v>159776615.8034282</v>
      </c>
      <c r="F33" s="61">
        <f>(F13*F19*1000*'Cost Assumptions'!$B$7)/'Cost Assumptions'!$B$14</f>
        <v>219499976.63355738</v>
      </c>
      <c r="G33" s="61">
        <f>(G13*G19*1000*'Cost Assumptions'!$B$7)/'Cost Assumptions'!$B$14</f>
        <v>282109645.12031573</v>
      </c>
      <c r="H33" s="61">
        <f>(H13*H19*1000*'Cost Assumptions'!$B$7)/'Cost Assumptions'!$B$14</f>
        <v>347712609.5460161</v>
      </c>
      <c r="I33" s="61">
        <f>(I13*I19*1000*'Cost Assumptions'!$B$7)/'Cost Assumptions'!$B$14</f>
        <v>416419403.66480124</v>
      </c>
      <c r="J33" s="61">
        <f>(J13*J19*1000*'Cost Assumptions'!$B$7)/'Cost Assumptions'!$B$14</f>
        <v>488344217.10855943</v>
      </c>
      <c r="K33" s="61">
        <f>(K13*K19*1000*'Cost Assumptions'!$B$7)/'Cost Assumptions'!$B$14</f>
        <v>563605009.09721494</v>
      </c>
      <c r="L33" s="61">
        <f>(L13*L19*1000*'Cost Assumptions'!$B$7)/'Cost Assumptions'!$B$14</f>
        <v>642323625.54961038</v>
      </c>
      <c r="M33" s="61">
        <f>(M13*M19*1000*'Cost Assumptions'!$B$7)/'Cost Assumptions'!$B$14</f>
        <v>724625919.69393981</v>
      </c>
      <c r="N33" s="61">
        <f>(N13*N19*1000*'Cost Assumptions'!$B$7)/'Cost Assumptions'!$B$14</f>
        <v>810641876.27951705</v>
      </c>
      <c r="O33" s="61">
        <f>(O13*O19*1000*'Cost Assumptions'!$B$7)/'Cost Assumptions'!$B$14</f>
        <v>900505739.49456465</v>
      </c>
      <c r="P33" s="61">
        <f>(P13*P19*1000*'Cost Assumptions'!$B$7)/'Cost Assumptions'!$B$14</f>
        <v>994356144.69768977</v>
      </c>
      <c r="Q33" s="61">
        <f>(Q13*Q19*1000*'Cost Assumptions'!$B$7)/'Cost Assumptions'!$B$14</f>
        <v>1092336254.073787</v>
      </c>
      <c r="R33" s="61">
        <f>(R13*R19*1000*'Cost Assumptions'!$B$7)/'Cost Assumptions'!$B$14</f>
        <v>1194593896.328253</v>
      </c>
      <c r="S33" s="61">
        <f>(S13*S19*1000*'Cost Assumptions'!$B$7)/'Cost Assumptions'!$B$14</f>
        <v>1301281710.5366464</v>
      </c>
      <c r="T33" s="61">
        <f>(T13*T19*1000*'Cost Assumptions'!$B$7)/'Cost Assumptions'!$B$14</f>
        <v>1412557294.2702541</v>
      </c>
      <c r="U33" s="61">
        <f>(U13*U19*1000*'Cost Assumptions'!$B$7)/'Cost Assumptions'!$B$14</f>
        <v>1528583356.1214569</v>
      </c>
      <c r="V33" s="61">
        <f>(V13*V19*1000*'Cost Assumptions'!$B$7)/'Cost Assumptions'!$B$14</f>
        <v>1649527872.7563009</v>
      </c>
      <c r="W33" s="61">
        <f>(W13*W19*1000*'Cost Assumptions'!$B$7)/'Cost Assumptions'!$B$14</f>
        <v>1775564250.6253114</v>
      </c>
      <c r="X33" s="61">
        <f>(X13*X19*1000*'Cost Assumptions'!$B$7)/'Cost Assumptions'!$B$14</f>
        <v>1906871492.4672997</v>
      </c>
      <c r="Y33" s="61">
        <f>(Y13*Y19*1000*'Cost Assumptions'!$B$7)/'Cost Assumptions'!$B$14</f>
        <v>2043634368.7447462</v>
      </c>
      <c r="Z33" s="61">
        <f>(Z13*Z19*1000*'Cost Assumptions'!$B$7)/'Cost Assumptions'!$B$14</f>
        <v>2186043594.1532731</v>
      </c>
      <c r="AA33" s="61">
        <f>(AA13*AA19*1000*'Cost Assumptions'!$B$7)/'Cost Assumptions'!$B$14</f>
        <v>2334296009.3517613</v>
      </c>
      <c r="AB33" s="61">
        <f>(AB13*AB19*1000*'Cost Assumptions'!$B$7)/'Cost Assumptions'!$B$14</f>
        <v>2488594768.0638275</v>
      </c>
      <c r="AC33" s="61">
        <f>(AC13*AC19*1000*'Cost Assumptions'!$B$7)/'Cost Assumptions'!$B$14</f>
        <v>2649149529.7056522</v>
      </c>
      <c r="AD33" s="61">
        <f>(AD13*AD19*1000*'Cost Assumptions'!$B$7)/'Cost Assumptions'!$B$14</f>
        <v>2816176657.6995287</v>
      </c>
      <c r="AE33" s="61">
        <f>(AE13*AE19*1000*'Cost Assumptions'!$B$7)/'Cost Assumptions'!$B$14</f>
        <v>2989899423.6370325</v>
      </c>
    </row>
    <row r="34" spans="1:31" x14ac:dyDescent="0.35">
      <c r="A34" s="87" t="s">
        <v>24</v>
      </c>
      <c r="B34" s="87" t="s">
        <v>122</v>
      </c>
      <c r="C34" s="17">
        <f>NPV('Cost Assumptions'!$B$3,D34:AE34)</f>
        <v>8409988129.8942556</v>
      </c>
      <c r="D34" s="5">
        <f>SUM(D32:D33)</f>
        <v>127798436.39952007</v>
      </c>
      <c r="E34" s="5">
        <f t="shared" ref="E34:AE34" si="10">SUM(E32:E33)</f>
        <v>198560807.17046005</v>
      </c>
      <c r="F34" s="5">
        <f t="shared" si="10"/>
        <v>272781422.45719737</v>
      </c>
      <c r="G34" s="5">
        <f t="shared" si="10"/>
        <v>350588968.0037899</v>
      </c>
      <c r="H34" s="5">
        <f t="shared" si="10"/>
        <v>432116402.43867636</v>
      </c>
      <c r="I34" s="5">
        <f t="shared" si="10"/>
        <v>517501090.49030477</v>
      </c>
      <c r="J34" s="5">
        <f t="shared" si="10"/>
        <v>606884940.19299042</v>
      </c>
      <c r="K34" s="5">
        <f t="shared" si="10"/>
        <v>700414544.19925392</v>
      </c>
      <c r="L34" s="5">
        <f t="shared" si="10"/>
        <v>798241325.31820989</v>
      </c>
      <c r="M34" s="5">
        <f t="shared" si="10"/>
        <v>900521686.40298903</v>
      </c>
      <c r="N34" s="5">
        <f t="shared" si="10"/>
        <v>1007417164.7136831</v>
      </c>
      <c r="O34" s="5">
        <f t="shared" si="10"/>
        <v>1119094590.8859103</v>
      </c>
      <c r="P34" s="5">
        <f t="shared" si="10"/>
        <v>1235726252.6388025</v>
      </c>
      <c r="Q34" s="5">
        <f t="shared" si="10"/>
        <v>1357490063.3600359</v>
      </c>
      <c r="R34" s="5">
        <f t="shared" si="10"/>
        <v>1484569735.7094314</v>
      </c>
      <c r="S34" s="5">
        <f t="shared" si="10"/>
        <v>1617154960.3866968</v>
      </c>
      <c r="T34" s="5">
        <f t="shared" si="10"/>
        <v>1755441590.213007</v>
      </c>
      <c r="U34" s="5">
        <f t="shared" si="10"/>
        <v>1899631829.6803913</v>
      </c>
      <c r="V34" s="5">
        <f t="shared" si="10"/>
        <v>2049934430.1272614</v>
      </c>
      <c r="W34" s="5">
        <f t="shared" si="10"/>
        <v>2206564890.7029252</v>
      </c>
      <c r="X34" s="5">
        <f t="shared" si="10"/>
        <v>2369745665.2885423</v>
      </c>
      <c r="Y34" s="5">
        <f t="shared" si="10"/>
        <v>2539706375.546751</v>
      </c>
      <c r="Z34" s="5">
        <f t="shared" si="10"/>
        <v>2716684030.2770643</v>
      </c>
      <c r="AA34" s="5">
        <f t="shared" si="10"/>
        <v>2900923251.2591772</v>
      </c>
      <c r="AB34" s="5">
        <f t="shared" si="10"/>
        <v>3092676505.7714725</v>
      </c>
      <c r="AC34" s="5">
        <f t="shared" si="10"/>
        <v>3292204345.977345</v>
      </c>
      <c r="AD34" s="5">
        <f t="shared" si="10"/>
        <v>3499775655.3774047</v>
      </c>
      <c r="AE34" s="5">
        <f t="shared" si="10"/>
        <v>3715667902.5312309</v>
      </c>
    </row>
    <row r="35" spans="1:31" x14ac:dyDescent="0.35">
      <c r="A35" s="87"/>
      <c r="B35" s="87"/>
      <c r="C35" s="87"/>
      <c r="E35" s="87"/>
      <c r="F35" s="87"/>
      <c r="G35" s="8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x14ac:dyDescent="0.35">
      <c r="A36" s="87" t="s">
        <v>123</v>
      </c>
      <c r="B36" s="87" t="s">
        <v>124</v>
      </c>
      <c r="C36" s="17">
        <f>NPV('Cost Assumptions'!$B$3,D36:AE36)</f>
        <v>82608829.808218628</v>
      </c>
      <c r="D36" s="16">
        <f>D14*'Cost Assumptions'!$B$13*'Cost Assumptions'!$B$6*1000*D18</f>
        <v>6479744.949361301</v>
      </c>
      <c r="E36" s="16">
        <f>E14*'Cost Assumptions'!$B$13*'Cost Assumptions'!$B$6*1000*E18</f>
        <v>6756311.4714228101</v>
      </c>
      <c r="F36" s="16">
        <f>F14*'Cost Assumptions'!$B$13*'Cost Assumptions'!$B$6*1000*F18</f>
        <v>7042656.4789940454</v>
      </c>
      <c r="G36" s="16">
        <f>G14*'Cost Assumptions'!$B$13*'Cost Assumptions'!$B$6*1000*G18</f>
        <v>7290213.5442821961</v>
      </c>
      <c r="H36" s="16">
        <f>H14*'Cost Assumptions'!$B$13*'Cost Assumptions'!$B$6*1000*H18</f>
        <v>7546373.1095409123</v>
      </c>
      <c r="I36" s="16">
        <f>I14*'Cost Assumptions'!$B$13*'Cost Assumptions'!$B$6*1000*I18</f>
        <v>7810142.304916719</v>
      </c>
      <c r="J36" s="16">
        <f>J14*'Cost Assumptions'!$B$13*'Cost Assumptions'!$B$6*1000*J18</f>
        <v>8088963.6148446314</v>
      </c>
      <c r="K36" s="16">
        <f>K14*'Cost Assumptions'!$B$13*'Cost Assumptions'!$B$6*1000*K18</f>
        <v>8376170.1871857466</v>
      </c>
      <c r="L36" s="16">
        <f>L14*'Cost Assumptions'!$B$13*'Cost Assumptions'!$B$6*1000*L18</f>
        <v>8672681.4858846273</v>
      </c>
      <c r="M36" s="16">
        <f>M14*'Cost Assumptions'!$B$13*'Cost Assumptions'!$B$6*1000*M18</f>
        <v>8978783.2431514785</v>
      </c>
      <c r="N36" s="16">
        <f>N14*'Cost Assumptions'!$B$13*'Cost Assumptions'!$B$6*1000*N18</f>
        <v>9296948.6346892528</v>
      </c>
      <c r="O36" s="16">
        <f>O14*'Cost Assumptions'!$B$13*'Cost Assumptions'!$B$6*1000*O18</f>
        <v>9625410.5562769249</v>
      </c>
      <c r="P36" s="16">
        <f>P14*'Cost Assumptions'!$B$13*'Cost Assumptions'!$B$6*1000*P18</f>
        <v>9965248.0753175691</v>
      </c>
      <c r="Q36" s="16">
        <f>Q14*'Cost Assumptions'!$B$13*'Cost Assumptions'!$B$6*1000*Q18</f>
        <v>10315279.417085554</v>
      </c>
      <c r="R36" s="16">
        <f>R14*'Cost Assumptions'!$B$13*'Cost Assumptions'!$B$6*1000*R18</f>
        <v>10673377.14222412</v>
      </c>
      <c r="S36" s="16">
        <f>S14*'Cost Assumptions'!$B$13*'Cost Assumptions'!$B$6*1000*S18</f>
        <v>11042932.70398391</v>
      </c>
      <c r="T36" s="16">
        <f>T14*'Cost Assumptions'!$B$13*'Cost Assumptions'!$B$6*1000*T18</f>
        <v>11425137.496410083</v>
      </c>
      <c r="U36" s="16">
        <f>U14*'Cost Assumptions'!$B$13*'Cost Assumptions'!$B$6*1000*U18</f>
        <v>11818687.324392989</v>
      </c>
      <c r="V36" s="16">
        <f>V14*'Cost Assumptions'!$B$13*'Cost Assumptions'!$B$6*1000*V18</f>
        <v>12216809.334215537</v>
      </c>
      <c r="W36" s="16">
        <f>W14*'Cost Assumptions'!$B$13*'Cost Assumptions'!$B$6*1000*W18</f>
        <v>12627450.764951447</v>
      </c>
      <c r="X36" s="16">
        <f>X14*'Cost Assumptions'!$B$13*'Cost Assumptions'!$B$6*1000*X18</f>
        <v>13050988.761390286</v>
      </c>
      <c r="Y36" s="16">
        <f>Y14*'Cost Assumptions'!$B$13*'Cost Assumptions'!$B$6*1000*Y18</f>
        <v>13486858.500746246</v>
      </c>
      <c r="Z36" s="16">
        <f>Z14*'Cost Assumptions'!$B$13*'Cost Assumptions'!$B$6*1000*Z18</f>
        <v>13924642.956920659</v>
      </c>
      <c r="AA36" s="16">
        <f>AA14*'Cost Assumptions'!$B$13*'Cost Assumptions'!$B$6*1000*AA18</f>
        <v>14374886.103530167</v>
      </c>
      <c r="AB36" s="16">
        <f>AB14*'Cost Assumptions'!$B$13*'Cost Assumptions'!$B$6*1000*AB18</f>
        <v>14838938.505622078</v>
      </c>
      <c r="AC36" s="16">
        <f>AC14*'Cost Assumptions'!$B$13*'Cost Assumptions'!$B$6*1000*AC18</f>
        <v>15318261.157883698</v>
      </c>
      <c r="AD36" s="16">
        <f>AD14*'Cost Assumptions'!$B$13*'Cost Assumptions'!$B$6*1000*AD18</f>
        <v>15795023.890563395</v>
      </c>
      <c r="AE36" s="16">
        <f>AE14*'Cost Assumptions'!$B$13*'Cost Assumptions'!$B$6*1000*AE18</f>
        <v>16286050.84665342</v>
      </c>
    </row>
    <row r="37" spans="1:31" x14ac:dyDescent="0.35">
      <c r="A37" s="87" t="s">
        <v>114</v>
      </c>
      <c r="B37" s="87" t="s">
        <v>124</v>
      </c>
      <c r="C37" s="17">
        <f>NPV('Cost Assumptions'!$B$3,D37:AE37)</f>
        <v>372371853.13602918</v>
      </c>
      <c r="D37" s="16">
        <f>D14*'Cost Assumptions'!$B$7*'Cost Assumptions'!$B$13*'Baseline System Analysis'!D20*1000</f>
        <v>29208434.985026747</v>
      </c>
      <c r="E37" s="16">
        <f>E14*'Cost Assumptions'!$B$7*'Cost Assumptions'!$B$13*'Baseline System Analysis'!E20*1000</f>
        <v>30455100.608719975</v>
      </c>
      <c r="F37" s="16">
        <f>F14*'Cost Assumptions'!$B$7*'Cost Assumptions'!$B$13*'Baseline System Analysis'!F20*1000</f>
        <v>31745844.241732232</v>
      </c>
      <c r="G37" s="16">
        <f>G14*'Cost Assumptions'!$B$7*'Cost Assumptions'!$B$13*'Baseline System Analysis'!G20*1000</f>
        <v>32861745.330904838</v>
      </c>
      <c r="H37" s="16">
        <f>H14*'Cost Assumptions'!$B$7*'Cost Assumptions'!$B$13*'Baseline System Analysis'!H20*1000</f>
        <v>34016423.495882519</v>
      </c>
      <c r="I37" s="16">
        <f>I14*'Cost Assumptions'!$B$7*'Cost Assumptions'!$B$13*'Baseline System Analysis'!I20*1000</f>
        <v>35205403.224929795</v>
      </c>
      <c r="J37" s="16">
        <f>J14*'Cost Assumptions'!$B$7*'Cost Assumptions'!$B$13*'Baseline System Analysis'!J20*1000</f>
        <v>36462232.647555791</v>
      </c>
      <c r="K37" s="16">
        <f>K14*'Cost Assumptions'!$B$7*'Cost Assumptions'!$B$13*'Baseline System Analysis'!K20*1000</f>
        <v>37756859.914686836</v>
      </c>
      <c r="L37" s="16">
        <f>L14*'Cost Assumptions'!$B$7*'Cost Assumptions'!$B$13*'Baseline System Analysis'!L20*1000</f>
        <v>39093429.649769656</v>
      </c>
      <c r="M37" s="16">
        <f>M14*'Cost Assumptions'!$B$7*'Cost Assumptions'!$B$13*'Baseline System Analysis'!M20*1000</f>
        <v>40473229.83416003</v>
      </c>
      <c r="N37" s="16">
        <f>N14*'Cost Assumptions'!$B$7*'Cost Assumptions'!$B$13*'Baseline System Analysis'!N20*1000</f>
        <v>41907408.683148928</v>
      </c>
      <c r="O37" s="16">
        <f>O14*'Cost Assumptions'!$B$7*'Cost Assumptions'!$B$13*'Baseline System Analysis'!O20*1000</f>
        <v>43388000.705940835</v>
      </c>
      <c r="P37" s="16">
        <f>P14*'Cost Assumptions'!$B$7*'Cost Assumptions'!$B$13*'Baseline System Analysis'!P20*1000</f>
        <v>44919869.962824136</v>
      </c>
      <c r="Q37" s="16">
        <f>Q14*'Cost Assumptions'!$B$7*'Cost Assumptions'!$B$13*'Baseline System Analysis'!Q20*1000</f>
        <v>46497689.424647197</v>
      </c>
      <c r="R37" s="16">
        <f>R14*'Cost Assumptions'!$B$7*'Cost Assumptions'!$B$13*'Baseline System Analysis'!R20*1000</f>
        <v>48111869.335235603</v>
      </c>
      <c r="S37" s="16">
        <f>S14*'Cost Assumptions'!$B$7*'Cost Assumptions'!$B$13*'Baseline System Analysis'!S20*1000</f>
        <v>49777697.185462922</v>
      </c>
      <c r="T37" s="16">
        <f>T14*'Cost Assumptions'!$B$7*'Cost Assumptions'!$B$13*'Baseline System Analysis'!T20*1000</f>
        <v>51500543.365025267</v>
      </c>
      <c r="U37" s="16">
        <f>U14*'Cost Assumptions'!$B$7*'Cost Assumptions'!$B$13*'Baseline System Analysis'!U20*1000</f>
        <v>53274529.016287699</v>
      </c>
      <c r="V37" s="16">
        <f>V14*'Cost Assumptions'!$B$7*'Cost Assumptions'!$B$13*'Baseline System Analysis'!V20*1000</f>
        <v>55069124.471955478</v>
      </c>
      <c r="W37" s="16">
        <f>W14*'Cost Assumptions'!$B$7*'Cost Assumptions'!$B$13*'Baseline System Analysis'!W20*1000</f>
        <v>56920153.119771384</v>
      </c>
      <c r="X37" s="16">
        <f>X14*'Cost Assumptions'!$B$7*'Cost Assumptions'!$B$13*'Baseline System Analysis'!X20*1000</f>
        <v>58829314.997183196</v>
      </c>
      <c r="Y37" s="16">
        <f>Y14*'Cost Assumptions'!$B$7*'Cost Assumptions'!$B$13*'Baseline System Analysis'!Y20*1000</f>
        <v>60794064.079656571</v>
      </c>
      <c r="Z37" s="16">
        <f>Z14*'Cost Assumptions'!$B$7*'Cost Assumptions'!$B$13*'Baseline System Analysis'!Z20*1000</f>
        <v>62767444.039138779</v>
      </c>
      <c r="AA37" s="16">
        <f>AA14*'Cost Assumptions'!$B$7*'Cost Assumptions'!$B$13*'Baseline System Analysis'!AA20*1000</f>
        <v>64796983.43891006</v>
      </c>
      <c r="AB37" s="16">
        <f>AB14*'Cost Assumptions'!$B$7*'Cost Assumptions'!$B$13*'Baseline System Analysis'!AB20*1000</f>
        <v>66888770.156145431</v>
      </c>
      <c r="AC37" s="16">
        <f>AC14*'Cost Assumptions'!$B$7*'Cost Assumptions'!$B$13*'Baseline System Analysis'!AC20*1000</f>
        <v>69049389.846402556</v>
      </c>
      <c r="AD37" s="16">
        <f>AD14*'Cost Assumptions'!$B$7*'Cost Assumptions'!$B$13*'Baseline System Analysis'!AD20*1000</f>
        <v>71198470.310153097</v>
      </c>
      <c r="AE37" s="16">
        <f>AE14*'Cost Assumptions'!$B$7*'Cost Assumptions'!$B$13*'Baseline System Analysis'!AE20*1000</f>
        <v>73411848.928437263</v>
      </c>
    </row>
    <row r="38" spans="1:31" x14ac:dyDescent="0.35">
      <c r="A38" s="87" t="s">
        <v>24</v>
      </c>
      <c r="B38" s="87" t="s">
        <v>124</v>
      </c>
      <c r="C38" s="17">
        <f>NPV('Cost Assumptions'!$B$3,D38:AE38)</f>
        <v>454980682.94424784</v>
      </c>
      <c r="D38" s="16">
        <f>SUM(D36:D37)</f>
        <v>35688179.934388049</v>
      </c>
      <c r="E38" s="16">
        <f t="shared" ref="E38:AE38" si="11">SUM(E36:E37)</f>
        <v>37211412.080142781</v>
      </c>
      <c r="F38" s="16">
        <f t="shared" si="11"/>
        <v>38788500.720726281</v>
      </c>
      <c r="G38" s="16">
        <f t="shared" si="11"/>
        <v>40151958.875187032</v>
      </c>
      <c r="H38" s="16">
        <f t="shared" si="11"/>
        <v>41562796.605423428</v>
      </c>
      <c r="I38" s="16">
        <f t="shared" si="11"/>
        <v>43015545.529846512</v>
      </c>
      <c r="J38" s="16">
        <f t="shared" si="11"/>
        <v>44551196.262400419</v>
      </c>
      <c r="K38" s="16">
        <f t="shared" si="11"/>
        <v>46133030.101872586</v>
      </c>
      <c r="L38" s="16">
        <f t="shared" si="11"/>
        <v>47766111.135654286</v>
      </c>
      <c r="M38" s="16">
        <f t="shared" si="11"/>
        <v>49452013.077311508</v>
      </c>
      <c r="N38" s="16">
        <f t="shared" si="11"/>
        <v>51204357.317838177</v>
      </c>
      <c r="O38" s="16">
        <f t="shared" si="11"/>
        <v>53013411.26221776</v>
      </c>
      <c r="P38" s="16">
        <f t="shared" si="11"/>
        <v>54885118.038141705</v>
      </c>
      <c r="Q38" s="16">
        <f t="shared" si="11"/>
        <v>56812968.841732755</v>
      </c>
      <c r="R38" s="16">
        <f t="shared" si="11"/>
        <v>58785246.477459721</v>
      </c>
      <c r="S38" s="16">
        <f t="shared" si="11"/>
        <v>60820629.889446832</v>
      </c>
      <c r="T38" s="16">
        <f t="shared" si="11"/>
        <v>62925680.861435354</v>
      </c>
      <c r="U38" s="16">
        <f t="shared" si="11"/>
        <v>65093216.340680689</v>
      </c>
      <c r="V38" s="16">
        <f t="shared" si="11"/>
        <v>67285933.806171015</v>
      </c>
      <c r="W38" s="16">
        <f t="shared" si="11"/>
        <v>69547603.884722829</v>
      </c>
      <c r="X38" s="16">
        <f t="shared" si="11"/>
        <v>71880303.758573487</v>
      </c>
      <c r="Y38" s="16">
        <f t="shared" si="11"/>
        <v>74280922.580402821</v>
      </c>
      <c r="Z38" s="16">
        <f t="shared" si="11"/>
        <v>76692086.996059433</v>
      </c>
      <c r="AA38" s="16">
        <f t="shared" si="11"/>
        <v>79171869.542440221</v>
      </c>
      <c r="AB38" s="16">
        <f t="shared" si="11"/>
        <v>81727708.661767513</v>
      </c>
      <c r="AC38" s="16">
        <f t="shared" si="11"/>
        <v>84367651.004286259</v>
      </c>
      <c r="AD38" s="16">
        <f t="shared" si="11"/>
        <v>86993494.200716496</v>
      </c>
      <c r="AE38" s="16">
        <f t="shared" si="11"/>
        <v>89697899.77509068</v>
      </c>
    </row>
    <row r="39" spans="1:31" x14ac:dyDescent="0.35">
      <c r="A39" s="87"/>
      <c r="B39" s="87"/>
      <c r="C39" s="8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x14ac:dyDescent="0.35">
      <c r="A40" s="87" t="s">
        <v>123</v>
      </c>
      <c r="B40" s="87" t="s">
        <v>125</v>
      </c>
      <c r="C40" s="17">
        <f>NPV('Cost Assumptions'!$B$3,D40:AE40)</f>
        <v>65672043.686941206</v>
      </c>
      <c r="D40" s="16">
        <v>3271758.246391288</v>
      </c>
      <c r="E40" s="16">
        <v>3697126.0400298424</v>
      </c>
      <c r="F40" s="16">
        <v>4150284.9951966759</v>
      </c>
      <c r="G40" s="16">
        <v>4480466.6399249397</v>
      </c>
      <c r="H40" s="16">
        <v>4848183.0223706923</v>
      </c>
      <c r="I40" s="16">
        <v>5212148.5121617252</v>
      </c>
      <c r="J40" s="16">
        <v>5591774.3793814136</v>
      </c>
      <c r="K40" s="16">
        <v>6026004.1139160451</v>
      </c>
      <c r="L40" s="16">
        <v>6474039.4578173691</v>
      </c>
      <c r="M40" s="16">
        <v>6947092.5376878968</v>
      </c>
      <c r="N40" s="16">
        <v>7498461.4566852357</v>
      </c>
      <c r="O40" s="16">
        <v>8019269.6339596054</v>
      </c>
      <c r="P40" s="16">
        <v>8591538.4550783169</v>
      </c>
      <c r="Q40" s="16">
        <v>9203213.0630852506</v>
      </c>
      <c r="R40" s="16">
        <v>9813368.5565764308</v>
      </c>
      <c r="S40" s="16">
        <v>10485782.902964629</v>
      </c>
      <c r="T40" s="16">
        <v>11174577.264097422</v>
      </c>
      <c r="U40" s="16">
        <v>11910323.503539238</v>
      </c>
      <c r="V40" s="16">
        <v>12634903.526947454</v>
      </c>
      <c r="W40" s="16">
        <v>13400277.092738135</v>
      </c>
      <c r="X40" s="16">
        <v>14178134.0320802</v>
      </c>
      <c r="Y40" s="16">
        <v>14970826.276576528</v>
      </c>
      <c r="Z40" s="16">
        <v>15823161.979503542</v>
      </c>
      <c r="AA40" s="16">
        <v>16694064.311412277</v>
      </c>
      <c r="AB40" s="16">
        <v>17554796.639511876</v>
      </c>
      <c r="AC40" s="16">
        <v>18491180.893721499</v>
      </c>
      <c r="AD40" s="16">
        <v>19332692.666733395</v>
      </c>
      <c r="AE40" s="16">
        <v>20272966.980064031</v>
      </c>
    </row>
    <row r="41" spans="1:31" x14ac:dyDescent="0.35">
      <c r="A41" s="87" t="s">
        <v>114</v>
      </c>
      <c r="B41" s="87" t="s">
        <v>125</v>
      </c>
      <c r="C41" s="17">
        <f>NPV('Cost Assumptions'!$B$3,D41:AE41)</f>
        <v>265545644.4639577</v>
      </c>
      <c r="D41" s="16">
        <v>13254020.701463148</v>
      </c>
      <c r="E41" s="16">
        <v>14995227.627301292</v>
      </c>
      <c r="F41" s="16">
        <v>16823153.931896131</v>
      </c>
      <c r="G41" s="16">
        <v>18163165.352517527</v>
      </c>
      <c r="H41" s="16">
        <v>19644257.842419293</v>
      </c>
      <c r="I41" s="16">
        <v>21100440.891737539</v>
      </c>
      <c r="J41" s="16">
        <v>22606458.258663341</v>
      </c>
      <c r="K41" s="16">
        <v>24363930.482986286</v>
      </c>
      <c r="L41" s="16">
        <v>26194836.97952088</v>
      </c>
      <c r="M41" s="16">
        <v>28083995.023996953</v>
      </c>
      <c r="N41" s="16">
        <v>30330957.780543711</v>
      </c>
      <c r="O41" s="16">
        <v>32441113.665932484</v>
      </c>
      <c r="P41" s="16">
        <v>34736744.709037527</v>
      </c>
      <c r="Q41" s="16">
        <v>37191747.847034588</v>
      </c>
      <c r="R41" s="16">
        <v>39634988.635705702</v>
      </c>
      <c r="S41" s="16">
        <v>42351331.357361116</v>
      </c>
      <c r="T41" s="16">
        <v>45147781.57557074</v>
      </c>
      <c r="U41" s="16">
        <v>48091952.106633812</v>
      </c>
      <c r="V41" s="16">
        <v>51016691.417346619</v>
      </c>
      <c r="W41" s="16">
        <v>54128286.50564418</v>
      </c>
      <c r="X41" s="16">
        <v>57217414.166955024</v>
      </c>
      <c r="Y41" s="16">
        <v>60410587.83631745</v>
      </c>
      <c r="Z41" s="16">
        <v>63844128.11491964</v>
      </c>
      <c r="AA41" s="16">
        <v>67338713.314154789</v>
      </c>
      <c r="AB41" s="16">
        <v>70844441.497366801</v>
      </c>
      <c r="AC41" s="16">
        <v>74614729.684401348</v>
      </c>
      <c r="AD41" s="16">
        <v>78045173.326703548</v>
      </c>
      <c r="AE41" s="16">
        <v>81869455.391746312</v>
      </c>
    </row>
    <row r="42" spans="1:31" x14ac:dyDescent="0.35">
      <c r="A42" s="87" t="s">
        <v>24</v>
      </c>
      <c r="B42" s="87" t="s">
        <v>125</v>
      </c>
      <c r="C42" s="17">
        <f>NPV('Cost Assumptions'!$B$3,D42:AE42)</f>
        <v>331217688.15089887</v>
      </c>
      <c r="D42" s="5">
        <v>16525778.947854437</v>
      </c>
      <c r="E42" s="5">
        <v>18692353.667331137</v>
      </c>
      <c r="F42" s="5">
        <v>20973438.927092806</v>
      </c>
      <c r="G42" s="5">
        <v>22643631.992442466</v>
      </c>
      <c r="H42" s="5">
        <v>24492440.864789985</v>
      </c>
      <c r="I42" s="5">
        <v>26312589.403899264</v>
      </c>
      <c r="J42" s="5">
        <v>28198232.638044756</v>
      </c>
      <c r="K42" s="5">
        <v>30389934.596902333</v>
      </c>
      <c r="L42" s="5">
        <v>32668876.437338248</v>
      </c>
      <c r="M42" s="5">
        <v>35031087.561684847</v>
      </c>
      <c r="N42" s="5">
        <v>37829419.237228945</v>
      </c>
      <c r="O42" s="5">
        <v>40460383.29989209</v>
      </c>
      <c r="P42" s="5">
        <v>43328283.164115846</v>
      </c>
      <c r="Q42" s="5">
        <v>46394960.910119839</v>
      </c>
      <c r="R42" s="5">
        <v>49448357.192282133</v>
      </c>
      <c r="S42" s="5">
        <v>52837114.260325745</v>
      </c>
      <c r="T42" s="5">
        <v>56322358.839668162</v>
      </c>
      <c r="U42" s="5">
        <v>60002275.610173047</v>
      </c>
      <c r="V42" s="5">
        <v>63651594.944294073</v>
      </c>
      <c r="W42" s="5">
        <v>67528563.598382309</v>
      </c>
      <c r="X42" s="5">
        <v>71395548.199035227</v>
      </c>
      <c r="Y42" s="5">
        <v>75381414.112893984</v>
      </c>
      <c r="Z42" s="5">
        <v>79667290.094423175</v>
      </c>
      <c r="AA42" s="5">
        <v>84032777.625567064</v>
      </c>
      <c r="AB42" s="5">
        <v>88399238.136878669</v>
      </c>
      <c r="AC42" s="5">
        <v>93105910.578122854</v>
      </c>
      <c r="AD42" s="5">
        <v>97377865.993436947</v>
      </c>
      <c r="AE42" s="5">
        <v>102142422.37181035</v>
      </c>
    </row>
    <row r="43" spans="1:31" x14ac:dyDescent="0.35">
      <c r="A43" s="87"/>
      <c r="B43" s="87"/>
      <c r="C43" s="87"/>
      <c r="E43" s="87"/>
      <c r="F43" s="87"/>
      <c r="G43" s="87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0" thickBot="1" x14ac:dyDescent="0.5">
      <c r="A44" s="145" t="s">
        <v>126</v>
      </c>
      <c r="B44" s="145"/>
      <c r="C44" s="17">
        <f>NPV('Cost Assumptions'!$B$3,D44:AE44)</f>
        <v>9867234442.9951</v>
      </c>
      <c r="D44" s="16">
        <v>181964654.44200507</v>
      </c>
      <c r="E44" s="16">
        <v>259592903.10040766</v>
      </c>
      <c r="F44" s="16">
        <v>340363271.90402579</v>
      </c>
      <c r="G44" s="16">
        <v>424309370.79250014</v>
      </c>
      <c r="H44" s="16">
        <v>511321233.02092046</v>
      </c>
      <c r="I44" s="16">
        <v>601672552.62407196</v>
      </c>
      <c r="J44" s="16">
        <v>699418959.09631276</v>
      </c>
      <c r="K44" s="16">
        <v>801385395.187765</v>
      </c>
      <c r="L44" s="16">
        <v>909576464.72289813</v>
      </c>
      <c r="M44" s="16">
        <v>1026140174.7878197</v>
      </c>
      <c r="N44" s="16">
        <v>1150432475.8062413</v>
      </c>
      <c r="O44" s="16">
        <v>1282189056.5487785</v>
      </c>
      <c r="P44" s="16">
        <v>1419945428.9626267</v>
      </c>
      <c r="Q44" s="16">
        <v>1559002541.3815396</v>
      </c>
      <c r="R44" s="16">
        <v>1707697086.0417166</v>
      </c>
      <c r="S44" s="16">
        <v>1866451696.6989315</v>
      </c>
      <c r="T44" s="16">
        <v>2032862756.8931613</v>
      </c>
      <c r="U44" s="16">
        <v>2207709933.1311097</v>
      </c>
      <c r="V44" s="16">
        <v>2391403935.6703057</v>
      </c>
      <c r="W44" s="16">
        <v>2588187806.8889046</v>
      </c>
      <c r="X44" s="16">
        <v>2785872903.8932962</v>
      </c>
      <c r="Y44" s="16">
        <v>2995860530.7865949</v>
      </c>
      <c r="Z44" s="16">
        <v>3210617638.3647161</v>
      </c>
      <c r="AA44" s="16">
        <v>3435180043.7064972</v>
      </c>
      <c r="AB44" s="16">
        <v>3675247890.5417686</v>
      </c>
      <c r="AC44" s="16">
        <v>3928431482.8309784</v>
      </c>
      <c r="AD44" s="16">
        <v>4172485519.1656609</v>
      </c>
      <c r="AE44" s="16">
        <v>4441461010.1215334</v>
      </c>
    </row>
    <row r="45" spans="1:31" ht="15" thickTop="1" x14ac:dyDescent="0.35">
      <c r="A45" s="87"/>
      <c r="B45" s="87"/>
      <c r="C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</row>
    <row r="46" spans="1:31" x14ac:dyDescent="0.35">
      <c r="A46" s="87"/>
      <c r="B46" s="87"/>
      <c r="C46" s="49"/>
      <c r="D46" s="49"/>
      <c r="E46" s="57"/>
      <c r="F46" s="5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</row>
    <row r="47" spans="1:31" x14ac:dyDescent="0.35">
      <c r="A47" s="87"/>
      <c r="B47" s="87"/>
      <c r="C47" s="87"/>
      <c r="E47" s="87"/>
      <c r="F47" s="87"/>
      <c r="G47" s="87"/>
      <c r="H47" s="3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</row>
    <row r="48" spans="1:31" x14ac:dyDescent="0.35">
      <c r="A48" s="87"/>
      <c r="B48" s="87"/>
      <c r="C48" s="87"/>
      <c r="E48" s="87"/>
      <c r="F48" s="87"/>
      <c r="G48" s="87"/>
      <c r="H48" s="37"/>
      <c r="I48" s="18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</row>
    <row r="49" spans="1:31" x14ac:dyDescent="0.35">
      <c r="A49" s="87"/>
      <c r="B49" s="87"/>
      <c r="C49" s="87"/>
      <c r="E49" s="87"/>
      <c r="F49" s="87"/>
      <c r="G49" s="87"/>
      <c r="H49" s="37"/>
      <c r="I49" s="5"/>
      <c r="J49" s="5"/>
      <c r="K49" s="5"/>
      <c r="L49" s="5"/>
      <c r="M49" s="5"/>
      <c r="N49" s="5"/>
      <c r="O49" s="5"/>
      <c r="P49" s="87"/>
      <c r="Q49" s="87"/>
      <c r="R49" s="87"/>
      <c r="S49" s="87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35">
      <c r="A50" s="87" t="s">
        <v>117</v>
      </c>
      <c r="B50" s="87" t="s">
        <v>118</v>
      </c>
      <c r="C50" s="17">
        <f>C24</f>
        <v>4652002.7758050347</v>
      </c>
      <c r="E50" s="87"/>
      <c r="F50" s="87"/>
      <c r="G50" s="87"/>
      <c r="H50" s="61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</row>
    <row r="51" spans="1:31" x14ac:dyDescent="0.35">
      <c r="A51" s="87" t="s">
        <v>119</v>
      </c>
      <c r="B51" s="87" t="s">
        <v>118</v>
      </c>
      <c r="C51" s="17">
        <f t="shared" ref="C51:C60" si="12">C25</f>
        <v>19303419.594411455</v>
      </c>
      <c r="E51" s="87"/>
      <c r="F51" s="87"/>
      <c r="G51" s="87"/>
      <c r="H51" s="61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</row>
    <row r="52" spans="1:31" x14ac:dyDescent="0.35">
      <c r="A52" s="87" t="s">
        <v>24</v>
      </c>
      <c r="B52" s="87" t="s">
        <v>118</v>
      </c>
      <c r="C52" s="17">
        <f t="shared" si="12"/>
        <v>23955422.370216489</v>
      </c>
      <c r="E52" s="87"/>
      <c r="F52" s="87"/>
      <c r="G52" s="87"/>
      <c r="H52" s="61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</row>
    <row r="53" spans="1:31" x14ac:dyDescent="0.35">
      <c r="A53" s="87"/>
      <c r="B53" s="87"/>
      <c r="C53" s="17"/>
      <c r="E53" s="87"/>
      <c r="F53" s="87"/>
      <c r="G53" s="87"/>
      <c r="H53" s="61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</row>
    <row r="54" spans="1:31" x14ac:dyDescent="0.35">
      <c r="A54" s="87" t="s">
        <v>120</v>
      </c>
      <c r="B54" s="87" t="s">
        <v>118</v>
      </c>
      <c r="C54" s="17">
        <f t="shared" si="12"/>
        <v>122402385.45052689</v>
      </c>
      <c r="E54" s="87"/>
      <c r="F54" s="87"/>
      <c r="G54" s="87"/>
      <c r="H54" s="61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</row>
    <row r="55" spans="1:31" x14ac:dyDescent="0.35">
      <c r="A55" s="87" t="s">
        <v>121</v>
      </c>
      <c r="B55" s="87" t="s">
        <v>118</v>
      </c>
      <c r="C55" s="17">
        <f t="shared" si="12"/>
        <v>524690134.18495488</v>
      </c>
      <c r="E55" s="87"/>
      <c r="F55" s="87"/>
      <c r="G55" s="87"/>
      <c r="H55" s="61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</row>
    <row r="56" spans="1:31" x14ac:dyDescent="0.35">
      <c r="A56" s="87" t="s">
        <v>24</v>
      </c>
      <c r="B56" s="87" t="s">
        <v>118</v>
      </c>
      <c r="C56" s="17">
        <f t="shared" si="12"/>
        <v>647092519.63548172</v>
      </c>
      <c r="E56" s="87"/>
      <c r="F56" s="87"/>
      <c r="G56" s="87"/>
      <c r="H56" s="61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</row>
    <row r="57" spans="1:31" x14ac:dyDescent="0.35">
      <c r="A57" s="87"/>
      <c r="B57" s="87"/>
      <c r="C57" s="17"/>
      <c r="E57" s="87"/>
      <c r="F57" s="87"/>
      <c r="G57" s="87"/>
      <c r="H57" s="61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</row>
    <row r="58" spans="1:31" x14ac:dyDescent="0.35">
      <c r="A58" s="87" t="s">
        <v>120</v>
      </c>
      <c r="B58" s="87" t="s">
        <v>122</v>
      </c>
      <c r="C58" s="17">
        <f t="shared" si="12"/>
        <v>1642693710.165427</v>
      </c>
      <c r="E58" s="87"/>
      <c r="F58" s="87"/>
      <c r="G58" s="87"/>
      <c r="H58" s="61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</row>
    <row r="59" spans="1:31" x14ac:dyDescent="0.35">
      <c r="A59" s="87" t="s">
        <v>121</v>
      </c>
      <c r="B59" s="87" t="s">
        <v>122</v>
      </c>
      <c r="C59" s="17">
        <f t="shared" si="12"/>
        <v>6767294419.7288284</v>
      </c>
      <c r="E59" s="87"/>
      <c r="F59" s="87"/>
      <c r="G59" s="87"/>
      <c r="H59" s="61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</row>
    <row r="60" spans="1:31" x14ac:dyDescent="0.35">
      <c r="A60" s="87" t="s">
        <v>24</v>
      </c>
      <c r="B60" s="87" t="s">
        <v>122</v>
      </c>
      <c r="C60" s="17">
        <f t="shared" si="12"/>
        <v>8409988129.8942556</v>
      </c>
      <c r="E60" s="87"/>
      <c r="F60" s="87"/>
      <c r="G60" s="87"/>
      <c r="H60" s="61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</row>
    <row r="61" spans="1:31" x14ac:dyDescent="0.35">
      <c r="A61" s="87"/>
      <c r="B61" s="87"/>
      <c r="C61" s="17"/>
      <c r="E61" s="87"/>
      <c r="F61" s="87"/>
      <c r="G61" s="87"/>
      <c r="H61" s="61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</row>
    <row r="62" spans="1:31" x14ac:dyDescent="0.35">
      <c r="A62" s="87" t="s">
        <v>123</v>
      </c>
      <c r="B62" s="87" t="s">
        <v>127</v>
      </c>
      <c r="C62" s="17">
        <f>C36+C40</f>
        <v>148280873.49515983</v>
      </c>
      <c r="E62" s="87"/>
      <c r="F62" s="87"/>
      <c r="G62" s="87"/>
      <c r="H62" s="61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</row>
    <row r="63" spans="1:31" x14ac:dyDescent="0.35">
      <c r="A63" s="87" t="s">
        <v>114</v>
      </c>
      <c r="B63" s="87" t="s">
        <v>128</v>
      </c>
      <c r="C63" s="17">
        <f t="shared" ref="C63:C64" si="13">C37+C41</f>
        <v>637917497.59998691</v>
      </c>
      <c r="E63" s="87"/>
      <c r="F63" s="87"/>
      <c r="G63" s="87"/>
      <c r="H63" s="61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</row>
    <row r="64" spans="1:31" x14ac:dyDescent="0.35">
      <c r="A64" s="87" t="s">
        <v>24</v>
      </c>
      <c r="B64" s="87" t="s">
        <v>129</v>
      </c>
      <c r="C64" s="17">
        <f t="shared" si="13"/>
        <v>786198371.09514666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</row>
    <row r="65" spans="1:3" x14ac:dyDescent="0.35">
      <c r="A65" s="87"/>
      <c r="B65" s="87"/>
      <c r="C65" s="38"/>
    </row>
    <row r="66" spans="1:3" ht="20" thickBot="1" x14ac:dyDescent="0.5">
      <c r="A66" s="145" t="s">
        <v>61</v>
      </c>
      <c r="B66" s="145"/>
      <c r="C66" s="67">
        <f>C44/1000000</f>
        <v>9867.2344429951008</v>
      </c>
    </row>
    <row r="67" spans="1:3" ht="15" thickTop="1" x14ac:dyDescent="0.35">
      <c r="A67" s="87"/>
      <c r="B67" s="87"/>
      <c r="C67" s="87"/>
    </row>
  </sheetData>
  <mergeCells count="3">
    <mergeCell ref="A44:B44"/>
    <mergeCell ref="A66:B66"/>
    <mergeCell ref="B2:B15"/>
  </mergeCells>
  <phoneticPr fontId="17" type="noConversion"/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89"/>
  <sheetViews>
    <sheetView zoomScale="85" zoomScaleNormal="85" workbookViewId="0"/>
  </sheetViews>
  <sheetFormatPr defaultRowHeight="14.5" x14ac:dyDescent="0.35"/>
  <cols>
    <col min="1" max="1" width="17.1796875" customWidth="1"/>
    <col min="2" max="2" width="28.81640625" bestFit="1" customWidth="1"/>
    <col min="3" max="3" width="26" customWidth="1"/>
    <col min="4" max="4" width="19.453125" style="87" customWidth="1"/>
    <col min="5" max="5" width="16.7265625" bestFit="1" customWidth="1"/>
    <col min="6" max="8" width="17.7265625" bestFit="1" customWidth="1"/>
    <col min="9" max="9" width="17.26953125" bestFit="1" customWidth="1"/>
    <col min="10" max="10" width="17.7265625" bestFit="1" customWidth="1"/>
    <col min="11" max="11" width="17.26953125" bestFit="1" customWidth="1"/>
    <col min="12" max="12" width="17.7265625" bestFit="1" customWidth="1"/>
    <col min="13" max="13" width="17.26953125" bestFit="1" customWidth="1"/>
    <col min="14" max="14" width="17.7265625" bestFit="1" customWidth="1"/>
    <col min="15" max="15" width="17.26953125" bestFit="1" customWidth="1"/>
    <col min="16" max="17" width="17.7265625" bestFit="1" customWidth="1"/>
    <col min="18" max="18" width="17.26953125" bestFit="1" customWidth="1"/>
    <col min="19" max="19" width="18.54296875" bestFit="1" customWidth="1"/>
    <col min="20" max="20" width="18.26953125" bestFit="1" customWidth="1"/>
    <col min="21" max="23" width="18.54296875" bestFit="1" customWidth="1"/>
    <col min="24" max="30" width="19" bestFit="1" customWidth="1"/>
    <col min="31" max="31" width="19.45312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3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3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3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3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3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3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3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3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3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3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3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x14ac:dyDescent="0.35">
      <c r="A14" s="87" t="s">
        <v>30</v>
      </c>
      <c r="B14" s="163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x14ac:dyDescent="0.35">
      <c r="A15" s="87" t="s">
        <v>30</v>
      </c>
      <c r="B15" s="163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15" thickTop="1" x14ac:dyDescent="0.35">
      <c r="A18" s="87"/>
      <c r="B18" s="163" t="s">
        <v>9</v>
      </c>
      <c r="C18" s="87" t="s">
        <v>107</v>
      </c>
      <c r="D18" s="61">
        <v>40954.000000000102</v>
      </c>
      <c r="E18" s="61">
        <v>41590.294117647114</v>
      </c>
      <c r="F18" s="61">
        <v>41894.751131221776</v>
      </c>
      <c r="G18" s="61">
        <v>42199.208144796437</v>
      </c>
      <c r="H18" s="61">
        <v>42503.665158371099</v>
      </c>
      <c r="I18" s="61">
        <v>42808.122171945761</v>
      </c>
      <c r="J18" s="61">
        <v>43112.579185520422</v>
      </c>
      <c r="K18" s="61">
        <v>43417.036199095084</v>
      </c>
      <c r="L18" s="61">
        <v>43721.493212669746</v>
      </c>
      <c r="M18" s="61">
        <v>44025.950226244408</v>
      </c>
      <c r="N18" s="61">
        <v>44330.407239819069</v>
      </c>
      <c r="O18" s="61">
        <v>44634.864253393731</v>
      </c>
      <c r="P18" s="61">
        <v>44939.321266968393</v>
      </c>
      <c r="Q18" s="61">
        <v>45243.778280543054</v>
      </c>
      <c r="R18" s="61">
        <v>45548.235294117716</v>
      </c>
      <c r="S18" s="61">
        <v>45852.692307692378</v>
      </c>
      <c r="T18" s="61">
        <v>46157.149321267039</v>
      </c>
      <c r="U18" s="61">
        <v>46461.606334841701</v>
      </c>
      <c r="V18" s="61">
        <v>46766.063348416363</v>
      </c>
      <c r="W18" s="61">
        <v>47070.520361991024</v>
      </c>
      <c r="X18" s="61">
        <v>47374.977375565686</v>
      </c>
      <c r="Y18" s="61">
        <v>47679.434389140348</v>
      </c>
      <c r="Z18" s="61">
        <v>47983.891402715009</v>
      </c>
      <c r="AA18" s="61">
        <v>48288.348416289671</v>
      </c>
      <c r="AB18" s="61">
        <v>48592.805429864333</v>
      </c>
      <c r="AC18" s="61">
        <v>48897.262443438995</v>
      </c>
      <c r="AD18" s="61">
        <v>49201.719457013656</v>
      </c>
      <c r="AE18" s="61">
        <v>49506.176470588354</v>
      </c>
    </row>
    <row r="19" spans="1:31" x14ac:dyDescent="0.35">
      <c r="A19" s="87" t="s">
        <v>30</v>
      </c>
      <c r="B19" s="163"/>
      <c r="C19" s="87" t="s">
        <v>31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33.399999999999977</v>
      </c>
      <c r="Q19" s="61">
        <v>59.379999999999967</v>
      </c>
      <c r="R19" s="61">
        <v>85.359999999999957</v>
      </c>
      <c r="S19" s="61">
        <v>111.33999999999995</v>
      </c>
      <c r="T19" s="61">
        <v>137.31999999999994</v>
      </c>
      <c r="U19" s="61">
        <v>163.29999999999993</v>
      </c>
      <c r="V19" s="61">
        <v>236.67999999999995</v>
      </c>
      <c r="W19" s="61">
        <v>310.05999999999995</v>
      </c>
      <c r="X19" s="61">
        <v>383.43999999999994</v>
      </c>
      <c r="Y19" s="61">
        <v>456.81999999999994</v>
      </c>
      <c r="Z19" s="61">
        <v>530.20000000000005</v>
      </c>
      <c r="AA19" s="61">
        <v>621.9</v>
      </c>
      <c r="AB19" s="61">
        <v>713.59999999999991</v>
      </c>
      <c r="AC19" s="61">
        <v>805.29999999999984</v>
      </c>
      <c r="AD19" s="61">
        <v>896.99999999999977</v>
      </c>
      <c r="AE19" s="61">
        <v>1080.2999999999997</v>
      </c>
    </row>
    <row r="20" spans="1:31" x14ac:dyDescent="0.35">
      <c r="A20" s="87" t="s">
        <v>30</v>
      </c>
      <c r="B20" s="163"/>
      <c r="C20" s="87" t="s">
        <v>32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10.600000000000023</v>
      </c>
      <c r="Q20" s="61">
        <v>12.860000000000014</v>
      </c>
      <c r="R20" s="61">
        <v>15.120000000000005</v>
      </c>
      <c r="S20" s="61">
        <v>17.379999999999995</v>
      </c>
      <c r="T20" s="61">
        <v>19.639999999999986</v>
      </c>
      <c r="U20" s="61">
        <v>21.899999999999977</v>
      </c>
      <c r="V20" s="61">
        <v>24.339999999999986</v>
      </c>
      <c r="W20" s="61">
        <v>26.779999999999994</v>
      </c>
      <c r="X20" s="61">
        <v>29.220000000000002</v>
      </c>
      <c r="Y20" s="61">
        <v>31.660000000000011</v>
      </c>
      <c r="Z20" s="61">
        <v>34.100000000000023</v>
      </c>
      <c r="AA20" s="61">
        <v>36.17000000000003</v>
      </c>
      <c r="AB20" s="61">
        <v>38.240000000000038</v>
      </c>
      <c r="AC20" s="61">
        <v>40.310000000000045</v>
      </c>
      <c r="AD20" s="61">
        <v>42.380000000000052</v>
      </c>
      <c r="AE20" s="61">
        <v>42.600000000000023</v>
      </c>
    </row>
    <row r="21" spans="1:31" x14ac:dyDescent="0.35">
      <c r="A21" s="87" t="s">
        <v>30</v>
      </c>
      <c r="B21" s="163"/>
      <c r="C21" s="87" t="s">
        <v>33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0.42241874838314913</v>
      </c>
      <c r="Q21" s="61">
        <v>1.598633261578303</v>
      </c>
      <c r="R21" s="61">
        <v>2.7748477747734568</v>
      </c>
      <c r="S21" s="61">
        <v>3.9510622879686106</v>
      </c>
      <c r="T21" s="61">
        <v>5.1272768011637648</v>
      </c>
      <c r="U21" s="61">
        <v>6.3034913143589177</v>
      </c>
      <c r="V21" s="61">
        <v>14.097744325237205</v>
      </c>
      <c r="W21" s="61">
        <v>21.891997336115491</v>
      </c>
      <c r="X21" s="61">
        <v>29.686250346993777</v>
      </c>
      <c r="Y21" s="61">
        <v>37.480503357872067</v>
      </c>
      <c r="Z21" s="61">
        <v>45.274756368750346</v>
      </c>
      <c r="AA21" s="61">
        <v>59.844705921176214</v>
      </c>
      <c r="AB21" s="61">
        <v>74.414655473602082</v>
      </c>
      <c r="AC21" s="61">
        <v>88.98460502602795</v>
      </c>
      <c r="AD21" s="61">
        <v>103.55455457845382</v>
      </c>
      <c r="AE21" s="61">
        <v>152.00298683861757</v>
      </c>
    </row>
    <row r="22" spans="1:31" x14ac:dyDescent="0.35">
      <c r="A22" s="87" t="s">
        <v>30</v>
      </c>
      <c r="B22" s="163"/>
      <c r="C22" s="87" t="s">
        <v>34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8.4483749676629832E-2</v>
      </c>
      <c r="Q22" s="61">
        <v>0.15044123511366811</v>
      </c>
      <c r="R22" s="61">
        <v>0.21639872055070639</v>
      </c>
      <c r="S22" s="61">
        <v>0.28235620598774469</v>
      </c>
      <c r="T22" s="61">
        <v>0.34831369142478297</v>
      </c>
      <c r="U22" s="61">
        <v>0.41427117686182124</v>
      </c>
      <c r="V22" s="61">
        <v>0.60055841768971374</v>
      </c>
      <c r="W22" s="61">
        <v>0.78684565851760624</v>
      </c>
      <c r="X22" s="61">
        <v>0.97313289934549874</v>
      </c>
      <c r="Y22" s="61">
        <v>1.1594201401733912</v>
      </c>
      <c r="Z22" s="61">
        <v>1.3457073810012838</v>
      </c>
      <c r="AA22" s="61">
        <v>1.5737351330712728</v>
      </c>
      <c r="AB22" s="61">
        <v>1.8017628851412617</v>
      </c>
      <c r="AC22" s="61">
        <v>2.0297906372112506</v>
      </c>
      <c r="AD22" s="61">
        <v>2.2578183892812396</v>
      </c>
      <c r="AE22" s="61">
        <v>2.6945486975617108</v>
      </c>
    </row>
    <row r="23" spans="1:31" x14ac:dyDescent="0.35">
      <c r="A23" s="87" t="s">
        <v>30</v>
      </c>
      <c r="B23" s="163"/>
      <c r="C23" s="87" t="s">
        <v>35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5</v>
      </c>
      <c r="Q23" s="61">
        <v>6.4</v>
      </c>
      <c r="R23" s="61">
        <v>7.8000000000000007</v>
      </c>
      <c r="S23" s="61">
        <v>9.2000000000000011</v>
      </c>
      <c r="T23" s="61">
        <v>10.600000000000001</v>
      </c>
      <c r="U23" s="61">
        <v>12</v>
      </c>
      <c r="V23" s="61">
        <v>10.8</v>
      </c>
      <c r="W23" s="61">
        <v>9.6000000000000014</v>
      </c>
      <c r="X23" s="61">
        <v>8.4000000000000021</v>
      </c>
      <c r="Y23" s="61">
        <v>7.200000000000002</v>
      </c>
      <c r="Z23" s="61">
        <v>6</v>
      </c>
      <c r="AA23" s="61">
        <v>9.1</v>
      </c>
      <c r="AB23" s="61">
        <v>12.2</v>
      </c>
      <c r="AC23" s="61">
        <v>15.299999999999999</v>
      </c>
      <c r="AD23" s="61">
        <v>18.399999999999999</v>
      </c>
      <c r="AE23" s="61">
        <v>43</v>
      </c>
    </row>
    <row r="24" spans="1:31" x14ac:dyDescent="0.35">
      <c r="A24" s="87" t="s">
        <v>30</v>
      </c>
      <c r="B24" s="163"/>
      <c r="C24" s="87" t="s">
        <v>108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</row>
    <row r="25" spans="1:31" x14ac:dyDescent="0.35">
      <c r="A25" s="87" t="s">
        <v>30</v>
      </c>
      <c r="B25" s="163"/>
      <c r="C25" s="87" t="s">
        <v>109</v>
      </c>
      <c r="D25" s="61">
        <v>8194.6223959877807</v>
      </c>
      <c r="E25" s="61">
        <v>8960.1834085732244</v>
      </c>
      <c r="F25" s="61">
        <v>9762.6954748687731</v>
      </c>
      <c r="G25" s="61">
        <v>10249.69929524426</v>
      </c>
      <c r="H25" s="61">
        <v>10764.621351493517</v>
      </c>
      <c r="I25" s="61">
        <v>11282.180456045544</v>
      </c>
      <c r="J25" s="61">
        <v>11851.980836763294</v>
      </c>
      <c r="K25" s="61">
        <v>12431.302693120981</v>
      </c>
      <c r="L25" s="61">
        <v>13021.583402431279</v>
      </c>
      <c r="M25" s="61">
        <v>13618.527658212995</v>
      </c>
      <c r="N25" s="61">
        <v>14237.760168268536</v>
      </c>
      <c r="O25" s="61">
        <v>14874.186106619438</v>
      </c>
      <c r="P25" s="61">
        <v>15530.180746676477</v>
      </c>
      <c r="Q25" s="61">
        <v>16188.029201237316</v>
      </c>
      <c r="R25" s="61">
        <v>16831.327695432286</v>
      </c>
      <c r="S25" s="61">
        <v>17485.175259063475</v>
      </c>
      <c r="T25" s="61">
        <v>18156.295306576521</v>
      </c>
      <c r="U25" s="61">
        <v>18825.551551254714</v>
      </c>
      <c r="V25" s="61">
        <v>19458.960365830269</v>
      </c>
      <c r="W25" s="61">
        <v>20105.463131229459</v>
      </c>
      <c r="X25" s="61">
        <v>20761.544858348407</v>
      </c>
      <c r="Y25" s="61">
        <v>21416.27552236104</v>
      </c>
      <c r="Z25" s="61">
        <v>22008.59719139948</v>
      </c>
      <c r="AA25" s="61">
        <v>22600.539857716325</v>
      </c>
      <c r="AB25" s="61">
        <v>23199.659575653259</v>
      </c>
      <c r="AC25" s="61">
        <v>23811.742108372404</v>
      </c>
      <c r="AD25" s="61">
        <v>24331.093833168146</v>
      </c>
      <c r="AE25" s="61">
        <v>24853.136328641533</v>
      </c>
    </row>
    <row r="26" spans="1:31" s="60" customFormat="1" x14ac:dyDescent="0.35">
      <c r="A26" s="87" t="s">
        <v>30</v>
      </c>
      <c r="B26" s="163"/>
      <c r="C26" s="87" t="s">
        <v>110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9.0455367027876719</v>
      </c>
      <c r="R26" s="61">
        <v>24.027889375050108</v>
      </c>
      <c r="S26" s="61">
        <v>49.491983581606178</v>
      </c>
      <c r="T26" s="61">
        <v>75.830419591675309</v>
      </c>
      <c r="U26" s="61">
        <v>108.78187573778689</v>
      </c>
      <c r="V26" s="61">
        <v>147.90193374182275</v>
      </c>
      <c r="W26" s="61">
        <v>192.40835400656954</v>
      </c>
      <c r="X26" s="61">
        <v>241.24817227734866</v>
      </c>
      <c r="Y26" s="61">
        <v>294.36134466781937</v>
      </c>
      <c r="Z26" s="61">
        <v>352.58076884437037</v>
      </c>
      <c r="AA26" s="61">
        <v>419.47384229638965</v>
      </c>
      <c r="AB26" s="61">
        <v>496.00534764011456</v>
      </c>
      <c r="AC26" s="61">
        <v>592.68300100794534</v>
      </c>
      <c r="AD26" s="61">
        <v>691.21587884649728</v>
      </c>
      <c r="AE26" s="61">
        <v>803.14820082829681</v>
      </c>
    </row>
    <row r="27" spans="1:31" x14ac:dyDescent="0.35">
      <c r="A27" s="87" t="s">
        <v>39</v>
      </c>
      <c r="B27" s="163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0.59999999999999432</v>
      </c>
      <c r="V27" s="61">
        <v>6.0799999999999956</v>
      </c>
      <c r="W27" s="61">
        <v>11.559999999999997</v>
      </c>
      <c r="X27" s="61">
        <v>17.04</v>
      </c>
      <c r="Y27" s="61">
        <v>22.52</v>
      </c>
      <c r="Z27" s="61">
        <v>28</v>
      </c>
      <c r="AA27" s="61">
        <v>38.606666666666683</v>
      </c>
      <c r="AB27" s="61">
        <v>44.08666666666668</v>
      </c>
      <c r="AC27" s="61">
        <v>49.566666666666677</v>
      </c>
      <c r="AD27" s="61">
        <v>62.506666666666689</v>
      </c>
      <c r="AE27" s="61">
        <v>92.700000000000045</v>
      </c>
    </row>
    <row r="28" spans="1:31" x14ac:dyDescent="0.35">
      <c r="A28" s="87" t="s">
        <v>39</v>
      </c>
      <c r="B28" s="163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0.59999999999999432</v>
      </c>
      <c r="V28" s="61">
        <v>2.1599999999999966</v>
      </c>
      <c r="W28" s="61">
        <v>3.7199999999999989</v>
      </c>
      <c r="X28" s="61">
        <v>5.2800000000000011</v>
      </c>
      <c r="Y28" s="61">
        <v>6.8400000000000034</v>
      </c>
      <c r="Z28" s="61">
        <v>8.4000000000000057</v>
      </c>
      <c r="AA28" s="61">
        <v>7.1133333333333342</v>
      </c>
      <c r="AB28" s="61">
        <v>8.6733333333333373</v>
      </c>
      <c r="AC28" s="61">
        <v>10.23333333333334</v>
      </c>
      <c r="AD28" s="61">
        <v>11.333333333333339</v>
      </c>
      <c r="AE28" s="61">
        <v>13.900000000000006</v>
      </c>
    </row>
    <row r="29" spans="1:31" x14ac:dyDescent="0.35">
      <c r="A29" s="87" t="s">
        <v>39</v>
      </c>
      <c r="B29" s="163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4.159475624394721E-3</v>
      </c>
      <c r="V29" s="61">
        <v>0.11979289798256908</v>
      </c>
      <c r="W29" s="61">
        <v>0.23542632034074343</v>
      </c>
      <c r="X29" s="61">
        <v>0.35105974269891776</v>
      </c>
      <c r="Y29" s="61">
        <v>0.46669316505709213</v>
      </c>
      <c r="Z29" s="61">
        <v>0.58232658741526644</v>
      </c>
      <c r="AA29" s="61">
        <v>1.8706548374778043</v>
      </c>
      <c r="AB29" s="61">
        <v>1.9862882598359786</v>
      </c>
      <c r="AC29" s="61">
        <v>2.1019216821941531</v>
      </c>
      <c r="AD29" s="61">
        <v>3.013678739061485</v>
      </c>
      <c r="AE29" s="61">
        <v>5.1411118717519262</v>
      </c>
    </row>
    <row r="30" spans="1:31" x14ac:dyDescent="0.35">
      <c r="A30" s="87" t="s">
        <v>39</v>
      </c>
      <c r="B30" s="163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2.0797378121973605E-3</v>
      </c>
      <c r="V30" s="61">
        <v>2.1074676496933436E-2</v>
      </c>
      <c r="W30" s="61">
        <v>4.0069615181669516E-2</v>
      </c>
      <c r="X30" s="61">
        <v>5.9064553866405592E-2</v>
      </c>
      <c r="Y30" s="61">
        <v>7.8059492551141668E-2</v>
      </c>
      <c r="Z30" s="61">
        <v>9.7054431235877744E-2</v>
      </c>
      <c r="AA30" s="61">
        <v>0.13381957411594481</v>
      </c>
      <c r="AB30" s="61">
        <v>0.15281451280068087</v>
      </c>
      <c r="AC30" s="61">
        <v>0.17180945148541696</v>
      </c>
      <c r="AD30" s="61">
        <v>0.21666246363514047</v>
      </c>
      <c r="AE30" s="61">
        <v>0.32131949198449539</v>
      </c>
    </row>
    <row r="31" spans="1:31" x14ac:dyDescent="0.35">
      <c r="A31" s="87" t="s">
        <v>39</v>
      </c>
      <c r="B31" s="163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1</v>
      </c>
      <c r="V31" s="61">
        <v>2</v>
      </c>
      <c r="W31" s="61">
        <v>3</v>
      </c>
      <c r="X31" s="61">
        <v>4</v>
      </c>
      <c r="Y31" s="61">
        <v>5</v>
      </c>
      <c r="Z31" s="61">
        <v>6</v>
      </c>
      <c r="AA31" s="61">
        <v>5.333333333333333</v>
      </c>
      <c r="AB31" s="61">
        <v>6.333333333333333</v>
      </c>
      <c r="AC31" s="61">
        <v>7.333333333333333</v>
      </c>
      <c r="AD31" s="61">
        <v>8.1333333333333329</v>
      </c>
      <c r="AE31" s="61">
        <v>10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9426.6841318132665</v>
      </c>
      <c r="V32" s="61">
        <v>43278.704250510367</v>
      </c>
      <c r="W32" s="61">
        <v>82077.916021030935</v>
      </c>
      <c r="X32" s="61">
        <v>146649.31146180283</v>
      </c>
      <c r="Y32" s="61">
        <v>207427.57076390827</v>
      </c>
      <c r="Z32" s="61">
        <v>230139.30140009435</v>
      </c>
      <c r="AA32" s="61">
        <v>315962.18368039449</v>
      </c>
      <c r="AB32" s="61">
        <v>404739.19006837666</v>
      </c>
      <c r="AC32" s="61">
        <v>516562.41177223151</v>
      </c>
      <c r="AD32" s="61">
        <v>576781.31074337987</v>
      </c>
      <c r="AE32" s="61">
        <v>624802.74692577601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53118.937065682891</v>
      </c>
      <c r="V33" s="61">
        <v>243873.53338898346</v>
      </c>
      <c r="W33" s="61">
        <v>431406.61277292221</v>
      </c>
      <c r="X33" s="61">
        <v>779587.17622525524</v>
      </c>
      <c r="Y33" s="61">
        <v>1085338.8386674509</v>
      </c>
      <c r="Z33" s="61">
        <v>1082489.2452843038</v>
      </c>
      <c r="AA33" s="61">
        <v>1508481.3469001455</v>
      </c>
      <c r="AB33" s="61">
        <v>1961497.9403763956</v>
      </c>
      <c r="AC33" s="61">
        <v>2520388.5350026498</v>
      </c>
      <c r="AD33" s="61">
        <v>2692935.1381997592</v>
      </c>
      <c r="AE33" s="61">
        <v>2747620.8668615324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34018.188479152072</v>
      </c>
      <c r="Q34" s="61">
        <v>48617.148676422861</v>
      </c>
      <c r="R34" s="61">
        <v>63216.108873693651</v>
      </c>
      <c r="S34" s="61">
        <v>77815.06907096444</v>
      </c>
      <c r="T34" s="61">
        <v>92414.02926823523</v>
      </c>
      <c r="U34" s="61">
        <v>107012.98946550601</v>
      </c>
      <c r="V34" s="61">
        <v>135849.38154714191</v>
      </c>
      <c r="W34" s="61">
        <v>164685.7736287778</v>
      </c>
      <c r="X34" s="61">
        <v>193522.16571041368</v>
      </c>
      <c r="Y34" s="61">
        <v>222358.55779204957</v>
      </c>
      <c r="Z34" s="61">
        <v>251194.94987368552</v>
      </c>
      <c r="AA34" s="61">
        <v>382199.83430511877</v>
      </c>
      <c r="AB34" s="61">
        <v>513204.71873655205</v>
      </c>
      <c r="AC34" s="61">
        <v>644209.60316798533</v>
      </c>
      <c r="AD34" s="61">
        <v>775214.48759941861</v>
      </c>
      <c r="AE34" s="61">
        <v>906219.3720308519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191690.94748961643</v>
      </c>
      <c r="Q35" s="61">
        <v>242162.53465170471</v>
      </c>
      <c r="R35" s="61">
        <v>292634.12181379297</v>
      </c>
      <c r="S35" s="61">
        <v>343105.70897588122</v>
      </c>
      <c r="T35" s="61">
        <v>393577.29613796948</v>
      </c>
      <c r="U35" s="61">
        <v>444048.88330005785</v>
      </c>
      <c r="V35" s="61">
        <v>563705.08360068093</v>
      </c>
      <c r="W35" s="61">
        <v>683361.28390130401</v>
      </c>
      <c r="X35" s="61">
        <v>803017.48420192709</v>
      </c>
      <c r="Y35" s="61">
        <v>922673.68450255017</v>
      </c>
      <c r="Z35" s="61">
        <v>1042329.8848031731</v>
      </c>
      <c r="AA35" s="61">
        <v>1585932.7962738606</v>
      </c>
      <c r="AB35" s="61">
        <v>2129535.7077445481</v>
      </c>
      <c r="AC35" s="61">
        <v>2673138.6192152356</v>
      </c>
      <c r="AD35" s="61">
        <v>3216741.5306859231</v>
      </c>
      <c r="AE35" s="61">
        <v>3760344.4421566105</v>
      </c>
    </row>
    <row r="36" spans="1:31" ht="29" x14ac:dyDescent="0.35">
      <c r="A36" s="3" t="s">
        <v>134</v>
      </c>
      <c r="B36" s="3" t="s">
        <v>135</v>
      </c>
      <c r="C36" s="87" t="s">
        <v>131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10299.044815765585</v>
      </c>
      <c r="R36" s="61">
        <v>21471.135349798718</v>
      </c>
      <c r="S36" s="61">
        <v>48188.84380844995</v>
      </c>
      <c r="T36" s="61">
        <v>72251.305024050089</v>
      </c>
      <c r="U36" s="61">
        <v>79886.051091552785</v>
      </c>
      <c r="V36" s="61">
        <v>116842.49314090573</v>
      </c>
      <c r="W36" s="61">
        <v>155683.77172790226</v>
      </c>
      <c r="X36" s="61">
        <v>180090.39098503019</v>
      </c>
      <c r="Y36" s="61">
        <v>197289.61977021937</v>
      </c>
      <c r="Z36" s="61">
        <v>244281.87349285779</v>
      </c>
      <c r="AA36" s="61">
        <v>297257.37068529369</v>
      </c>
      <c r="AB36" s="61">
        <v>339450.30423093867</v>
      </c>
      <c r="AC36" s="61">
        <v>414718.93408711336</v>
      </c>
      <c r="AD36" s="61">
        <v>470485.58477731794</v>
      </c>
      <c r="AE36" s="61">
        <v>572079.58193966816</v>
      </c>
    </row>
    <row r="38" spans="1:31" x14ac:dyDescent="0.35">
      <c r="A38" s="87"/>
      <c r="B38" s="61"/>
      <c r="C38" s="61" t="s">
        <v>136</v>
      </c>
      <c r="D38" s="61">
        <f>'Cost Assumptions'!$B$4</f>
        <v>40</v>
      </c>
      <c r="E38" s="40">
        <f>D38*'Cost Assumptions'!$B$5</f>
        <v>41</v>
      </c>
      <c r="F38" s="40">
        <f>E38*'Cost Assumptions'!$B$5</f>
        <v>42.024999999999999</v>
      </c>
      <c r="G38" s="40">
        <f>F38*'Cost Assumptions'!$B$5</f>
        <v>43.075624999999995</v>
      </c>
      <c r="H38" s="40">
        <f>G38*'Cost Assumptions'!$B$5</f>
        <v>44.152515624999992</v>
      </c>
      <c r="I38" s="40">
        <f>H38*'Cost Assumptions'!$B$5</f>
        <v>45.256328515624986</v>
      </c>
      <c r="J38" s="40">
        <f>I38*'Cost Assumptions'!$B$5</f>
        <v>46.387736728515605</v>
      </c>
      <c r="K38" s="40">
        <f>J38*'Cost Assumptions'!$B$5</f>
        <v>47.547430146728495</v>
      </c>
      <c r="L38" s="40">
        <f>K38*'Cost Assumptions'!$B$5</f>
        <v>48.736115900396705</v>
      </c>
      <c r="M38" s="40">
        <f>L38*'Cost Assumptions'!$B$5</f>
        <v>49.954518797906616</v>
      </c>
      <c r="N38" s="40">
        <f>M38*'Cost Assumptions'!$B$5</f>
        <v>51.203381767854275</v>
      </c>
      <c r="O38" s="40">
        <f>N38*'Cost Assumptions'!$B$5</f>
        <v>52.483466312050624</v>
      </c>
      <c r="P38" s="40">
        <f>O38*'Cost Assumptions'!$B$5</f>
        <v>53.795552969851883</v>
      </c>
      <c r="Q38" s="40">
        <f>P38*'Cost Assumptions'!$B$5</f>
        <v>55.140441794098173</v>
      </c>
      <c r="R38" s="40">
        <f>Q38*'Cost Assumptions'!$B$5</f>
        <v>56.518952838950625</v>
      </c>
      <c r="S38" s="40">
        <f>R38*'Cost Assumptions'!$B$5</f>
        <v>57.931926659924386</v>
      </c>
      <c r="T38" s="40">
        <f>S38*'Cost Assumptions'!$B$5</f>
        <v>59.380224826422491</v>
      </c>
      <c r="U38" s="40">
        <f>T38*'Cost Assumptions'!$B$5</f>
        <v>60.864730447083048</v>
      </c>
      <c r="V38" s="40">
        <f>U38*'Cost Assumptions'!$B$5</f>
        <v>62.386348708260115</v>
      </c>
      <c r="W38" s="40">
        <f>V38*'Cost Assumptions'!$B$5</f>
        <v>63.946007425966613</v>
      </c>
      <c r="X38" s="40">
        <f>W38*'Cost Assumptions'!$B$5</f>
        <v>65.544657611615776</v>
      </c>
      <c r="Y38" s="40">
        <f>X38*'Cost Assumptions'!$B$5</f>
        <v>67.183274051906167</v>
      </c>
      <c r="Z38" s="40">
        <f>Y38*'Cost Assumptions'!$B$5</f>
        <v>68.862855903203823</v>
      </c>
      <c r="AA38" s="40">
        <f>Z38*'Cost Assumptions'!$B$5</f>
        <v>70.584427300783915</v>
      </c>
      <c r="AB38" s="40">
        <f>AA38*'Cost Assumptions'!$B$5</f>
        <v>72.349037983303504</v>
      </c>
      <c r="AC38" s="40">
        <f>AB38*'Cost Assumptions'!$B$5</f>
        <v>74.157763932886084</v>
      </c>
      <c r="AD38" s="40">
        <f>AC38*'Cost Assumptions'!$B$5</f>
        <v>76.011708031208229</v>
      </c>
      <c r="AE38" s="40">
        <f>AD38*'Cost Assumptions'!$B$5</f>
        <v>77.912000731988428</v>
      </c>
    </row>
    <row r="39" spans="1:31" x14ac:dyDescent="0.35">
      <c r="A39" s="8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18.5" x14ac:dyDescent="0.45">
      <c r="A40" s="87"/>
      <c r="B40" s="83" t="s">
        <v>137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14">
        <f>NPV('Cost Assumptions'!$B$3,'Alberhill System Project'!D42:'Alberhill System Project'!AE42)</f>
        <v>105432.28765270229</v>
      </c>
      <c r="C42" s="10" t="s">
        <v>107</v>
      </c>
      <c r="D42" s="61">
        <f t="shared" ref="D42" si="0">D2-D18</f>
        <v>9127.7499999993743</v>
      </c>
      <c r="E42" s="61">
        <f t="shared" ref="E42:AE42" si="1">E2-E18</f>
        <v>9297.7558823526779</v>
      </c>
      <c r="F42" s="61">
        <f t="shared" si="1"/>
        <v>9589.8027149318732</v>
      </c>
      <c r="G42" s="61">
        <f t="shared" si="1"/>
        <v>9881.8495475110685</v>
      </c>
      <c r="H42" s="61">
        <f t="shared" si="1"/>
        <v>10173.896380090264</v>
      </c>
      <c r="I42" s="61">
        <f t="shared" si="1"/>
        <v>10465.943212669459</v>
      </c>
      <c r="J42" s="61">
        <f t="shared" si="1"/>
        <v>10757.990045248654</v>
      </c>
      <c r="K42" s="61">
        <f t="shared" si="1"/>
        <v>11050.03687782785</v>
      </c>
      <c r="L42" s="61">
        <f t="shared" si="1"/>
        <v>11342.083710407045</v>
      </c>
      <c r="M42" s="61">
        <f t="shared" si="1"/>
        <v>11634.13054298624</v>
      </c>
      <c r="N42" s="61">
        <f t="shared" si="1"/>
        <v>11926.177375565436</v>
      </c>
      <c r="O42" s="61">
        <f t="shared" si="1"/>
        <v>12218.224208144631</v>
      </c>
      <c r="P42" s="61">
        <f t="shared" si="1"/>
        <v>12510.271040723826</v>
      </c>
      <c r="Q42" s="61">
        <f t="shared" si="1"/>
        <v>12802.317873303022</v>
      </c>
      <c r="R42" s="61">
        <f t="shared" si="1"/>
        <v>13094.364705882217</v>
      </c>
      <c r="S42" s="61">
        <f t="shared" si="1"/>
        <v>13386.411538461412</v>
      </c>
      <c r="T42" s="61">
        <f t="shared" si="1"/>
        <v>13678.458371040608</v>
      </c>
      <c r="U42" s="61">
        <f t="shared" si="1"/>
        <v>13970.505203619803</v>
      </c>
      <c r="V42" s="61">
        <f t="shared" si="1"/>
        <v>14262.552036198998</v>
      </c>
      <c r="W42" s="61">
        <f t="shared" si="1"/>
        <v>14554.598868778194</v>
      </c>
      <c r="X42" s="61">
        <f t="shared" si="1"/>
        <v>14846.645701357389</v>
      </c>
      <c r="Y42" s="61">
        <f t="shared" si="1"/>
        <v>15138.692533936584</v>
      </c>
      <c r="Z42" s="61">
        <f t="shared" si="1"/>
        <v>15430.73936651578</v>
      </c>
      <c r="AA42" s="61">
        <f t="shared" si="1"/>
        <v>15722.786199094975</v>
      </c>
      <c r="AB42" s="61">
        <f t="shared" si="1"/>
        <v>16014.83303167417</v>
      </c>
      <c r="AC42" s="61">
        <f t="shared" si="1"/>
        <v>16306.879864253366</v>
      </c>
      <c r="AD42" s="61">
        <f t="shared" si="1"/>
        <v>16598.926696832561</v>
      </c>
      <c r="AE42" s="61">
        <f t="shared" si="1"/>
        <v>16890.97352941164</v>
      </c>
    </row>
    <row r="43" spans="1:31" x14ac:dyDescent="0.35">
      <c r="A43" s="87"/>
      <c r="B43" s="14">
        <f>NPV('Cost Assumptions'!$B$3,'Alberhill System Project'!D43:'Alberhill System Project'!AE43)</f>
        <v>5372738.9706666814</v>
      </c>
      <c r="C43" s="10" t="s">
        <v>139</v>
      </c>
      <c r="D43" s="61">
        <f>D42*D38</f>
        <v>365109.99999997497</v>
      </c>
      <c r="E43" s="61">
        <f>E42*E38</f>
        <v>381207.99117645982</v>
      </c>
      <c r="F43" s="61">
        <f>F42*F38</f>
        <v>403011.45909501193</v>
      </c>
      <c r="G43" s="61">
        <f t="shared" ref="G43:AE43" si="2">G42*G38</f>
        <v>425666.84541500645</v>
      </c>
      <c r="H43" s="61">
        <f t="shared" si="2"/>
        <v>449203.11888906622</v>
      </c>
      <c r="I43" s="61">
        <f t="shared" si="2"/>
        <v>473650.16425844462</v>
      </c>
      <c r="J43" s="61">
        <f t="shared" si="2"/>
        <v>499038.80994698626</v>
      </c>
      <c r="K43" s="61">
        <f t="shared" si="2"/>
        <v>525400.85656729352</v>
      </c>
      <c r="L43" s="61">
        <f t="shared" si="2"/>
        <v>552769.10626239923</v>
      </c>
      <c r="M43" s="61">
        <f t="shared" si="2"/>
        <v>581177.39290690562</v>
      </c>
      <c r="N43" s="61">
        <f t="shared" si="2"/>
        <v>610660.61319222336</v>
      </c>
      <c r="O43" s="61">
        <f t="shared" si="2"/>
        <v>641254.75862124015</v>
      </c>
      <c r="P43" s="61">
        <f t="shared" si="2"/>
        <v>672996.94843846268</v>
      </c>
      <c r="Q43" s="61">
        <f t="shared" si="2"/>
        <v>705925.46352240792</v>
      </c>
      <c r="R43" s="61">
        <f t="shared" si="2"/>
        <v>740079.78126777662</v>
      </c>
      <c r="S43" s="61">
        <f t="shared" si="2"/>
        <v>775500.61148571211</v>
      </c>
      <c r="T43" s="61">
        <f t="shared" si="2"/>
        <v>812229.933351252</v>
      </c>
      <c r="U43" s="61">
        <f t="shared" si="2"/>
        <v>850311.03342789039</v>
      </c>
      <c r="V43" s="61">
        <f t="shared" si="2"/>
        <v>889788.5448000161</v>
      </c>
      <c r="W43" s="61">
        <f t="shared" si="2"/>
        <v>930708.48734485568</v>
      </c>
      <c r="X43" s="61">
        <f t="shared" si="2"/>
        <v>973118.30917643721</v>
      </c>
      <c r="Y43" s="61">
        <f t="shared" si="2"/>
        <v>1017066.9292950074</v>
      </c>
      <c r="Z43" s="61">
        <f t="shared" si="2"/>
        <v>1062604.7814762709</v>
      </c>
      <c r="AA43" s="61">
        <f t="shared" si="2"/>
        <v>1109783.8594357879</v>
      </c>
      <c r="AB43" s="61">
        <f t="shared" si="2"/>
        <v>1158657.7633048582</v>
      </c>
      <c r="AC43" s="61">
        <f t="shared" si="2"/>
        <v>1209281.7474552346</v>
      </c>
      <c r="AD43" s="61">
        <f t="shared" si="2"/>
        <v>1261712.7697110642</v>
      </c>
      <c r="AE43" s="61">
        <f t="shared" si="2"/>
        <v>1316009.5419875169</v>
      </c>
    </row>
    <row r="44" spans="1:31" x14ac:dyDescent="0.35">
      <c r="A44" s="87" t="s">
        <v>30</v>
      </c>
      <c r="B44" s="14">
        <f>NPV('Cost Assumptions'!$B$3,'Alberhill System Project'!D44:'Alberhill System Project'!AE44)</f>
        <v>8935.2425304513599</v>
      </c>
      <c r="C44" s="10" t="s">
        <v>31</v>
      </c>
      <c r="D44" s="61">
        <f t="shared" ref="D44" si="3">D3-D19</f>
        <v>18</v>
      </c>
      <c r="E44" s="61">
        <f t="shared" ref="E44:AE44" si="4">E3-E19</f>
        <v>40</v>
      </c>
      <c r="F44" s="61">
        <f t="shared" si="4"/>
        <v>71.833333333333343</v>
      </c>
      <c r="G44" s="61">
        <f t="shared" si="4"/>
        <v>103.66666666666669</v>
      </c>
      <c r="H44" s="61">
        <f t="shared" si="4"/>
        <v>135.50000000000003</v>
      </c>
      <c r="I44" s="61">
        <f t="shared" si="4"/>
        <v>167.33333333333337</v>
      </c>
      <c r="J44" s="61">
        <f t="shared" si="4"/>
        <v>199.16666666666671</v>
      </c>
      <c r="K44" s="61">
        <f t="shared" si="4"/>
        <v>231.00000000000003</v>
      </c>
      <c r="L44" s="61">
        <f t="shared" si="4"/>
        <v>348.1</v>
      </c>
      <c r="M44" s="61">
        <f t="shared" si="4"/>
        <v>465.20000000000005</v>
      </c>
      <c r="N44" s="61">
        <f t="shared" si="4"/>
        <v>582.30000000000007</v>
      </c>
      <c r="O44" s="61">
        <f t="shared" si="4"/>
        <v>699.4</v>
      </c>
      <c r="P44" s="61">
        <f t="shared" si="4"/>
        <v>955.25</v>
      </c>
      <c r="Q44" s="61">
        <f t="shared" si="4"/>
        <v>1218.5200000000002</v>
      </c>
      <c r="R44" s="61">
        <f t="shared" si="4"/>
        <v>1481.7900000000002</v>
      </c>
      <c r="S44" s="61">
        <f t="shared" si="4"/>
        <v>1745.0600000000002</v>
      </c>
      <c r="T44" s="61">
        <f t="shared" si="4"/>
        <v>2008.3300000000002</v>
      </c>
      <c r="U44" s="61">
        <f t="shared" si="4"/>
        <v>2271.6000000000004</v>
      </c>
      <c r="V44" s="61">
        <f t="shared" si="4"/>
        <v>2878.2900000000004</v>
      </c>
      <c r="W44" s="61">
        <f t="shared" si="4"/>
        <v>3484.98</v>
      </c>
      <c r="X44" s="61">
        <f t="shared" si="4"/>
        <v>4091.6699999999996</v>
      </c>
      <c r="Y44" s="61">
        <f t="shared" si="4"/>
        <v>4698.3599999999997</v>
      </c>
      <c r="Z44" s="61">
        <f t="shared" si="4"/>
        <v>4732.5000000000009</v>
      </c>
      <c r="AA44" s="61">
        <f t="shared" si="4"/>
        <v>5435.380000000001</v>
      </c>
      <c r="AB44" s="61">
        <f t="shared" si="4"/>
        <v>6138.26</v>
      </c>
      <c r="AC44" s="61">
        <f t="shared" si="4"/>
        <v>6841.14</v>
      </c>
      <c r="AD44" s="61">
        <f t="shared" si="4"/>
        <v>7544.02</v>
      </c>
      <c r="AE44" s="61">
        <f t="shared" si="4"/>
        <v>8155.2999999999993</v>
      </c>
    </row>
    <row r="45" spans="1:31" x14ac:dyDescent="0.35">
      <c r="A45" s="87" t="s">
        <v>30</v>
      </c>
      <c r="B45" s="14">
        <f>NPV('Cost Assumptions'!$B$3,'Alberhill System Project'!D45:'Alberhill System Project'!AE45)</f>
        <v>207.8797808394645</v>
      </c>
      <c r="C45" s="10" t="s">
        <v>32</v>
      </c>
      <c r="D45" s="61">
        <f t="shared" ref="D45" si="5">D4-D20</f>
        <v>3.5</v>
      </c>
      <c r="E45" s="61">
        <f t="shared" ref="E45:AE45" si="6">E4-E20</f>
        <v>6</v>
      </c>
      <c r="F45" s="61">
        <f t="shared" si="6"/>
        <v>8.8833333333333346</v>
      </c>
      <c r="G45" s="61">
        <f t="shared" si="6"/>
        <v>11.766666666666669</v>
      </c>
      <c r="H45" s="61">
        <f t="shared" si="6"/>
        <v>14.650000000000004</v>
      </c>
      <c r="I45" s="61">
        <f t="shared" si="6"/>
        <v>17.533333333333339</v>
      </c>
      <c r="J45" s="61">
        <f t="shared" si="6"/>
        <v>20.416666666666675</v>
      </c>
      <c r="K45" s="61">
        <f t="shared" si="6"/>
        <v>23.300000000000011</v>
      </c>
      <c r="L45" s="61">
        <f t="shared" si="6"/>
        <v>26.250000000000014</v>
      </c>
      <c r="M45" s="61">
        <f t="shared" si="6"/>
        <v>29.200000000000017</v>
      </c>
      <c r="N45" s="61">
        <f t="shared" si="6"/>
        <v>32.15000000000002</v>
      </c>
      <c r="O45" s="61">
        <f t="shared" si="6"/>
        <v>35.100000000000023</v>
      </c>
      <c r="P45" s="61">
        <f t="shared" si="6"/>
        <v>28.9</v>
      </c>
      <c r="Q45" s="61">
        <f t="shared" si="6"/>
        <v>31.040000000000006</v>
      </c>
      <c r="R45" s="61">
        <f t="shared" si="6"/>
        <v>33.180000000000014</v>
      </c>
      <c r="S45" s="61">
        <f t="shared" si="6"/>
        <v>35.320000000000022</v>
      </c>
      <c r="T45" s="61">
        <f t="shared" si="6"/>
        <v>37.460000000000029</v>
      </c>
      <c r="U45" s="61">
        <f t="shared" si="6"/>
        <v>39.600000000000023</v>
      </c>
      <c r="V45" s="61">
        <f t="shared" si="6"/>
        <v>39.140000000000015</v>
      </c>
      <c r="W45" s="61">
        <f t="shared" si="6"/>
        <v>38.68</v>
      </c>
      <c r="X45" s="61">
        <f t="shared" si="6"/>
        <v>38.219999999999985</v>
      </c>
      <c r="Y45" s="61">
        <f t="shared" si="6"/>
        <v>37.759999999999962</v>
      </c>
      <c r="Z45" s="61">
        <f t="shared" si="6"/>
        <v>37.299999999999955</v>
      </c>
      <c r="AA45" s="61">
        <f t="shared" si="6"/>
        <v>46.629999999999953</v>
      </c>
      <c r="AB45" s="61">
        <f t="shared" si="6"/>
        <v>55.959999999999951</v>
      </c>
      <c r="AC45" s="61">
        <f t="shared" si="6"/>
        <v>65.289999999999949</v>
      </c>
      <c r="AD45" s="61">
        <f t="shared" si="6"/>
        <v>74.619999999999948</v>
      </c>
      <c r="AE45" s="61">
        <f t="shared" si="6"/>
        <v>85.800000000000011</v>
      </c>
    </row>
    <row r="46" spans="1:31" x14ac:dyDescent="0.35">
      <c r="A46" s="87" t="s">
        <v>30</v>
      </c>
      <c r="B46" s="14">
        <f>NPV('Cost Assumptions'!$B$3,'Alberhill System Project'!D46:'Alberhill System Project'!AE46)</f>
        <v>1075.3498609663454</v>
      </c>
      <c r="C46" s="10" t="s">
        <v>33</v>
      </c>
      <c r="D46" s="61">
        <f t="shared" ref="D46" si="7">D5-D21</f>
        <v>0.20339500662097962</v>
      </c>
      <c r="E46" s="61">
        <f t="shared" ref="E46:AE46" si="8">E5-E21</f>
        <v>0.45604357175421173</v>
      </c>
      <c r="F46" s="61">
        <f t="shared" si="8"/>
        <v>1.1323955044854586</v>
      </c>
      <c r="G46" s="61">
        <f t="shared" si="8"/>
        <v>1.8087474372167054</v>
      </c>
      <c r="H46" s="61">
        <f t="shared" si="8"/>
        <v>2.4850993699479522</v>
      </c>
      <c r="I46" s="61">
        <f t="shared" si="8"/>
        <v>3.161451302679199</v>
      </c>
      <c r="J46" s="61">
        <f t="shared" si="8"/>
        <v>3.8378032354104459</v>
      </c>
      <c r="K46" s="61">
        <f t="shared" si="8"/>
        <v>4.5141551681416932</v>
      </c>
      <c r="L46" s="61">
        <f t="shared" si="8"/>
        <v>9.7534462457669928</v>
      </c>
      <c r="M46" s="61">
        <f t="shared" si="8"/>
        <v>14.992737323392292</v>
      </c>
      <c r="N46" s="61">
        <f t="shared" si="8"/>
        <v>20.232028401017594</v>
      </c>
      <c r="O46" s="61">
        <f t="shared" si="8"/>
        <v>25.47131947864289</v>
      </c>
      <c r="P46" s="61">
        <f t="shared" si="8"/>
        <v>53.714351521255701</v>
      </c>
      <c r="Q46" s="61">
        <f t="shared" si="8"/>
        <v>81.203587799056521</v>
      </c>
      <c r="R46" s="61">
        <f t="shared" si="8"/>
        <v>108.69282407685732</v>
      </c>
      <c r="S46" s="61">
        <f t="shared" si="8"/>
        <v>136.18206035465815</v>
      </c>
      <c r="T46" s="61">
        <f t="shared" si="8"/>
        <v>163.67129663245896</v>
      </c>
      <c r="U46" s="61">
        <f t="shared" si="8"/>
        <v>191.16053291025975</v>
      </c>
      <c r="V46" s="61">
        <f t="shared" si="8"/>
        <v>291.50138397973461</v>
      </c>
      <c r="W46" s="61">
        <f t="shared" si="8"/>
        <v>391.84223504920948</v>
      </c>
      <c r="X46" s="61">
        <f t="shared" si="8"/>
        <v>492.18308611868429</v>
      </c>
      <c r="Y46" s="61">
        <f t="shared" si="8"/>
        <v>592.52393718815915</v>
      </c>
      <c r="Z46" s="61">
        <f t="shared" si="8"/>
        <v>692.86478825763413</v>
      </c>
      <c r="AA46" s="61">
        <f t="shared" si="8"/>
        <v>917.51214785066338</v>
      </c>
      <c r="AB46" s="61">
        <f t="shared" si="8"/>
        <v>1142.1595074436927</v>
      </c>
      <c r="AC46" s="61">
        <f t="shared" si="8"/>
        <v>1366.806867036722</v>
      </c>
      <c r="AD46" s="61">
        <f t="shared" si="8"/>
        <v>1591.4542266297512</v>
      </c>
      <c r="AE46" s="61">
        <f t="shared" si="8"/>
        <v>1782.2231035150426</v>
      </c>
    </row>
    <row r="47" spans="1:31" x14ac:dyDescent="0.35">
      <c r="A47" s="87" t="s">
        <v>30</v>
      </c>
      <c r="B47" s="14">
        <f>NPV('Cost Assumptions'!$B$3,'Alberhill System Project'!D47:'Alberhill System Project'!AE47)</f>
        <v>6.6926342067270896</v>
      </c>
      <c r="C47" s="10" t="s">
        <v>34</v>
      </c>
      <c r="D47" s="61">
        <f t="shared" ref="D47" si="9">D6-D22</f>
        <v>1.4005750795433276E-2</v>
      </c>
      <c r="E47" s="61">
        <f t="shared" ref="E47:AE47" si="10">E6-E22</f>
        <v>3.0923092581675603E-2</v>
      </c>
      <c r="F47" s="61">
        <f t="shared" si="10"/>
        <v>5.759084080794194E-2</v>
      </c>
      <c r="G47" s="61">
        <f t="shared" si="10"/>
        <v>8.425858903420827E-2</v>
      </c>
      <c r="H47" s="61">
        <f t="shared" si="10"/>
        <v>0.1109263372604746</v>
      </c>
      <c r="I47" s="61">
        <f t="shared" si="10"/>
        <v>0.13759408548674093</v>
      </c>
      <c r="J47" s="61">
        <f t="shared" si="10"/>
        <v>0.16426183371300726</v>
      </c>
      <c r="K47" s="61">
        <f t="shared" si="10"/>
        <v>0.19092958193927362</v>
      </c>
      <c r="L47" s="61">
        <f t="shared" si="10"/>
        <v>0.29587438223639861</v>
      </c>
      <c r="M47" s="61">
        <f t="shared" si="10"/>
        <v>0.40081918253352361</v>
      </c>
      <c r="N47" s="61">
        <f t="shared" si="10"/>
        <v>0.50576398283064861</v>
      </c>
      <c r="O47" s="61">
        <f t="shared" si="10"/>
        <v>0.61070878312777355</v>
      </c>
      <c r="P47" s="61">
        <f t="shared" si="10"/>
        <v>0.78791293268211715</v>
      </c>
      <c r="Q47" s="61">
        <f t="shared" si="10"/>
        <v>0.98364334647605234</v>
      </c>
      <c r="R47" s="61">
        <f t="shared" si="10"/>
        <v>1.1793737602699876</v>
      </c>
      <c r="S47" s="61">
        <f t="shared" si="10"/>
        <v>1.3751041740639227</v>
      </c>
      <c r="T47" s="61">
        <f t="shared" si="10"/>
        <v>1.570834587857858</v>
      </c>
      <c r="U47" s="61">
        <f t="shared" si="10"/>
        <v>1.7665650016517926</v>
      </c>
      <c r="V47" s="61">
        <f t="shared" si="10"/>
        <v>2.1001063063899816</v>
      </c>
      <c r="W47" s="61">
        <f t="shared" si="10"/>
        <v>2.4336476111281709</v>
      </c>
      <c r="X47" s="61">
        <f t="shared" si="10"/>
        <v>2.7671889158663601</v>
      </c>
      <c r="Y47" s="61">
        <f t="shared" si="10"/>
        <v>3.1007302206045493</v>
      </c>
      <c r="Z47" s="61">
        <f t="shared" si="10"/>
        <v>3.4342715253427372</v>
      </c>
      <c r="AA47" s="61">
        <f t="shared" si="10"/>
        <v>3.9398423724873122</v>
      </c>
      <c r="AB47" s="61">
        <f t="shared" si="10"/>
        <v>4.4454132196318872</v>
      </c>
      <c r="AC47" s="61">
        <f t="shared" si="10"/>
        <v>4.9509840667764617</v>
      </c>
      <c r="AD47" s="61">
        <f t="shared" si="10"/>
        <v>5.4565549139210372</v>
      </c>
      <c r="AE47" s="61">
        <f t="shared" si="10"/>
        <v>5.7534232048551317</v>
      </c>
    </row>
    <row r="48" spans="1:31" x14ac:dyDescent="0.35">
      <c r="A48" s="87" t="s">
        <v>30</v>
      </c>
      <c r="B48" s="14">
        <f>NPV('Cost Assumptions'!$B$3,'Alberhill System Project'!D48:'Alberhill System Project'!AE48)</f>
        <v>678.78350621418087</v>
      </c>
      <c r="C48" s="10" t="s">
        <v>35</v>
      </c>
      <c r="D48" s="61">
        <f t="shared" ref="D48" si="11">D7-D23</f>
        <v>18</v>
      </c>
      <c r="E48" s="61">
        <f t="shared" ref="E48:AE48" si="12">E7-E23</f>
        <v>28</v>
      </c>
      <c r="F48" s="61">
        <f t="shared" si="12"/>
        <v>33.333333333333336</v>
      </c>
      <c r="G48" s="61">
        <f t="shared" si="12"/>
        <v>38.666666666666671</v>
      </c>
      <c r="H48" s="61">
        <f t="shared" si="12"/>
        <v>44.000000000000007</v>
      </c>
      <c r="I48" s="61">
        <f t="shared" si="12"/>
        <v>49.333333333333343</v>
      </c>
      <c r="J48" s="61">
        <f t="shared" si="12"/>
        <v>54.666666666666679</v>
      </c>
      <c r="K48" s="61">
        <f t="shared" si="12"/>
        <v>60</v>
      </c>
      <c r="L48" s="61">
        <f t="shared" si="12"/>
        <v>67</v>
      </c>
      <c r="M48" s="61">
        <f t="shared" si="12"/>
        <v>74</v>
      </c>
      <c r="N48" s="61">
        <f t="shared" si="12"/>
        <v>81</v>
      </c>
      <c r="O48" s="61">
        <f t="shared" si="12"/>
        <v>88</v>
      </c>
      <c r="P48" s="61">
        <f t="shared" si="12"/>
        <v>92.833333333333329</v>
      </c>
      <c r="Q48" s="61">
        <f t="shared" si="12"/>
        <v>101.26666666666665</v>
      </c>
      <c r="R48" s="61">
        <f t="shared" si="12"/>
        <v>109.69999999999999</v>
      </c>
      <c r="S48" s="61">
        <f t="shared" si="12"/>
        <v>118.13333333333331</v>
      </c>
      <c r="T48" s="61">
        <f t="shared" si="12"/>
        <v>126.56666666666666</v>
      </c>
      <c r="U48" s="61">
        <f t="shared" si="12"/>
        <v>135</v>
      </c>
      <c r="V48" s="61">
        <f t="shared" si="12"/>
        <v>147.6</v>
      </c>
      <c r="W48" s="61">
        <f t="shared" si="12"/>
        <v>160.20000000000002</v>
      </c>
      <c r="X48" s="61">
        <f t="shared" si="12"/>
        <v>172.8</v>
      </c>
      <c r="Y48" s="61">
        <f t="shared" si="12"/>
        <v>185.40000000000003</v>
      </c>
      <c r="Z48" s="61">
        <f t="shared" si="12"/>
        <v>198</v>
      </c>
      <c r="AA48" s="61">
        <f t="shared" si="12"/>
        <v>206.3</v>
      </c>
      <c r="AB48" s="61">
        <f t="shared" si="12"/>
        <v>214.60000000000002</v>
      </c>
      <c r="AC48" s="61">
        <f t="shared" si="12"/>
        <v>222.9</v>
      </c>
      <c r="AD48" s="61">
        <f t="shared" si="12"/>
        <v>231.20000000000002</v>
      </c>
      <c r="AE48" s="61">
        <f t="shared" si="12"/>
        <v>218</v>
      </c>
    </row>
    <row r="49" spans="1:31" x14ac:dyDescent="0.35">
      <c r="A49" s="87" t="s">
        <v>30</v>
      </c>
      <c r="B49" s="14">
        <f>NPV('Cost Assumptions'!$B$3,'Alberhill System Project'!D49:'Alberhill System Project'!AE49)</f>
        <v>299240.63749281509</v>
      </c>
      <c r="C49" s="10" t="s">
        <v>140</v>
      </c>
      <c r="D49" s="61">
        <f>D13-D24</f>
        <v>6327.0339692588404</v>
      </c>
      <c r="E49" s="61">
        <f>E13-E24</f>
        <v>9590.5671410490813</v>
      </c>
      <c r="F49" s="61">
        <f t="shared" ref="F49:AE49" si="13">F13-F24</f>
        <v>12854.100312839322</v>
      </c>
      <c r="G49" s="61">
        <f t="shared" si="13"/>
        <v>16117.633484629563</v>
      </c>
      <c r="H49" s="61">
        <f t="shared" si="13"/>
        <v>19381.166656419802</v>
      </c>
      <c r="I49" s="61">
        <f t="shared" si="13"/>
        <v>22644.699828210043</v>
      </c>
      <c r="J49" s="61">
        <f t="shared" si="13"/>
        <v>25908.233000000284</v>
      </c>
      <c r="K49" s="61">
        <f t="shared" si="13"/>
        <v>29171.766171790525</v>
      </c>
      <c r="L49" s="61">
        <f t="shared" si="13"/>
        <v>32435.299343580766</v>
      </c>
      <c r="M49" s="61">
        <f t="shared" si="13"/>
        <v>35698.832515371003</v>
      </c>
      <c r="N49" s="61">
        <f t="shared" si="13"/>
        <v>38962.36568716124</v>
      </c>
      <c r="O49" s="61">
        <f t="shared" si="13"/>
        <v>42225.898858951477</v>
      </c>
      <c r="P49" s="61">
        <f t="shared" si="13"/>
        <v>45489.432030741715</v>
      </c>
      <c r="Q49" s="61">
        <f t="shared" si="13"/>
        <v>48752.965202531952</v>
      </c>
      <c r="R49" s="61">
        <f t="shared" si="13"/>
        <v>52016.498374322189</v>
      </c>
      <c r="S49" s="61">
        <f t="shared" si="13"/>
        <v>55280.031546112426</v>
      </c>
      <c r="T49" s="61">
        <f t="shared" si="13"/>
        <v>58543.564717902664</v>
      </c>
      <c r="U49" s="61">
        <f t="shared" si="13"/>
        <v>61807.097889692901</v>
      </c>
      <c r="V49" s="61">
        <f t="shared" si="13"/>
        <v>65070.631061483138</v>
      </c>
      <c r="W49" s="61">
        <f t="shared" si="13"/>
        <v>68334.164233273375</v>
      </c>
      <c r="X49" s="61">
        <f t="shared" si="13"/>
        <v>71597.69740506362</v>
      </c>
      <c r="Y49" s="61">
        <f t="shared" si="13"/>
        <v>74861.230576853864</v>
      </c>
      <c r="Z49" s="61">
        <f t="shared" si="13"/>
        <v>78124.763748644109</v>
      </c>
      <c r="AA49" s="61">
        <f t="shared" si="13"/>
        <v>81388.296920434354</v>
      </c>
      <c r="AB49" s="61">
        <f t="shared" si="13"/>
        <v>84651.830092224598</v>
      </c>
      <c r="AC49" s="61">
        <f t="shared" si="13"/>
        <v>87915.363264014843</v>
      </c>
      <c r="AD49" s="61">
        <f t="shared" si="13"/>
        <v>91178.896435805087</v>
      </c>
      <c r="AE49" s="61">
        <f t="shared" si="13"/>
        <v>94442.429607595332</v>
      </c>
    </row>
    <row r="50" spans="1:31" x14ac:dyDescent="0.35">
      <c r="A50" s="87" t="s">
        <v>30</v>
      </c>
      <c r="B50" s="14">
        <f>NPV('Cost Assumptions'!$B$3,'Alberhill System Project'!D50:'Alberhill System Project'!AE50)</f>
        <v>1862863.7959071281</v>
      </c>
      <c r="C50" s="10" t="s">
        <v>141</v>
      </c>
      <c r="D50" s="61">
        <f t="shared" ref="D50" si="14">D14-D25</f>
        <v>186417.91344464017</v>
      </c>
      <c r="E50" s="61">
        <f t="shared" ref="E50:AE50" si="15">E14-E25</f>
        <v>189009.50388219519</v>
      </c>
      <c r="F50" s="61">
        <f t="shared" si="15"/>
        <v>191564.1432660401</v>
      </c>
      <c r="G50" s="61">
        <f t="shared" si="15"/>
        <v>193070.98066224542</v>
      </c>
      <c r="H50" s="61">
        <f t="shared" si="15"/>
        <v>194566.94120049663</v>
      </c>
      <c r="I50" s="61">
        <f t="shared" si="15"/>
        <v>196043.22331252537</v>
      </c>
      <c r="J50" s="61">
        <f t="shared" si="15"/>
        <v>197637.67792758351</v>
      </c>
      <c r="K50" s="61">
        <f t="shared" si="15"/>
        <v>199205.56968908219</v>
      </c>
      <c r="L50" s="61">
        <f t="shared" si="15"/>
        <v>200762.50259762796</v>
      </c>
      <c r="M50" s="61">
        <f t="shared" si="15"/>
        <v>202312.77195970278</v>
      </c>
      <c r="N50" s="61">
        <f t="shared" si="15"/>
        <v>203891.87720126222</v>
      </c>
      <c r="O50" s="61">
        <f t="shared" si="15"/>
        <v>205453.78901452594</v>
      </c>
      <c r="P50" s="61">
        <f t="shared" si="15"/>
        <v>207013.17350400315</v>
      </c>
      <c r="Q50" s="61">
        <f t="shared" si="15"/>
        <v>208553.6628010571</v>
      </c>
      <c r="R50" s="61">
        <f t="shared" si="15"/>
        <v>210040.53654679924</v>
      </c>
      <c r="S50" s="61">
        <f t="shared" si="15"/>
        <v>211516.8612231047</v>
      </c>
      <c r="T50" s="61">
        <f t="shared" si="15"/>
        <v>212992.95479344798</v>
      </c>
      <c r="U50" s="61">
        <f t="shared" si="15"/>
        <v>214453.87078870658</v>
      </c>
      <c r="V50" s="61">
        <f t="shared" si="15"/>
        <v>215797.26181279257</v>
      </c>
      <c r="W50" s="61">
        <f t="shared" si="15"/>
        <v>217127.55888605461</v>
      </c>
      <c r="X50" s="61">
        <f t="shared" si="15"/>
        <v>218448.27699759719</v>
      </c>
      <c r="Y50" s="61">
        <f t="shared" si="15"/>
        <v>219753.30479432628</v>
      </c>
      <c r="Z50" s="61">
        <f t="shared" si="15"/>
        <v>220916.24505099579</v>
      </c>
      <c r="AA50" s="61">
        <f t="shared" si="15"/>
        <v>222062.52293246731</v>
      </c>
      <c r="AB50" s="61">
        <f t="shared" si="15"/>
        <v>223201.62376231872</v>
      </c>
      <c r="AC50" s="61">
        <f t="shared" si="15"/>
        <v>224344.80315530748</v>
      </c>
      <c r="AD50" s="61">
        <f t="shared" si="15"/>
        <v>225308.05130950769</v>
      </c>
      <c r="AE50" s="61">
        <f t="shared" si="15"/>
        <v>226268.6086930306</v>
      </c>
    </row>
    <row r="51" spans="1:31" s="60" customFormat="1" x14ac:dyDescent="0.35">
      <c r="A51" s="87" t="s">
        <v>30</v>
      </c>
      <c r="B51" s="14">
        <f>NPV('Cost Assumptions'!$B$3,'Alberhill System Project'!D51:'Alberhill System Project'!AE51)</f>
        <v>971617.27857468429</v>
      </c>
      <c r="C51" s="10" t="s">
        <v>142</v>
      </c>
      <c r="D51" s="61">
        <f>D15-D26</f>
        <v>61013.964889704475</v>
      </c>
      <c r="E51" s="61">
        <f>E15-E26</f>
        <v>67510.279902947688</v>
      </c>
      <c r="F51" s="61">
        <f t="shared" ref="F51:AE51" si="16">F15-F26</f>
        <v>74377.574709919048</v>
      </c>
      <c r="G51" s="61">
        <f t="shared" si="16"/>
        <v>78618.22602925339</v>
      </c>
      <c r="H51" s="61">
        <f t="shared" si="16"/>
        <v>82988.981521506663</v>
      </c>
      <c r="I51" s="61">
        <f t="shared" si="16"/>
        <v>87389.403277175617</v>
      </c>
      <c r="J51" s="61">
        <f t="shared" si="16"/>
        <v>92321.315639419001</v>
      </c>
      <c r="K51" s="61">
        <f t="shared" si="16"/>
        <v>97360.528216872204</v>
      </c>
      <c r="L51" s="61">
        <f t="shared" si="16"/>
        <v>102558.35427416883</v>
      </c>
      <c r="M51" s="61">
        <f t="shared" si="16"/>
        <v>107902.99911183663</v>
      </c>
      <c r="N51" s="61">
        <f t="shared" si="16"/>
        <v>113510.28228388321</v>
      </c>
      <c r="O51" s="61">
        <f t="shared" si="16"/>
        <v>119215.54459930227</v>
      </c>
      <c r="P51" s="61">
        <f t="shared" si="16"/>
        <v>125103.31853562905</v>
      </c>
      <c r="Q51" s="61">
        <f t="shared" si="16"/>
        <v>131052.60766620915</v>
      </c>
      <c r="R51" s="61">
        <f t="shared" si="16"/>
        <v>136903.35024118255</v>
      </c>
      <c r="S51" s="61">
        <f t="shared" si="16"/>
        <v>142878.97719119111</v>
      </c>
      <c r="T51" s="61">
        <f t="shared" si="16"/>
        <v>149020.39937868423</v>
      </c>
      <c r="U51" s="61">
        <f t="shared" si="16"/>
        <v>155247.10156787108</v>
      </c>
      <c r="V51" s="61">
        <f t="shared" si="16"/>
        <v>161139.81873929495</v>
      </c>
      <c r="W51" s="61">
        <f t="shared" si="16"/>
        <v>167138.14300663036</v>
      </c>
      <c r="X51" s="61">
        <f t="shared" si="16"/>
        <v>173244.18331454098</v>
      </c>
      <c r="Y51" s="61">
        <f t="shared" si="16"/>
        <v>179443.20410872353</v>
      </c>
      <c r="Z51" s="61">
        <f t="shared" si="16"/>
        <v>185045.35087662368</v>
      </c>
      <c r="AA51" s="61">
        <f t="shared" si="16"/>
        <v>190641.4157171179</v>
      </c>
      <c r="AB51" s="61">
        <f t="shared" si="16"/>
        <v>196309.22983082503</v>
      </c>
      <c r="AC51" s="61">
        <f t="shared" si="16"/>
        <v>202093.9478901476</v>
      </c>
      <c r="AD51" s="61">
        <f t="shared" si="16"/>
        <v>207035.6231350381</v>
      </c>
      <c r="AE51" s="61">
        <f t="shared" si="16"/>
        <v>212019.58007430148</v>
      </c>
    </row>
    <row r="52" spans="1:31" x14ac:dyDescent="0.35">
      <c r="A52" s="87" t="s">
        <v>39</v>
      </c>
      <c r="B52" s="14">
        <f>NPV('Cost Assumptions'!$B$3,'Alberhill System Project'!D52:'Alberhill System Project'!AE52)</f>
        <v>21149.447635854573</v>
      </c>
      <c r="C52" s="10" t="s">
        <v>31</v>
      </c>
      <c r="D52" s="61">
        <f t="shared" ref="D52" si="17">D8-D27</f>
        <v>49.800000000000182</v>
      </c>
      <c r="E52" s="61">
        <f t="shared" ref="E52:AE52" si="18">E8-E27</f>
        <v>129.00000000000023</v>
      </c>
      <c r="F52" s="61">
        <f t="shared" si="18"/>
        <v>258.75000000000023</v>
      </c>
      <c r="G52" s="61">
        <f t="shared" si="18"/>
        <v>388.50000000000023</v>
      </c>
      <c r="H52" s="61">
        <f t="shared" si="18"/>
        <v>518.25000000000023</v>
      </c>
      <c r="I52" s="61">
        <f t="shared" si="18"/>
        <v>648.00000000000023</v>
      </c>
      <c r="J52" s="61">
        <f t="shared" si="18"/>
        <v>777.75000000000023</v>
      </c>
      <c r="K52" s="61">
        <f t="shared" si="18"/>
        <v>907.5</v>
      </c>
      <c r="L52" s="61">
        <f t="shared" si="18"/>
        <v>1246.7</v>
      </c>
      <c r="M52" s="61">
        <f t="shared" si="18"/>
        <v>1585.9</v>
      </c>
      <c r="N52" s="61">
        <f t="shared" si="18"/>
        <v>1925.1000000000001</v>
      </c>
      <c r="O52" s="61">
        <f t="shared" si="18"/>
        <v>2264.3000000000002</v>
      </c>
      <c r="P52" s="61">
        <f t="shared" si="18"/>
        <v>2843.6833333333334</v>
      </c>
      <c r="Q52" s="61">
        <f t="shared" si="18"/>
        <v>3423.0666666666666</v>
      </c>
      <c r="R52" s="61">
        <f t="shared" si="18"/>
        <v>4002.45</v>
      </c>
      <c r="S52" s="61">
        <f t="shared" si="18"/>
        <v>4581.833333333333</v>
      </c>
      <c r="T52" s="61">
        <f t="shared" si="18"/>
        <v>5161.2166666666662</v>
      </c>
      <c r="U52" s="61">
        <f t="shared" si="18"/>
        <v>5739.9999999999991</v>
      </c>
      <c r="V52" s="61">
        <f t="shared" si="18"/>
        <v>6563.9199999999992</v>
      </c>
      <c r="W52" s="61">
        <f t="shared" si="18"/>
        <v>7387.8399999999983</v>
      </c>
      <c r="X52" s="61">
        <f t="shared" si="18"/>
        <v>8211.7599999999984</v>
      </c>
      <c r="Y52" s="61">
        <f t="shared" si="18"/>
        <v>9035.6799999999985</v>
      </c>
      <c r="Z52" s="61">
        <f t="shared" si="18"/>
        <v>9859.5999999999985</v>
      </c>
      <c r="AA52" s="61">
        <f t="shared" si="18"/>
        <v>10775.953333333333</v>
      </c>
      <c r="AB52" s="61">
        <f t="shared" si="18"/>
        <v>11697.433333333334</v>
      </c>
      <c r="AC52" s="61">
        <f t="shared" si="18"/>
        <v>12618.913333333334</v>
      </c>
      <c r="AD52" s="61">
        <f t="shared" si="18"/>
        <v>13532.933333333336</v>
      </c>
      <c r="AE52" s="61">
        <f t="shared" si="18"/>
        <v>14429.700000000003</v>
      </c>
    </row>
    <row r="53" spans="1:31" x14ac:dyDescent="0.35">
      <c r="A53" s="87" t="s">
        <v>39</v>
      </c>
      <c r="B53" s="14">
        <f>NPV('Cost Assumptions'!$B$3,'Alberhill System Project'!D53:'Alberhill System Project'!AE53)</f>
        <v>1327.9867985547344</v>
      </c>
      <c r="C53" s="10" t="s">
        <v>32</v>
      </c>
      <c r="D53" s="61">
        <f t="shared" ref="D53" si="19">D9-D28</f>
        <v>22.400000000000091</v>
      </c>
      <c r="E53" s="61">
        <f t="shared" ref="E53:AE53" si="20">E9-E28</f>
        <v>42.200000000000045</v>
      </c>
      <c r="F53" s="61">
        <f t="shared" si="20"/>
        <v>57.06666666666672</v>
      </c>
      <c r="G53" s="61">
        <f t="shared" si="20"/>
        <v>71.933333333333394</v>
      </c>
      <c r="H53" s="61">
        <f t="shared" si="20"/>
        <v>86.800000000000068</v>
      </c>
      <c r="I53" s="61">
        <f t="shared" si="20"/>
        <v>101.66666666666674</v>
      </c>
      <c r="J53" s="61">
        <f t="shared" si="20"/>
        <v>116.53333333333342</v>
      </c>
      <c r="K53" s="61">
        <f t="shared" si="20"/>
        <v>131.40000000000009</v>
      </c>
      <c r="L53" s="61">
        <f t="shared" si="20"/>
        <v>146.05000000000007</v>
      </c>
      <c r="M53" s="61">
        <f t="shared" si="20"/>
        <v>160.70000000000005</v>
      </c>
      <c r="N53" s="61">
        <f t="shared" si="20"/>
        <v>175.35000000000002</v>
      </c>
      <c r="O53" s="61">
        <f t="shared" si="20"/>
        <v>190</v>
      </c>
      <c r="P53" s="61">
        <f t="shared" si="20"/>
        <v>205</v>
      </c>
      <c r="Q53" s="61">
        <f t="shared" si="20"/>
        <v>220</v>
      </c>
      <c r="R53" s="61">
        <f t="shared" si="20"/>
        <v>235</v>
      </c>
      <c r="S53" s="61">
        <f t="shared" si="20"/>
        <v>250</v>
      </c>
      <c r="T53" s="61">
        <f t="shared" si="20"/>
        <v>265</v>
      </c>
      <c r="U53" s="61">
        <f t="shared" si="20"/>
        <v>279.39999999999998</v>
      </c>
      <c r="V53" s="61">
        <f t="shared" si="20"/>
        <v>291.52</v>
      </c>
      <c r="W53" s="61">
        <f t="shared" si="20"/>
        <v>303.64</v>
      </c>
      <c r="X53" s="61">
        <f t="shared" si="20"/>
        <v>315.76</v>
      </c>
      <c r="Y53" s="61">
        <f t="shared" si="20"/>
        <v>327.88</v>
      </c>
      <c r="Z53" s="61">
        <f t="shared" si="20"/>
        <v>340.00000000000011</v>
      </c>
      <c r="AA53" s="61">
        <f t="shared" si="20"/>
        <v>353.72666666666669</v>
      </c>
      <c r="AB53" s="61">
        <f t="shared" si="20"/>
        <v>364.60666666666663</v>
      </c>
      <c r="AC53" s="61">
        <f t="shared" si="20"/>
        <v>375.48666666666657</v>
      </c>
      <c r="AD53" s="61">
        <f t="shared" si="20"/>
        <v>386.82666666666654</v>
      </c>
      <c r="AE53" s="61">
        <f t="shared" si="20"/>
        <v>396.69999999999993</v>
      </c>
    </row>
    <row r="54" spans="1:31" x14ac:dyDescent="0.35">
      <c r="A54" s="87" t="s">
        <v>39</v>
      </c>
      <c r="B54" s="14">
        <f>NPV('Cost Assumptions'!$B$3,'Alberhill System Project'!D54:'Alberhill System Project'!AE54)</f>
        <v>1755.4513200191459</v>
      </c>
      <c r="C54" s="10" t="s">
        <v>33</v>
      </c>
      <c r="D54" s="61">
        <f t="shared" ref="D54" si="21">D10-D29</f>
        <v>0.21200232326290805</v>
      </c>
      <c r="E54" s="61">
        <f t="shared" ref="E54:AE54" si="22">E10-E29</f>
        <v>0.68645330574586072</v>
      </c>
      <c r="F54" s="61">
        <f t="shared" si="22"/>
        <v>3.6304865724427344</v>
      </c>
      <c r="G54" s="61">
        <f t="shared" si="22"/>
        <v>6.574519839139608</v>
      </c>
      <c r="H54" s="61">
        <f t="shared" si="22"/>
        <v>9.5185531058364816</v>
      </c>
      <c r="I54" s="61">
        <f t="shared" si="22"/>
        <v>12.462586372533355</v>
      </c>
      <c r="J54" s="61">
        <f t="shared" si="22"/>
        <v>15.406619639230229</v>
      </c>
      <c r="K54" s="61">
        <f t="shared" si="22"/>
        <v>18.350652905927102</v>
      </c>
      <c r="L54" s="61">
        <f t="shared" si="22"/>
        <v>36.053857953636381</v>
      </c>
      <c r="M54" s="61">
        <f t="shared" si="22"/>
        <v>53.757063001345664</v>
      </c>
      <c r="N54" s="61">
        <f t="shared" si="22"/>
        <v>71.460268049054946</v>
      </c>
      <c r="O54" s="61">
        <f t="shared" si="22"/>
        <v>89.163473096764235</v>
      </c>
      <c r="P54" s="61">
        <f t="shared" si="22"/>
        <v>144.562613999387</v>
      </c>
      <c r="Q54" s="61">
        <f t="shared" si="22"/>
        <v>199.96175490200974</v>
      </c>
      <c r="R54" s="61">
        <f t="shared" si="22"/>
        <v>255.36089580463249</v>
      </c>
      <c r="S54" s="61">
        <f t="shared" si="22"/>
        <v>310.76003670725527</v>
      </c>
      <c r="T54" s="61">
        <f t="shared" si="22"/>
        <v>366.15917760987804</v>
      </c>
      <c r="U54" s="61">
        <f t="shared" si="22"/>
        <v>421.55415903687629</v>
      </c>
      <c r="V54" s="61">
        <f t="shared" si="22"/>
        <v>551.79734935420754</v>
      </c>
      <c r="W54" s="61">
        <f t="shared" si="22"/>
        <v>682.04053967153891</v>
      </c>
      <c r="X54" s="61">
        <f t="shared" si="22"/>
        <v>812.28372998887016</v>
      </c>
      <c r="Y54" s="61">
        <f t="shared" si="22"/>
        <v>942.52692030620142</v>
      </c>
      <c r="Z54" s="61">
        <f t="shared" si="22"/>
        <v>1072.7701106235327</v>
      </c>
      <c r="AA54" s="61">
        <f t="shared" si="22"/>
        <v>1295.7541870880686</v>
      </c>
      <c r="AB54" s="61">
        <f t="shared" si="22"/>
        <v>1519.910958380309</v>
      </c>
      <c r="AC54" s="61">
        <f t="shared" si="22"/>
        <v>1744.0677296725491</v>
      </c>
      <c r="AD54" s="61">
        <f t="shared" si="22"/>
        <v>1967.4283773302802</v>
      </c>
      <c r="AE54" s="61">
        <f t="shared" si="22"/>
        <v>2189.5733489121881</v>
      </c>
    </row>
    <row r="55" spans="1:31" x14ac:dyDescent="0.35">
      <c r="A55" s="87" t="s">
        <v>39</v>
      </c>
      <c r="B55" s="14">
        <f>NPV('Cost Assumptions'!$B$3,'Alberhill System Project'!D55:'Alberhill System Project'!AE55)</f>
        <v>22.426163662453945</v>
      </c>
      <c r="C55" s="10" t="s">
        <v>34</v>
      </c>
      <c r="D55" s="61">
        <f t="shared" ref="D55" si="23">D11-D30</f>
        <v>5.3000580815727012E-2</v>
      </c>
      <c r="E55" s="61">
        <f t="shared" ref="E55:AE55" si="24">E11-E30</f>
        <v>0.13729066114917213</v>
      </c>
      <c r="F55" s="61">
        <f t="shared" si="24"/>
        <v>0.27537952381665309</v>
      </c>
      <c r="G55" s="61">
        <f t="shared" si="24"/>
        <v>0.41346838648413409</v>
      </c>
      <c r="H55" s="61">
        <f t="shared" si="24"/>
        <v>0.55155724915161508</v>
      </c>
      <c r="I55" s="61">
        <f t="shared" si="24"/>
        <v>0.68964611181909607</v>
      </c>
      <c r="J55" s="61">
        <f t="shared" si="24"/>
        <v>0.82773497448657707</v>
      </c>
      <c r="K55" s="61">
        <f t="shared" si="24"/>
        <v>0.96582383715405795</v>
      </c>
      <c r="L55" s="61">
        <f t="shared" si="24"/>
        <v>1.3268237771680045</v>
      </c>
      <c r="M55" s="61">
        <f t="shared" si="24"/>
        <v>1.687823717181951</v>
      </c>
      <c r="N55" s="61">
        <f t="shared" si="24"/>
        <v>2.0488236571958973</v>
      </c>
      <c r="O55" s="61">
        <f t="shared" si="24"/>
        <v>2.4098235972098441</v>
      </c>
      <c r="P55" s="61">
        <f t="shared" si="24"/>
        <v>3.0264431390094124</v>
      </c>
      <c r="Q55" s="61">
        <f t="shared" si="24"/>
        <v>3.6430626808089812</v>
      </c>
      <c r="R55" s="61">
        <f t="shared" si="24"/>
        <v>4.25968222260855</v>
      </c>
      <c r="S55" s="61">
        <f t="shared" si="24"/>
        <v>4.8763017644081188</v>
      </c>
      <c r="T55" s="61">
        <f t="shared" si="24"/>
        <v>5.4929213062076876</v>
      </c>
      <c r="U55" s="61">
        <f t="shared" si="24"/>
        <v>6.1074611101950582</v>
      </c>
      <c r="V55" s="61">
        <f t="shared" si="24"/>
        <v>6.9711706238911217</v>
      </c>
      <c r="W55" s="61">
        <f t="shared" si="24"/>
        <v>7.8348801375871862</v>
      </c>
      <c r="X55" s="61">
        <f t="shared" si="24"/>
        <v>8.6985896512832479</v>
      </c>
      <c r="Y55" s="61">
        <f t="shared" si="24"/>
        <v>9.5622991649793132</v>
      </c>
      <c r="Z55" s="61">
        <f t="shared" si="24"/>
        <v>10.426008678675377</v>
      </c>
      <c r="AA55" s="61">
        <f t="shared" si="24"/>
        <v>11.375778041677762</v>
      </c>
      <c r="AB55" s="61">
        <f t="shared" si="24"/>
        <v>12.343317608875479</v>
      </c>
      <c r="AC55" s="61">
        <f t="shared" si="24"/>
        <v>13.310857176073196</v>
      </c>
      <c r="AD55" s="61">
        <f t="shared" si="24"/>
        <v>14.252538669805926</v>
      </c>
      <c r="AE55" s="61">
        <f t="shared" si="24"/>
        <v>15.134416147339026</v>
      </c>
    </row>
    <row r="56" spans="1:31" x14ac:dyDescent="0.35">
      <c r="A56" s="87" t="s">
        <v>39</v>
      </c>
      <c r="B56" s="14">
        <f>NPV('Cost Assumptions'!$B$3,'Alberhill System Project'!D56:'Alberhill System Project'!AE56)</f>
        <v>278.54049239471641</v>
      </c>
      <c r="C56" s="10" t="s">
        <v>35</v>
      </c>
      <c r="D56" s="61">
        <f t="shared" ref="D56" si="25">D12-D31</f>
        <v>4</v>
      </c>
      <c r="E56" s="61">
        <f t="shared" ref="E56:AE56" si="26">E12-E31</f>
        <v>5</v>
      </c>
      <c r="F56" s="61">
        <f t="shared" si="26"/>
        <v>7.3333333333333339</v>
      </c>
      <c r="G56" s="61">
        <f t="shared" si="26"/>
        <v>9.6666666666666679</v>
      </c>
      <c r="H56" s="61">
        <f t="shared" si="26"/>
        <v>12.000000000000002</v>
      </c>
      <c r="I56" s="61">
        <f t="shared" si="26"/>
        <v>14.333333333333336</v>
      </c>
      <c r="J56" s="61">
        <f t="shared" si="26"/>
        <v>16.666666666666668</v>
      </c>
      <c r="K56" s="61">
        <f t="shared" si="26"/>
        <v>19</v>
      </c>
      <c r="L56" s="61">
        <f t="shared" si="26"/>
        <v>23.5</v>
      </c>
      <c r="M56" s="61">
        <f t="shared" si="26"/>
        <v>28</v>
      </c>
      <c r="N56" s="61">
        <f t="shared" si="26"/>
        <v>32.5</v>
      </c>
      <c r="O56" s="61">
        <f t="shared" si="26"/>
        <v>37</v>
      </c>
      <c r="P56" s="61">
        <f t="shared" si="26"/>
        <v>42.333333333333336</v>
      </c>
      <c r="Q56" s="61">
        <f t="shared" si="26"/>
        <v>47.666666666666671</v>
      </c>
      <c r="R56" s="61">
        <f t="shared" si="26"/>
        <v>53.000000000000007</v>
      </c>
      <c r="S56" s="61">
        <f t="shared" si="26"/>
        <v>58.333333333333343</v>
      </c>
      <c r="T56" s="61">
        <f t="shared" si="26"/>
        <v>63.666666666666679</v>
      </c>
      <c r="U56" s="61">
        <f t="shared" si="26"/>
        <v>68</v>
      </c>
      <c r="V56" s="61">
        <f t="shared" si="26"/>
        <v>73.599999999999994</v>
      </c>
      <c r="W56" s="61">
        <f t="shared" si="26"/>
        <v>79.199999999999989</v>
      </c>
      <c r="X56" s="61">
        <f t="shared" si="26"/>
        <v>84.799999999999983</v>
      </c>
      <c r="Y56" s="61">
        <f t="shared" si="26"/>
        <v>90.399999999999977</v>
      </c>
      <c r="Z56" s="61">
        <f t="shared" si="26"/>
        <v>96</v>
      </c>
      <c r="AA56" s="61">
        <f t="shared" si="26"/>
        <v>104.66666666666667</v>
      </c>
      <c r="AB56" s="61">
        <f t="shared" si="26"/>
        <v>111.66666666666667</v>
      </c>
      <c r="AC56" s="61">
        <f t="shared" si="26"/>
        <v>118.66666666666667</v>
      </c>
      <c r="AD56" s="61">
        <f t="shared" si="26"/>
        <v>125.86666666666667</v>
      </c>
      <c r="AE56" s="61">
        <f t="shared" si="26"/>
        <v>132</v>
      </c>
    </row>
    <row r="58" spans="1:31" ht="15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5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4169341.4801642518</v>
      </c>
      <c r="D65" s="5">
        <f>'Baseline System Analysis'!D24-'Alberhill System Project'!D34</f>
        <v>2664.1723479509105</v>
      </c>
      <c r="E65" s="5">
        <f>'Baseline System Analysis'!E24-'Alberhill System Project'!E34</f>
        <v>6696.6564957916835</v>
      </c>
      <c r="F65" s="5">
        <f>'Baseline System Analysis'!F24-'Alberhill System Project'!F34</f>
        <v>15296.141952645759</v>
      </c>
      <c r="G65" s="5">
        <f>'Baseline System Analysis'!G24-'Alberhill System Project'!G34</f>
        <v>23895.627409499837</v>
      </c>
      <c r="H65" s="5">
        <f>'Baseline System Analysis'!H24-'Alberhill System Project'!H34</f>
        <v>32495.112866353913</v>
      </c>
      <c r="I65" s="5">
        <f>'Baseline System Analysis'!I24-'Alberhill System Project'!I34</f>
        <v>41094.598323207989</v>
      </c>
      <c r="J65" s="5">
        <f>'Baseline System Analysis'!J24-'Alberhill System Project'!J34</f>
        <v>49694.083780062065</v>
      </c>
      <c r="K65" s="5">
        <f>'Baseline System Analysis'!K24-'Alberhill System Project'!K34</f>
        <v>58293.569236916141</v>
      </c>
      <c r="L65" s="5">
        <f>'Baseline System Analysis'!L24-'Alberhill System Project'!L34</f>
        <v>105854.92342039704</v>
      </c>
      <c r="M65" s="5">
        <f>'Baseline System Analysis'!M24-'Alberhill System Project'!M34</f>
        <v>153416.27760387794</v>
      </c>
      <c r="N65" s="5">
        <f>'Baseline System Analysis'!N24-'Alberhill System Project'!N34</f>
        <v>200977.63178735884</v>
      </c>
      <c r="O65" s="5">
        <f>'Baseline System Analysis'!O24-'Alberhill System Project'!O34</f>
        <v>248538.98597083971</v>
      </c>
      <c r="P65" s="5">
        <f>'Baseline System Analysis'!P24-'Alberhill System Project'!P34</f>
        <v>358519.46700817335</v>
      </c>
      <c r="Q65" s="5">
        <f>'Baseline System Analysis'!Q24-'Alberhill System Project'!Q34</f>
        <v>487919.17632738827</v>
      </c>
      <c r="R65" s="5">
        <f>'Baseline System Analysis'!R24-'Alberhill System Project'!R34</f>
        <v>617318.88564660319</v>
      </c>
      <c r="S65" s="5">
        <f>'Baseline System Analysis'!S24-'Alberhill System Project'!S34</f>
        <v>746718.59496581799</v>
      </c>
      <c r="T65" s="5">
        <f>'Baseline System Analysis'!T24-'Alberhill System Project'!T34</f>
        <v>876118.30428503291</v>
      </c>
      <c r="U65" s="5">
        <f>'Baseline System Analysis'!U24-'Alberhill System Project'!U34</f>
        <v>1005518.0136042479</v>
      </c>
      <c r="V65" s="5">
        <f>'Baseline System Analysis'!V24-'Alberhill System Project'!V34</f>
        <v>1321103.1151552037</v>
      </c>
      <c r="W65" s="5">
        <f>'Baseline System Analysis'!W24-'Alberhill System Project'!W34</f>
        <v>1636688.2167061591</v>
      </c>
      <c r="X65" s="5">
        <f>'Baseline System Analysis'!X24-'Alberhill System Project'!X34</f>
        <v>1952273.3182571146</v>
      </c>
      <c r="Y65" s="5">
        <f>'Baseline System Analysis'!Y24-'Alberhill System Project'!Y34</f>
        <v>2267858.4198080702</v>
      </c>
      <c r="Z65" s="5">
        <f>'Baseline System Analysis'!Z24-'Alberhill System Project'!Z34</f>
        <v>2583443.521359026</v>
      </c>
      <c r="AA65" s="5">
        <f>'Baseline System Analysis'!AA24-'Alberhill System Project'!AA34</f>
        <v>3006340.4357401999</v>
      </c>
      <c r="AB65" s="5">
        <f>'Baseline System Analysis'!AB24-'Alberhill System Project'!AB34</f>
        <v>3429237.3501213738</v>
      </c>
      <c r="AC65" s="5">
        <f>'Baseline System Analysis'!AC24-'Alberhill System Project'!AC34</f>
        <v>3852134.2645025477</v>
      </c>
      <c r="AD65" s="5">
        <f>'Baseline System Analysis'!AD24-'Alberhill System Project'!AD34</f>
        <v>4275031.1788837221</v>
      </c>
      <c r="AE65" s="5">
        <f>'Baseline System Analysis'!AE24-'Alberhill System Project'!AE34</f>
        <v>4697928.0932648964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17261683.439557534</v>
      </c>
      <c r="D66" s="5">
        <f>'Baseline System Analysis'!D25-'Alberhill System Project'!D35</f>
        <v>11054.945403686945</v>
      </c>
      <c r="E66" s="5">
        <f>'Baseline System Analysis'!E25-'Alberhill System Project'!E35</f>
        <v>27787.681230593829</v>
      </c>
      <c r="F66" s="5">
        <f>'Baseline System Analysis'!F25-'Alberhill System Project'!F35</f>
        <v>63471.124270020417</v>
      </c>
      <c r="G66" s="5">
        <f>'Baseline System Analysis'!G25-'Alberhill System Project'!G35</f>
        <v>99154.567309447011</v>
      </c>
      <c r="H66" s="5">
        <f>'Baseline System Analysis'!H25-'Alberhill System Project'!H35</f>
        <v>134838.01034887359</v>
      </c>
      <c r="I66" s="5">
        <f>'Baseline System Analysis'!I25-'Alberhill System Project'!I35</f>
        <v>170521.45338830017</v>
      </c>
      <c r="J66" s="5">
        <f>'Baseline System Analysis'!J25-'Alberhill System Project'!J35</f>
        <v>206204.89642772675</v>
      </c>
      <c r="K66" s="5">
        <f>'Baseline System Analysis'!K25-'Alberhill System Project'!K35</f>
        <v>241888.33946715333</v>
      </c>
      <c r="L66" s="5">
        <f>'Baseline System Analysis'!L25-'Alberhill System Project'!L35</f>
        <v>439243.50465689693</v>
      </c>
      <c r="M66" s="5">
        <f>'Baseline System Analysis'!M25-'Alberhill System Project'!M35</f>
        <v>636598.66984664055</v>
      </c>
      <c r="N66" s="5">
        <f>'Baseline System Analysis'!N25-'Alberhill System Project'!N35</f>
        <v>833953.83503638417</v>
      </c>
      <c r="O66" s="5">
        <f>'Baseline System Analysis'!O25-'Alberhill System Project'!O35</f>
        <v>1031309.0002261278</v>
      </c>
      <c r="P66" s="5">
        <f>'Baseline System Analysis'!P25-'Alberhill System Project'!P35</f>
        <v>1437138.4912819688</v>
      </c>
      <c r="Q66" s="5">
        <f>'Baseline System Analysis'!Q25-'Alberhill System Project'!Q35</f>
        <v>1984187.342665338</v>
      </c>
      <c r="R66" s="5">
        <f>'Baseline System Analysis'!R25-'Alberhill System Project'!R35</f>
        <v>2531236.1940487074</v>
      </c>
      <c r="S66" s="5">
        <f>'Baseline System Analysis'!S25-'Alberhill System Project'!S35</f>
        <v>3078285.0454320763</v>
      </c>
      <c r="T66" s="5">
        <f>'Baseline System Analysis'!T25-'Alberhill System Project'!T35</f>
        <v>3625333.8968154457</v>
      </c>
      <c r="U66" s="5">
        <f>'Baseline System Analysis'!U25-'Alberhill System Project'!U35</f>
        <v>4172382.7481988147</v>
      </c>
      <c r="V66" s="5">
        <f>'Baseline System Analysis'!V25-'Alberhill System Project'!V35</f>
        <v>5481898.6549103782</v>
      </c>
      <c r="W66" s="5">
        <f>'Baseline System Analysis'!W25-'Alberhill System Project'!W35</f>
        <v>6791414.5616219416</v>
      </c>
      <c r="X66" s="5">
        <f>'Baseline System Analysis'!X25-'Alberhill System Project'!X35</f>
        <v>8100930.4683335051</v>
      </c>
      <c r="Y66" s="5">
        <f>'Baseline System Analysis'!Y25-'Alberhill System Project'!Y35</f>
        <v>9410446.3750450686</v>
      </c>
      <c r="Z66" s="5">
        <f>'Baseline System Analysis'!Z25-'Alberhill System Project'!Z35</f>
        <v>10719962.281756632</v>
      </c>
      <c r="AA66" s="5">
        <f>'Baseline System Analysis'!AA25-'Alberhill System Project'!AA35</f>
        <v>12474767.03508549</v>
      </c>
      <c r="AB66" s="5">
        <f>'Baseline System Analysis'!AB25-'Alberhill System Project'!AB35</f>
        <v>14229571.788414348</v>
      </c>
      <c r="AC66" s="5">
        <f>'Baseline System Analysis'!AC25-'Alberhill System Project'!AC35</f>
        <v>15984376.541743208</v>
      </c>
      <c r="AD66" s="5">
        <f>'Baseline System Analysis'!AD25-'Alberhill System Project'!AD35</f>
        <v>17739181.295072064</v>
      </c>
      <c r="AE66" s="5">
        <f>'Baseline System Analysis'!AE25-'Alberhill System Project'!AE35</f>
        <v>19493986.048400924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21431024.919721786</v>
      </c>
      <c r="D67" s="5">
        <f>SUM(D65:D66)</f>
        <v>13719.117751637856</v>
      </c>
      <c r="E67" s="5">
        <f>SUM(E65:E66)</f>
        <v>34484.337726385515</v>
      </c>
      <c r="F67" s="5">
        <f t="shared" ref="F67:AE67" si="27">SUM(F65:F66)</f>
        <v>78767.266222666178</v>
      </c>
      <c r="G67" s="5">
        <f t="shared" si="27"/>
        <v>123050.19471894685</v>
      </c>
      <c r="H67" s="5">
        <f t="shared" si="27"/>
        <v>167333.1232152275</v>
      </c>
      <c r="I67" s="5">
        <f t="shared" si="27"/>
        <v>211616.05171150816</v>
      </c>
      <c r="J67" s="5">
        <f t="shared" si="27"/>
        <v>255898.98020778882</v>
      </c>
      <c r="K67" s="5">
        <f t="shared" si="27"/>
        <v>300181.90870406944</v>
      </c>
      <c r="L67" s="5">
        <f t="shared" si="27"/>
        <v>545098.42807729403</v>
      </c>
      <c r="M67" s="5">
        <f t="shared" si="27"/>
        <v>790014.94745051849</v>
      </c>
      <c r="N67" s="5">
        <f t="shared" si="27"/>
        <v>1034931.466823743</v>
      </c>
      <c r="O67" s="5">
        <f t="shared" si="27"/>
        <v>1279847.9861969675</v>
      </c>
      <c r="P67" s="5">
        <f t="shared" si="27"/>
        <v>1795657.958290142</v>
      </c>
      <c r="Q67" s="5">
        <f t="shared" si="27"/>
        <v>2472106.5189927262</v>
      </c>
      <c r="R67" s="5">
        <f t="shared" si="27"/>
        <v>3148555.0796953104</v>
      </c>
      <c r="S67" s="5">
        <f t="shared" si="27"/>
        <v>3825003.6403978942</v>
      </c>
      <c r="T67" s="5">
        <f t="shared" si="27"/>
        <v>4501452.2011004789</v>
      </c>
      <c r="U67" s="5">
        <f t="shared" si="27"/>
        <v>5177900.7618030626</v>
      </c>
      <c r="V67" s="5">
        <f t="shared" si="27"/>
        <v>6803001.7700655814</v>
      </c>
      <c r="W67" s="5">
        <f t="shared" si="27"/>
        <v>8428102.7783281002</v>
      </c>
      <c r="X67" s="5">
        <f t="shared" si="27"/>
        <v>10053203.786590619</v>
      </c>
      <c r="Y67" s="5">
        <f t="shared" si="27"/>
        <v>11678304.79485314</v>
      </c>
      <c r="Z67" s="5">
        <f t="shared" si="27"/>
        <v>13303405.803115658</v>
      </c>
      <c r="AA67" s="5">
        <f t="shared" si="27"/>
        <v>15481107.470825691</v>
      </c>
      <c r="AB67" s="5">
        <f t="shared" si="27"/>
        <v>17658809.138535723</v>
      </c>
      <c r="AC67" s="5">
        <f t="shared" si="27"/>
        <v>19836510.806245755</v>
      </c>
      <c r="AD67" s="5">
        <f t="shared" si="27"/>
        <v>22014212.473955788</v>
      </c>
      <c r="AE67" s="5">
        <f t="shared" si="27"/>
        <v>24191914.14166582</v>
      </c>
    </row>
    <row r="68" spans="1:31" x14ac:dyDescent="0.35">
      <c r="A68" s="87"/>
      <c r="B68" s="87"/>
      <c r="C68" s="49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x14ac:dyDescent="0.35">
      <c r="A69" s="87" t="s">
        <v>120</v>
      </c>
      <c r="B69" s="87" t="s">
        <v>31</v>
      </c>
      <c r="C69" s="17">
        <f>NPV('Cost Assumptions'!$B$3,D69:AE69)</f>
        <v>122110315.3066985</v>
      </c>
      <c r="D69" s="5">
        <f>'Baseline System Analysis'!D28-'Alberhill System Project'!D32</f>
        <v>310386.79798866023</v>
      </c>
      <c r="E69" s="5">
        <f>'Baseline System Analysis'!E28-'Alberhill System Project'!E32</f>
        <v>817408.12222421367</v>
      </c>
      <c r="F69" s="5">
        <f>'Baseline System Analysis'!F28-'Alberhill System Project'!F32</f>
        <v>1334522.6987350811</v>
      </c>
      <c r="G69" s="5">
        <f>'Baseline System Analysis'!G28-'Alberhill System Project'!G32</f>
        <v>1839795.5479560234</v>
      </c>
      <c r="H69" s="5">
        <f>'Baseline System Analysis'!H28-'Alberhill System Project'!H32</f>
        <v>2286697.9912531795</v>
      </c>
      <c r="I69" s="5">
        <f>'Baseline System Analysis'!I28-'Alberhill System Project'!I32</f>
        <v>2696419.0538857356</v>
      </c>
      <c r="J69" s="5">
        <f>'Baseline System Analysis'!J28-'Alberhill System Project'!J32</f>
        <v>3587048.7001477713</v>
      </c>
      <c r="K69" s="5">
        <f>'Baseline System Analysis'!K28-'Alberhill System Project'!K32</f>
        <v>4534084.5657563498</v>
      </c>
      <c r="L69" s="5">
        <f>'Baseline System Analysis'!L28-'Alberhill System Project'!L32</f>
        <v>5693348.9186131302</v>
      </c>
      <c r="M69" s="5">
        <f>'Baseline System Analysis'!M28-'Alberhill System Project'!M32</f>
        <v>7548985.0743932622</v>
      </c>
      <c r="N69" s="5">
        <f>'Baseline System Analysis'!N28-'Alberhill System Project'!N32</f>
        <v>9794691.5976483021</v>
      </c>
      <c r="O69" s="5">
        <f>'Baseline System Analysis'!O28-'Alberhill System Project'!O32</f>
        <v>12474348.375717288</v>
      </c>
      <c r="P69" s="5">
        <f>'Baseline System Analysis'!P28-'Alberhill System Project'!P32</f>
        <v>15347020.983958816</v>
      </c>
      <c r="Q69" s="5">
        <f>'Baseline System Analysis'!Q28-'Alberhill System Project'!Q32</f>
        <v>17866466.956706397</v>
      </c>
      <c r="R69" s="5">
        <f>'Baseline System Analysis'!R28-'Alberhill System Project'!R32</f>
        <v>20996797.786055777</v>
      </c>
      <c r="S69" s="5">
        <f>'Baseline System Analysis'!S28-'Alberhill System Project'!S32</f>
        <v>24698098.988227863</v>
      </c>
      <c r="T69" s="5">
        <f>'Baseline System Analysis'!T28-'Alberhill System Project'!T32</f>
        <v>28840317.341671247</v>
      </c>
      <c r="U69" s="5">
        <f>'Baseline System Analysis'!U28-'Alberhill System Project'!U32</f>
        <v>33531790.669199932</v>
      </c>
      <c r="V69" s="5">
        <f>'Baseline System Analysis'!V28-'Alberhill System Project'!V32</f>
        <v>38427795.42366565</v>
      </c>
      <c r="W69" s="5">
        <f>'Baseline System Analysis'!W28-'Alberhill System Project'!W32</f>
        <v>44456017.581198908</v>
      </c>
      <c r="X69" s="5">
        <f>'Baseline System Analysis'!X28-'Alberhill System Project'!X32</f>
        <v>49918498.142989822</v>
      </c>
      <c r="Y69" s="5">
        <f>'Baseline System Analysis'!Y28-'Alberhill System Project'!Y32</f>
        <v>55820183.64771878</v>
      </c>
      <c r="Z69" s="5">
        <f>'Baseline System Analysis'!Z28-'Alberhill System Project'!Z32</f>
        <v>61722877.625563845</v>
      </c>
      <c r="AA69" s="5">
        <f>'Baseline System Analysis'!AA28-'Alberhill System Project'!AA32</f>
        <v>67876114.309070095</v>
      </c>
      <c r="AB69" s="5">
        <f>'Baseline System Analysis'!AB28-'Alberhill System Project'!AB32</f>
        <v>75348836.864710793</v>
      </c>
      <c r="AC69" s="5">
        <f>'Baseline System Analysis'!AC28-'Alberhill System Project'!AC32</f>
        <v>83556334.363444149</v>
      </c>
      <c r="AD69" s="5">
        <f>'Baseline System Analysis'!AD28-'Alberhill System Project'!AD32</f>
        <v>89719373.424497962</v>
      </c>
      <c r="AE69" s="5">
        <f>'Baseline System Analysis'!AE28-'Alberhill System Project'!AE32</f>
        <v>99316519.178584173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523275410.87705469</v>
      </c>
      <c r="D70" s="5">
        <f>'Baseline System Analysis'!D29-'Alberhill System Project'!D33</f>
        <v>1628153.2445022203</v>
      </c>
      <c r="E70" s="5">
        <f>'Baseline System Analysis'!E29-'Alberhill System Project'!E33</f>
        <v>4276437.722523096</v>
      </c>
      <c r="F70" s="5">
        <f>'Baseline System Analysis'!F29-'Alberhill System Project'!F33</f>
        <v>6406619.8340516584</v>
      </c>
      <c r="G70" s="5">
        <f>'Baseline System Analysis'!G29-'Alberhill System Project'!G33</f>
        <v>8961966.1784057487</v>
      </c>
      <c r="H70" s="5">
        <f>'Baseline System Analysis'!H29-'Alberhill System Project'!H33</f>
        <v>10695561.997562293</v>
      </c>
      <c r="I70" s="5">
        <f>'Baseline System Analysis'!I29-'Alberhill System Project'!I33</f>
        <v>11935292.094424136</v>
      </c>
      <c r="J70" s="5">
        <f>'Baseline System Analysis'!J29-'Alberhill System Project'!J33</f>
        <v>15941642.32252172</v>
      </c>
      <c r="K70" s="5">
        <f>'Baseline System Analysis'!K29-'Alberhill System Project'!K33</f>
        <v>19613619.815275714</v>
      </c>
      <c r="L70" s="5">
        <f>'Baseline System Analysis'!L29-'Alberhill System Project'!L33</f>
        <v>24661704.485005222</v>
      </c>
      <c r="M70" s="5">
        <f>'Baseline System Analysis'!M29-'Alberhill System Project'!M33</f>
        <v>32796387.723990619</v>
      </c>
      <c r="N70" s="5">
        <f>'Baseline System Analysis'!N29-'Alberhill System Project'!N33</f>
        <v>43151911.473019019</v>
      </c>
      <c r="O70" s="5">
        <f>'Baseline System Analysis'!O29-'Alberhill System Project'!O33</f>
        <v>55866474.738844089</v>
      </c>
      <c r="P70" s="5">
        <f>'Baseline System Analysis'!P29-'Alberhill System Project'!P33</f>
        <v>68637387.043348879</v>
      </c>
      <c r="Q70" s="5">
        <f>'Baseline System Analysis'!Q29-'Alberhill System Project'!Q33</f>
        <v>77675195.110624015</v>
      </c>
      <c r="R70" s="5">
        <f>'Baseline System Analysis'!R29-'Alberhill System Project'!R33</f>
        <v>90392543.566104695</v>
      </c>
      <c r="S70" s="5">
        <f>'Baseline System Analysis'!S29-'Alberhill System Project'!S33</f>
        <v>106694968.75578959</v>
      </c>
      <c r="T70" s="5">
        <f>'Baseline System Analysis'!T29-'Alberhill System Project'!T33</f>
        <v>124345366.11087258</v>
      </c>
      <c r="U70" s="5">
        <f>'Baseline System Analysis'!U29-'Alberhill System Project'!U33</f>
        <v>143659312.57489818</v>
      </c>
      <c r="V70" s="5">
        <f>'Baseline System Analysis'!V29-'Alberhill System Project'!V33</f>
        <v>164314472.896061</v>
      </c>
      <c r="W70" s="5">
        <f>'Baseline System Analysis'!W29-'Alberhill System Project'!W33</f>
        <v>190301096.7570231</v>
      </c>
      <c r="X70" s="5">
        <f>'Baseline System Analysis'!X29-'Alberhill System Project'!X33</f>
        <v>210956908.57996538</v>
      </c>
      <c r="Y70" s="5">
        <f>'Baseline System Analysis'!Y29-'Alberhill System Project'!Y33</f>
        <v>236555531.45224884</v>
      </c>
      <c r="Z70" s="5">
        <f>'Baseline System Analysis'!Z29-'Alberhill System Project'!Z33</f>
        <v>259941794.18712831</v>
      </c>
      <c r="AA70" s="5">
        <f>'Baseline System Analysis'!AA29-'Alberhill System Project'!AA33</f>
        <v>283902347.33825719</v>
      </c>
      <c r="AB70" s="5">
        <f>'Baseline System Analysis'!AB29-'Alberhill System Project'!AB33</f>
        <v>314427814.41147768</v>
      </c>
      <c r="AC70" s="5">
        <f>'Baseline System Analysis'!AC29-'Alberhill System Project'!AC33</f>
        <v>349006430.93237674</v>
      </c>
      <c r="AD70" s="5">
        <f>'Baseline System Analysis'!AD29-'Alberhill System Project'!AD33</f>
        <v>369343245.22842056</v>
      </c>
      <c r="AE70" s="5">
        <f>'Baseline System Analysis'!AE29-'Alberhill System Project'!AE33</f>
        <v>402405364.69517773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645385726.18375301</v>
      </c>
      <c r="D71" s="5">
        <f>SUM(D69:D70)</f>
        <v>1938540.0424908805</v>
      </c>
      <c r="E71" s="5">
        <f>SUM(E69:E70)</f>
        <v>5093845.8447473096</v>
      </c>
      <c r="F71" s="5">
        <f>SUM(F69:F70)</f>
        <v>7741142.53278674</v>
      </c>
      <c r="G71" s="5">
        <f t="shared" ref="G71:AE71" si="28">SUM(G69:G70)</f>
        <v>10801761.726361772</v>
      </c>
      <c r="H71" s="5">
        <f t="shared" si="28"/>
        <v>12982259.988815472</v>
      </c>
      <c r="I71" s="5">
        <f t="shared" si="28"/>
        <v>14631711.148309872</v>
      </c>
      <c r="J71" s="5">
        <f t="shared" si="28"/>
        <v>19528691.02266949</v>
      </c>
      <c r="K71" s="5">
        <f t="shared" si="28"/>
        <v>24147704.381032065</v>
      </c>
      <c r="L71" s="5">
        <f t="shared" si="28"/>
        <v>30355053.403618351</v>
      </c>
      <c r="M71" s="5">
        <f t="shared" si="28"/>
        <v>40345372.798383884</v>
      </c>
      <c r="N71" s="5">
        <f t="shared" si="28"/>
        <v>52946603.070667319</v>
      </c>
      <c r="O71" s="5">
        <f t="shared" si="28"/>
        <v>68340823.114561379</v>
      </c>
      <c r="P71" s="5">
        <f t="shared" si="28"/>
        <v>83984408.027307689</v>
      </c>
      <c r="Q71" s="5">
        <f t="shared" si="28"/>
        <v>95541662.06733042</v>
      </c>
      <c r="R71" s="5">
        <f t="shared" si="28"/>
        <v>111389341.35216047</v>
      </c>
      <c r="S71" s="5">
        <f t="shared" si="28"/>
        <v>131393067.74401745</v>
      </c>
      <c r="T71" s="5">
        <f t="shared" si="28"/>
        <v>153185683.45254382</v>
      </c>
      <c r="U71" s="5">
        <f t="shared" si="28"/>
        <v>177191103.24409813</v>
      </c>
      <c r="V71" s="5">
        <f t="shared" si="28"/>
        <v>202742268.31972665</v>
      </c>
      <c r="W71" s="5">
        <f t="shared" si="28"/>
        <v>234757114.338222</v>
      </c>
      <c r="X71" s="5">
        <f t="shared" si="28"/>
        <v>260875406.7229552</v>
      </c>
      <c r="Y71" s="5">
        <f t="shared" si="28"/>
        <v>292375715.0999676</v>
      </c>
      <c r="Z71" s="5">
        <f t="shared" si="28"/>
        <v>321664671.81269217</v>
      </c>
      <c r="AA71" s="5">
        <f t="shared" si="28"/>
        <v>351778461.6473273</v>
      </c>
      <c r="AB71" s="5">
        <f t="shared" si="28"/>
        <v>389776651.27618849</v>
      </c>
      <c r="AC71" s="5">
        <f t="shared" si="28"/>
        <v>432562765.29582089</v>
      </c>
      <c r="AD71" s="5">
        <f t="shared" si="28"/>
        <v>459062618.65291852</v>
      </c>
      <c r="AE71" s="5">
        <f t="shared" si="28"/>
        <v>501721883.87376189</v>
      </c>
    </row>
    <row r="72" spans="1:31" x14ac:dyDescent="0.35">
      <c r="A72" s="87"/>
      <c r="B72" s="87"/>
      <c r="C72" s="49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</row>
    <row r="73" spans="1:31" x14ac:dyDescent="0.35">
      <c r="A73" s="87" t="s">
        <v>117</v>
      </c>
      <c r="B73" s="87" t="s">
        <v>144</v>
      </c>
      <c r="C73" s="17">
        <f>NPV('Cost Assumptions'!$B$3,D73:AE73)</f>
        <v>1642693710.165427</v>
      </c>
      <c r="D73" s="61">
        <f>ABS((D49*D60*1000*'Cost Assumptions'!$B$6)/'Cost Assumptions'!$B$14)</f>
        <v>24962423.775157887</v>
      </c>
      <c r="E73" s="61">
        <f>ABS((E49*E60*1000*'Cost Assumptions'!$B$6)/'Cost Assumptions'!$B$14)</f>
        <v>38784191.367031828</v>
      </c>
      <c r="F73" s="61">
        <f>ABS((F49*F60*1000*'Cost Assumptions'!$B$6)/'Cost Assumptions'!$B$14)</f>
        <v>53281445.823639996</v>
      </c>
      <c r="G73" s="61">
        <f>ABS((G49*G60*1000*'Cost Assumptions'!$B$6)/'Cost Assumptions'!$B$14)</f>
        <v>68479322.883474171</v>
      </c>
      <c r="H73" s="61">
        <f>ABS((H49*H60*1000*'Cost Assumptions'!$B$6)/'Cost Assumptions'!$B$14)</f>
        <v>84403792.892660275</v>
      </c>
      <c r="I73" s="61">
        <f>ABS((I49*I60*1000*'Cost Assumptions'!$B$6)/'Cost Assumptions'!$B$14)</f>
        <v>101081686.82550353</v>
      </c>
      <c r="J73" s="61">
        <f>ABS((J49*J60*1000*'Cost Assumptions'!$B$6)/'Cost Assumptions'!$B$14)</f>
        <v>118540723.08443101</v>
      </c>
      <c r="K73" s="61">
        <f>ABS((K49*K60*1000*'Cost Assumptions'!$B$6)/'Cost Assumptions'!$B$14)</f>
        <v>136809535.10203895</v>
      </c>
      <c r="L73" s="61">
        <f>ABS((L49*L60*1000*'Cost Assumptions'!$B$6)/'Cost Assumptions'!$B$14)</f>
        <v>155917699.76859948</v>
      </c>
      <c r="M73" s="61">
        <f>ABS((M49*M60*1000*'Cost Assumptions'!$B$6)/'Cost Assumptions'!$B$14)</f>
        <v>175895766.70904925</v>
      </c>
      <c r="N73" s="61">
        <f>ABS((N49*N60*1000*'Cost Assumptions'!$B$6)/'Cost Assumptions'!$B$14)</f>
        <v>196775288.43416613</v>
      </c>
      <c r="O73" s="61">
        <f>ABS((O49*O60*1000*'Cost Assumptions'!$B$6)/'Cost Assumptions'!$B$14)</f>
        <v>218588851.39134571</v>
      </c>
      <c r="P73" s="61">
        <f>ABS((P49*P60*1000*'Cost Assumptions'!$B$6)/'Cost Assumptions'!$B$14)</f>
        <v>241370107.94111288</v>
      </c>
      <c r="Q73" s="61">
        <f>ABS((Q49*Q60*1000*'Cost Assumptions'!$B$6)/'Cost Assumptions'!$B$14)</f>
        <v>265153809.28624886</v>
      </c>
      <c r="R73" s="61">
        <f>ABS((R49*R60*1000*'Cost Assumptions'!$B$6)/'Cost Assumptions'!$B$14)</f>
        <v>289975839.38117838</v>
      </c>
      <c r="S73" s="61">
        <f>ABS((S49*S60*1000*'Cost Assumptions'!$B$6)/'Cost Assumptions'!$B$14)</f>
        <v>315873249.85005051</v>
      </c>
      <c r="T73" s="61">
        <f>ABS((T49*T60*1000*'Cost Assumptions'!$B$6)/'Cost Assumptions'!$B$14)</f>
        <v>342884295.94275296</v>
      </c>
      <c r="U73" s="61">
        <f>ABS((U49*U60*1000*'Cost Assumptions'!$B$6)/'Cost Assumptions'!$B$14)</f>
        <v>371048473.55893433</v>
      </c>
      <c r="V73" s="61">
        <f>ABS((V49*V60*1000*'Cost Assumptions'!$B$6)/'Cost Assumptions'!$B$14)</f>
        <v>400406557.37096047</v>
      </c>
      <c r="W73" s="61">
        <f>ABS((W49*W60*1000*'Cost Assumptions'!$B$6)/'Cost Assumptions'!$B$14)</f>
        <v>431000640.07761365</v>
      </c>
      <c r="X73" s="61">
        <f>ABS((X49*X60*1000*'Cost Assumptions'!$B$6)/'Cost Assumptions'!$B$14)</f>
        <v>462874172.82124263</v>
      </c>
      <c r="Y73" s="61">
        <f>ABS((Y49*Y60*1000*'Cost Assumptions'!$B$6)/'Cost Assumptions'!$B$14)</f>
        <v>496072006.80200464</v>
      </c>
      <c r="Z73" s="61">
        <f>ABS((Z49*Z60*1000*'Cost Assumptions'!$B$6)/'Cost Assumptions'!$B$14)</f>
        <v>530640436.12379134</v>
      </c>
      <c r="AA73" s="61">
        <f>ABS((AA49*AA60*1000*'Cost Assumptions'!$B$6)/'Cost Assumptions'!$B$14)</f>
        <v>566627241.90741611</v>
      </c>
      <c r="AB73" s="61">
        <f>ABS((AB49*AB60*1000*'Cost Assumptions'!$B$6)/'Cost Assumptions'!$B$14)</f>
        <v>604081737.70764482</v>
      </c>
      <c r="AC73" s="61">
        <f>ABS((AC49*AC60*1000*'Cost Assumptions'!$B$6)/'Cost Assumptions'!$B$14)</f>
        <v>643054816.27169287</v>
      </c>
      <c r="AD73" s="61">
        <f>ABS((AD49*AD60*1000*'Cost Assumptions'!$B$6)/'Cost Assumptions'!$B$14)</f>
        <v>683598997.677876</v>
      </c>
      <c r="AE73" s="61">
        <f>ABS((AE49*AE60*1000*'Cost Assumptions'!$B$6)/'Cost Assumptions'!$B$14)</f>
        <v>725768478.89419866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6767294419.7288284</v>
      </c>
      <c r="D74" s="61">
        <f>ABS((D49*D62*1000*'Cost Assumptions'!$B$7)/'Cost Assumptions'!$B$14)</f>
        <v>102836012.62436219</v>
      </c>
      <c r="E74" s="61">
        <f>ABS((E49*E62*1000*'Cost Assumptions'!$B$7)/'Cost Assumptions'!$B$14)</f>
        <v>159776615.8034282</v>
      </c>
      <c r="F74" s="61">
        <f>ABS((F49*F62*1000*'Cost Assumptions'!$B$7)/'Cost Assumptions'!$B$14)</f>
        <v>219499976.63355738</v>
      </c>
      <c r="G74" s="61">
        <f>ABS((G49*G62*1000*'Cost Assumptions'!$B$7)/'Cost Assumptions'!$B$14)</f>
        <v>282109645.12031573</v>
      </c>
      <c r="H74" s="61">
        <f>ABS((H49*H62*1000*'Cost Assumptions'!$B$7)/'Cost Assumptions'!$B$14)</f>
        <v>347712609.5460161</v>
      </c>
      <c r="I74" s="61">
        <f>ABS((I49*I62*1000*'Cost Assumptions'!$B$7)/'Cost Assumptions'!$B$14)</f>
        <v>416419403.66480124</v>
      </c>
      <c r="J74" s="61">
        <f>ABS((J49*J62*1000*'Cost Assumptions'!$B$7)/'Cost Assumptions'!$B$14)</f>
        <v>488344217.10855943</v>
      </c>
      <c r="K74" s="61">
        <f>ABS((K49*K62*1000*'Cost Assumptions'!$B$7)/'Cost Assumptions'!$B$14)</f>
        <v>563605009.09721494</v>
      </c>
      <c r="L74" s="61">
        <f>ABS((L49*L62*1000*'Cost Assumptions'!$B$7)/'Cost Assumptions'!$B$14)</f>
        <v>642323625.54961038</v>
      </c>
      <c r="M74" s="61">
        <f>ABS((M49*M62*1000*'Cost Assumptions'!$B$7)/'Cost Assumptions'!$B$14)</f>
        <v>724625919.69393981</v>
      </c>
      <c r="N74" s="61">
        <f>ABS((N49*N62*1000*'Cost Assumptions'!$B$7)/'Cost Assumptions'!$B$14)</f>
        <v>810641876.27951705</v>
      </c>
      <c r="O74" s="61">
        <f>ABS((O49*O62*1000*'Cost Assumptions'!$B$7)/'Cost Assumptions'!$B$14)</f>
        <v>900505739.49456465</v>
      </c>
      <c r="P74" s="61">
        <f>ABS((P49*P62*1000*'Cost Assumptions'!$B$7)/'Cost Assumptions'!$B$14)</f>
        <v>994356144.69768977</v>
      </c>
      <c r="Q74" s="61">
        <f>ABS((Q49*Q62*1000*'Cost Assumptions'!$B$7)/'Cost Assumptions'!$B$14)</f>
        <v>1092336254.073787</v>
      </c>
      <c r="R74" s="61">
        <f>ABS((R49*R62*1000*'Cost Assumptions'!$B$7)/'Cost Assumptions'!$B$14)</f>
        <v>1194593896.328253</v>
      </c>
      <c r="S74" s="61">
        <f>ABS((S49*S62*1000*'Cost Assumptions'!$B$7)/'Cost Assumptions'!$B$14)</f>
        <v>1301281710.5366464</v>
      </c>
      <c r="T74" s="61">
        <f>ABS((T49*T62*1000*'Cost Assumptions'!$B$7)/'Cost Assumptions'!$B$14)</f>
        <v>1412557294.2702541</v>
      </c>
      <c r="U74" s="61">
        <f>ABS((U49*U62*1000*'Cost Assumptions'!$B$7)/'Cost Assumptions'!$B$14)</f>
        <v>1528583356.1214569</v>
      </c>
      <c r="V74" s="61">
        <f>ABS((V49*V62*1000*'Cost Assumptions'!$B$7)/'Cost Assumptions'!$B$14)</f>
        <v>1649527872.7563009</v>
      </c>
      <c r="W74" s="61">
        <f>ABS((W49*W62*1000*'Cost Assumptions'!$B$7)/'Cost Assumptions'!$B$14)</f>
        <v>1775564250.6253114</v>
      </c>
      <c r="X74" s="61">
        <f>ABS((X49*X62*1000*'Cost Assumptions'!$B$7)/'Cost Assumptions'!$B$14)</f>
        <v>1906871492.4672997</v>
      </c>
      <c r="Y74" s="61">
        <f>ABS((Y49*Y62*1000*'Cost Assumptions'!$B$7)/'Cost Assumptions'!$B$14)</f>
        <v>2043634368.7447462</v>
      </c>
      <c r="Z74" s="61">
        <f>ABS((Z49*Z62*1000*'Cost Assumptions'!$B$7)/'Cost Assumptions'!$B$14)</f>
        <v>2186043594.1532731</v>
      </c>
      <c r="AA74" s="61">
        <f>ABS((AA49*AA62*1000*'Cost Assumptions'!$B$7)/'Cost Assumptions'!$B$14)</f>
        <v>2334296009.3517613</v>
      </c>
      <c r="AB74" s="61">
        <f>ABS((AB49*AB62*1000*'Cost Assumptions'!$B$7)/'Cost Assumptions'!$B$14)</f>
        <v>2488594768.0638275</v>
      </c>
      <c r="AC74" s="61">
        <f>ABS((AC49*AC62*1000*'Cost Assumptions'!$B$7)/'Cost Assumptions'!$B$14)</f>
        <v>2649149529.7056522</v>
      </c>
      <c r="AD74" s="61">
        <f>ABS((AD49*AD62*1000*'Cost Assumptions'!$B$7)/'Cost Assumptions'!$B$14)</f>
        <v>2816176657.6995287</v>
      </c>
      <c r="AE74" s="61">
        <f>ABS((AE49*AE62*1000*'Cost Assumptions'!$B$7)/'Cost Assumptions'!$B$14)</f>
        <v>2989899423.6370325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8409988129.8942556</v>
      </c>
      <c r="D75" s="61">
        <f>SUM(D73:D74)</f>
        <v>127798436.39952007</v>
      </c>
      <c r="E75" s="61">
        <f>SUM(E73:E74)</f>
        <v>198560807.17046005</v>
      </c>
      <c r="F75" s="61">
        <f t="shared" ref="F75:AE75" si="29">SUM(F73:F74)</f>
        <v>272781422.45719737</v>
      </c>
      <c r="G75" s="61">
        <f t="shared" si="29"/>
        <v>350588968.0037899</v>
      </c>
      <c r="H75" s="61">
        <f t="shared" si="29"/>
        <v>432116402.43867636</v>
      </c>
      <c r="I75" s="61">
        <f t="shared" si="29"/>
        <v>517501090.49030477</v>
      </c>
      <c r="J75" s="61">
        <f t="shared" si="29"/>
        <v>606884940.19299042</v>
      </c>
      <c r="K75" s="61">
        <f t="shared" si="29"/>
        <v>700414544.19925392</v>
      </c>
      <c r="L75" s="61">
        <f t="shared" si="29"/>
        <v>798241325.31820989</v>
      </c>
      <c r="M75" s="61">
        <f t="shared" si="29"/>
        <v>900521686.40298903</v>
      </c>
      <c r="N75" s="61">
        <f t="shared" si="29"/>
        <v>1007417164.7136831</v>
      </c>
      <c r="O75" s="61">
        <f t="shared" si="29"/>
        <v>1119094590.8859103</v>
      </c>
      <c r="P75" s="61">
        <f t="shared" si="29"/>
        <v>1235726252.6388025</v>
      </c>
      <c r="Q75" s="61">
        <f t="shared" si="29"/>
        <v>1357490063.3600359</v>
      </c>
      <c r="R75" s="61">
        <f t="shared" si="29"/>
        <v>1484569735.7094314</v>
      </c>
      <c r="S75" s="61">
        <f t="shared" si="29"/>
        <v>1617154960.3866968</v>
      </c>
      <c r="T75" s="61">
        <f t="shared" si="29"/>
        <v>1755441590.213007</v>
      </c>
      <c r="U75" s="61">
        <f t="shared" si="29"/>
        <v>1899631829.6803913</v>
      </c>
      <c r="V75" s="61">
        <f t="shared" si="29"/>
        <v>2049934430.1272614</v>
      </c>
      <c r="W75" s="61">
        <f t="shared" si="29"/>
        <v>2206564890.7029252</v>
      </c>
      <c r="X75" s="61">
        <f t="shared" si="29"/>
        <v>2369745665.2885423</v>
      </c>
      <c r="Y75" s="61">
        <f t="shared" si="29"/>
        <v>2539706375.546751</v>
      </c>
      <c r="Z75" s="61">
        <f t="shared" si="29"/>
        <v>2716684030.2770643</v>
      </c>
      <c r="AA75" s="61">
        <f t="shared" si="29"/>
        <v>2900923251.2591772</v>
      </c>
      <c r="AB75" s="61">
        <f t="shared" si="29"/>
        <v>3092676505.7714725</v>
      </c>
      <c r="AC75" s="61">
        <f t="shared" si="29"/>
        <v>3292204345.977345</v>
      </c>
      <c r="AD75" s="61">
        <f t="shared" si="29"/>
        <v>3499775655.3774047</v>
      </c>
      <c r="AE75" s="61">
        <f t="shared" si="29"/>
        <v>3715667902.5312309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145</v>
      </c>
      <c r="C77" s="17">
        <f>NPV('Cost Assumptions'!$B$3,D77:AE77)</f>
        <v>77287537.720703438</v>
      </c>
      <c r="D77" s="61">
        <f>ABS(D50)*D61*1000*'Cost Assumptions'!$B$6*'Cost Assumptions'!$B$13</f>
        <v>6206899.9198622331</v>
      </c>
      <c r="E77" s="61">
        <f>ABS(E50)*E61*1000*'Cost Assumptions'!$B$6*'Cost Assumptions'!$B$13</f>
        <v>6450518.2422781866</v>
      </c>
      <c r="F77" s="61">
        <f>ABS(F50)*F61*1000*'Cost Assumptions'!$B$6*'Cost Assumptions'!$B$13</f>
        <v>6701145.5757854925</v>
      </c>
      <c r="G77" s="61">
        <f>ABS(G50)*G61*1000*'Cost Assumptions'!$B$6*'Cost Assumptions'!$B$13</f>
        <v>6922702.9858745001</v>
      </c>
      <c r="H77" s="61">
        <f>ABS(H50)*H61*1000*'Cost Assumptions'!$B$6*'Cost Assumptions'!$B$13</f>
        <v>7150750.30274163</v>
      </c>
      <c r="I77" s="61">
        <f>ABS(I50)*I61*1000*'Cost Assumptions'!$B$6*'Cost Assumptions'!$B$13</f>
        <v>7385131.9913237672</v>
      </c>
      <c r="J77" s="61">
        <f>ABS(J50)*J61*1000*'Cost Assumptions'!$B$6*'Cost Assumptions'!$B$13</f>
        <v>7631326.5060828207</v>
      </c>
      <c r="K77" s="61">
        <f>ABS(K50)*K61*1000*'Cost Assumptions'!$B$6*'Cost Assumptions'!$B$13</f>
        <v>7884163.7337074727</v>
      </c>
      <c r="L77" s="61">
        <f>ABS(L50)*L61*1000*'Cost Assumptions'!$B$6*'Cost Assumptions'!$B$13</f>
        <v>8144428.6706066132</v>
      </c>
      <c r="M77" s="61">
        <f>ABS(M50)*M61*1000*'Cost Assumptions'!$B$6*'Cost Assumptions'!$B$13</f>
        <v>8412502.1706514526</v>
      </c>
      <c r="N77" s="61">
        <f>ABS(N50)*N61*1000*'Cost Assumptions'!$B$6*'Cost Assumptions'!$B$13</f>
        <v>8690118.0977953821</v>
      </c>
      <c r="O77" s="61">
        <f>ABS(O50)*O61*1000*'Cost Assumptions'!$B$6*'Cost Assumptions'!$B$13</f>
        <v>8975605.8826399911</v>
      </c>
      <c r="P77" s="61">
        <f>ABS(P50)*P61*1000*'Cost Assumptions'!$B$6*'Cost Assumptions'!$B$13</f>
        <v>9269823.5621199142</v>
      </c>
      <c r="Q77" s="61">
        <f>ABS(Q50)*Q61*1000*'Cost Assumptions'!$B$6*'Cost Assumptions'!$B$13</f>
        <v>9572275.1131889801</v>
      </c>
      <c r="R77" s="61">
        <f>ABS(R50)*R61*1000*'Cost Assumptions'!$B$6*'Cost Assumptions'!$B$13</f>
        <v>9881533.2135036252</v>
      </c>
      <c r="S77" s="61">
        <f>ABS(S50)*S61*1000*'Cost Assumptions'!$B$6*'Cost Assumptions'!$B$13</f>
        <v>10199762.84982308</v>
      </c>
      <c r="T77" s="61">
        <f>ABS(T50)*T61*1000*'Cost Assumptions'!$B$6*'Cost Assumptions'!$B$13</f>
        <v>10527716.586702187</v>
      </c>
      <c r="U77" s="61">
        <f>ABS(U50)*U61*1000*'Cost Assumptions'!$B$6*'Cost Assumptions'!$B$13</f>
        <v>10864924.213777607</v>
      </c>
      <c r="V77" s="61">
        <f>ABS(V50)*V61*1000*'Cost Assumptions'!$B$6*'Cost Assumptions'!$B$13</f>
        <v>11206309.350708585</v>
      </c>
      <c r="W77" s="61">
        <f>ABS(W50)*W61*1000*'Cost Assumptions'!$B$6*'Cost Assumptions'!$B$13</f>
        <v>11557276.20140502</v>
      </c>
      <c r="X77" s="61">
        <f>ABS(X50)*X61*1000*'Cost Assumptions'!$B$6*'Cost Assumptions'!$B$13</f>
        <v>11918264.835118648</v>
      </c>
      <c r="Y77" s="61">
        <f>ABS(Y50)*Y61*1000*'Cost Assumptions'!$B$6*'Cost Assumptions'!$B$13</f>
        <v>12289202.157836843</v>
      </c>
      <c r="Z77" s="61">
        <f>ABS(Z50)*Z61*1000*'Cost Assumptions'!$B$6*'Cost Assumptions'!$B$13</f>
        <v>12663092.8616565</v>
      </c>
      <c r="AA77" s="61">
        <f>ABS(AA50)*AA61*1000*'Cost Assumptions'!$B$6*'Cost Assumptions'!$B$13</f>
        <v>13047018.371360175</v>
      </c>
      <c r="AB77" s="61">
        <f>ABS(AB50)*AB61*1000*'Cost Assumptions'!$B$6*'Cost Assumptions'!$B$13</f>
        <v>13441793.502435187</v>
      </c>
      <c r="AC77" s="61">
        <f>ABS(AC50)*AC61*1000*'Cost Assumptions'!$B$6*'Cost Assumptions'!$B$13</f>
        <v>13848404.766013587</v>
      </c>
      <c r="AD77" s="61">
        <f>ABS(AD50)*AD61*1000*'Cost Assumptions'!$B$6*'Cost Assumptions'!$B$13</f>
        <v>14255560.966354189</v>
      </c>
      <c r="AE77" s="61">
        <f>ABS(AE50)*AE61*1000*'Cost Assumptions'!$B$6*'Cost Assumptions'!$B$13</f>
        <v>14674245.218621753</v>
      </c>
    </row>
    <row r="78" spans="1:31" x14ac:dyDescent="0.35">
      <c r="A78" s="87" t="s">
        <v>119</v>
      </c>
      <c r="B78" s="87" t="s">
        <v>145</v>
      </c>
      <c r="C78" s="17">
        <f>NPV('Cost Assumptions'!$B$3,D78:AE78)</f>
        <v>348385320.45778769</v>
      </c>
      <c r="D78" s="61">
        <f>ABS(D50)*D63*1000*'Cost Assumptions'!$B$7*'Cost Assumptions'!$B$13</f>
        <v>27978544.554555897</v>
      </c>
      <c r="E78" s="61">
        <f>ABS(E50)*E63*1000*'Cost Assumptions'!$B$7*'Cost Assumptions'!$B$13</f>
        <v>29076691.161722749</v>
      </c>
      <c r="F78" s="61">
        <f>ABS(F50)*F63*1000*'Cost Assumptions'!$B$7*'Cost Assumptions'!$B$13</f>
        <v>30206431.951433979</v>
      </c>
      <c r="G78" s="61">
        <f>ABS(G50)*G63*1000*'Cost Assumptions'!$B$7*'Cost Assumptions'!$B$13</f>
        <v>31205135.644034345</v>
      </c>
      <c r="H78" s="61">
        <f>ABS(H50)*H63*1000*'Cost Assumptions'!$B$7*'Cost Assumptions'!$B$13</f>
        <v>32233093.577607013</v>
      </c>
      <c r="I78" s="61">
        <f>ABS(I50)*I63*1000*'Cost Assumptions'!$B$7*'Cost Assumptions'!$B$13</f>
        <v>33289604.654220745</v>
      </c>
      <c r="J78" s="61">
        <f>ABS(J50)*J63*1000*'Cost Assumptions'!$B$7*'Cost Assumptions'!$B$13</f>
        <v>34399363.839837894</v>
      </c>
      <c r="K78" s="61">
        <f>ABS(K50)*K63*1000*'Cost Assumptions'!$B$7*'Cost Assumptions'!$B$13</f>
        <v>35539066.063086197</v>
      </c>
      <c r="L78" s="61">
        <f>ABS(L50)*L63*1000*'Cost Assumptions'!$B$7*'Cost Assumptions'!$B$13</f>
        <v>36712249.814562395</v>
      </c>
      <c r="M78" s="61">
        <f>ABS(M50)*M63*1000*'Cost Assumptions'!$B$7*'Cost Assumptions'!$B$13</f>
        <v>37920631.850963406</v>
      </c>
      <c r="N78" s="61">
        <f>ABS(N50)*N63*1000*'Cost Assumptions'!$B$7*'Cost Assumptions'!$B$13</f>
        <v>39172027.827527359</v>
      </c>
      <c r="O78" s="61">
        <f>ABS(O50)*O63*1000*'Cost Assumptions'!$B$7*'Cost Assumptions'!$B$13</f>
        <v>40458907.398840584</v>
      </c>
      <c r="P78" s="61">
        <f>ABS(P50)*P63*1000*'Cost Assumptions'!$B$7*'Cost Assumptions'!$B$13</f>
        <v>41785138.296768412</v>
      </c>
      <c r="Q78" s="61">
        <f>ABS(Q50)*Q63*1000*'Cost Assumptions'!$B$7*'Cost Assumptions'!$B$13</f>
        <v>43148484.622057356</v>
      </c>
      <c r="R78" s="61">
        <f>ABS(R50)*R63*1000*'Cost Assumptions'!$B$7*'Cost Assumptions'!$B$13</f>
        <v>44542512.502355881</v>
      </c>
      <c r="S78" s="61">
        <f>ABS(S50)*S63*1000*'Cost Assumptions'!$B$7*'Cost Assumptions'!$B$13</f>
        <v>45976980.944460481</v>
      </c>
      <c r="T78" s="61">
        <f>ABS(T50)*T63*1000*'Cost Assumptions'!$B$7*'Cost Assumptions'!$B$13</f>
        <v>47455282.247457616</v>
      </c>
      <c r="U78" s="61">
        <f>ABS(U50)*U63*1000*'Cost Assumptions'!$B$7*'Cost Assumptions'!$B$13</f>
        <v>48975296.866684012</v>
      </c>
      <c r="V78" s="61">
        <f>ABS(V50)*V63*1000*'Cost Assumptions'!$B$7*'Cost Assumptions'!$B$13</f>
        <v>50514142.246375352</v>
      </c>
      <c r="W78" s="61">
        <f>ABS(W50)*W63*1000*'Cost Assumptions'!$B$7*'Cost Assumptions'!$B$13</f>
        <v>52096178.656848088</v>
      </c>
      <c r="X78" s="61">
        <f>ABS(X50)*X63*1000*'Cost Assumptions'!$B$7*'Cost Assumptions'!$B$13</f>
        <v>53723389.777124882</v>
      </c>
      <c r="Y78" s="61">
        <f>ABS(Y50)*Y63*1000*'Cost Assumptions'!$B$7*'Cost Assumptions'!$B$13</f>
        <v>55395446.124836884</v>
      </c>
      <c r="Z78" s="61">
        <f>ABS(Z50)*Z63*1000*'Cost Assumptions'!$B$7*'Cost Assumptions'!$B$13</f>
        <v>57080815.286642961</v>
      </c>
      <c r="AA78" s="61">
        <f>ABS(AA50)*AA63*1000*'Cost Assumptions'!$B$7*'Cost Assumptions'!$B$13</f>
        <v>58811417.860804215</v>
      </c>
      <c r="AB78" s="61">
        <f>ABS(AB50)*AB63*1000*'Cost Assumptions'!$B$7*'Cost Assumptions'!$B$13</f>
        <v>60590926.751944512</v>
      </c>
      <c r="AC78" s="61">
        <f>ABS(AC50)*AC63*1000*'Cost Assumptions'!$B$7*'Cost Assumptions'!$B$13</f>
        <v>62423788.808896288</v>
      </c>
      <c r="AD78" s="61">
        <f>ABS(AD50)*AD63*1000*'Cost Assumptions'!$B$7*'Cost Assumptions'!$B$13</f>
        <v>64259107.25110925</v>
      </c>
      <c r="AE78" s="61">
        <f>ABS(AE50)*AE63*1000*'Cost Assumptions'!$B$7*'Cost Assumptions'!$B$13</f>
        <v>66146390.139121227</v>
      </c>
    </row>
    <row r="79" spans="1:31" ht="47.5" customHeight="1" x14ac:dyDescent="0.35">
      <c r="A79" s="3" t="s">
        <v>146</v>
      </c>
      <c r="B79" s="87" t="s">
        <v>145</v>
      </c>
      <c r="C79" s="17">
        <f>NPV('Cost Assumptions'!$B$3,D79:AE79)</f>
        <v>425672858.17849123</v>
      </c>
      <c r="D79" s="61">
        <f>SUM(D77:D78)</f>
        <v>34185444.474418133</v>
      </c>
      <c r="E79" s="61">
        <f>SUM(E77:E78)</f>
        <v>35527209.404000938</v>
      </c>
      <c r="F79" s="61">
        <f t="shared" ref="F79:AE79" si="30">SUM(F77:F78)</f>
        <v>36907577.527219474</v>
      </c>
      <c r="G79" s="61">
        <f t="shared" si="30"/>
        <v>38127838.629908845</v>
      </c>
      <c r="H79" s="61">
        <f t="shared" si="30"/>
        <v>39383843.880348645</v>
      </c>
      <c r="I79" s="61">
        <f t="shared" si="30"/>
        <v>40674736.645544514</v>
      </c>
      <c r="J79" s="61">
        <f t="shared" si="30"/>
        <v>42030690.345920712</v>
      </c>
      <c r="K79" s="61">
        <f t="shared" si="30"/>
        <v>43423229.796793669</v>
      </c>
      <c r="L79" s="61">
        <f t="shared" si="30"/>
        <v>44856678.485169008</v>
      </c>
      <c r="M79" s="61">
        <f t="shared" si="30"/>
        <v>46333134.021614857</v>
      </c>
      <c r="N79" s="61">
        <f t="shared" si="30"/>
        <v>47862145.925322741</v>
      </c>
      <c r="O79" s="61">
        <f t="shared" si="30"/>
        <v>49434513.281480573</v>
      </c>
      <c r="P79" s="61">
        <f t="shared" si="30"/>
        <v>51054961.858888328</v>
      </c>
      <c r="Q79" s="61">
        <f t="shared" si="30"/>
        <v>52720759.735246338</v>
      </c>
      <c r="R79" s="61">
        <f t="shared" si="30"/>
        <v>54424045.715859503</v>
      </c>
      <c r="S79" s="61">
        <f t="shared" si="30"/>
        <v>56176743.794283561</v>
      </c>
      <c r="T79" s="61">
        <f t="shared" si="30"/>
        <v>57982998.834159806</v>
      </c>
      <c r="U79" s="61">
        <f t="shared" si="30"/>
        <v>59840221.080461621</v>
      </c>
      <c r="V79" s="61">
        <f t="shared" si="30"/>
        <v>61720451.597083941</v>
      </c>
      <c r="W79" s="61">
        <f t="shared" si="30"/>
        <v>63653454.858253106</v>
      </c>
      <c r="X79" s="61">
        <f t="shared" si="30"/>
        <v>65641654.612243533</v>
      </c>
      <c r="Y79" s="61">
        <f t="shared" si="30"/>
        <v>67684648.282673731</v>
      </c>
      <c r="Z79" s="61">
        <f t="shared" si="30"/>
        <v>69743908.148299456</v>
      </c>
      <c r="AA79" s="61">
        <f t="shared" si="30"/>
        <v>71858436.232164383</v>
      </c>
      <c r="AB79" s="61">
        <f t="shared" si="30"/>
        <v>74032720.254379705</v>
      </c>
      <c r="AC79" s="61">
        <f t="shared" si="30"/>
        <v>76272193.574909881</v>
      </c>
      <c r="AD79" s="61">
        <f t="shared" si="30"/>
        <v>78514668.217463434</v>
      </c>
      <c r="AE79" s="61">
        <f t="shared" si="30"/>
        <v>80820635.35774298</v>
      </c>
    </row>
    <row r="80" spans="1:31" s="60" customFormat="1" ht="31.9" customHeigh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330880723.26432455</v>
      </c>
      <c r="D81" s="61">
        <f>('Baseline System Analysis'!D42-'Alberhill System Project'!D36)</f>
        <v>16525778.947854437</v>
      </c>
      <c r="E81" s="61">
        <f>('Baseline System Analysis'!E42-'Alberhill System Project'!E36)</f>
        <v>18692353.667331137</v>
      </c>
      <c r="F81" s="61">
        <f>('Baseline System Analysis'!F42-'Alberhill System Project'!F36)</f>
        <v>20973438.927092806</v>
      </c>
      <c r="G81" s="61">
        <f>('Baseline System Analysis'!G42-'Alberhill System Project'!G36)</f>
        <v>22643631.992442466</v>
      </c>
      <c r="H81" s="61">
        <f>('Baseline System Analysis'!H42-'Alberhill System Project'!H36)</f>
        <v>24492440.864789985</v>
      </c>
      <c r="I81" s="61">
        <f>('Baseline System Analysis'!I42-'Alberhill System Project'!I36)</f>
        <v>26312589.403899264</v>
      </c>
      <c r="J81" s="61">
        <f>('Baseline System Analysis'!J42-'Alberhill System Project'!J36)</f>
        <v>28198232.638044756</v>
      </c>
      <c r="K81" s="61">
        <f>('Baseline System Analysis'!K42-'Alberhill System Project'!K36)</f>
        <v>30389934.596902333</v>
      </c>
      <c r="L81" s="61">
        <f>('Baseline System Analysis'!L42-'Alberhill System Project'!L36)</f>
        <v>32668876.437338248</v>
      </c>
      <c r="M81" s="61">
        <f>('Baseline System Analysis'!M42-'Alberhill System Project'!M36)</f>
        <v>35031087.561684847</v>
      </c>
      <c r="N81" s="61">
        <f>('Baseline System Analysis'!N42-'Alberhill System Project'!N36)</f>
        <v>37829419.237228945</v>
      </c>
      <c r="O81" s="61">
        <f>('Baseline System Analysis'!O42-'Alberhill System Project'!O36)</f>
        <v>40460383.29989209</v>
      </c>
      <c r="P81" s="61">
        <f>('Baseline System Analysis'!P42-'Alberhill System Project'!P36)</f>
        <v>43328283.164115846</v>
      </c>
      <c r="Q81" s="61">
        <f>('Baseline System Analysis'!Q42-'Alberhill System Project'!Q36)</f>
        <v>46384661.865304075</v>
      </c>
      <c r="R81" s="61">
        <f>('Baseline System Analysis'!R42-'Alberhill System Project'!R36)</f>
        <v>49426886.056932338</v>
      </c>
      <c r="S81" s="61">
        <f>('Baseline System Analysis'!S42-'Alberhill System Project'!S36)</f>
        <v>52788925.416517295</v>
      </c>
      <c r="T81" s="61">
        <f>('Baseline System Analysis'!T42-'Alberhill System Project'!T36)</f>
        <v>56250107.534644112</v>
      </c>
      <c r="U81" s="61">
        <f>('Baseline System Analysis'!U42-'Alberhill System Project'!U36)</f>
        <v>59922389.559081495</v>
      </c>
      <c r="V81" s="61">
        <f>('Baseline System Analysis'!V42-'Alberhill System Project'!V36)</f>
        <v>63534752.451153167</v>
      </c>
      <c r="W81" s="61">
        <f>('Baseline System Analysis'!W42-'Alberhill System Project'!W36)</f>
        <v>67372879.826654404</v>
      </c>
      <c r="X81" s="61">
        <f>('Baseline System Analysis'!X42-'Alberhill System Project'!X36)</f>
        <v>71215457.8080502</v>
      </c>
      <c r="Y81" s="61">
        <f>('Baseline System Analysis'!Y42-'Alberhill System Project'!Y36)</f>
        <v>75184124.49312377</v>
      </c>
      <c r="Z81" s="61">
        <f>('Baseline System Analysis'!Z42-'Alberhill System Project'!Z36)</f>
        <v>79423008.220930323</v>
      </c>
      <c r="AA81" s="61">
        <f>('Baseline System Analysis'!AA42-'Alberhill System Project'!AA36)</f>
        <v>83735520.254881769</v>
      </c>
      <c r="AB81" s="61">
        <f>('Baseline System Analysis'!AB42-'Alberhill System Project'!AB36)</f>
        <v>88059787.832647726</v>
      </c>
      <c r="AC81" s="61">
        <f>('Baseline System Analysis'!AC42-'Alberhill System Project'!AC36)</f>
        <v>92691191.644035742</v>
      </c>
      <c r="AD81" s="61">
        <f>('Baseline System Analysis'!AD42-'Alberhill System Project'!AD36)</f>
        <v>96907380.408659637</v>
      </c>
      <c r="AE81" s="61">
        <f>('Baseline System Analysis'!AE42-'Alberhill System Project'!AE36)</f>
        <v>101570342.78987068</v>
      </c>
    </row>
    <row r="82" spans="1:31" ht="47.5" customHeight="1" x14ac:dyDescent="0.35">
      <c r="A82" s="87"/>
      <c r="B82" s="87"/>
      <c r="C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</row>
    <row r="83" spans="1:31" ht="20" thickBot="1" x14ac:dyDescent="0.5">
      <c r="A83" s="145" t="s">
        <v>61</v>
      </c>
      <c r="B83" s="145"/>
      <c r="C83" s="17">
        <f>NPV('Cost Assumptions'!$B$3,D83:AE83)/1000000</f>
        <v>9833.3584624405485</v>
      </c>
      <c r="D83" s="61">
        <f>SUM(D67,D71,D75,D79,D81)</f>
        <v>180461918.98203513</v>
      </c>
      <c r="E83" s="61">
        <f>SUM(E67,E71,E75,E79,E81)</f>
        <v>257908700.4242658</v>
      </c>
      <c r="F83" s="61">
        <f t="shared" ref="F83:AE83" si="31">SUM(F67,F71,F75,F79,F81)</f>
        <v>338482348.71051902</v>
      </c>
      <c r="G83" s="61">
        <f t="shared" si="31"/>
        <v>422285250.54722196</v>
      </c>
      <c r="H83" s="61">
        <f t="shared" si="31"/>
        <v>509142280.29584563</v>
      </c>
      <c r="I83" s="61">
        <f t="shared" si="31"/>
        <v>599331743.73976994</v>
      </c>
      <c r="J83" s="61">
        <f t="shared" si="31"/>
        <v>696898453.17983305</v>
      </c>
      <c r="K83" s="61">
        <f t="shared" si="31"/>
        <v>798675594.88268614</v>
      </c>
      <c r="L83" s="61">
        <f t="shared" si="31"/>
        <v>906667032.07241285</v>
      </c>
      <c r="M83" s="61">
        <f t="shared" si="31"/>
        <v>1023021295.7321231</v>
      </c>
      <c r="N83" s="61">
        <f t="shared" si="31"/>
        <v>1147090264.4137259</v>
      </c>
      <c r="O83" s="61">
        <f t="shared" si="31"/>
        <v>1278610158.5680413</v>
      </c>
      <c r="P83" s="61">
        <f t="shared" si="31"/>
        <v>1415889563.6474047</v>
      </c>
      <c r="Q83" s="61">
        <f t="shared" si="31"/>
        <v>1554609253.5469096</v>
      </c>
      <c r="R83" s="61">
        <f t="shared" si="31"/>
        <v>1702958563.914079</v>
      </c>
      <c r="S83" s="61">
        <f t="shared" si="31"/>
        <v>1861338700.9819131</v>
      </c>
      <c r="T83" s="61">
        <f t="shared" si="31"/>
        <v>2027361832.2354553</v>
      </c>
      <c r="U83" s="61">
        <f t="shared" si="31"/>
        <v>2201763444.3258357</v>
      </c>
      <c r="V83" s="61">
        <f t="shared" si="31"/>
        <v>2384734904.2652907</v>
      </c>
      <c r="W83" s="61">
        <f t="shared" si="31"/>
        <v>2580776442.5043826</v>
      </c>
      <c r="X83" s="61">
        <f t="shared" si="31"/>
        <v>2777531388.2183819</v>
      </c>
      <c r="Y83" s="61">
        <f t="shared" si="31"/>
        <v>2986629168.2173691</v>
      </c>
      <c r="Z83" s="61">
        <f t="shared" si="31"/>
        <v>3200819024.2621021</v>
      </c>
      <c r="AA83" s="61">
        <f t="shared" si="31"/>
        <v>3423776776.8643765</v>
      </c>
      <c r="AB83" s="61">
        <f t="shared" si="31"/>
        <v>3662204474.2732244</v>
      </c>
      <c r="AC83" s="61">
        <f t="shared" si="31"/>
        <v>3913567007.298357</v>
      </c>
      <c r="AD83" s="61">
        <f t="shared" si="31"/>
        <v>4156274535.1304021</v>
      </c>
      <c r="AE83" s="61">
        <f t="shared" si="31"/>
        <v>4423972678.694272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9838.7312014112103</v>
      </c>
      <c r="D84" s="61">
        <f>D83+D43</f>
        <v>180827028.9820351</v>
      </c>
      <c r="E84" s="61">
        <f t="shared" ref="E84:AE84" si="32">E83+E43</f>
        <v>258289908.41544226</v>
      </c>
      <c r="F84" s="61">
        <f t="shared" si="32"/>
        <v>338885360.16961402</v>
      </c>
      <c r="G84" s="61">
        <f t="shared" si="32"/>
        <v>422710917.39263695</v>
      </c>
      <c r="H84" s="61">
        <f t="shared" si="32"/>
        <v>509591483.41473472</v>
      </c>
      <c r="I84" s="61">
        <f t="shared" si="32"/>
        <v>599805393.90402842</v>
      </c>
      <c r="J84" s="61">
        <f t="shared" si="32"/>
        <v>697397491.98978007</v>
      </c>
      <c r="K84" s="61">
        <f t="shared" si="32"/>
        <v>799200995.7392534</v>
      </c>
      <c r="L84" s="61">
        <f t="shared" si="32"/>
        <v>907219801.17867529</v>
      </c>
      <c r="M84" s="61">
        <f t="shared" si="32"/>
        <v>1023602473.12503</v>
      </c>
      <c r="N84" s="61">
        <f t="shared" si="32"/>
        <v>1147700925.0269182</v>
      </c>
      <c r="O84" s="61">
        <f t="shared" si="32"/>
        <v>1279251413.3266625</v>
      </c>
      <c r="P84" s="61">
        <f t="shared" si="32"/>
        <v>1416562560.5958431</v>
      </c>
      <c r="Q84" s="61">
        <f t="shared" si="32"/>
        <v>1555315179.010432</v>
      </c>
      <c r="R84" s="61">
        <f t="shared" si="32"/>
        <v>1703698643.6953468</v>
      </c>
      <c r="S84" s="61">
        <f t="shared" si="32"/>
        <v>1862114201.5933988</v>
      </c>
      <c r="T84" s="61">
        <f t="shared" si="32"/>
        <v>2028174062.1688066</v>
      </c>
      <c r="U84" s="61">
        <f t="shared" si="32"/>
        <v>2202613755.3592634</v>
      </c>
      <c r="V84" s="61">
        <f t="shared" si="32"/>
        <v>2385624692.8100905</v>
      </c>
      <c r="W84" s="61">
        <f t="shared" si="32"/>
        <v>2581707150.9917274</v>
      </c>
      <c r="X84" s="61">
        <f t="shared" si="32"/>
        <v>2778504506.5275583</v>
      </c>
      <c r="Y84" s="61">
        <f t="shared" si="32"/>
        <v>2987646235.1466641</v>
      </c>
      <c r="Z84" s="61">
        <f t="shared" si="32"/>
        <v>3201881629.0435786</v>
      </c>
      <c r="AA84" s="61">
        <f t="shared" si="32"/>
        <v>3424886560.7238121</v>
      </c>
      <c r="AB84" s="61">
        <f t="shared" si="32"/>
        <v>3663363132.0365291</v>
      </c>
      <c r="AC84" s="61">
        <f t="shared" si="32"/>
        <v>3914776289.0458121</v>
      </c>
      <c r="AD84" s="61">
        <f t="shared" si="32"/>
        <v>4157536247.9001131</v>
      </c>
      <c r="AE84" s="61">
        <f t="shared" si="32"/>
        <v>4425288688.2362595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03">
        <f>Summary!$D$7</f>
        <v>545</v>
      </c>
      <c r="D86" s="105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D87" s="10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104">
        <f>C84/C86</f>
        <v>18.052717800754515</v>
      </c>
      <c r="D88" s="10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D89" s="106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</sheetData>
  <mergeCells count="7">
    <mergeCell ref="B2:B15"/>
    <mergeCell ref="A88:B88"/>
    <mergeCell ref="B18:B31"/>
    <mergeCell ref="A58:AE59"/>
    <mergeCell ref="A83:B83"/>
    <mergeCell ref="A86:B86"/>
    <mergeCell ref="A84:B84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89"/>
  <sheetViews>
    <sheetView zoomScale="87" zoomScaleNormal="87" workbookViewId="0"/>
  </sheetViews>
  <sheetFormatPr defaultRowHeight="14.5" x14ac:dyDescent="0.35"/>
  <cols>
    <col min="1" max="1" width="23.26953125" bestFit="1" customWidth="1"/>
    <col min="2" max="2" width="18.7265625" customWidth="1"/>
    <col min="3" max="3" width="18.26953125" customWidth="1"/>
    <col min="4" max="4" width="18.26953125" style="87" customWidth="1"/>
    <col min="5" max="17" width="16.26953125" bestFit="1" customWidth="1"/>
    <col min="18" max="30" width="17.81640625" bestFit="1" customWidth="1"/>
    <col min="31" max="31" width="18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3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3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3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3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3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3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3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3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3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3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3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3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3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6" spans="1:31" s="60" customFormat="1" x14ac:dyDescent="0.35">
      <c r="A16" s="87"/>
      <c r="B16" s="87"/>
      <c r="C16" s="87"/>
      <c r="D16" s="87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14.5" customHeight="1" thickTop="1" x14ac:dyDescent="0.35">
      <c r="A18" s="87"/>
      <c r="B18" s="161" t="s">
        <v>10</v>
      </c>
      <c r="C18" s="87" t="s">
        <v>107</v>
      </c>
      <c r="D18" s="61">
        <v>44182.400000000191</v>
      </c>
      <c r="E18" s="61">
        <v>44715.005000000368</v>
      </c>
      <c r="F18" s="5">
        <v>45093.431391724785</v>
      </c>
      <c r="G18" s="5">
        <v>45471.857783449203</v>
      </c>
      <c r="H18" s="5">
        <v>45850.28417517362</v>
      </c>
      <c r="I18" s="5">
        <v>46228.710566898037</v>
      </c>
      <c r="J18" s="5">
        <v>46607.136958622454</v>
      </c>
      <c r="K18" s="5">
        <v>46985.563350346871</v>
      </c>
      <c r="L18" s="5">
        <v>47363.989742071288</v>
      </c>
      <c r="M18" s="5">
        <v>47742.416133795705</v>
      </c>
      <c r="N18" s="5">
        <v>48120.842525520122</v>
      </c>
      <c r="O18" s="5">
        <v>48499.268917244539</v>
      </c>
      <c r="P18" s="5">
        <v>48877.695308968956</v>
      </c>
      <c r="Q18" s="5">
        <v>49256.121700693373</v>
      </c>
      <c r="R18" s="5">
        <v>49634.54809241779</v>
      </c>
      <c r="S18" s="5">
        <v>50012.974484142207</v>
      </c>
      <c r="T18" s="5">
        <v>50391.400875866624</v>
      </c>
      <c r="U18" s="5">
        <v>50769.827267591041</v>
      </c>
      <c r="V18" s="5">
        <v>51148.253659315458</v>
      </c>
      <c r="W18" s="5">
        <v>51526.680051039875</v>
      </c>
      <c r="X18" s="5">
        <v>51905.106442764292</v>
      </c>
      <c r="Y18" s="5">
        <v>52283.532834488709</v>
      </c>
      <c r="Z18" s="5">
        <v>52661.959226213126</v>
      </c>
      <c r="AA18" s="5">
        <v>53040.385617937543</v>
      </c>
      <c r="AB18" s="5">
        <v>53418.81200966196</v>
      </c>
      <c r="AC18" s="5">
        <v>53797.238401386378</v>
      </c>
      <c r="AD18" s="5">
        <v>54175.664793110795</v>
      </c>
      <c r="AE18" s="61">
        <v>54554.091184835263</v>
      </c>
    </row>
    <row r="19" spans="1:31" x14ac:dyDescent="0.35">
      <c r="A19" s="87" t="s">
        <v>30</v>
      </c>
      <c r="B19" s="163"/>
      <c r="C19" s="87" t="s">
        <v>31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30.400000000000034</v>
      </c>
      <c r="AA19" s="61">
        <v>63.560000000000045</v>
      </c>
      <c r="AB19" s="61">
        <v>96.720000000000056</v>
      </c>
      <c r="AC19" s="61">
        <v>129.88000000000005</v>
      </c>
      <c r="AD19" s="61">
        <v>163.04000000000008</v>
      </c>
      <c r="AE19" s="61">
        <v>196.2000000000001</v>
      </c>
    </row>
    <row r="20" spans="1:31" x14ac:dyDescent="0.35">
      <c r="A20" s="87" t="s">
        <v>30</v>
      </c>
      <c r="B20" s="163"/>
      <c r="C20" s="87" t="s">
        <v>32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7.0999999999999943</v>
      </c>
      <c r="AA20" s="61">
        <v>9.3399999999999981</v>
      </c>
      <c r="AB20" s="61">
        <v>11.580000000000002</v>
      </c>
      <c r="AC20" s="61">
        <v>13.820000000000006</v>
      </c>
      <c r="AD20" s="61">
        <v>16.060000000000009</v>
      </c>
      <c r="AE20" s="61">
        <v>18.300000000000011</v>
      </c>
    </row>
    <row r="21" spans="1:31" x14ac:dyDescent="0.35">
      <c r="A21" s="87" t="s">
        <v>30</v>
      </c>
      <c r="B21" s="163"/>
      <c r="C21" s="87" t="s">
        <v>33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0.25123917486241371</v>
      </c>
      <c r="AA21" s="61">
        <v>1.1518992016996792</v>
      </c>
      <c r="AB21" s="61">
        <v>2.0525592285369445</v>
      </c>
      <c r="AC21" s="61">
        <v>2.95321925537421</v>
      </c>
      <c r="AD21" s="61">
        <v>3.8538792822114756</v>
      </c>
      <c r="AE21" s="61">
        <v>4.7545393090487407</v>
      </c>
    </row>
    <row r="22" spans="1:31" x14ac:dyDescent="0.35">
      <c r="A22" s="87" t="s">
        <v>30</v>
      </c>
      <c r="B22" s="163"/>
      <c r="C22" s="87" t="s">
        <v>34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3.1404896857801713E-2</v>
      </c>
      <c r="AA22" s="61">
        <v>6.5578704677854371E-2</v>
      </c>
      <c r="AB22" s="61">
        <v>9.9752512497907023E-2</v>
      </c>
      <c r="AC22" s="61">
        <v>0.13392632031795967</v>
      </c>
      <c r="AD22" s="61">
        <v>0.16810012813801234</v>
      </c>
      <c r="AE22" s="61">
        <v>0.20227393595806498</v>
      </c>
    </row>
    <row r="23" spans="1:31" x14ac:dyDescent="0.35">
      <c r="A23" s="87" t="s">
        <v>30</v>
      </c>
      <c r="B23" s="163"/>
      <c r="C23" s="87" t="s">
        <v>35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4</v>
      </c>
      <c r="AA23" s="61">
        <v>4.8</v>
      </c>
      <c r="AB23" s="61">
        <v>5.6</v>
      </c>
      <c r="AC23" s="61">
        <v>6.3999999999999995</v>
      </c>
      <c r="AD23" s="61">
        <v>7.1999999999999993</v>
      </c>
      <c r="AE23" s="61">
        <v>8</v>
      </c>
    </row>
    <row r="24" spans="1:31" x14ac:dyDescent="0.35">
      <c r="A24" s="87" t="s">
        <v>30</v>
      </c>
      <c r="B24" s="163"/>
      <c r="C24" s="87" t="s">
        <v>108</v>
      </c>
      <c r="D24" s="61">
        <v>3717.63235986053</v>
      </c>
      <c r="E24" s="61">
        <v>5825.0395111818179</v>
      </c>
      <c r="F24" s="61">
        <v>7735.3221972917854</v>
      </c>
      <c r="G24" s="61">
        <v>9645.6048834017529</v>
      </c>
      <c r="H24" s="61">
        <v>11555.887569511719</v>
      </c>
      <c r="I24" s="61">
        <v>13466.170255621686</v>
      </c>
      <c r="J24" s="61">
        <v>15376.452941731653</v>
      </c>
      <c r="K24" s="61">
        <v>17286.735627841619</v>
      </c>
      <c r="L24" s="61">
        <v>19197.018313951587</v>
      </c>
      <c r="M24" s="61">
        <v>21107.301000061554</v>
      </c>
      <c r="N24" s="61">
        <v>23017.583686171514</v>
      </c>
      <c r="O24" s="61">
        <v>24927.866372281478</v>
      </c>
      <c r="P24" s="61">
        <v>26838.149058391442</v>
      </c>
      <c r="Q24" s="61">
        <v>28748.431744501406</v>
      </c>
      <c r="R24" s="61">
        <v>30658.71443061137</v>
      </c>
      <c r="S24" s="61">
        <v>32568.997116721333</v>
      </c>
      <c r="T24" s="61">
        <v>34479.279802831297</v>
      </c>
      <c r="U24" s="61">
        <v>36389.562488941257</v>
      </c>
      <c r="V24" s="61">
        <v>38299.845175051225</v>
      </c>
      <c r="W24" s="61">
        <v>40210.127861161192</v>
      </c>
      <c r="X24" s="61">
        <v>42120.41054727116</v>
      </c>
      <c r="Y24" s="61">
        <v>44030.693233381127</v>
      </c>
      <c r="Z24" s="61">
        <v>45940.975919491102</v>
      </c>
      <c r="AA24" s="61">
        <v>47851.25860560107</v>
      </c>
      <c r="AB24" s="61">
        <v>49761.541291711037</v>
      </c>
      <c r="AC24" s="61">
        <v>51671.823977821005</v>
      </c>
      <c r="AD24" s="61">
        <v>53582.106663930972</v>
      </c>
      <c r="AE24" s="61">
        <v>55492.389350040954</v>
      </c>
    </row>
    <row r="25" spans="1:31" x14ac:dyDescent="0.35">
      <c r="A25" s="87" t="s">
        <v>30</v>
      </c>
      <c r="B25" s="163"/>
      <c r="C25" s="87" t="s">
        <v>109</v>
      </c>
      <c r="D25" s="61">
        <v>58391.351911115744</v>
      </c>
      <c r="E25" s="61">
        <v>60909.150504943776</v>
      </c>
      <c r="F25" s="61">
        <v>63468.753367712336</v>
      </c>
      <c r="G25" s="61">
        <v>65012.952285041625</v>
      </c>
      <c r="H25" s="61">
        <v>66580.82335419365</v>
      </c>
      <c r="I25" s="61">
        <v>68152.862173075948</v>
      </c>
      <c r="J25" s="61">
        <v>69883.551040792649</v>
      </c>
      <c r="K25" s="61">
        <v>71621.924675320377</v>
      </c>
      <c r="L25" s="61">
        <v>73383.275497671653</v>
      </c>
      <c r="M25" s="61">
        <v>75162.750143605503</v>
      </c>
      <c r="N25" s="61">
        <v>76998.362104659056</v>
      </c>
      <c r="O25" s="61">
        <v>78847.700626364865</v>
      </c>
      <c r="P25" s="61">
        <v>80725.588226702908</v>
      </c>
      <c r="Q25" s="61">
        <v>82598.750650400805</v>
      </c>
      <c r="R25" s="61">
        <v>84416.531348807272</v>
      </c>
      <c r="S25" s="61">
        <v>86236.712105856917</v>
      </c>
      <c r="T25" s="61">
        <v>88071.45430896274</v>
      </c>
      <c r="U25" s="61">
        <v>89891.635066012444</v>
      </c>
      <c r="V25" s="61">
        <v>91580.762808554369</v>
      </c>
      <c r="W25" s="61">
        <v>93269.890551096469</v>
      </c>
      <c r="X25" s="61">
        <v>94959.018293638379</v>
      </c>
      <c r="Y25" s="61">
        <v>96633.58459012401</v>
      </c>
      <c r="Z25" s="61">
        <v>98133.41353393282</v>
      </c>
      <c r="AA25" s="61">
        <v>99618.681031685221</v>
      </c>
      <c r="AB25" s="61">
        <v>101103.94852943775</v>
      </c>
      <c r="AC25" s="61">
        <v>102603.77747324655</v>
      </c>
      <c r="AD25" s="61">
        <v>103870.62328015312</v>
      </c>
      <c r="AE25" s="61">
        <v>105137.46908705951</v>
      </c>
    </row>
    <row r="26" spans="1:31" s="60" customFormat="1" x14ac:dyDescent="0.35">
      <c r="A26" s="87"/>
      <c r="B26" s="163"/>
      <c r="C26" s="87" t="s">
        <v>110</v>
      </c>
      <c r="D26" s="61">
        <v>13056.452104756365</v>
      </c>
      <c r="E26" s="61">
        <v>15232.4908473902</v>
      </c>
      <c r="F26" s="61">
        <v>17633.375955618649</v>
      </c>
      <c r="G26" s="61">
        <v>19168.776771090066</v>
      </c>
      <c r="H26" s="61">
        <v>20799.344355950776</v>
      </c>
      <c r="I26" s="61">
        <v>22493.116314552764</v>
      </c>
      <c r="J26" s="61">
        <v>24426.860585441867</v>
      </c>
      <c r="K26" s="61">
        <v>26412.564909570901</v>
      </c>
      <c r="L26" s="61">
        <v>28514.234352736457</v>
      </c>
      <c r="M26" s="61">
        <v>30698.916532699823</v>
      </c>
      <c r="N26" s="61">
        <v>33011.400291448415</v>
      </c>
      <c r="O26" s="61">
        <v>35402.838557713192</v>
      </c>
      <c r="P26" s="61">
        <v>37912.638371722911</v>
      </c>
      <c r="Q26" s="61">
        <v>40486.061351785007</v>
      </c>
      <c r="R26" s="61">
        <v>43070.278167445882</v>
      </c>
      <c r="S26" s="61">
        <v>45740.946424269248</v>
      </c>
      <c r="T26" s="61">
        <v>48535.539925329882</v>
      </c>
      <c r="U26" s="61">
        <v>51366.924752137616</v>
      </c>
      <c r="V26" s="61">
        <v>54079.334763889594</v>
      </c>
      <c r="W26" s="61">
        <v>56880.861155710329</v>
      </c>
      <c r="X26" s="61">
        <v>59780.979624516542</v>
      </c>
      <c r="Y26" s="61">
        <v>62754.859295989198</v>
      </c>
      <c r="Z26" s="61">
        <v>65514.988233922784</v>
      </c>
      <c r="AA26" s="61">
        <v>68308.008012296603</v>
      </c>
      <c r="AB26" s="61">
        <v>71171.917148392196</v>
      </c>
      <c r="AC26" s="61">
        <v>74111.902759254706</v>
      </c>
      <c r="AD26" s="61">
        <v>76647.224184893406</v>
      </c>
      <c r="AE26" s="61">
        <v>79230.196575479</v>
      </c>
    </row>
    <row r="27" spans="1:31" x14ac:dyDescent="0.35">
      <c r="A27" s="87" t="s">
        <v>39</v>
      </c>
      <c r="B27" s="163"/>
      <c r="C27" s="87" t="s">
        <v>31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17.199999999999818</v>
      </c>
      <c r="R27" s="61">
        <v>62.749999999999943</v>
      </c>
      <c r="S27" s="61">
        <v>108.30000000000007</v>
      </c>
      <c r="T27" s="61">
        <v>153.85000000000019</v>
      </c>
      <c r="U27" s="61">
        <v>199.40000000000032</v>
      </c>
      <c r="V27" s="61">
        <v>290.52000000000027</v>
      </c>
      <c r="W27" s="61">
        <v>381.64000000000021</v>
      </c>
      <c r="X27" s="61">
        <v>472.76000000000016</v>
      </c>
      <c r="Y27" s="61">
        <v>563.88000000000011</v>
      </c>
      <c r="Z27" s="61">
        <v>655</v>
      </c>
      <c r="AA27" s="61">
        <v>823.8</v>
      </c>
      <c r="AB27" s="61">
        <v>992.59999999999991</v>
      </c>
      <c r="AC27" s="61">
        <v>1161.3999999999999</v>
      </c>
      <c r="AD27" s="61">
        <v>1330.1999999999998</v>
      </c>
      <c r="AE27" s="61">
        <v>1499</v>
      </c>
    </row>
    <row r="28" spans="1:31" x14ac:dyDescent="0.35">
      <c r="A28" s="87" t="s">
        <v>39</v>
      </c>
      <c r="B28" s="163"/>
      <c r="C28" s="87" t="s">
        <v>32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17.199999999999818</v>
      </c>
      <c r="R28" s="61">
        <v>26.949999999999875</v>
      </c>
      <c r="S28" s="61">
        <v>36.699999999999932</v>
      </c>
      <c r="T28" s="61">
        <v>46.449999999999989</v>
      </c>
      <c r="U28" s="61">
        <v>56.200000000000045</v>
      </c>
      <c r="V28" s="61">
        <v>67.400000000000048</v>
      </c>
      <c r="W28" s="61">
        <v>78.600000000000051</v>
      </c>
      <c r="X28" s="61">
        <v>89.800000000000054</v>
      </c>
      <c r="Y28" s="61">
        <v>101.00000000000006</v>
      </c>
      <c r="Z28" s="61">
        <v>112.20000000000005</v>
      </c>
      <c r="AA28" s="61">
        <v>120.16000000000004</v>
      </c>
      <c r="AB28" s="61">
        <v>128.12000000000003</v>
      </c>
      <c r="AC28" s="61">
        <v>136.08000000000001</v>
      </c>
      <c r="AD28" s="61">
        <v>144.04</v>
      </c>
      <c r="AE28" s="61">
        <v>152</v>
      </c>
    </row>
    <row r="29" spans="1:31" x14ac:dyDescent="0.35">
      <c r="A29" s="87" t="s">
        <v>39</v>
      </c>
      <c r="B29" s="163"/>
      <c r="C29" s="87" t="s">
        <v>33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2.9899527811582768E-2</v>
      </c>
      <c r="R29" s="61">
        <v>0.28239408680184164</v>
      </c>
      <c r="S29" s="61">
        <v>0.53488864579210049</v>
      </c>
      <c r="T29" s="61">
        <v>0.78738320478235935</v>
      </c>
      <c r="U29" s="61">
        <v>1.0398777637726182</v>
      </c>
      <c r="V29" s="61">
        <v>2.1982410982218332</v>
      </c>
      <c r="W29" s="61">
        <v>3.3566044326710482</v>
      </c>
      <c r="X29" s="61">
        <v>4.5149677671202628</v>
      </c>
      <c r="Y29" s="61">
        <v>5.6733311015694774</v>
      </c>
      <c r="Z29" s="61">
        <v>6.8316944360186938</v>
      </c>
      <c r="AA29" s="61">
        <v>12.761535672697311</v>
      </c>
      <c r="AB29" s="61">
        <v>18.691376909375929</v>
      </c>
      <c r="AC29" s="61">
        <v>24.621218146054545</v>
      </c>
      <c r="AD29" s="61">
        <v>30.551059382733165</v>
      </c>
      <c r="AE29" s="61">
        <v>36.480900619411784</v>
      </c>
    </row>
    <row r="30" spans="1:31" x14ac:dyDescent="0.35">
      <c r="A30" s="87" t="s">
        <v>39</v>
      </c>
      <c r="B30" s="163"/>
      <c r="C30" s="87" t="s">
        <v>34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1.4949763905791384E-2</v>
      </c>
      <c r="R30" s="61">
        <v>5.4540563086535959E-2</v>
      </c>
      <c r="S30" s="61">
        <v>9.4131362267280527E-2</v>
      </c>
      <c r="T30" s="61">
        <v>0.1337221614480251</v>
      </c>
      <c r="U30" s="61">
        <v>0.17331296062876969</v>
      </c>
      <c r="V30" s="61">
        <v>0.25251194243666064</v>
      </c>
      <c r="W30" s="61">
        <v>0.33171092424455162</v>
      </c>
      <c r="X30" s="61">
        <v>0.4109099060524426</v>
      </c>
      <c r="Y30" s="61">
        <v>0.49010888786033358</v>
      </c>
      <c r="Z30" s="61">
        <v>0.56930786966822444</v>
      </c>
      <c r="AA30" s="61">
        <v>0.71602415730180657</v>
      </c>
      <c r="AB30" s="61">
        <v>0.86274044493538871</v>
      </c>
      <c r="AC30" s="61">
        <v>1.0094567325689709</v>
      </c>
      <c r="AD30" s="61">
        <v>1.1561730202025531</v>
      </c>
      <c r="AE30" s="61">
        <v>1.3028893078361352</v>
      </c>
    </row>
    <row r="31" spans="1:31" x14ac:dyDescent="0.35">
      <c r="A31" s="87" t="s">
        <v>39</v>
      </c>
      <c r="B31" s="163"/>
      <c r="C31" s="87" t="s">
        <v>35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1</v>
      </c>
      <c r="R31" s="61">
        <v>2.25</v>
      </c>
      <c r="S31" s="61">
        <v>3.5</v>
      </c>
      <c r="T31" s="61">
        <v>4.75</v>
      </c>
      <c r="U31" s="61">
        <v>6</v>
      </c>
      <c r="V31" s="61">
        <v>7.2</v>
      </c>
      <c r="W31" s="61">
        <v>8.4</v>
      </c>
      <c r="X31" s="61">
        <v>9.6</v>
      </c>
      <c r="Y31" s="61">
        <v>10.799999999999999</v>
      </c>
      <c r="Z31" s="61">
        <v>12</v>
      </c>
      <c r="AA31" s="61">
        <v>15.2</v>
      </c>
      <c r="AB31" s="61">
        <v>18.399999999999999</v>
      </c>
      <c r="AC31" s="61">
        <v>21.599999999999998</v>
      </c>
      <c r="AD31" s="61">
        <v>24.799999999999997</v>
      </c>
      <c r="AE31" s="61">
        <v>28</v>
      </c>
    </row>
    <row r="32" spans="1:31" x14ac:dyDescent="0.35">
      <c r="A32" s="87" t="s">
        <v>130</v>
      </c>
      <c r="B32" s="87" t="s">
        <v>111</v>
      </c>
      <c r="C32" s="87" t="s">
        <v>131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189312.71747236303</v>
      </c>
      <c r="R32" s="61">
        <v>417945.40121221828</v>
      </c>
      <c r="S32" s="61">
        <v>899616.20462634659</v>
      </c>
      <c r="T32" s="61">
        <v>1360534.7335990558</v>
      </c>
      <c r="U32" s="61">
        <v>1635951.6138848653</v>
      </c>
      <c r="V32" s="61">
        <v>2351803.3341460391</v>
      </c>
      <c r="W32" s="61">
        <v>3092388.1830957574</v>
      </c>
      <c r="X32" s="61">
        <v>3700393.0013305661</v>
      </c>
      <c r="Y32" s="61">
        <v>4245985.7716995515</v>
      </c>
      <c r="Z32" s="61">
        <v>5216393.2430557441</v>
      </c>
      <c r="AA32" s="61">
        <v>6359347.1759326737</v>
      </c>
      <c r="AB32" s="61">
        <v>7431686.7424940392</v>
      </c>
      <c r="AC32" s="61">
        <v>9110207.6788524836</v>
      </c>
      <c r="AD32" s="61">
        <v>10293767.407130541</v>
      </c>
      <c r="AE32" s="61">
        <v>12430871.029905314</v>
      </c>
    </row>
    <row r="33" spans="1:31" x14ac:dyDescent="0.35">
      <c r="A33" s="87" t="s">
        <v>130</v>
      </c>
      <c r="B33" s="87" t="s">
        <v>132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1066768.5672431162</v>
      </c>
      <c r="R33" s="61">
        <v>2178110.4172540447</v>
      </c>
      <c r="S33" s="61">
        <v>4775582.9477915466</v>
      </c>
      <c r="T33" s="61">
        <v>7115478.6312956708</v>
      </c>
      <c r="U33" s="61">
        <v>7707603.5850362517</v>
      </c>
      <c r="V33" s="61">
        <v>11301152.051384285</v>
      </c>
      <c r="W33" s="61">
        <v>15049706.912333021</v>
      </c>
      <c r="X33" s="61">
        <v>17263890.575731643</v>
      </c>
      <c r="Y33" s="61">
        <v>18687227.338866603</v>
      </c>
      <c r="Z33" s="61">
        <v>23201983.167001959</v>
      </c>
      <c r="AA33" s="61">
        <v>28255550.643740904</v>
      </c>
      <c r="AB33" s="61">
        <v>32098928.078485396</v>
      </c>
      <c r="AC33" s="61">
        <v>39267846.772046216</v>
      </c>
      <c r="AD33" s="61">
        <v>44561298.249588341</v>
      </c>
      <c r="AE33" s="61">
        <v>54181886.957200438</v>
      </c>
    </row>
    <row r="34" spans="1:31" x14ac:dyDescent="0.35">
      <c r="A34" s="87" t="s">
        <v>133</v>
      </c>
      <c r="B34" s="87" t="s">
        <v>111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38709.164759837658</v>
      </c>
      <c r="AA34" s="61">
        <v>74879.654802915698</v>
      </c>
      <c r="AB34" s="61">
        <v>111050.14484599375</v>
      </c>
      <c r="AC34" s="61">
        <v>147220.63488907181</v>
      </c>
      <c r="AD34" s="61">
        <v>183391.12493214986</v>
      </c>
      <c r="AE34" s="61">
        <v>219561.61497522789</v>
      </c>
    </row>
    <row r="35" spans="1:31" x14ac:dyDescent="0.35">
      <c r="A35" s="87" t="s">
        <v>133</v>
      </c>
      <c r="B35" s="87" t="s">
        <v>132</v>
      </c>
      <c r="C35" s="87" t="s">
        <v>131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160623.13062120744</v>
      </c>
      <c r="AA35" s="61">
        <v>310712.06648092228</v>
      </c>
      <c r="AB35" s="61">
        <v>460801.00234063715</v>
      </c>
      <c r="AC35" s="61">
        <v>610889.93820035201</v>
      </c>
      <c r="AD35" s="61">
        <v>760978.87406006688</v>
      </c>
      <c r="AE35" s="61">
        <v>911067.80991978175</v>
      </c>
    </row>
    <row r="36" spans="1:31" ht="43.5" x14ac:dyDescent="0.35">
      <c r="A36" s="3" t="s">
        <v>134</v>
      </c>
      <c r="B36" s="3" t="s">
        <v>135</v>
      </c>
      <c r="C36" s="87" t="s">
        <v>131</v>
      </c>
      <c r="D36" s="61">
        <v>3966989.8422696237</v>
      </c>
      <c r="E36" s="61">
        <v>4707050.096467088</v>
      </c>
      <c r="F36" s="61">
        <v>5543241.2373743523</v>
      </c>
      <c r="G36" s="61">
        <v>6095692.5942402631</v>
      </c>
      <c r="H36" s="61">
        <v>6811876.7156352019</v>
      </c>
      <c r="I36" s="61">
        <v>7457565.8589565828</v>
      </c>
      <c r="J36" s="61">
        <v>8272370.8012944646</v>
      </c>
      <c r="K36" s="61">
        <v>9159673.3030878901</v>
      </c>
      <c r="L36" s="61">
        <v>9932379.8140484635</v>
      </c>
      <c r="M36" s="61">
        <v>10912742.266035732</v>
      </c>
      <c r="N36" s="61">
        <v>12065920.797822045</v>
      </c>
      <c r="O36" s="61">
        <v>13154935.418626778</v>
      </c>
      <c r="P36" s="61">
        <v>14285891.83482568</v>
      </c>
      <c r="Q36" s="61">
        <v>15646720.814857818</v>
      </c>
      <c r="R36" s="61">
        <v>16958054.597929701</v>
      </c>
      <c r="S36" s="61">
        <v>18437737.930425454</v>
      </c>
      <c r="T36" s="61">
        <v>19885747.602311935</v>
      </c>
      <c r="U36" s="61">
        <v>21543950.101561975</v>
      </c>
      <c r="V36" s="61">
        <v>22934221.059190039</v>
      </c>
      <c r="W36" s="61">
        <v>24739465.747240473</v>
      </c>
      <c r="X36" s="61">
        <v>26598021.755295679</v>
      </c>
      <c r="Y36" s="61">
        <v>28551363.142924111</v>
      </c>
      <c r="Z36" s="61">
        <v>30544623.667181056</v>
      </c>
      <c r="AA36" s="61">
        <v>32507953.77888849</v>
      </c>
      <c r="AB36" s="61">
        <v>34666804.791942224</v>
      </c>
      <c r="AC36" s="61">
        <v>36919934.877476975</v>
      </c>
      <c r="AD36" s="61">
        <v>39084466.912247345</v>
      </c>
      <c r="AE36" s="61">
        <v>41306551.644427508</v>
      </c>
    </row>
    <row r="37" spans="1:31" x14ac:dyDescent="0.35">
      <c r="A37" s="87"/>
      <c r="B37" s="87"/>
      <c r="C37" s="8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x14ac:dyDescent="0.35">
      <c r="A38" s="87"/>
      <c r="B38" s="87"/>
      <c r="C38" s="87" t="s">
        <v>136</v>
      </c>
      <c r="D38" s="87">
        <f>'Cost Assumptions'!$B$4</f>
        <v>40</v>
      </c>
      <c r="E38" s="61">
        <f>D38*'Cost Assumptions'!$B$5</f>
        <v>41</v>
      </c>
      <c r="F38" s="61">
        <f>E38*'Cost Assumptions'!$B$5</f>
        <v>42.024999999999999</v>
      </c>
      <c r="G38" s="61">
        <f>F38*'Cost Assumptions'!$B$5</f>
        <v>43.075624999999995</v>
      </c>
      <c r="H38" s="61">
        <f>G38*'Cost Assumptions'!$B$5</f>
        <v>44.152515624999992</v>
      </c>
      <c r="I38" s="61">
        <f>H38*'Cost Assumptions'!$B$5</f>
        <v>45.256328515624986</v>
      </c>
      <c r="J38" s="61">
        <f>I38*'Cost Assumptions'!$B$5</f>
        <v>46.387736728515605</v>
      </c>
      <c r="K38" s="61">
        <f>J38*'Cost Assumptions'!$B$5</f>
        <v>47.547430146728495</v>
      </c>
      <c r="L38" s="61">
        <f>K38*'Cost Assumptions'!$B$5</f>
        <v>48.736115900396705</v>
      </c>
      <c r="M38" s="61">
        <f>L38*'Cost Assumptions'!$B$5</f>
        <v>49.954518797906616</v>
      </c>
      <c r="N38" s="61">
        <f>M38*'Cost Assumptions'!$B$5</f>
        <v>51.203381767854275</v>
      </c>
      <c r="O38" s="61">
        <f>N38*'Cost Assumptions'!$B$5</f>
        <v>52.483466312050624</v>
      </c>
      <c r="P38" s="61">
        <f>O38*'Cost Assumptions'!$B$5</f>
        <v>53.795552969851883</v>
      </c>
      <c r="Q38" s="61">
        <f>P38*'Cost Assumptions'!$B$5</f>
        <v>55.140441794098173</v>
      </c>
      <c r="R38" s="61">
        <f>Q38*'Cost Assumptions'!$B$5</f>
        <v>56.518952838950625</v>
      </c>
      <c r="S38" s="61">
        <f>R38*'Cost Assumptions'!$B$5</f>
        <v>57.931926659924386</v>
      </c>
      <c r="T38" s="61">
        <f>S38*'Cost Assumptions'!$B$5</f>
        <v>59.380224826422491</v>
      </c>
      <c r="U38" s="61">
        <f>T38*'Cost Assumptions'!$B$5</f>
        <v>60.864730447083048</v>
      </c>
      <c r="V38" s="61">
        <f>U38*'Cost Assumptions'!$B$5</f>
        <v>62.386348708260115</v>
      </c>
      <c r="W38" s="61">
        <f>V38*'Cost Assumptions'!$B$5</f>
        <v>63.946007425966613</v>
      </c>
      <c r="X38" s="61">
        <f>W38*'Cost Assumptions'!$B$5</f>
        <v>65.544657611615776</v>
      </c>
      <c r="Y38" s="61">
        <f>X38*'Cost Assumptions'!$B$5</f>
        <v>67.183274051906167</v>
      </c>
      <c r="Z38" s="61">
        <f>Y38*'Cost Assumptions'!$B$5</f>
        <v>68.862855903203823</v>
      </c>
      <c r="AA38" s="61">
        <f>Z38*'Cost Assumptions'!$B$5</f>
        <v>70.584427300783915</v>
      </c>
      <c r="AB38" s="61">
        <f>AA38*'Cost Assumptions'!$B$5</f>
        <v>72.349037983303504</v>
      </c>
      <c r="AC38" s="61">
        <f>AB38*'Cost Assumptions'!$B$5</f>
        <v>74.157763932886084</v>
      </c>
      <c r="AD38" s="61">
        <f>AC38*'Cost Assumptions'!$B$5</f>
        <v>76.011708031208229</v>
      </c>
      <c r="AE38" s="61">
        <f>AD38*'Cost Assumptions'!$B$5</f>
        <v>77.912000731988428</v>
      </c>
    </row>
    <row r="39" spans="1:31" x14ac:dyDescent="0.35">
      <c r="A39" s="87"/>
      <c r="B39" s="87"/>
      <c r="C39" s="87"/>
      <c r="E39" s="87"/>
      <c r="F39" s="87"/>
      <c r="G39" s="87"/>
      <c r="H39" s="6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23.5" x14ac:dyDescent="0.55000000000000004">
      <c r="A40" s="87"/>
      <c r="B40" s="165" t="s">
        <v>137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</row>
    <row r="41" spans="1:31" ht="20" thickBot="1" x14ac:dyDescent="0.5">
      <c r="A41" s="120"/>
      <c r="B41" s="125" t="s">
        <v>138</v>
      </c>
      <c r="C41" s="120" t="s">
        <v>105</v>
      </c>
      <c r="D41" s="120">
        <v>2021</v>
      </c>
      <c r="E41" s="120">
        <v>2022</v>
      </c>
      <c r="F41" s="120">
        <v>2023</v>
      </c>
      <c r="G41" s="120">
        <v>2024</v>
      </c>
      <c r="H41" s="120">
        <v>2025</v>
      </c>
      <c r="I41" s="120">
        <v>2026</v>
      </c>
      <c r="J41" s="120">
        <v>2027</v>
      </c>
      <c r="K41" s="120">
        <v>2028</v>
      </c>
      <c r="L41" s="120">
        <v>2029</v>
      </c>
      <c r="M41" s="120">
        <v>2030</v>
      </c>
      <c r="N41" s="120">
        <v>2031</v>
      </c>
      <c r="O41" s="120">
        <v>2032</v>
      </c>
      <c r="P41" s="120">
        <v>2033</v>
      </c>
      <c r="Q41" s="120">
        <v>2034</v>
      </c>
      <c r="R41" s="120">
        <v>2035</v>
      </c>
      <c r="S41" s="120">
        <v>2036</v>
      </c>
      <c r="T41" s="120">
        <v>2037</v>
      </c>
      <c r="U41" s="120">
        <v>2038</v>
      </c>
      <c r="V41" s="120">
        <v>2039</v>
      </c>
      <c r="W41" s="120">
        <v>2040</v>
      </c>
      <c r="X41" s="120">
        <v>2041</v>
      </c>
      <c r="Y41" s="120">
        <v>2042</v>
      </c>
      <c r="Z41" s="120">
        <v>2043</v>
      </c>
      <c r="AA41" s="120">
        <v>2044</v>
      </c>
      <c r="AB41" s="120">
        <v>2045</v>
      </c>
      <c r="AC41" s="120">
        <v>2046</v>
      </c>
      <c r="AD41" s="120">
        <v>2047</v>
      </c>
      <c r="AE41" s="120">
        <v>2048</v>
      </c>
    </row>
    <row r="42" spans="1:31" ht="15" thickTop="1" x14ac:dyDescent="0.35">
      <c r="A42" s="87"/>
      <c r="B42" s="9">
        <f>NPV('Cost Assumptions'!$B$3,'SDG&amp;E'!D42:'SDG&amp;E'!AE42)</f>
        <v>71431.041503222004</v>
      </c>
      <c r="C42" s="87" t="s">
        <v>107</v>
      </c>
      <c r="D42" s="61">
        <f t="shared" ref="D42" si="0">D2-D18</f>
        <v>5899.3499999992855</v>
      </c>
      <c r="E42" s="61">
        <f t="shared" ref="E42:AE42" si="1">E2-E18</f>
        <v>6173.0449999994235</v>
      </c>
      <c r="F42" s="61">
        <f t="shared" si="1"/>
        <v>6391.1224544288634</v>
      </c>
      <c r="G42" s="61">
        <f t="shared" si="1"/>
        <v>6609.1999088583034</v>
      </c>
      <c r="H42" s="61">
        <f t="shared" si="1"/>
        <v>6827.2773632877434</v>
      </c>
      <c r="I42" s="61">
        <f t="shared" si="1"/>
        <v>7045.3548177171833</v>
      </c>
      <c r="J42" s="61">
        <f t="shared" si="1"/>
        <v>7263.4322721466233</v>
      </c>
      <c r="K42" s="61">
        <f t="shared" si="1"/>
        <v>7481.5097265760633</v>
      </c>
      <c r="L42" s="61">
        <f t="shared" si="1"/>
        <v>7699.5871810055032</v>
      </c>
      <c r="M42" s="61">
        <f t="shared" si="1"/>
        <v>7917.6646354349432</v>
      </c>
      <c r="N42" s="61">
        <f t="shared" si="1"/>
        <v>8135.7420898643832</v>
      </c>
      <c r="O42" s="61">
        <f t="shared" si="1"/>
        <v>8353.8195442938231</v>
      </c>
      <c r="P42" s="61">
        <f t="shared" si="1"/>
        <v>8571.8969987232631</v>
      </c>
      <c r="Q42" s="61">
        <f t="shared" si="1"/>
        <v>8789.9744531527031</v>
      </c>
      <c r="R42" s="61">
        <f t="shared" si="1"/>
        <v>9008.051907582143</v>
      </c>
      <c r="S42" s="61">
        <f t="shared" si="1"/>
        <v>9226.129362011583</v>
      </c>
      <c r="T42" s="61">
        <f t="shared" si="1"/>
        <v>9444.206816441023</v>
      </c>
      <c r="U42" s="61">
        <f t="shared" si="1"/>
        <v>9662.2842708704629</v>
      </c>
      <c r="V42" s="61">
        <f t="shared" si="1"/>
        <v>9880.3617252999029</v>
      </c>
      <c r="W42" s="61">
        <f t="shared" si="1"/>
        <v>10098.439179729343</v>
      </c>
      <c r="X42" s="61">
        <f t="shared" si="1"/>
        <v>10316.516634158783</v>
      </c>
      <c r="Y42" s="61">
        <f t="shared" si="1"/>
        <v>10534.594088588223</v>
      </c>
      <c r="Z42" s="61">
        <f t="shared" si="1"/>
        <v>10752.671543017663</v>
      </c>
      <c r="AA42" s="61">
        <f t="shared" si="1"/>
        <v>10970.748997447103</v>
      </c>
      <c r="AB42" s="61">
        <f t="shared" si="1"/>
        <v>11188.826451876543</v>
      </c>
      <c r="AC42" s="61">
        <f t="shared" si="1"/>
        <v>11406.903906305983</v>
      </c>
      <c r="AD42" s="61">
        <f t="shared" si="1"/>
        <v>11624.981360735423</v>
      </c>
      <c r="AE42" s="61">
        <f t="shared" si="1"/>
        <v>11843.058815164732</v>
      </c>
    </row>
    <row r="43" spans="1:31" x14ac:dyDescent="0.35">
      <c r="A43" s="9"/>
      <c r="B43" s="9">
        <f>NPV('Cost Assumptions'!$B$3,'SDG&amp;E'!D43:'SDG&amp;E'!AE43)</f>
        <v>3652887.0567212673</v>
      </c>
      <c r="C43" s="87" t="s">
        <v>139</v>
      </c>
      <c r="D43" s="61">
        <f>D42*D38</f>
        <v>235973.99999997142</v>
      </c>
      <c r="E43" s="61">
        <f>E42*E38</f>
        <v>253094.84499997637</v>
      </c>
      <c r="F43" s="61">
        <f t="shared" ref="F43:AE43" si="2">F42*F38</f>
        <v>268586.92114737298</v>
      </c>
      <c r="G43" s="61">
        <f t="shared" si="2"/>
        <v>284695.41682401445</v>
      </c>
      <c r="H43" s="61">
        <f t="shared" si="2"/>
        <v>301441.47045877081</v>
      </c>
      <c r="I43" s="61">
        <f t="shared" si="2"/>
        <v>318846.89213975007</v>
      </c>
      <c r="J43" s="61">
        <f t="shared" si="2"/>
        <v>336934.18398574146</v>
      </c>
      <c r="K43" s="61">
        <f t="shared" si="2"/>
        <v>355726.56111644517</v>
      </c>
      <c r="L43" s="61">
        <f t="shared" si="2"/>
        <v>375247.97323869297</v>
      </c>
      <c r="M43" s="61">
        <f t="shared" si="2"/>
        <v>395523.12686635531</v>
      </c>
      <c r="N43" s="61">
        <f t="shared" si="2"/>
        <v>416577.50819212658</v>
      </c>
      <c r="O43" s="61">
        <f t="shared" si="2"/>
        <v>438437.40662989498</v>
      </c>
      <c r="P43" s="61">
        <f t="shared" si="2"/>
        <v>461129.93904693169</v>
      </c>
      <c r="Q43" s="61">
        <f t="shared" si="2"/>
        <v>484683.07470567652</v>
      </c>
      <c r="R43" s="61">
        <f t="shared" si="2"/>
        <v>509125.66093545436</v>
      </c>
      <c r="S43" s="61">
        <f t="shared" si="2"/>
        <v>534487.44955502998</v>
      </c>
      <c r="T43" s="61">
        <f t="shared" si="2"/>
        <v>560799.12406749977</v>
      </c>
      <c r="U43" s="61">
        <f t="shared" si="2"/>
        <v>588092.32764962106</v>
      </c>
      <c r="V43" s="61">
        <f t="shared" si="2"/>
        <v>616399.69195830624</v>
      </c>
      <c r="W43" s="61">
        <f t="shared" si="2"/>
        <v>645754.86677764473</v>
      </c>
      <c r="X43" s="61">
        <f t="shared" si="2"/>
        <v>676192.55053047626</v>
      </c>
      <c r="Y43" s="61">
        <f t="shared" si="2"/>
        <v>707748.52167921327</v>
      </c>
      <c r="Z43" s="61">
        <f t="shared" si="2"/>
        <v>740459.67104130564</v>
      </c>
      <c r="AA43" s="61">
        <f t="shared" si="2"/>
        <v>774364.035045453</v>
      </c>
      <c r="AB43" s="61">
        <f t="shared" si="2"/>
        <v>809500.82995540695</v>
      </c>
      <c r="AC43" s="61">
        <f t="shared" si="2"/>
        <v>845910.48708895524</v>
      </c>
      <c r="AD43" s="61">
        <f t="shared" si="2"/>
        <v>883634.68906045868</v>
      </c>
      <c r="AE43" s="61">
        <f t="shared" si="2"/>
        <v>922716.40707609663</v>
      </c>
    </row>
    <row r="44" spans="1:31" x14ac:dyDescent="0.35">
      <c r="A44" s="87" t="s">
        <v>30</v>
      </c>
      <c r="B44" s="9">
        <f>NPV('Cost Assumptions'!$B$3,'SDG&amp;E'!D44:'SDG&amp;E'!AE44)</f>
        <v>9597.8794591511742</v>
      </c>
      <c r="C44" s="87" t="s">
        <v>31</v>
      </c>
      <c r="D44" s="61">
        <f t="shared" ref="D44" si="3">D3-D19</f>
        <v>18</v>
      </c>
      <c r="E44" s="61">
        <f t="shared" ref="E44:AE44" si="4">E3-E19</f>
        <v>40</v>
      </c>
      <c r="F44" s="61">
        <f t="shared" si="4"/>
        <v>71.833333333333343</v>
      </c>
      <c r="G44" s="61">
        <f t="shared" si="4"/>
        <v>103.66666666666669</v>
      </c>
      <c r="H44" s="61">
        <f t="shared" si="4"/>
        <v>135.50000000000003</v>
      </c>
      <c r="I44" s="61">
        <f t="shared" si="4"/>
        <v>167.33333333333337</v>
      </c>
      <c r="J44" s="61">
        <f t="shared" si="4"/>
        <v>199.16666666666671</v>
      </c>
      <c r="K44" s="61">
        <f t="shared" si="4"/>
        <v>231.00000000000003</v>
      </c>
      <c r="L44" s="61">
        <f t="shared" si="4"/>
        <v>348.1</v>
      </c>
      <c r="M44" s="61">
        <f t="shared" si="4"/>
        <v>465.20000000000005</v>
      </c>
      <c r="N44" s="61">
        <f t="shared" si="4"/>
        <v>582.30000000000007</v>
      </c>
      <c r="O44" s="61">
        <f t="shared" si="4"/>
        <v>699.4</v>
      </c>
      <c r="P44" s="61">
        <f t="shared" si="4"/>
        <v>988.65</v>
      </c>
      <c r="Q44" s="61">
        <f t="shared" si="4"/>
        <v>1277.9000000000001</v>
      </c>
      <c r="R44" s="61">
        <f t="shared" si="4"/>
        <v>1567.15</v>
      </c>
      <c r="S44" s="61">
        <f t="shared" si="4"/>
        <v>1856.4</v>
      </c>
      <c r="T44" s="61">
        <f t="shared" si="4"/>
        <v>2145.65</v>
      </c>
      <c r="U44" s="61">
        <f t="shared" si="4"/>
        <v>2434.9</v>
      </c>
      <c r="V44" s="61">
        <f t="shared" si="4"/>
        <v>3114.9700000000003</v>
      </c>
      <c r="W44" s="61">
        <f t="shared" si="4"/>
        <v>3795.04</v>
      </c>
      <c r="X44" s="61">
        <f t="shared" si="4"/>
        <v>4475.1099999999997</v>
      </c>
      <c r="Y44" s="61">
        <f t="shared" si="4"/>
        <v>5155.1799999999994</v>
      </c>
      <c r="Z44" s="61">
        <f t="shared" si="4"/>
        <v>5232.3000000000011</v>
      </c>
      <c r="AA44" s="61">
        <f t="shared" si="4"/>
        <v>5993.72</v>
      </c>
      <c r="AB44" s="61">
        <f t="shared" si="4"/>
        <v>6755.14</v>
      </c>
      <c r="AC44" s="61">
        <f t="shared" si="4"/>
        <v>7516.56</v>
      </c>
      <c r="AD44" s="61">
        <f t="shared" si="4"/>
        <v>8277.98</v>
      </c>
      <c r="AE44" s="61">
        <f t="shared" si="4"/>
        <v>9039.3999999999978</v>
      </c>
    </row>
    <row r="45" spans="1:31" x14ac:dyDescent="0.35">
      <c r="A45" s="87" t="s">
        <v>30</v>
      </c>
      <c r="B45" s="9">
        <f>NPV('Cost Assumptions'!$B$3,'SDG&amp;E'!D45:'SDG&amp;E'!AE45)</f>
        <v>259.47670267923786</v>
      </c>
      <c r="C45" s="87" t="s">
        <v>32</v>
      </c>
      <c r="D45" s="61">
        <f t="shared" ref="D45" si="5">D4-D20</f>
        <v>3.5</v>
      </c>
      <c r="E45" s="61">
        <f t="shared" ref="E45:AE45" si="6">E4-E20</f>
        <v>6</v>
      </c>
      <c r="F45" s="61">
        <f t="shared" si="6"/>
        <v>8.8833333333333346</v>
      </c>
      <c r="G45" s="61">
        <f t="shared" si="6"/>
        <v>11.766666666666669</v>
      </c>
      <c r="H45" s="61">
        <f t="shared" si="6"/>
        <v>14.650000000000004</v>
      </c>
      <c r="I45" s="61">
        <f t="shared" si="6"/>
        <v>17.533333333333339</v>
      </c>
      <c r="J45" s="61">
        <f t="shared" si="6"/>
        <v>20.416666666666675</v>
      </c>
      <c r="K45" s="61">
        <f t="shared" si="6"/>
        <v>23.300000000000011</v>
      </c>
      <c r="L45" s="61">
        <f t="shared" si="6"/>
        <v>26.250000000000014</v>
      </c>
      <c r="M45" s="61">
        <f t="shared" si="6"/>
        <v>29.200000000000017</v>
      </c>
      <c r="N45" s="61">
        <f t="shared" si="6"/>
        <v>32.15000000000002</v>
      </c>
      <c r="O45" s="61">
        <f t="shared" si="6"/>
        <v>35.100000000000023</v>
      </c>
      <c r="P45" s="61">
        <f t="shared" si="6"/>
        <v>39.500000000000021</v>
      </c>
      <c r="Q45" s="61">
        <f t="shared" si="6"/>
        <v>43.90000000000002</v>
      </c>
      <c r="R45" s="61">
        <f t="shared" si="6"/>
        <v>48.300000000000018</v>
      </c>
      <c r="S45" s="61">
        <f t="shared" si="6"/>
        <v>52.700000000000017</v>
      </c>
      <c r="T45" s="61">
        <f t="shared" si="6"/>
        <v>57.100000000000016</v>
      </c>
      <c r="U45" s="61">
        <f t="shared" si="6"/>
        <v>61.5</v>
      </c>
      <c r="V45" s="61">
        <f t="shared" si="6"/>
        <v>63.48</v>
      </c>
      <c r="W45" s="61">
        <f t="shared" si="6"/>
        <v>65.459999999999994</v>
      </c>
      <c r="X45" s="61">
        <f t="shared" si="6"/>
        <v>67.439999999999984</v>
      </c>
      <c r="Y45" s="61">
        <f t="shared" si="6"/>
        <v>69.419999999999973</v>
      </c>
      <c r="Z45" s="61">
        <f t="shared" si="6"/>
        <v>64.299999999999983</v>
      </c>
      <c r="AA45" s="61">
        <f t="shared" si="6"/>
        <v>73.45999999999998</v>
      </c>
      <c r="AB45" s="61">
        <f t="shared" si="6"/>
        <v>82.61999999999999</v>
      </c>
      <c r="AC45" s="61">
        <f t="shared" si="6"/>
        <v>91.779999999999987</v>
      </c>
      <c r="AD45" s="61">
        <f t="shared" si="6"/>
        <v>100.94</v>
      </c>
      <c r="AE45" s="61">
        <f t="shared" si="6"/>
        <v>110.10000000000002</v>
      </c>
    </row>
    <row r="46" spans="1:31" x14ac:dyDescent="0.35">
      <c r="A46" s="87" t="s">
        <v>30</v>
      </c>
      <c r="B46" s="9">
        <f>NPV('Cost Assumptions'!$B$3,'SDG&amp;E'!D46:'SDG&amp;E'!AE46)</f>
        <v>1136.4403620978255</v>
      </c>
      <c r="C46" s="87" t="s">
        <v>33</v>
      </c>
      <c r="D46" s="61">
        <f t="shared" ref="D46" si="7">D5-D21</f>
        <v>0.20339500662097962</v>
      </c>
      <c r="E46" s="61">
        <f t="shared" ref="E46:AE46" si="8">E5-E21</f>
        <v>0.45604357175421173</v>
      </c>
      <c r="F46" s="61">
        <f t="shared" si="8"/>
        <v>1.1323955044854586</v>
      </c>
      <c r="G46" s="61">
        <f t="shared" si="8"/>
        <v>1.8087474372167054</v>
      </c>
      <c r="H46" s="61">
        <f t="shared" si="8"/>
        <v>2.4850993699479522</v>
      </c>
      <c r="I46" s="61">
        <f t="shared" si="8"/>
        <v>3.161451302679199</v>
      </c>
      <c r="J46" s="61">
        <f t="shared" si="8"/>
        <v>3.8378032354104459</v>
      </c>
      <c r="K46" s="61">
        <f t="shared" si="8"/>
        <v>4.5141551681416932</v>
      </c>
      <c r="L46" s="61">
        <f t="shared" si="8"/>
        <v>9.7534462457669928</v>
      </c>
      <c r="M46" s="61">
        <f t="shared" si="8"/>
        <v>14.992737323392292</v>
      </c>
      <c r="N46" s="61">
        <f t="shared" si="8"/>
        <v>20.232028401017594</v>
      </c>
      <c r="O46" s="61">
        <f t="shared" si="8"/>
        <v>25.47131947864289</v>
      </c>
      <c r="P46" s="61">
        <f t="shared" si="8"/>
        <v>54.136770269638852</v>
      </c>
      <c r="Q46" s="61">
        <f t="shared" si="8"/>
        <v>82.802221060634821</v>
      </c>
      <c r="R46" s="61">
        <f t="shared" si="8"/>
        <v>111.46767185163078</v>
      </c>
      <c r="S46" s="61">
        <f t="shared" si="8"/>
        <v>140.13312264262674</v>
      </c>
      <c r="T46" s="61">
        <f t="shared" si="8"/>
        <v>168.79857343362272</v>
      </c>
      <c r="U46" s="61">
        <f t="shared" si="8"/>
        <v>197.46402422461867</v>
      </c>
      <c r="V46" s="61">
        <f t="shared" si="8"/>
        <v>305.59912830497183</v>
      </c>
      <c r="W46" s="61">
        <f t="shared" si="8"/>
        <v>413.73423238532496</v>
      </c>
      <c r="X46" s="61">
        <f t="shared" si="8"/>
        <v>521.86933646567809</v>
      </c>
      <c r="Y46" s="61">
        <f t="shared" si="8"/>
        <v>630.00444054603122</v>
      </c>
      <c r="Z46" s="61">
        <f t="shared" si="8"/>
        <v>737.888305451522</v>
      </c>
      <c r="AA46" s="61">
        <f t="shared" si="8"/>
        <v>976.20495457013988</v>
      </c>
      <c r="AB46" s="61">
        <f t="shared" si="8"/>
        <v>1214.521603688758</v>
      </c>
      <c r="AC46" s="61">
        <f t="shared" si="8"/>
        <v>1452.8382528073757</v>
      </c>
      <c r="AD46" s="61">
        <f t="shared" si="8"/>
        <v>1691.1549019259937</v>
      </c>
      <c r="AE46" s="61">
        <f t="shared" si="8"/>
        <v>1929.4715510446113</v>
      </c>
    </row>
    <row r="47" spans="1:31" x14ac:dyDescent="0.35">
      <c r="A47" s="87" t="s">
        <v>30</v>
      </c>
      <c r="B47" s="9">
        <f>NPV('Cost Assumptions'!$B$3,'SDG&amp;E'!D47:'SDG&amp;E'!AE47)</f>
        <v>8.4507622162110678</v>
      </c>
      <c r="C47" s="87" t="s">
        <v>34</v>
      </c>
      <c r="D47" s="61">
        <f t="shared" ref="D47" si="9">D6-D22</f>
        <v>1.4005750795433276E-2</v>
      </c>
      <c r="E47" s="61">
        <f t="shared" ref="E47:AE47" si="10">E6-E22</f>
        <v>3.0923092581675603E-2</v>
      </c>
      <c r="F47" s="61">
        <f t="shared" si="10"/>
        <v>5.759084080794194E-2</v>
      </c>
      <c r="G47" s="61">
        <f t="shared" si="10"/>
        <v>8.425858903420827E-2</v>
      </c>
      <c r="H47" s="61">
        <f t="shared" si="10"/>
        <v>0.1109263372604746</v>
      </c>
      <c r="I47" s="61">
        <f t="shared" si="10"/>
        <v>0.13759408548674093</v>
      </c>
      <c r="J47" s="61">
        <f t="shared" si="10"/>
        <v>0.16426183371300726</v>
      </c>
      <c r="K47" s="61">
        <f t="shared" si="10"/>
        <v>0.19092958193927362</v>
      </c>
      <c r="L47" s="61">
        <f t="shared" si="10"/>
        <v>0.29587438223639861</v>
      </c>
      <c r="M47" s="61">
        <f t="shared" si="10"/>
        <v>0.40081918253352361</v>
      </c>
      <c r="N47" s="61">
        <f t="shared" si="10"/>
        <v>0.50576398283064861</v>
      </c>
      <c r="O47" s="61">
        <f t="shared" si="10"/>
        <v>0.61070878312777355</v>
      </c>
      <c r="P47" s="61">
        <f t="shared" si="10"/>
        <v>0.87239668235874701</v>
      </c>
      <c r="Q47" s="61">
        <f t="shared" si="10"/>
        <v>1.1340845815897205</v>
      </c>
      <c r="R47" s="61">
        <f t="shared" si="10"/>
        <v>1.3957724808206939</v>
      </c>
      <c r="S47" s="61">
        <f t="shared" si="10"/>
        <v>1.6574603800516674</v>
      </c>
      <c r="T47" s="61">
        <f t="shared" si="10"/>
        <v>1.9191482792826409</v>
      </c>
      <c r="U47" s="61">
        <f t="shared" si="10"/>
        <v>2.1808361785136139</v>
      </c>
      <c r="V47" s="61">
        <f t="shared" si="10"/>
        <v>2.7006647240796955</v>
      </c>
      <c r="W47" s="61">
        <f t="shared" si="10"/>
        <v>3.2204932696457771</v>
      </c>
      <c r="X47" s="61">
        <f t="shared" si="10"/>
        <v>3.7403218152118587</v>
      </c>
      <c r="Y47" s="61">
        <f t="shared" si="10"/>
        <v>4.2601503607779403</v>
      </c>
      <c r="Z47" s="61">
        <f t="shared" si="10"/>
        <v>4.7485740094862194</v>
      </c>
      <c r="AA47" s="61">
        <f t="shared" si="10"/>
        <v>5.4479988008807307</v>
      </c>
      <c r="AB47" s="61">
        <f t="shared" si="10"/>
        <v>6.147423592275242</v>
      </c>
      <c r="AC47" s="61">
        <f t="shared" si="10"/>
        <v>6.8468483836697533</v>
      </c>
      <c r="AD47" s="61">
        <f t="shared" si="10"/>
        <v>7.5462731750642646</v>
      </c>
      <c r="AE47" s="61">
        <f t="shared" si="10"/>
        <v>8.2456979664587777</v>
      </c>
    </row>
    <row r="48" spans="1:31" x14ac:dyDescent="0.35">
      <c r="A48" s="87" t="s">
        <v>30</v>
      </c>
      <c r="B48" s="9">
        <f>NPV('Cost Assumptions'!$B$3,'SDG&amp;E'!D48:'SDG&amp;E'!AE48)</f>
        <v>700.55166188324927</v>
      </c>
      <c r="C48" s="87" t="s">
        <v>35</v>
      </c>
      <c r="D48" s="61">
        <f t="shared" ref="D48" si="11">D7-D23</f>
        <v>18</v>
      </c>
      <c r="E48" s="61">
        <f t="shared" ref="E48:AE48" si="12">E7-E23</f>
        <v>28</v>
      </c>
      <c r="F48" s="61">
        <f t="shared" si="12"/>
        <v>33.333333333333336</v>
      </c>
      <c r="G48" s="61">
        <f t="shared" si="12"/>
        <v>38.666666666666671</v>
      </c>
      <c r="H48" s="61">
        <f t="shared" si="12"/>
        <v>44.000000000000007</v>
      </c>
      <c r="I48" s="61">
        <f t="shared" si="12"/>
        <v>49.333333333333343</v>
      </c>
      <c r="J48" s="61">
        <f t="shared" si="12"/>
        <v>54.666666666666679</v>
      </c>
      <c r="K48" s="61">
        <f t="shared" si="12"/>
        <v>60</v>
      </c>
      <c r="L48" s="61">
        <f t="shared" si="12"/>
        <v>67</v>
      </c>
      <c r="M48" s="61">
        <f t="shared" si="12"/>
        <v>74</v>
      </c>
      <c r="N48" s="61">
        <f t="shared" si="12"/>
        <v>81</v>
      </c>
      <c r="O48" s="61">
        <f t="shared" si="12"/>
        <v>88</v>
      </c>
      <c r="P48" s="61">
        <f t="shared" si="12"/>
        <v>97.833333333333329</v>
      </c>
      <c r="Q48" s="61">
        <f t="shared" si="12"/>
        <v>107.66666666666666</v>
      </c>
      <c r="R48" s="61">
        <f t="shared" si="12"/>
        <v>117.49999999999999</v>
      </c>
      <c r="S48" s="61">
        <f t="shared" si="12"/>
        <v>127.33333333333331</v>
      </c>
      <c r="T48" s="61">
        <f t="shared" si="12"/>
        <v>137.16666666666666</v>
      </c>
      <c r="U48" s="61">
        <f t="shared" si="12"/>
        <v>147</v>
      </c>
      <c r="V48" s="61">
        <f t="shared" si="12"/>
        <v>158.4</v>
      </c>
      <c r="W48" s="61">
        <f t="shared" si="12"/>
        <v>169.8</v>
      </c>
      <c r="X48" s="61">
        <f t="shared" si="12"/>
        <v>181.20000000000002</v>
      </c>
      <c r="Y48" s="61">
        <f t="shared" si="12"/>
        <v>192.60000000000002</v>
      </c>
      <c r="Z48" s="61">
        <f t="shared" si="12"/>
        <v>200</v>
      </c>
      <c r="AA48" s="61">
        <f t="shared" si="12"/>
        <v>210.6</v>
      </c>
      <c r="AB48" s="61">
        <f t="shared" si="12"/>
        <v>221.20000000000002</v>
      </c>
      <c r="AC48" s="61">
        <f t="shared" si="12"/>
        <v>231.8</v>
      </c>
      <c r="AD48" s="61">
        <f t="shared" si="12"/>
        <v>242.40000000000003</v>
      </c>
      <c r="AE48" s="61">
        <f t="shared" si="12"/>
        <v>253</v>
      </c>
    </row>
    <row r="49" spans="1:31" x14ac:dyDescent="0.35">
      <c r="A49" s="87" t="s">
        <v>30</v>
      </c>
      <c r="B49" s="9">
        <f>NPV('Cost Assumptions'!$B$3,'SDG&amp;E'!D49:'SDG&amp;E'!AE49)</f>
        <v>122295.4801731482</v>
      </c>
      <c r="C49" s="10" t="s">
        <v>140</v>
      </c>
      <c r="D49" s="61">
        <f t="shared" ref="D49:E51" si="13">D13-D24</f>
        <v>2609.4016093983105</v>
      </c>
      <c r="E49" s="61">
        <f t="shared" si="13"/>
        <v>3765.5276298672634</v>
      </c>
      <c r="F49" s="61">
        <f t="shared" ref="F49:AE49" si="14">F13-F24</f>
        <v>5118.7781155475368</v>
      </c>
      <c r="G49" s="61">
        <f t="shared" si="14"/>
        <v>6472.0286012278102</v>
      </c>
      <c r="H49" s="61">
        <f t="shared" si="14"/>
        <v>7825.2790869080836</v>
      </c>
      <c r="I49" s="61">
        <f t="shared" si="14"/>
        <v>9178.529572588357</v>
      </c>
      <c r="J49" s="61">
        <f t="shared" si="14"/>
        <v>10531.78005826863</v>
      </c>
      <c r="K49" s="61">
        <f t="shared" si="14"/>
        <v>11885.030543948906</v>
      </c>
      <c r="L49" s="61">
        <f t="shared" si="14"/>
        <v>13238.281029629179</v>
      </c>
      <c r="M49" s="61">
        <f t="shared" si="14"/>
        <v>14591.531515309449</v>
      </c>
      <c r="N49" s="61">
        <f t="shared" si="14"/>
        <v>15944.782000989726</v>
      </c>
      <c r="O49" s="61">
        <f t="shared" si="14"/>
        <v>17298.032486669999</v>
      </c>
      <c r="P49" s="61">
        <f t="shared" si="14"/>
        <v>18651.282972350273</v>
      </c>
      <c r="Q49" s="61">
        <f t="shared" si="14"/>
        <v>20004.533458030546</v>
      </c>
      <c r="R49" s="61">
        <f t="shared" si="14"/>
        <v>21357.78394371082</v>
      </c>
      <c r="S49" s="61">
        <f t="shared" si="14"/>
        <v>22711.034429391093</v>
      </c>
      <c r="T49" s="61">
        <f t="shared" si="14"/>
        <v>24064.284915071366</v>
      </c>
      <c r="U49" s="61">
        <f t="shared" si="14"/>
        <v>25417.535400751643</v>
      </c>
      <c r="V49" s="61">
        <f t="shared" si="14"/>
        <v>26770.785886431913</v>
      </c>
      <c r="W49" s="61">
        <f t="shared" si="14"/>
        <v>28124.036372112183</v>
      </c>
      <c r="X49" s="61">
        <f t="shared" si="14"/>
        <v>29477.28685779246</v>
      </c>
      <c r="Y49" s="61">
        <f t="shared" si="14"/>
        <v>30830.537343472737</v>
      </c>
      <c r="Z49" s="61">
        <f t="shared" si="14"/>
        <v>32183.787829153007</v>
      </c>
      <c r="AA49" s="61">
        <f t="shared" si="14"/>
        <v>33537.038314833284</v>
      </c>
      <c r="AB49" s="61">
        <f t="shared" si="14"/>
        <v>34890.288800513561</v>
      </c>
      <c r="AC49" s="61">
        <f t="shared" si="14"/>
        <v>36243.539286193838</v>
      </c>
      <c r="AD49" s="61">
        <f t="shared" si="14"/>
        <v>37596.789771874115</v>
      </c>
      <c r="AE49" s="61">
        <f t="shared" si="14"/>
        <v>38950.040257554378</v>
      </c>
    </row>
    <row r="50" spans="1:31" x14ac:dyDescent="0.35">
      <c r="A50" s="87" t="s">
        <v>30</v>
      </c>
      <c r="B50" s="9">
        <f>NPV('Cost Assumptions'!$B$3,'SDG&amp;E'!D50:'SDG&amp;E'!AE50)</f>
        <v>1302863.5903623584</v>
      </c>
      <c r="C50" s="10" t="s">
        <v>141</v>
      </c>
      <c r="D50" s="61">
        <f t="shared" si="13"/>
        <v>136221.18392951219</v>
      </c>
      <c r="E50" s="61">
        <f t="shared" si="13"/>
        <v>137060.53678582463</v>
      </c>
      <c r="F50" s="61">
        <f t="shared" ref="F50:AE50" si="15">F14-F25</f>
        <v>137858.08537319655</v>
      </c>
      <c r="G50" s="61">
        <f t="shared" si="15"/>
        <v>138307.72767244806</v>
      </c>
      <c r="H50" s="61">
        <f t="shared" si="15"/>
        <v>138750.7391977965</v>
      </c>
      <c r="I50" s="61">
        <f t="shared" si="15"/>
        <v>139172.54159549496</v>
      </c>
      <c r="J50" s="61">
        <f t="shared" si="15"/>
        <v>139606.10772355419</v>
      </c>
      <c r="K50" s="61">
        <f t="shared" si="15"/>
        <v>140014.94770688278</v>
      </c>
      <c r="L50" s="61">
        <f t="shared" si="15"/>
        <v>140400.81050238758</v>
      </c>
      <c r="M50" s="61">
        <f t="shared" si="15"/>
        <v>140768.54947431025</v>
      </c>
      <c r="N50" s="61">
        <f t="shared" si="15"/>
        <v>141131.27526487171</v>
      </c>
      <c r="O50" s="61">
        <f t="shared" si="15"/>
        <v>141480.27449478052</v>
      </c>
      <c r="P50" s="61">
        <f t="shared" si="15"/>
        <v>141817.76602397673</v>
      </c>
      <c r="Q50" s="61">
        <f t="shared" si="15"/>
        <v>142142.94135189359</v>
      </c>
      <c r="R50" s="61">
        <f t="shared" si="15"/>
        <v>142455.33289342426</v>
      </c>
      <c r="S50" s="61">
        <f t="shared" si="15"/>
        <v>142765.32437631127</v>
      </c>
      <c r="T50" s="61">
        <f t="shared" si="15"/>
        <v>143077.79579106177</v>
      </c>
      <c r="U50" s="61">
        <f t="shared" si="15"/>
        <v>143387.78727394884</v>
      </c>
      <c r="V50" s="61">
        <f t="shared" si="15"/>
        <v>143675.45937006848</v>
      </c>
      <c r="W50" s="61">
        <f t="shared" si="15"/>
        <v>143963.13146618759</v>
      </c>
      <c r="X50" s="61">
        <f t="shared" si="15"/>
        <v>144250.80356230721</v>
      </c>
      <c r="Y50" s="61">
        <f t="shared" si="15"/>
        <v>144535.99572656333</v>
      </c>
      <c r="Z50" s="61">
        <f t="shared" si="15"/>
        <v>144791.42870846245</v>
      </c>
      <c r="AA50" s="61">
        <f t="shared" si="15"/>
        <v>145044.38175849844</v>
      </c>
      <c r="AB50" s="61">
        <f t="shared" si="15"/>
        <v>145297.33480853424</v>
      </c>
      <c r="AC50" s="61">
        <f t="shared" si="15"/>
        <v>145552.76779043337</v>
      </c>
      <c r="AD50" s="61">
        <f t="shared" si="15"/>
        <v>145768.52186252273</v>
      </c>
      <c r="AE50" s="61">
        <f t="shared" si="15"/>
        <v>145984.27593461261</v>
      </c>
    </row>
    <row r="51" spans="1:31" s="60" customFormat="1" x14ac:dyDescent="0.35">
      <c r="A51" s="87" t="s">
        <v>151</v>
      </c>
      <c r="B51" s="9">
        <f>NPV('Cost Assumptions'!$B$3,'SDG&amp;E'!D51:'SDG&amp;E'!AE51)</f>
        <v>691817.79359944235</v>
      </c>
      <c r="C51" s="10" t="s">
        <v>142</v>
      </c>
      <c r="D51" s="61">
        <f t="shared" si="13"/>
        <v>47957.512784948107</v>
      </c>
      <c r="E51" s="61">
        <f t="shared" si="13"/>
        <v>52277.789055557485</v>
      </c>
      <c r="F51" s="61">
        <f t="shared" ref="F51:AE51" si="16">F15-F26</f>
        <v>56744.1987543004</v>
      </c>
      <c r="G51" s="61">
        <f t="shared" si="16"/>
        <v>59449.449258163324</v>
      </c>
      <c r="H51" s="61">
        <f t="shared" si="16"/>
        <v>62189.637165555891</v>
      </c>
      <c r="I51" s="61">
        <f t="shared" si="16"/>
        <v>64896.286962622849</v>
      </c>
      <c r="J51" s="61">
        <f t="shared" si="16"/>
        <v>67894.45505397713</v>
      </c>
      <c r="K51" s="61">
        <f t="shared" si="16"/>
        <v>70947.96330730131</v>
      </c>
      <c r="L51" s="61">
        <f t="shared" si="16"/>
        <v>74044.119921432371</v>
      </c>
      <c r="M51" s="61">
        <f t="shared" si="16"/>
        <v>77204.082579136812</v>
      </c>
      <c r="N51" s="61">
        <f t="shared" si="16"/>
        <v>80498.881992434792</v>
      </c>
      <c r="O51" s="61">
        <f t="shared" si="16"/>
        <v>83812.706041589088</v>
      </c>
      <c r="P51" s="61">
        <f t="shared" si="16"/>
        <v>87190.68016390613</v>
      </c>
      <c r="Q51" s="61">
        <f t="shared" si="16"/>
        <v>90575.591851126926</v>
      </c>
      <c r="R51" s="61">
        <f t="shared" si="16"/>
        <v>93857.099963111716</v>
      </c>
      <c r="S51" s="61">
        <f t="shared" si="16"/>
        <v>97187.522750503456</v>
      </c>
      <c r="T51" s="61">
        <f t="shared" si="16"/>
        <v>100560.68987294604</v>
      </c>
      <c r="U51" s="61">
        <f t="shared" si="16"/>
        <v>103988.95869147126</v>
      </c>
      <c r="V51" s="61">
        <f t="shared" si="16"/>
        <v>107208.38590914717</v>
      </c>
      <c r="W51" s="61">
        <f t="shared" si="16"/>
        <v>110449.69020492659</v>
      </c>
      <c r="X51" s="61">
        <f t="shared" si="16"/>
        <v>113704.45186230179</v>
      </c>
      <c r="Y51" s="61">
        <f t="shared" si="16"/>
        <v>116982.70615740215</v>
      </c>
      <c r="Z51" s="61">
        <f t="shared" si="16"/>
        <v>119882.94341154528</v>
      </c>
      <c r="AA51" s="61">
        <f t="shared" si="16"/>
        <v>122752.88154711769</v>
      </c>
      <c r="AB51" s="61">
        <f t="shared" si="16"/>
        <v>125633.31803007294</v>
      </c>
      <c r="AC51" s="61">
        <f t="shared" si="16"/>
        <v>128574.72813190083</v>
      </c>
      <c r="AD51" s="61">
        <f t="shared" si="16"/>
        <v>131079.61482899118</v>
      </c>
      <c r="AE51" s="61">
        <f t="shared" si="16"/>
        <v>133592.53169965078</v>
      </c>
    </row>
    <row r="52" spans="1:31" x14ac:dyDescent="0.35">
      <c r="A52" s="87" t="s">
        <v>39</v>
      </c>
      <c r="B52" s="9">
        <f>NPV('Cost Assumptions'!$B$3,'SDG&amp;E'!D52:'SDG&amp;E'!AE52)</f>
        <v>20285.742518879299</v>
      </c>
      <c r="C52" s="87" t="s">
        <v>31</v>
      </c>
      <c r="D52" s="61">
        <f t="shared" ref="D52" si="17">D8-D27</f>
        <v>49.800000000000182</v>
      </c>
      <c r="E52" s="61">
        <f t="shared" ref="E52:AE52" si="18">E8-E27</f>
        <v>129.00000000000023</v>
      </c>
      <c r="F52" s="61">
        <f t="shared" si="18"/>
        <v>258.75000000000023</v>
      </c>
      <c r="G52" s="61">
        <f t="shared" si="18"/>
        <v>388.50000000000023</v>
      </c>
      <c r="H52" s="61">
        <f t="shared" si="18"/>
        <v>518.25000000000023</v>
      </c>
      <c r="I52" s="61">
        <f t="shared" si="18"/>
        <v>648.00000000000023</v>
      </c>
      <c r="J52" s="61">
        <f t="shared" si="18"/>
        <v>777.75000000000023</v>
      </c>
      <c r="K52" s="61">
        <f t="shared" si="18"/>
        <v>907.5</v>
      </c>
      <c r="L52" s="61">
        <f t="shared" si="18"/>
        <v>1246.7</v>
      </c>
      <c r="M52" s="61">
        <f t="shared" si="18"/>
        <v>1585.9</v>
      </c>
      <c r="N52" s="61">
        <f t="shared" si="18"/>
        <v>1925.1000000000001</v>
      </c>
      <c r="O52" s="61">
        <f t="shared" si="18"/>
        <v>2264.3000000000002</v>
      </c>
      <c r="P52" s="61">
        <f t="shared" si="18"/>
        <v>2843.6833333333334</v>
      </c>
      <c r="Q52" s="61">
        <f t="shared" si="18"/>
        <v>3405.8666666666668</v>
      </c>
      <c r="R52" s="61">
        <f t="shared" si="18"/>
        <v>3939.7</v>
      </c>
      <c r="S52" s="61">
        <f t="shared" si="18"/>
        <v>4473.5333333333328</v>
      </c>
      <c r="T52" s="61">
        <f t="shared" si="18"/>
        <v>5007.3666666666659</v>
      </c>
      <c r="U52" s="61">
        <f t="shared" si="18"/>
        <v>5541.1999999999989</v>
      </c>
      <c r="V52" s="61">
        <f t="shared" si="18"/>
        <v>6279.4799999999987</v>
      </c>
      <c r="W52" s="61">
        <f t="shared" si="18"/>
        <v>7017.7599999999984</v>
      </c>
      <c r="X52" s="61">
        <f t="shared" si="18"/>
        <v>7756.0399999999991</v>
      </c>
      <c r="Y52" s="61">
        <f t="shared" si="18"/>
        <v>8494.32</v>
      </c>
      <c r="Z52" s="61">
        <f t="shared" si="18"/>
        <v>9232.5999999999985</v>
      </c>
      <c r="AA52" s="61">
        <f t="shared" si="18"/>
        <v>9990.76</v>
      </c>
      <c r="AB52" s="61">
        <f t="shared" si="18"/>
        <v>10748.92</v>
      </c>
      <c r="AC52" s="61">
        <f t="shared" si="18"/>
        <v>11507.080000000002</v>
      </c>
      <c r="AD52" s="61">
        <f t="shared" si="18"/>
        <v>12265.240000000002</v>
      </c>
      <c r="AE52" s="61">
        <f t="shared" si="18"/>
        <v>13023.400000000003</v>
      </c>
    </row>
    <row r="53" spans="1:31" x14ac:dyDescent="0.35">
      <c r="A53" s="87" t="s">
        <v>39</v>
      </c>
      <c r="B53" s="9">
        <f>NPV('Cost Assumptions'!$B$3,'SDG&amp;E'!D53:'SDG&amp;E'!AE53)</f>
        <v>1180.6908855500169</v>
      </c>
      <c r="C53" s="87" t="s">
        <v>32</v>
      </c>
      <c r="D53" s="61">
        <f t="shared" ref="D53" si="19">D9-D28</f>
        <v>22.400000000000091</v>
      </c>
      <c r="E53" s="61">
        <f t="shared" ref="E53:AE53" si="20">E9-E28</f>
        <v>42.200000000000045</v>
      </c>
      <c r="F53" s="61">
        <f t="shared" si="20"/>
        <v>57.06666666666672</v>
      </c>
      <c r="G53" s="61">
        <f t="shared" si="20"/>
        <v>71.933333333333394</v>
      </c>
      <c r="H53" s="61">
        <f t="shared" si="20"/>
        <v>86.800000000000068</v>
      </c>
      <c r="I53" s="61">
        <f t="shared" si="20"/>
        <v>101.66666666666674</v>
      </c>
      <c r="J53" s="61">
        <f t="shared" si="20"/>
        <v>116.53333333333342</v>
      </c>
      <c r="K53" s="61">
        <f t="shared" si="20"/>
        <v>131.40000000000009</v>
      </c>
      <c r="L53" s="61">
        <f t="shared" si="20"/>
        <v>146.05000000000007</v>
      </c>
      <c r="M53" s="61">
        <f t="shared" si="20"/>
        <v>160.70000000000005</v>
      </c>
      <c r="N53" s="61">
        <f t="shared" si="20"/>
        <v>175.35000000000002</v>
      </c>
      <c r="O53" s="61">
        <f t="shared" si="20"/>
        <v>190</v>
      </c>
      <c r="P53" s="61">
        <f t="shared" si="20"/>
        <v>205</v>
      </c>
      <c r="Q53" s="61">
        <f t="shared" si="20"/>
        <v>202.80000000000018</v>
      </c>
      <c r="R53" s="61">
        <f t="shared" si="20"/>
        <v>208.05000000000013</v>
      </c>
      <c r="S53" s="61">
        <f t="shared" si="20"/>
        <v>213.30000000000007</v>
      </c>
      <c r="T53" s="61">
        <f t="shared" si="20"/>
        <v>218.55</v>
      </c>
      <c r="U53" s="61">
        <f t="shared" si="20"/>
        <v>223.79999999999995</v>
      </c>
      <c r="V53" s="61">
        <f t="shared" si="20"/>
        <v>226.27999999999997</v>
      </c>
      <c r="W53" s="61">
        <f t="shared" si="20"/>
        <v>228.75999999999996</v>
      </c>
      <c r="X53" s="61">
        <f t="shared" si="20"/>
        <v>231.23999999999995</v>
      </c>
      <c r="Y53" s="61">
        <f t="shared" si="20"/>
        <v>233.71999999999997</v>
      </c>
      <c r="Z53" s="61">
        <f t="shared" si="20"/>
        <v>236.20000000000005</v>
      </c>
      <c r="AA53" s="61">
        <f t="shared" si="20"/>
        <v>240.68</v>
      </c>
      <c r="AB53" s="61">
        <f t="shared" si="20"/>
        <v>245.15999999999994</v>
      </c>
      <c r="AC53" s="61">
        <f t="shared" si="20"/>
        <v>249.6399999999999</v>
      </c>
      <c r="AD53" s="61">
        <f t="shared" si="20"/>
        <v>254.11999999999986</v>
      </c>
      <c r="AE53" s="61">
        <f t="shared" si="20"/>
        <v>258.59999999999991</v>
      </c>
    </row>
    <row r="54" spans="1:31" x14ac:dyDescent="0.35">
      <c r="A54" s="87" t="s">
        <v>39</v>
      </c>
      <c r="B54" s="9">
        <f>NPV('Cost Assumptions'!$B$3,'SDG&amp;E'!D54:'SDG&amp;E'!AE54)</f>
        <v>1743.4026825424357</v>
      </c>
      <c r="C54" s="87" t="s">
        <v>33</v>
      </c>
      <c r="D54" s="61">
        <f t="shared" ref="D54" si="21">D10-D29</f>
        <v>0.21200232326290805</v>
      </c>
      <c r="E54" s="61">
        <f t="shared" ref="E54:AE54" si="22">E10-E29</f>
        <v>0.68645330574586072</v>
      </c>
      <c r="F54" s="61">
        <f t="shared" si="22"/>
        <v>3.6304865724427344</v>
      </c>
      <c r="G54" s="61">
        <f t="shared" si="22"/>
        <v>6.574519839139608</v>
      </c>
      <c r="H54" s="61">
        <f t="shared" si="22"/>
        <v>9.5185531058364816</v>
      </c>
      <c r="I54" s="61">
        <f t="shared" si="22"/>
        <v>12.462586372533355</v>
      </c>
      <c r="J54" s="61">
        <f t="shared" si="22"/>
        <v>15.406619639230229</v>
      </c>
      <c r="K54" s="61">
        <f t="shared" si="22"/>
        <v>18.350652905927102</v>
      </c>
      <c r="L54" s="61">
        <f t="shared" si="22"/>
        <v>36.053857953636381</v>
      </c>
      <c r="M54" s="61">
        <f t="shared" si="22"/>
        <v>53.757063001345664</v>
      </c>
      <c r="N54" s="61">
        <f t="shared" si="22"/>
        <v>71.460268049054946</v>
      </c>
      <c r="O54" s="61">
        <f t="shared" si="22"/>
        <v>89.163473096764235</v>
      </c>
      <c r="P54" s="61">
        <f t="shared" si="22"/>
        <v>144.562613999387</v>
      </c>
      <c r="Q54" s="61">
        <f t="shared" si="22"/>
        <v>199.93185537419816</v>
      </c>
      <c r="R54" s="61">
        <f t="shared" si="22"/>
        <v>255.07850171783065</v>
      </c>
      <c r="S54" s="61">
        <f t="shared" si="22"/>
        <v>310.22514806146319</v>
      </c>
      <c r="T54" s="61">
        <f t="shared" si="22"/>
        <v>365.37179440509567</v>
      </c>
      <c r="U54" s="61">
        <f t="shared" si="22"/>
        <v>420.5184407487281</v>
      </c>
      <c r="V54" s="61">
        <f t="shared" si="22"/>
        <v>549.71890115396832</v>
      </c>
      <c r="W54" s="61">
        <f t="shared" si="22"/>
        <v>678.9193615592086</v>
      </c>
      <c r="X54" s="61">
        <f t="shared" si="22"/>
        <v>808.11982196444876</v>
      </c>
      <c r="Y54" s="61">
        <f t="shared" si="22"/>
        <v>937.32028236968904</v>
      </c>
      <c r="Z54" s="61">
        <f t="shared" si="22"/>
        <v>1066.5207427749292</v>
      </c>
      <c r="AA54" s="61">
        <f t="shared" si="22"/>
        <v>1284.863306252849</v>
      </c>
      <c r="AB54" s="61">
        <f t="shared" si="22"/>
        <v>1503.2058697307689</v>
      </c>
      <c r="AC54" s="61">
        <f t="shared" si="22"/>
        <v>1721.5484332086887</v>
      </c>
      <c r="AD54" s="61">
        <f t="shared" si="22"/>
        <v>1939.8909966866086</v>
      </c>
      <c r="AE54" s="61">
        <f t="shared" si="22"/>
        <v>2158.2335601645282</v>
      </c>
    </row>
    <row r="55" spans="1:31" x14ac:dyDescent="0.35">
      <c r="A55" s="87" t="s">
        <v>39</v>
      </c>
      <c r="B55" s="9">
        <f>NPV('Cost Assumptions'!$B$3,'SDG&amp;E'!D55:'SDG&amp;E'!AE55)</f>
        <v>21.764689876055431</v>
      </c>
      <c r="C55" s="87" t="s">
        <v>34</v>
      </c>
      <c r="D55" s="61">
        <f t="shared" ref="D55" si="23">D11-D30</f>
        <v>5.3000580815727012E-2</v>
      </c>
      <c r="E55" s="61">
        <f t="shared" ref="E55:AE55" si="24">E11-E30</f>
        <v>0.13729066114917213</v>
      </c>
      <c r="F55" s="61">
        <f t="shared" si="24"/>
        <v>0.27537952381665309</v>
      </c>
      <c r="G55" s="61">
        <f t="shared" si="24"/>
        <v>0.41346838648413409</v>
      </c>
      <c r="H55" s="61">
        <f t="shared" si="24"/>
        <v>0.55155724915161508</v>
      </c>
      <c r="I55" s="61">
        <f t="shared" si="24"/>
        <v>0.68964611181909607</v>
      </c>
      <c r="J55" s="61">
        <f t="shared" si="24"/>
        <v>0.82773497448657707</v>
      </c>
      <c r="K55" s="61">
        <f t="shared" si="24"/>
        <v>0.96582383715405795</v>
      </c>
      <c r="L55" s="61">
        <f t="shared" si="24"/>
        <v>1.3268237771680045</v>
      </c>
      <c r="M55" s="61">
        <f t="shared" si="24"/>
        <v>1.687823717181951</v>
      </c>
      <c r="N55" s="61">
        <f t="shared" si="24"/>
        <v>2.0488236571958973</v>
      </c>
      <c r="O55" s="61">
        <f t="shared" si="24"/>
        <v>2.4098235972098441</v>
      </c>
      <c r="P55" s="61">
        <f t="shared" si="24"/>
        <v>3.0264431390094124</v>
      </c>
      <c r="Q55" s="61">
        <f t="shared" si="24"/>
        <v>3.62811291690319</v>
      </c>
      <c r="R55" s="61">
        <f t="shared" si="24"/>
        <v>4.2051416595220141</v>
      </c>
      <c r="S55" s="61">
        <f t="shared" si="24"/>
        <v>4.7821704021408387</v>
      </c>
      <c r="T55" s="61">
        <f t="shared" si="24"/>
        <v>5.3591991447596623</v>
      </c>
      <c r="U55" s="61">
        <f t="shared" si="24"/>
        <v>5.9362278873784859</v>
      </c>
      <c r="V55" s="61">
        <f t="shared" si="24"/>
        <v>6.7397333579513949</v>
      </c>
      <c r="W55" s="61">
        <f t="shared" si="24"/>
        <v>7.5432388285243039</v>
      </c>
      <c r="X55" s="61">
        <f t="shared" si="24"/>
        <v>8.346744299097212</v>
      </c>
      <c r="Y55" s="61">
        <f t="shared" si="24"/>
        <v>9.1502497696701202</v>
      </c>
      <c r="Z55" s="61">
        <f t="shared" si="24"/>
        <v>9.95375524024303</v>
      </c>
      <c r="AA55" s="61">
        <f t="shared" si="24"/>
        <v>10.793573458491901</v>
      </c>
      <c r="AB55" s="61">
        <f t="shared" si="24"/>
        <v>11.633391676740771</v>
      </c>
      <c r="AC55" s="61">
        <f t="shared" si="24"/>
        <v>12.473209894989642</v>
      </c>
      <c r="AD55" s="61">
        <f t="shared" si="24"/>
        <v>13.313028113238513</v>
      </c>
      <c r="AE55" s="61">
        <f t="shared" si="24"/>
        <v>14.152846331487385</v>
      </c>
    </row>
    <row r="56" spans="1:31" x14ac:dyDescent="0.35">
      <c r="A56" s="87" t="s">
        <v>39</v>
      </c>
      <c r="B56" s="9">
        <f>NPV('Cost Assumptions'!$B$3,'SDG&amp;E'!D56:'SDG&amp;E'!AE56)</f>
        <v>265.51359655518644</v>
      </c>
      <c r="C56" s="87" t="s">
        <v>35</v>
      </c>
      <c r="D56" s="61">
        <f t="shared" ref="D56" si="25">D12-D31</f>
        <v>4</v>
      </c>
      <c r="E56" s="61">
        <f t="shared" ref="E56:AE56" si="26">E12-E31</f>
        <v>5</v>
      </c>
      <c r="F56" s="61">
        <f t="shared" si="26"/>
        <v>7.3333333333333339</v>
      </c>
      <c r="G56" s="61">
        <f t="shared" si="26"/>
        <v>9.6666666666666679</v>
      </c>
      <c r="H56" s="61">
        <f t="shared" si="26"/>
        <v>12.000000000000002</v>
      </c>
      <c r="I56" s="61">
        <f t="shared" si="26"/>
        <v>14.333333333333336</v>
      </c>
      <c r="J56" s="61">
        <f t="shared" si="26"/>
        <v>16.666666666666668</v>
      </c>
      <c r="K56" s="61">
        <f t="shared" si="26"/>
        <v>19</v>
      </c>
      <c r="L56" s="61">
        <f t="shared" si="26"/>
        <v>23.5</v>
      </c>
      <c r="M56" s="61">
        <f t="shared" si="26"/>
        <v>28</v>
      </c>
      <c r="N56" s="61">
        <f t="shared" si="26"/>
        <v>32.5</v>
      </c>
      <c r="O56" s="61">
        <f t="shared" si="26"/>
        <v>37</v>
      </c>
      <c r="P56" s="61">
        <f t="shared" si="26"/>
        <v>42.333333333333336</v>
      </c>
      <c r="Q56" s="61">
        <f t="shared" si="26"/>
        <v>46.666666666666671</v>
      </c>
      <c r="R56" s="61">
        <f t="shared" si="26"/>
        <v>50.750000000000007</v>
      </c>
      <c r="S56" s="61">
        <f t="shared" si="26"/>
        <v>54.833333333333343</v>
      </c>
      <c r="T56" s="61">
        <f t="shared" si="26"/>
        <v>58.916666666666679</v>
      </c>
      <c r="U56" s="61">
        <f t="shared" si="26"/>
        <v>63</v>
      </c>
      <c r="V56" s="61">
        <f t="shared" si="26"/>
        <v>68.399999999999991</v>
      </c>
      <c r="W56" s="61">
        <f t="shared" si="26"/>
        <v>73.799999999999983</v>
      </c>
      <c r="X56" s="61">
        <f t="shared" si="26"/>
        <v>79.199999999999989</v>
      </c>
      <c r="Y56" s="61">
        <f t="shared" si="26"/>
        <v>84.59999999999998</v>
      </c>
      <c r="Z56" s="61">
        <f t="shared" si="26"/>
        <v>90</v>
      </c>
      <c r="AA56" s="61">
        <f t="shared" si="26"/>
        <v>94.8</v>
      </c>
      <c r="AB56" s="61">
        <f t="shared" si="26"/>
        <v>99.6</v>
      </c>
      <c r="AC56" s="61">
        <f t="shared" si="26"/>
        <v>104.4</v>
      </c>
      <c r="AD56" s="61">
        <f t="shared" si="26"/>
        <v>109.2</v>
      </c>
      <c r="AE56" s="61">
        <f t="shared" si="26"/>
        <v>114</v>
      </c>
    </row>
    <row r="58" spans="1:31" ht="15" customHeight="1" thickBot="1" x14ac:dyDescent="0.4">
      <c r="A58" s="164" t="s">
        <v>143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</row>
    <row r="59" spans="1:31" ht="15.65" customHeight="1" thickTop="1" thickBot="1" x14ac:dyDescent="0.4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" thickTop="1" x14ac:dyDescent="0.35">
      <c r="A60" s="87" t="str">
        <f>'Baseline System Analysis'!A17</f>
        <v>Residential</v>
      </c>
      <c r="B60" s="87" t="str">
        <f>'Baseline System Analysis'!B17</f>
        <v>Cost of Reliability (N-1)</v>
      </c>
      <c r="C60" s="87" t="str">
        <f>'Baseline System Analysis'!C17</f>
        <v>$/kWh</v>
      </c>
      <c r="D60" s="5">
        <f>'Baseline System Analysis'!D17</f>
        <v>4.3837328124999999</v>
      </c>
      <c r="E60" s="5">
        <f>'Baseline System Analysis'!E17</f>
        <v>4.4933261328124994</v>
      </c>
      <c r="F60" s="5">
        <f>'Baseline System Analysis'!F17</f>
        <v>4.6056592861328118</v>
      </c>
      <c r="G60" s="5">
        <f>'Baseline System Analysis'!G17</f>
        <v>4.7208007682861322</v>
      </c>
      <c r="H60" s="5">
        <f>'Baseline System Analysis'!H17</f>
        <v>4.8388207874932849</v>
      </c>
      <c r="I60" s="5">
        <f>'Baseline System Analysis'!I17</f>
        <v>4.959791307180617</v>
      </c>
      <c r="J60" s="5">
        <f>'Baseline System Analysis'!J17</f>
        <v>5.0837860898601317</v>
      </c>
      <c r="K60" s="5">
        <f>'Baseline System Analysis'!K17</f>
        <v>5.2108807421066343</v>
      </c>
      <c r="L60" s="5">
        <f>'Baseline System Analysis'!L17</f>
        <v>5.3411527606593001</v>
      </c>
      <c r="M60" s="5">
        <f>'Baseline System Analysis'!M17</f>
        <v>5.4746815796757824</v>
      </c>
      <c r="N60" s="5">
        <f>'Baseline System Analysis'!N17</f>
        <v>5.6115486191676762</v>
      </c>
      <c r="O60" s="5">
        <f>'Baseline System Analysis'!O17</f>
        <v>5.7518373346468676</v>
      </c>
      <c r="P60" s="5">
        <f>'Baseline System Analysis'!P17</f>
        <v>5.8956332680130386</v>
      </c>
      <c r="Q60" s="5">
        <f>'Baseline System Analysis'!Q17</f>
        <v>6.0430240997133637</v>
      </c>
      <c r="R60" s="5">
        <f>'Baseline System Analysis'!R17</f>
        <v>6.1940997022061977</v>
      </c>
      <c r="S60" s="5">
        <f>'Baseline System Analysis'!S17</f>
        <v>6.3489521947613516</v>
      </c>
      <c r="T60" s="5">
        <f>'Baseline System Analysis'!T17</f>
        <v>6.5076759996303846</v>
      </c>
      <c r="U60" s="5">
        <f>'Baseline System Analysis'!U17</f>
        <v>6.6703678996211435</v>
      </c>
      <c r="V60" s="5">
        <f>'Baseline System Analysis'!V17</f>
        <v>6.8371270971116713</v>
      </c>
      <c r="W60" s="5">
        <f>'Baseline System Analysis'!W17</f>
        <v>7.0080552745394629</v>
      </c>
      <c r="X60" s="5">
        <f>'Baseline System Analysis'!X17</f>
        <v>7.183256656402949</v>
      </c>
      <c r="Y60" s="5">
        <f>'Baseline System Analysis'!Y17</f>
        <v>7.3628380728130223</v>
      </c>
      <c r="Z60" s="5">
        <f>'Baseline System Analysis'!Z17</f>
        <v>7.5469090246333472</v>
      </c>
      <c r="AA60" s="5">
        <f>'Baseline System Analysis'!AA17</f>
        <v>7.7355817502491799</v>
      </c>
      <c r="AB60" s="5">
        <f>'Baseline System Analysis'!AB17</f>
        <v>7.9289712940054091</v>
      </c>
      <c r="AC60" s="5">
        <f>'Baseline System Analysis'!AC17</f>
        <v>8.1271955763555432</v>
      </c>
      <c r="AD60" s="5">
        <f>'Baseline System Analysis'!AD17</f>
        <v>8.3303754657644316</v>
      </c>
      <c r="AE60" s="5">
        <f>'Baseline System Analysis'!AE17</f>
        <v>8.538634852408542</v>
      </c>
    </row>
    <row r="61" spans="1:31" x14ac:dyDescent="0.35">
      <c r="A61" s="87" t="str">
        <f>'Baseline System Analysis'!A18</f>
        <v>Residential</v>
      </c>
      <c r="B61" s="87" t="str">
        <f>'Baseline System Analysis'!B18</f>
        <v>Cost of Reliability (N-0)</v>
      </c>
      <c r="C61" s="87" t="str">
        <f>'Baseline System Analysis'!C18</f>
        <v>$/kWh</v>
      </c>
      <c r="D61" s="5">
        <f>'Baseline System Analysis'!D18</f>
        <v>3.6995132812499993</v>
      </c>
      <c r="E61" s="5">
        <f>'Baseline System Analysis'!E18</f>
        <v>3.7920011132812488</v>
      </c>
      <c r="F61" s="5">
        <f>'Baseline System Analysis'!F18</f>
        <v>3.8868011411132795</v>
      </c>
      <c r="G61" s="5">
        <f>'Baseline System Analysis'!G18</f>
        <v>3.9839711696411113</v>
      </c>
      <c r="H61" s="5">
        <f>'Baseline System Analysis'!H18</f>
        <v>4.0835704488821385</v>
      </c>
      <c r="I61" s="5">
        <f>'Baseline System Analysis'!I18</f>
        <v>4.1856597101041917</v>
      </c>
      <c r="J61" s="5">
        <f>'Baseline System Analysis'!J18</f>
        <v>4.2903012028567957</v>
      </c>
      <c r="K61" s="5">
        <f>'Baseline System Analysis'!K18</f>
        <v>4.3975587329282151</v>
      </c>
      <c r="L61" s="5">
        <f>'Baseline System Analysis'!L18</f>
        <v>4.5074977012514204</v>
      </c>
      <c r="M61" s="5">
        <f>'Baseline System Analysis'!M18</f>
        <v>4.6201851437827051</v>
      </c>
      <c r="N61" s="5">
        <f>'Baseline System Analysis'!N18</f>
        <v>4.7356897723772722</v>
      </c>
      <c r="O61" s="5">
        <f>'Baseline System Analysis'!O18</f>
        <v>4.8540820166867036</v>
      </c>
      <c r="P61" s="5">
        <f>'Baseline System Analysis'!P18</f>
        <v>4.9754340671038708</v>
      </c>
      <c r="Q61" s="5">
        <f>'Baseline System Analysis'!Q18</f>
        <v>5.099819918781467</v>
      </c>
      <c r="R61" s="5">
        <f>'Baseline System Analysis'!R18</f>
        <v>5.2273154167510034</v>
      </c>
      <c r="S61" s="5">
        <f>'Baseline System Analysis'!S18</f>
        <v>5.3579983021697783</v>
      </c>
      <c r="T61" s="5">
        <f>'Baseline System Analysis'!T18</f>
        <v>5.4919482597240226</v>
      </c>
      <c r="U61" s="5">
        <f>'Baseline System Analysis'!U18</f>
        <v>5.6292469662171225</v>
      </c>
      <c r="V61" s="5">
        <f>'Baseline System Analysis'!V18</f>
        <v>5.7699781403725501</v>
      </c>
      <c r="W61" s="5">
        <f>'Baseline System Analysis'!W18</f>
        <v>5.9142275938818631</v>
      </c>
      <c r="X61" s="5">
        <f>'Baseline System Analysis'!X18</f>
        <v>6.0620832837289091</v>
      </c>
      <c r="Y61" s="5">
        <f>'Baseline System Analysis'!Y18</f>
        <v>6.2136353658221317</v>
      </c>
      <c r="Z61" s="5">
        <f>'Baseline System Analysis'!Z18</f>
        <v>6.3689762499676847</v>
      </c>
      <c r="AA61" s="5">
        <f>'Baseline System Analysis'!AA18</f>
        <v>6.5282006562168764</v>
      </c>
      <c r="AB61" s="5">
        <f>'Baseline System Analysis'!AB18</f>
        <v>6.6914056726222979</v>
      </c>
      <c r="AC61" s="5">
        <f>'Baseline System Analysis'!AC18</f>
        <v>6.8586908144378551</v>
      </c>
      <c r="AD61" s="5">
        <f>'Baseline System Analysis'!AD18</f>
        <v>7.030158084798801</v>
      </c>
      <c r="AE61" s="5">
        <f>'Baseline System Analysis'!AE18</f>
        <v>7.2059120369187708</v>
      </c>
    </row>
    <row r="62" spans="1:31" x14ac:dyDescent="0.35">
      <c r="A62" s="87" t="str">
        <f>'Baseline System Analysis'!A19</f>
        <v>Commerical</v>
      </c>
      <c r="B62" s="87" t="str">
        <f>'Baseline System Analysis'!B19</f>
        <v>Cost of Reliability (N-1)</v>
      </c>
      <c r="C62" s="87" t="str">
        <f>'Baseline System Analysis'!C19</f>
        <v>$/kWh</v>
      </c>
      <c r="D62" s="5">
        <f>'Baseline System Analysis'!D19</f>
        <v>162.53431406249996</v>
      </c>
      <c r="E62" s="5">
        <f>'Baseline System Analysis'!E19</f>
        <v>166.59767191406243</v>
      </c>
      <c r="F62" s="5">
        <f>'Baseline System Analysis'!F19</f>
        <v>170.76261371191399</v>
      </c>
      <c r="G62" s="5">
        <f>'Baseline System Analysis'!G19</f>
        <v>175.03167905471182</v>
      </c>
      <c r="H62" s="5">
        <f>'Baseline System Analysis'!H19</f>
        <v>179.40747103107961</v>
      </c>
      <c r="I62" s="5">
        <f>'Baseline System Analysis'!I19</f>
        <v>183.89265780685659</v>
      </c>
      <c r="J62" s="5">
        <f>'Baseline System Analysis'!J19</f>
        <v>188.48997425202799</v>
      </c>
      <c r="K62" s="5">
        <f>'Baseline System Analysis'!K19</f>
        <v>193.20222360832867</v>
      </c>
      <c r="L62" s="5">
        <f>'Baseline System Analysis'!L19</f>
        <v>198.03227919853686</v>
      </c>
      <c r="M62" s="5">
        <f>'Baseline System Analysis'!M19</f>
        <v>202.98308617850026</v>
      </c>
      <c r="N62" s="5">
        <f>'Baseline System Analysis'!N19</f>
        <v>208.05766333296273</v>
      </c>
      <c r="O62" s="5">
        <f>'Baseline System Analysis'!O19</f>
        <v>213.25910491628679</v>
      </c>
      <c r="P62" s="5">
        <f>'Baseline System Analysis'!P19</f>
        <v>218.59058253919395</v>
      </c>
      <c r="Q62" s="5">
        <f>'Baseline System Analysis'!Q19</f>
        <v>224.05534710267378</v>
      </c>
      <c r="R62" s="5">
        <f>'Baseline System Analysis'!R19</f>
        <v>229.65673078024059</v>
      </c>
      <c r="S62" s="5">
        <f>'Baseline System Analysis'!S19</f>
        <v>235.39814904974659</v>
      </c>
      <c r="T62" s="5">
        <f>'Baseline System Analysis'!T19</f>
        <v>241.28310277599024</v>
      </c>
      <c r="U62" s="5">
        <f>'Baseline System Analysis'!U19</f>
        <v>247.31518034538999</v>
      </c>
      <c r="V62" s="5">
        <f>'Baseline System Analysis'!V19</f>
        <v>253.49805985402472</v>
      </c>
      <c r="W62" s="5">
        <f>'Baseline System Analysis'!W19</f>
        <v>259.83551135037533</v>
      </c>
      <c r="X62" s="5">
        <f>'Baseline System Analysis'!X19</f>
        <v>266.3313991341347</v>
      </c>
      <c r="Y62" s="5">
        <f>'Baseline System Analysis'!Y19</f>
        <v>272.98968411248802</v>
      </c>
      <c r="Z62" s="5">
        <f>'Baseline System Analysis'!Z19</f>
        <v>279.81442621530022</v>
      </c>
      <c r="AA62" s="5">
        <f>'Baseline System Analysis'!AA19</f>
        <v>286.80978687068267</v>
      </c>
      <c r="AB62" s="5">
        <f>'Baseline System Analysis'!AB19</f>
        <v>293.98003154244969</v>
      </c>
      <c r="AC62" s="5">
        <f>'Baseline System Analysis'!AC19</f>
        <v>301.32953233101091</v>
      </c>
      <c r="AD62" s="5">
        <f>'Baseline System Analysis'!AD19</f>
        <v>308.86277063928617</v>
      </c>
      <c r="AE62" s="5">
        <f>'Baseline System Analysis'!AE19</f>
        <v>316.58433990526828</v>
      </c>
    </row>
    <row r="63" spans="1:31" x14ac:dyDescent="0.35">
      <c r="A63" s="87" t="str">
        <f>'Baseline System Analysis'!A20</f>
        <v>Commerical</v>
      </c>
      <c r="B63" s="87" t="str">
        <f>'Baseline System Analysis'!B20</f>
        <v>Cost of Reliability (N-0)</v>
      </c>
      <c r="C63" s="87" t="str">
        <f>'Baseline System Analysis'!C20</f>
        <v>$/kWh</v>
      </c>
      <c r="D63" s="5">
        <f>'Baseline System Analysis'!D20</f>
        <v>150.08506445312503</v>
      </c>
      <c r="E63" s="5">
        <f>'Baseline System Analysis'!E20</f>
        <v>153.83719106445315</v>
      </c>
      <c r="F63" s="5">
        <f>'Baseline System Analysis'!F20</f>
        <v>157.68312084106446</v>
      </c>
      <c r="G63" s="5">
        <f>'Baseline System Analysis'!G20</f>
        <v>161.62519886209105</v>
      </c>
      <c r="H63" s="5">
        <f>'Baseline System Analysis'!H20</f>
        <v>165.6658288336433</v>
      </c>
      <c r="I63" s="5">
        <f>'Baseline System Analysis'!I20</f>
        <v>169.80747455448437</v>
      </c>
      <c r="J63" s="5">
        <f>'Baseline System Analysis'!J20</f>
        <v>174.05266141834647</v>
      </c>
      <c r="K63" s="5">
        <f>'Baseline System Analysis'!K20</f>
        <v>178.40397795380511</v>
      </c>
      <c r="L63" s="5">
        <f>'Baseline System Analysis'!L20</f>
        <v>182.86407740265022</v>
      </c>
      <c r="M63" s="5">
        <f>'Baseline System Analysis'!M20</f>
        <v>187.43567933771646</v>
      </c>
      <c r="N63" s="5">
        <f>'Baseline System Analysis'!N20</f>
        <v>192.12157132115937</v>
      </c>
      <c r="O63" s="5">
        <f>'Baseline System Analysis'!O20</f>
        <v>196.92461060418833</v>
      </c>
      <c r="P63" s="5">
        <f>'Baseline System Analysis'!P20</f>
        <v>201.84772586929301</v>
      </c>
      <c r="Q63" s="5">
        <f>'Baseline System Analysis'!Q20</f>
        <v>206.89391901602534</v>
      </c>
      <c r="R63" s="5">
        <f>'Baseline System Analysis'!R20</f>
        <v>212.06626699142595</v>
      </c>
      <c r="S63" s="5">
        <f>'Baseline System Analysis'!S20</f>
        <v>217.36792366621157</v>
      </c>
      <c r="T63" s="5">
        <f>'Baseline System Analysis'!T20</f>
        <v>222.80212175786684</v>
      </c>
      <c r="U63" s="5">
        <f>'Baseline System Analysis'!U20</f>
        <v>228.37217480181349</v>
      </c>
      <c r="V63" s="5">
        <f>'Baseline System Analysis'!V20</f>
        <v>234.0814791718588</v>
      </c>
      <c r="W63" s="5">
        <f>'Baseline System Analysis'!W20</f>
        <v>239.93351615115526</v>
      </c>
      <c r="X63" s="5">
        <f>'Baseline System Analysis'!X20</f>
        <v>245.93185405493412</v>
      </c>
      <c r="Y63" s="5">
        <f>'Baseline System Analysis'!Y20</f>
        <v>252.08015040630744</v>
      </c>
      <c r="Z63" s="5">
        <f>'Baseline System Analysis'!Z20</f>
        <v>258.38215416646511</v>
      </c>
      <c r="AA63" s="5">
        <f>'Baseline System Analysis'!AA20</f>
        <v>264.8417080206267</v>
      </c>
      <c r="AB63" s="5">
        <f>'Baseline System Analysis'!AB20</f>
        <v>271.46275072114236</v>
      </c>
      <c r="AC63" s="5">
        <f>'Baseline System Analysis'!AC20</f>
        <v>278.24931948917089</v>
      </c>
      <c r="AD63" s="5">
        <f>'Baseline System Analysis'!AD20</f>
        <v>285.20555247640016</v>
      </c>
      <c r="AE63" s="5">
        <f>'Baseline System Analysis'!AE20</f>
        <v>292.33569128831016</v>
      </c>
    </row>
    <row r="65" spans="1:31" x14ac:dyDescent="0.35">
      <c r="A65" s="87" t="s">
        <v>117</v>
      </c>
      <c r="B65" s="87" t="s">
        <v>31</v>
      </c>
      <c r="C65" s="17">
        <f>NPV('Cost Assumptions'!$B$3,D65:AE65)</f>
        <v>4588261.7196921017</v>
      </c>
      <c r="D65" s="61">
        <f>'Baseline System Analysis'!D24-D34</f>
        <v>2664.1723479509105</v>
      </c>
      <c r="E65" s="61">
        <f>'Baseline System Analysis'!E24-E34</f>
        <v>6696.6564957916835</v>
      </c>
      <c r="F65" s="61">
        <f>'Baseline System Analysis'!F24-F34</f>
        <v>15296.141952645759</v>
      </c>
      <c r="G65" s="61">
        <f>'Baseline System Analysis'!G24-G34</f>
        <v>23895.627409499837</v>
      </c>
      <c r="H65" s="61">
        <f>'Baseline System Analysis'!H24-H34</f>
        <v>32495.112866353913</v>
      </c>
      <c r="I65" s="61">
        <f>'Baseline System Analysis'!I24-I34</f>
        <v>41094.598323207989</v>
      </c>
      <c r="J65" s="61">
        <f>'Baseline System Analysis'!J24-J34</f>
        <v>49694.083780062065</v>
      </c>
      <c r="K65" s="61">
        <f>'Baseline System Analysis'!K24-K34</f>
        <v>58293.569236916141</v>
      </c>
      <c r="L65" s="61">
        <f>'Baseline System Analysis'!L24-L34</f>
        <v>105854.92342039704</v>
      </c>
      <c r="M65" s="61">
        <f>'Baseline System Analysis'!M24-M34</f>
        <v>153416.27760387794</v>
      </c>
      <c r="N65" s="61">
        <f>'Baseline System Analysis'!N24-N34</f>
        <v>200977.63178735884</v>
      </c>
      <c r="O65" s="61">
        <f>'Baseline System Analysis'!O24-O34</f>
        <v>248538.98597083971</v>
      </c>
      <c r="P65" s="61">
        <f>'Baseline System Analysis'!P24-P34</f>
        <v>392537.65548732539</v>
      </c>
      <c r="Q65" s="61">
        <f>'Baseline System Analysis'!Q24-Q34</f>
        <v>536536.32500381116</v>
      </c>
      <c r="R65" s="61">
        <f>'Baseline System Analysis'!R24-R34</f>
        <v>680534.99452029681</v>
      </c>
      <c r="S65" s="61">
        <f>'Baseline System Analysis'!S24-S34</f>
        <v>824533.66403678246</v>
      </c>
      <c r="T65" s="61">
        <f>'Baseline System Analysis'!T24-T34</f>
        <v>968532.33355326811</v>
      </c>
      <c r="U65" s="61">
        <f>'Baseline System Analysis'!U24-U34</f>
        <v>1112531.003069754</v>
      </c>
      <c r="V65" s="61">
        <f>'Baseline System Analysis'!V24-V34</f>
        <v>1456952.4967023456</v>
      </c>
      <c r="W65" s="61">
        <f>'Baseline System Analysis'!W24-W34</f>
        <v>1801373.9903349369</v>
      </c>
      <c r="X65" s="61">
        <f>'Baseline System Analysis'!X24-X34</f>
        <v>2145795.4839675282</v>
      </c>
      <c r="Y65" s="61">
        <f>'Baseline System Analysis'!Y24-Y34</f>
        <v>2490216.9776001195</v>
      </c>
      <c r="Z65" s="61">
        <f>'Baseline System Analysis'!Z24-Z34</f>
        <v>2795929.3064728738</v>
      </c>
      <c r="AA65" s="61">
        <f>'Baseline System Analysis'!AA24-AA34</f>
        <v>3313660.615242403</v>
      </c>
      <c r="AB65" s="61">
        <f>'Baseline System Analysis'!AB24-AB34</f>
        <v>3831391.9240119322</v>
      </c>
      <c r="AC65" s="61">
        <f>'Baseline System Analysis'!AC24-AC34</f>
        <v>4349123.2327814614</v>
      </c>
      <c r="AD65" s="61">
        <f>'Baseline System Analysis'!AD24-AD34</f>
        <v>4866854.5415509911</v>
      </c>
      <c r="AE65" s="61">
        <f>'Baseline System Analysis'!AE24-AE34</f>
        <v>5384585.8503205208</v>
      </c>
    </row>
    <row r="66" spans="1:31" x14ac:dyDescent="0.35">
      <c r="A66" s="87" t="s">
        <v>119</v>
      </c>
      <c r="B66" s="87" t="s">
        <v>31</v>
      </c>
      <c r="C66" s="17">
        <f>NPV('Cost Assumptions'!$B$3,D66:AE66)</f>
        <v>19038926.985348906</v>
      </c>
      <c r="D66" s="61">
        <f>'Baseline System Analysis'!D25-D35</f>
        <v>11054.945403686945</v>
      </c>
      <c r="E66" s="61">
        <f>'Baseline System Analysis'!E25-E35</f>
        <v>27787.681230593829</v>
      </c>
      <c r="F66" s="61">
        <f>'Baseline System Analysis'!F25-F35</f>
        <v>63471.124270020417</v>
      </c>
      <c r="G66" s="61">
        <f>'Baseline System Analysis'!G25-G35</f>
        <v>99154.567309447011</v>
      </c>
      <c r="H66" s="61">
        <f>'Baseline System Analysis'!H25-H35</f>
        <v>134838.01034887359</v>
      </c>
      <c r="I66" s="61">
        <f>'Baseline System Analysis'!I25-I35</f>
        <v>170521.45338830017</v>
      </c>
      <c r="J66" s="61">
        <f>'Baseline System Analysis'!J25-J35</f>
        <v>206204.89642772675</v>
      </c>
      <c r="K66" s="61">
        <f>'Baseline System Analysis'!K25-K35</f>
        <v>241888.33946715333</v>
      </c>
      <c r="L66" s="61">
        <f>'Baseline System Analysis'!L25-L35</f>
        <v>439243.50465689693</v>
      </c>
      <c r="M66" s="61">
        <f>'Baseline System Analysis'!M25-M35</f>
        <v>636598.66984664055</v>
      </c>
      <c r="N66" s="61">
        <f>'Baseline System Analysis'!N25-N35</f>
        <v>833953.83503638417</v>
      </c>
      <c r="O66" s="61">
        <f>'Baseline System Analysis'!O25-O35</f>
        <v>1031309.0002261278</v>
      </c>
      <c r="P66" s="61">
        <f>'Baseline System Analysis'!P25-P35</f>
        <v>1628829.4387715852</v>
      </c>
      <c r="Q66" s="61">
        <f>'Baseline System Analysis'!Q25-Q35</f>
        <v>2226349.8773170426</v>
      </c>
      <c r="R66" s="61">
        <f>'Baseline System Analysis'!R25-R35</f>
        <v>2823870.3158625001</v>
      </c>
      <c r="S66" s="61">
        <f>'Baseline System Analysis'!S25-S35</f>
        <v>3421390.7544079577</v>
      </c>
      <c r="T66" s="61">
        <f>'Baseline System Analysis'!T25-T35</f>
        <v>4018911.1929534152</v>
      </c>
      <c r="U66" s="61">
        <f>'Baseline System Analysis'!U25-U35</f>
        <v>4616431.6314988723</v>
      </c>
      <c r="V66" s="61">
        <f>'Baseline System Analysis'!V25-V35</f>
        <v>6045603.7385110594</v>
      </c>
      <c r="W66" s="61">
        <f>'Baseline System Analysis'!W25-W35</f>
        <v>7474775.8455232456</v>
      </c>
      <c r="X66" s="61">
        <f>'Baseline System Analysis'!X25-X35</f>
        <v>8903947.9525354318</v>
      </c>
      <c r="Y66" s="61">
        <f>'Baseline System Analysis'!Y25-Y35</f>
        <v>10333120.059547618</v>
      </c>
      <c r="Z66" s="61">
        <f>'Baseline System Analysis'!Z25-Z35</f>
        <v>11601669.035938598</v>
      </c>
      <c r="AA66" s="61">
        <f>'Baseline System Analysis'!AA25-AA35</f>
        <v>13749987.764878429</v>
      </c>
      <c r="AB66" s="61">
        <f>'Baseline System Analysis'!AB25-AB35</f>
        <v>15898306.493818259</v>
      </c>
      <c r="AC66" s="61">
        <f>'Baseline System Analysis'!AC25-AC35</f>
        <v>18046625.222758092</v>
      </c>
      <c r="AD66" s="61">
        <f>'Baseline System Analysis'!AD25-AD35</f>
        <v>20194943.95169792</v>
      </c>
      <c r="AE66" s="61">
        <f>'Baseline System Analysis'!AE25-AE35</f>
        <v>22343262.680637751</v>
      </c>
    </row>
    <row r="67" spans="1:31" x14ac:dyDescent="0.35">
      <c r="A67" s="87" t="s">
        <v>24</v>
      </c>
      <c r="B67" s="87" t="s">
        <v>31</v>
      </c>
      <c r="C67" s="17">
        <f>NPV('Cost Assumptions'!$B$3,D67:AE67)</f>
        <v>23627188.705041006</v>
      </c>
      <c r="D67" s="61">
        <f>SUM(D65:D66)</f>
        <v>13719.117751637856</v>
      </c>
      <c r="E67" s="61">
        <f>SUM(E65:E66)</f>
        <v>34484.337726385515</v>
      </c>
      <c r="F67" s="61">
        <f t="shared" ref="F67:AE67" si="27">SUM(F65:F66)</f>
        <v>78767.266222666178</v>
      </c>
      <c r="G67" s="61">
        <f t="shared" si="27"/>
        <v>123050.19471894685</v>
      </c>
      <c r="H67" s="61">
        <f t="shared" si="27"/>
        <v>167333.1232152275</v>
      </c>
      <c r="I67" s="61">
        <f t="shared" si="27"/>
        <v>211616.05171150816</v>
      </c>
      <c r="J67" s="61">
        <f t="shared" si="27"/>
        <v>255898.98020778882</v>
      </c>
      <c r="K67" s="61">
        <f t="shared" si="27"/>
        <v>300181.90870406944</v>
      </c>
      <c r="L67" s="61">
        <f t="shared" si="27"/>
        <v>545098.42807729403</v>
      </c>
      <c r="M67" s="61">
        <f t="shared" si="27"/>
        <v>790014.94745051849</v>
      </c>
      <c r="N67" s="61">
        <f t="shared" si="27"/>
        <v>1034931.466823743</v>
      </c>
      <c r="O67" s="61">
        <f t="shared" si="27"/>
        <v>1279847.9861969675</v>
      </c>
      <c r="P67" s="61">
        <f t="shared" si="27"/>
        <v>2021367.0942589105</v>
      </c>
      <c r="Q67" s="61">
        <f t="shared" si="27"/>
        <v>2762886.2023208537</v>
      </c>
      <c r="R67" s="61">
        <f t="shared" si="27"/>
        <v>3504405.3103827969</v>
      </c>
      <c r="S67" s="61">
        <f t="shared" si="27"/>
        <v>4245924.4184447397</v>
      </c>
      <c r="T67" s="61">
        <f t="shared" si="27"/>
        <v>4987443.5265066829</v>
      </c>
      <c r="U67" s="61">
        <f t="shared" si="27"/>
        <v>5728962.6345686261</v>
      </c>
      <c r="V67" s="61">
        <f t="shared" si="27"/>
        <v>7502556.2352134045</v>
      </c>
      <c r="W67" s="61">
        <f t="shared" si="27"/>
        <v>9276149.835858183</v>
      </c>
      <c r="X67" s="61">
        <f t="shared" si="27"/>
        <v>11049743.43650296</v>
      </c>
      <c r="Y67" s="61">
        <f t="shared" si="27"/>
        <v>12823337.037147738</v>
      </c>
      <c r="Z67" s="61">
        <f t="shared" si="27"/>
        <v>14397598.342411472</v>
      </c>
      <c r="AA67" s="61">
        <f t="shared" si="27"/>
        <v>17063648.380120832</v>
      </c>
      <c r="AB67" s="61">
        <f t="shared" si="27"/>
        <v>19729698.417830192</v>
      </c>
      <c r="AC67" s="61">
        <f t="shared" si="27"/>
        <v>22395748.455539554</v>
      </c>
      <c r="AD67" s="61">
        <f t="shared" si="27"/>
        <v>25061798.49324891</v>
      </c>
      <c r="AE67" s="61">
        <f t="shared" si="27"/>
        <v>27727848.530958273</v>
      </c>
    </row>
    <row r="68" spans="1:31" x14ac:dyDescent="0.35">
      <c r="A68" s="87"/>
      <c r="B68" s="87"/>
      <c r="C68" s="49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spans="1:31" x14ac:dyDescent="0.35">
      <c r="A69" s="87" t="s">
        <v>120</v>
      </c>
      <c r="B69" s="87" t="s">
        <v>31</v>
      </c>
      <c r="C69" s="17">
        <f>NPV('Cost Assumptions'!$B$3,D69:AE69)</f>
        <v>115301754.52254821</v>
      </c>
      <c r="D69" s="61">
        <f>'Baseline System Analysis'!D28-D32</f>
        <v>310386.79798866023</v>
      </c>
      <c r="E69" s="61">
        <f>'Baseline System Analysis'!E28-E32</f>
        <v>817408.12222421367</v>
      </c>
      <c r="F69" s="61">
        <f>'Baseline System Analysis'!F28-F32</f>
        <v>1334522.6987350811</v>
      </c>
      <c r="G69" s="61">
        <f>'Baseline System Analysis'!G28-G32</f>
        <v>1839795.5479560234</v>
      </c>
      <c r="H69" s="61">
        <f>'Baseline System Analysis'!H28-H32</f>
        <v>2286697.9912531795</v>
      </c>
      <c r="I69" s="61">
        <f>'Baseline System Analysis'!I28-I32</f>
        <v>2696419.0538857356</v>
      </c>
      <c r="J69" s="61">
        <f>'Baseline System Analysis'!J28-J32</f>
        <v>3587048.7001477713</v>
      </c>
      <c r="K69" s="61">
        <f>'Baseline System Analysis'!K28-K32</f>
        <v>4534084.5657563498</v>
      </c>
      <c r="L69" s="61">
        <f>'Baseline System Analysis'!L28-L32</f>
        <v>5693348.9186131302</v>
      </c>
      <c r="M69" s="61">
        <f>'Baseline System Analysis'!M28-M32</f>
        <v>7548985.0743932622</v>
      </c>
      <c r="N69" s="61">
        <f>'Baseline System Analysis'!N28-N32</f>
        <v>9794691.5976483021</v>
      </c>
      <c r="O69" s="61">
        <f>'Baseline System Analysis'!O28-O32</f>
        <v>12474348.375717288</v>
      </c>
      <c r="P69" s="61">
        <f>'Baseline System Analysis'!P28-P32</f>
        <v>15347020.983958816</v>
      </c>
      <c r="Q69" s="61">
        <f>'Baseline System Analysis'!Q28-Q32</f>
        <v>17677154.239234034</v>
      </c>
      <c r="R69" s="61">
        <f>'Baseline System Analysis'!R28-R32</f>
        <v>20578852.384843558</v>
      </c>
      <c r="S69" s="61">
        <f>'Baseline System Analysis'!S28-S32</f>
        <v>23798482.783601515</v>
      </c>
      <c r="T69" s="61">
        <f>'Baseline System Analysis'!T28-T32</f>
        <v>27479782.608072191</v>
      </c>
      <c r="U69" s="61">
        <f>'Baseline System Analysis'!U28-U32</f>
        <v>31905265.739446878</v>
      </c>
      <c r="V69" s="61">
        <f>'Baseline System Analysis'!V28-V32</f>
        <v>36119270.79377012</v>
      </c>
      <c r="W69" s="61">
        <f>'Baseline System Analysis'!W28-W32</f>
        <v>41445707.314124182</v>
      </c>
      <c r="X69" s="61">
        <f>'Baseline System Analysis'!X28-X32</f>
        <v>46364754.453121059</v>
      </c>
      <c r="Y69" s="61">
        <f>'Baseline System Analysis'!Y28-Y32</f>
        <v>51781625.44678314</v>
      </c>
      <c r="Z69" s="61">
        <f>'Baseline System Analysis'!Z28-Z32</f>
        <v>56736623.683908194</v>
      </c>
      <c r="AA69" s="61">
        <f>'Baseline System Analysis'!AA28-AA32</f>
        <v>61832729.31681782</v>
      </c>
      <c r="AB69" s="61">
        <f>'Baseline System Analysis'!AB28-AB32</f>
        <v>68321889.312285125</v>
      </c>
      <c r="AC69" s="61">
        <f>'Baseline System Analysis'!AC28-AC32</f>
        <v>74962689.096363902</v>
      </c>
      <c r="AD69" s="61">
        <f>'Baseline System Analysis'!AD28-AD32</f>
        <v>80002387.328110799</v>
      </c>
      <c r="AE69" s="61">
        <f>'Baseline System Analysis'!AE28-AE32</f>
        <v>87510450.895604625</v>
      </c>
    </row>
    <row r="70" spans="1:31" x14ac:dyDescent="0.35">
      <c r="A70" s="87" t="s">
        <v>121</v>
      </c>
      <c r="B70" s="87" t="s">
        <v>31</v>
      </c>
      <c r="C70" s="17">
        <f>NPV('Cost Assumptions'!$B$3,D70:AE70)</f>
        <v>492467659.22038281</v>
      </c>
      <c r="D70" s="61">
        <f>'Baseline System Analysis'!D29-D33</f>
        <v>1628153.2445022203</v>
      </c>
      <c r="E70" s="61">
        <f>'Baseline System Analysis'!E29-E33</f>
        <v>4276437.722523096</v>
      </c>
      <c r="F70" s="61">
        <f>'Baseline System Analysis'!F29-F33</f>
        <v>6406619.8340516584</v>
      </c>
      <c r="G70" s="61">
        <f>'Baseline System Analysis'!G29-G33</f>
        <v>8961966.1784057487</v>
      </c>
      <c r="H70" s="61">
        <f>'Baseline System Analysis'!H29-H33</f>
        <v>10695561.997562293</v>
      </c>
      <c r="I70" s="61">
        <f>'Baseline System Analysis'!I29-I33</f>
        <v>11935292.094424136</v>
      </c>
      <c r="J70" s="61">
        <f>'Baseline System Analysis'!J29-J33</f>
        <v>15941642.32252172</v>
      </c>
      <c r="K70" s="61">
        <f>'Baseline System Analysis'!K29-K33</f>
        <v>19613619.815275714</v>
      </c>
      <c r="L70" s="61">
        <f>'Baseline System Analysis'!L29-L33</f>
        <v>24661704.485005222</v>
      </c>
      <c r="M70" s="61">
        <f>'Baseline System Analysis'!M29-M33</f>
        <v>32796387.723990619</v>
      </c>
      <c r="N70" s="61">
        <f>'Baseline System Analysis'!N29-N33</f>
        <v>43151911.473019019</v>
      </c>
      <c r="O70" s="61">
        <f>'Baseline System Analysis'!O29-O33</f>
        <v>55866474.738844089</v>
      </c>
      <c r="P70" s="61">
        <f>'Baseline System Analysis'!P29-P33</f>
        <v>68637387.043348879</v>
      </c>
      <c r="Q70" s="61">
        <f>'Baseline System Analysis'!Q29-Q33</f>
        <v>76608426.543380901</v>
      </c>
      <c r="R70" s="61">
        <f>'Baseline System Analysis'!R29-R33</f>
        <v>88214433.14885065</v>
      </c>
      <c r="S70" s="61">
        <f>'Baseline System Analysis'!S29-S33</f>
        <v>101919385.80799805</v>
      </c>
      <c r="T70" s="61">
        <f>'Baseline System Analysis'!T29-T33</f>
        <v>117229887.47957692</v>
      </c>
      <c r="U70" s="61">
        <f>'Baseline System Analysis'!U29-U33</f>
        <v>136004827.92692763</v>
      </c>
      <c r="V70" s="61">
        <f>'Baseline System Analysis'!V29-V33</f>
        <v>153257194.37806571</v>
      </c>
      <c r="W70" s="61">
        <f>'Baseline System Analysis'!W29-W33</f>
        <v>175682796.457463</v>
      </c>
      <c r="X70" s="61">
        <f>'Baseline System Analysis'!X29-X33</f>
        <v>194472605.18045899</v>
      </c>
      <c r="Y70" s="61">
        <f>'Baseline System Analysis'!Y29-Y33</f>
        <v>218953642.9520497</v>
      </c>
      <c r="Z70" s="61">
        <f>'Baseline System Analysis'!Z29-Z33</f>
        <v>237822300.26541063</v>
      </c>
      <c r="AA70" s="61">
        <f>'Baseline System Analysis'!AA29-AA33</f>
        <v>257155278.04141647</v>
      </c>
      <c r="AB70" s="61">
        <f>'Baseline System Analysis'!AB29-AB33</f>
        <v>284290384.27336872</v>
      </c>
      <c r="AC70" s="61">
        <f>'Baseline System Analysis'!AC29-AC33</f>
        <v>312258972.69533318</v>
      </c>
      <c r="AD70" s="61">
        <f>'Baseline System Analysis'!AD29-AD33</f>
        <v>327474882.11703193</v>
      </c>
      <c r="AE70" s="61">
        <f>'Baseline System Analysis'!AE29-AE33</f>
        <v>350971098.60483885</v>
      </c>
    </row>
    <row r="71" spans="1:31" x14ac:dyDescent="0.35">
      <c r="A71" s="87" t="s">
        <v>24</v>
      </c>
      <c r="B71" s="87" t="s">
        <v>31</v>
      </c>
      <c r="C71" s="17">
        <f>NPV('Cost Assumptions'!$B$3,D71:AE71)</f>
        <v>607769413.74293101</v>
      </c>
      <c r="D71" s="61">
        <f>SUM(D69:D70)</f>
        <v>1938540.0424908805</v>
      </c>
      <c r="E71" s="61">
        <f>SUM(E69:E70)</f>
        <v>5093845.8447473096</v>
      </c>
      <c r="F71" s="61">
        <f t="shared" ref="F71:AE71" si="28">SUM(F69:F70)</f>
        <v>7741142.53278674</v>
      </c>
      <c r="G71" s="61">
        <f t="shared" si="28"/>
        <v>10801761.726361772</v>
      </c>
      <c r="H71" s="61">
        <f t="shared" si="28"/>
        <v>12982259.988815472</v>
      </c>
      <c r="I71" s="61">
        <f t="shared" si="28"/>
        <v>14631711.148309872</v>
      </c>
      <c r="J71" s="61">
        <f t="shared" si="28"/>
        <v>19528691.02266949</v>
      </c>
      <c r="K71" s="61">
        <f t="shared" si="28"/>
        <v>24147704.381032065</v>
      </c>
      <c r="L71" s="61">
        <f t="shared" si="28"/>
        <v>30355053.403618351</v>
      </c>
      <c r="M71" s="61">
        <f t="shared" si="28"/>
        <v>40345372.798383884</v>
      </c>
      <c r="N71" s="61">
        <f t="shared" si="28"/>
        <v>52946603.070667319</v>
      </c>
      <c r="O71" s="61">
        <f t="shared" si="28"/>
        <v>68340823.114561379</v>
      </c>
      <c r="P71" s="61">
        <f t="shared" si="28"/>
        <v>83984408.027307689</v>
      </c>
      <c r="Q71" s="61">
        <f t="shared" si="28"/>
        <v>94285580.782614931</v>
      </c>
      <c r="R71" s="61">
        <f t="shared" si="28"/>
        <v>108793285.53369421</v>
      </c>
      <c r="S71" s="61">
        <f t="shared" si="28"/>
        <v>125717868.59159955</v>
      </c>
      <c r="T71" s="61">
        <f t="shared" si="28"/>
        <v>144709670.08764911</v>
      </c>
      <c r="U71" s="61">
        <f t="shared" si="28"/>
        <v>167910093.6663745</v>
      </c>
      <c r="V71" s="61">
        <f t="shared" si="28"/>
        <v>189376465.17183584</v>
      </c>
      <c r="W71" s="61">
        <f t="shared" si="28"/>
        <v>217128503.77158719</v>
      </c>
      <c r="X71" s="61">
        <f t="shared" si="28"/>
        <v>240837359.63358006</v>
      </c>
      <c r="Y71" s="61">
        <f t="shared" si="28"/>
        <v>270735268.39883286</v>
      </c>
      <c r="Z71" s="61">
        <f t="shared" si="28"/>
        <v>294558923.94931883</v>
      </c>
      <c r="AA71" s="61">
        <f t="shared" si="28"/>
        <v>318988007.35823429</v>
      </c>
      <c r="AB71" s="61">
        <f t="shared" si="28"/>
        <v>352612273.58565384</v>
      </c>
      <c r="AC71" s="61">
        <f t="shared" si="28"/>
        <v>387221661.79169708</v>
      </c>
      <c r="AD71" s="61">
        <f t="shared" si="28"/>
        <v>407477269.44514275</v>
      </c>
      <c r="AE71" s="61">
        <f t="shared" si="28"/>
        <v>438481549.50044346</v>
      </c>
    </row>
    <row r="72" spans="1:31" x14ac:dyDescent="0.35">
      <c r="A72" s="87"/>
      <c r="B72" s="87"/>
      <c r="C72" s="49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x14ac:dyDescent="0.35">
      <c r="A73" s="87" t="s">
        <v>117</v>
      </c>
      <c r="B73" s="87" t="s">
        <v>144</v>
      </c>
      <c r="C73" s="17">
        <f>NPV('Cost Assumptions'!$B$3,D73:AE73)</f>
        <v>672287712.27228379</v>
      </c>
      <c r="D73" s="61">
        <f>ABS((D49*D60*1000*'Cost Assumptions'!$B$6)/'Cost Assumptions'!$B$14)</f>
        <v>10295027.510498712</v>
      </c>
      <c r="E73" s="61">
        <f>ABS((E49*E60*1000*'Cost Assumptions'!$B$6)/'Cost Assumptions'!$B$14)</f>
        <v>15227769.332799075</v>
      </c>
      <c r="F73" s="61">
        <f>ABS((F49*F60*1000*'Cost Assumptions'!$B$6)/'Cost Assumptions'!$B$14)</f>
        <v>21217813.165372435</v>
      </c>
      <c r="G73" s="61">
        <f>ABS((G49*G60*1000*'Cost Assumptions'!$B$6)/'Cost Assumptions'!$B$14)</f>
        <v>27497841.833741464</v>
      </c>
      <c r="H73" s="61">
        <f>ABS((H49*H60*1000*'Cost Assumptions'!$B$6)/'Cost Assumptions'!$B$14)</f>
        <v>34078610.80230058</v>
      </c>
      <c r="I73" s="61">
        <f>ABS((I49*I60*1000*'Cost Assumptions'!$B$6)/'Cost Assumptions'!$B$14)</f>
        <v>40971232.068141565</v>
      </c>
      <c r="J73" s="61">
        <f>ABS((J49*J60*1000*'Cost Assumptions'!$B$6)/'Cost Assumptions'!$B$14)</f>
        <v>48187185.265523158</v>
      </c>
      <c r="K73" s="61">
        <f>ABS((K49*K60*1000*'Cost Assumptions'!$B$6)/'Cost Assumptions'!$B$14)</f>
        <v>55738329.102731243</v>
      </c>
      <c r="L73" s="61">
        <f>ABS((L49*L60*1000*'Cost Assumptions'!$B$6)/'Cost Assumptions'!$B$14)</f>
        <v>63636913.141008779</v>
      </c>
      <c r="M73" s="61">
        <f>ABS((M49*M60*1000*'Cost Assumptions'!$B$6)/'Cost Assumptions'!$B$14)</f>
        <v>71895589.925510958</v>
      </c>
      <c r="N73" s="61">
        <f>ABS((N49*N60*1000*'Cost Assumptions'!$B$6)/'Cost Assumptions'!$B$14)</f>
        <v>80527427.478525147</v>
      </c>
      <c r="O73" s="61">
        <f>ABS((O49*O60*1000*'Cost Assumptions'!$B$6)/'Cost Assumptions'!$B$14)</f>
        <v>89545922.165486604</v>
      </c>
      <c r="P73" s="61">
        <f>ABS((P49*P60*1000*'Cost Assumptions'!$B$6)/'Cost Assumptions'!$B$14)</f>
        <v>98965011.94462204</v>
      </c>
      <c r="Q73" s="61">
        <f>ABS((Q49*Q60*1000*'Cost Assumptions'!$B$6)/'Cost Assumptions'!$B$14)</f>
        <v>108799090.01136082</v>
      </c>
      <c r="R73" s="61">
        <f>ABS((R49*R60*1000*'Cost Assumptions'!$B$6)/'Cost Assumptions'!$B$14)</f>
        <v>119063018.84897114</v>
      </c>
      <c r="S73" s="61">
        <f>ABS((S49*S60*1000*'Cost Assumptions'!$B$6)/'Cost Assumptions'!$B$14)</f>
        <v>129772144.69720487</v>
      </c>
      <c r="T73" s="61">
        <f>ABS((T49*T60*1000*'Cost Assumptions'!$B$6)/'Cost Assumptions'!$B$14)</f>
        <v>140942312.45106971</v>
      </c>
      <c r="U73" s="61">
        <f>ABS((U49*U60*1000*'Cost Assumptions'!$B$6)/'Cost Assumptions'!$B$14)</f>
        <v>152589881.00219202</v>
      </c>
      <c r="V73" s="61">
        <f>ABS((V49*V60*1000*'Cost Assumptions'!$B$6)/'Cost Assumptions'!$B$14)</f>
        <v>164731739.0355885</v>
      </c>
      <c r="W73" s="61">
        <f>ABS((W49*W60*1000*'Cost Assumptions'!$B$6)/'Cost Assumptions'!$B$14)</f>
        <v>177385321.29502845</v>
      </c>
      <c r="X73" s="61">
        <f>ABS((X49*X60*1000*'Cost Assumptions'!$B$6)/'Cost Assumptions'!$B$14)</f>
        <v>190568625.33054319</v>
      </c>
      <c r="Y73" s="61">
        <f>ABS((Y49*Y60*1000*'Cost Assumptions'!$B$6)/'Cost Assumptions'!$B$14)</f>
        <v>204300228.74202424</v>
      </c>
      <c r="Z73" s="61">
        <f>ABS((Z49*Z60*1000*'Cost Assumptions'!$B$6)/'Cost Assumptions'!$B$14)</f>
        <v>218599306.93324777</v>
      </c>
      <c r="AA73" s="61">
        <f>ABS((AA49*AA60*1000*'Cost Assumptions'!$B$6)/'Cost Assumptions'!$B$14)</f>
        <v>233485651.39106867</v>
      </c>
      <c r="AB73" s="61">
        <f>ABS((AB49*AB60*1000*'Cost Assumptions'!$B$6)/'Cost Assumptions'!$B$14)</f>
        <v>248979688.50494742</v>
      </c>
      <c r="AC73" s="61">
        <f>ABS((AC49*AC60*1000*'Cost Assumptions'!$B$6)/'Cost Assumptions'!$B$14)</f>
        <v>265102498.94240063</v>
      </c>
      <c r="AD73" s="61">
        <f>ABS((AD49*AD60*1000*'Cost Assumptions'!$B$6)/'Cost Assumptions'!$B$14)</f>
        <v>281875837.59641087</v>
      </c>
      <c r="AE73" s="61">
        <f>ABS((AE49*AE60*1000*'Cost Assumptions'!$B$6)/'Cost Assumptions'!$B$14)</f>
        <v>299322154.12128264</v>
      </c>
    </row>
    <row r="74" spans="1:31" x14ac:dyDescent="0.35">
      <c r="A74" s="87" t="s">
        <v>119</v>
      </c>
      <c r="B74" s="87" t="s">
        <v>144</v>
      </c>
      <c r="C74" s="17">
        <f>NPV('Cost Assumptions'!$B$3,D74:AE74)</f>
        <v>2769578318.5620904</v>
      </c>
      <c r="D74" s="61">
        <f>ABS((D49*D62*1000*'Cost Assumptions'!$B$7)/'Cost Assumptions'!$B$14)</f>
        <v>42411730.069713771</v>
      </c>
      <c r="E74" s="61">
        <f>ABS((E49*E62*1000*'Cost Assumptions'!$B$7)/'Cost Assumptions'!$B$14)</f>
        <v>62732813.666396327</v>
      </c>
      <c r="F74" s="61">
        <f>ABS((F49*F62*1000*'Cost Assumptions'!$B$7)/'Cost Assumptions'!$B$14)</f>
        <v>87409593.002224281</v>
      </c>
      <c r="G74" s="61">
        <f>ABS((G49*G62*1000*'Cost Assumptions'!$B$7)/'Cost Assumptions'!$B$14)</f>
        <v>113281003.29630212</v>
      </c>
      <c r="H74" s="61">
        <f>ABS((H49*H62*1000*'Cost Assumptions'!$B$7)/'Cost Assumptions'!$B$14)</f>
        <v>140391353.10945749</v>
      </c>
      <c r="I74" s="61">
        <f>ABS((I49*I62*1000*'Cost Assumptions'!$B$7)/'Cost Assumptions'!$B$14)</f>
        <v>168786419.78621042</v>
      </c>
      <c r="J74" s="61">
        <f>ABS((J49*J62*1000*'Cost Assumptions'!$B$7)/'Cost Assumptions'!$B$14)</f>
        <v>198513495.20110756</v>
      </c>
      <c r="K74" s="61">
        <f>ABS((K49*K62*1000*'Cost Assumptions'!$B$7)/'Cost Assumptions'!$B$14)</f>
        <v>229621432.87438321</v>
      </c>
      <c r="L74" s="61">
        <f>ABS((L49*L62*1000*'Cost Assumptions'!$B$7)/'Cost Assumptions'!$B$14)</f>
        <v>262160696.49682188</v>
      </c>
      <c r="M74" s="61">
        <f>ABS((M49*M62*1000*'Cost Assumptions'!$B$7)/'Cost Assumptions'!$B$14)</f>
        <v>296183409.90483594</v>
      </c>
      <c r="N74" s="61">
        <f>ABS((N49*N62*1000*'Cost Assumptions'!$B$7)/'Cost Assumptions'!$B$14)</f>
        <v>331743408.54794037</v>
      </c>
      <c r="O74" s="61">
        <f>ABS((O49*O62*1000*'Cost Assumptions'!$B$7)/'Cost Assumptions'!$B$14)</f>
        <v>368896292.49200934</v>
      </c>
      <c r="P74" s="61">
        <f>ABS((P49*P62*1000*'Cost Assumptions'!$B$7)/'Cost Assumptions'!$B$14)</f>
        <v>407699481.0029394</v>
      </c>
      <c r="Q74" s="61">
        <f>ABS((Q49*Q62*1000*'Cost Assumptions'!$B$7)/'Cost Assumptions'!$B$14)</f>
        <v>448212268.75660837</v>
      </c>
      <c r="R74" s="61">
        <f>ABS((R49*R62*1000*'Cost Assumptions'!$B$7)/'Cost Assumptions'!$B$14)</f>
        <v>490495883.72233397</v>
      </c>
      <c r="S74" s="61">
        <f>ABS((S49*S62*1000*'Cost Assumptions'!$B$7)/'Cost Assumptions'!$B$14)</f>
        <v>534613546.76837301</v>
      </c>
      <c r="T74" s="61">
        <f>ABS((T49*T62*1000*'Cost Assumptions'!$B$7)/'Cost Assumptions'!$B$14)</f>
        <v>580630533.03938746</v>
      </c>
      <c r="U74" s="61">
        <f>ABS((U49*U62*1000*'Cost Assumptions'!$B$7)/'Cost Assumptions'!$B$14)</f>
        <v>628614235.15722251</v>
      </c>
      <c r="V74" s="61">
        <f>ABS((V49*V62*1000*'Cost Assumptions'!$B$7)/'Cost Assumptions'!$B$14)</f>
        <v>678634228.29779959</v>
      </c>
      <c r="W74" s="61">
        <f>ABS((W49*W62*1000*'Cost Assumptions'!$B$7)/'Cost Assumptions'!$B$14)</f>
        <v>730762337.19843221</v>
      </c>
      <c r="X74" s="61">
        <f>ABS((X49*X62*1000*'Cost Assumptions'!$B$7)/'Cost Assumptions'!$B$14)</f>
        <v>785072705.15141046</v>
      </c>
      <c r="Y74" s="61">
        <f>ABS((Y49*Y62*1000*'Cost Assumptions'!$B$7)/'Cost Assumptions'!$B$14)</f>
        <v>841641865.04128861</v>
      </c>
      <c r="Z74" s="61">
        <f>ABS((Z49*Z62*1000*'Cost Assumptions'!$B$7)/'Cost Assumptions'!$B$14)</f>
        <v>900548812.48494089</v>
      </c>
      <c r="AA74" s="61">
        <f>ABS((AA49*AA62*1000*'Cost Assumptions'!$B$7)/'Cost Assumptions'!$B$14)</f>
        <v>961875081.13512516</v>
      </c>
      <c r="AB74" s="61">
        <f>ABS((AB49*AB62*1000*'Cost Assumptions'!$B$7)/'Cost Assumptions'!$B$14)</f>
        <v>1025704820.2100154</v>
      </c>
      <c r="AC74" s="61">
        <f>ABS((AC49*AC62*1000*'Cost Assumptions'!$B$7)/'Cost Assumptions'!$B$14)</f>
        <v>1092124874.3129408</v>
      </c>
      <c r="AD74" s="61">
        <f>ABS((AD49*AD62*1000*'Cost Assumptions'!$B$7)/'Cost Assumptions'!$B$14)</f>
        <v>1161224865.6083813</v>
      </c>
      <c r="AE74" s="61">
        <f>ABS((AE49*AE62*1000*'Cost Assumptions'!$B$7)/'Cost Assumptions'!$B$14)</f>
        <v>1233097278.4221475</v>
      </c>
    </row>
    <row r="75" spans="1:31" x14ac:dyDescent="0.35">
      <c r="A75" s="87" t="s">
        <v>24</v>
      </c>
      <c r="B75" s="87" t="s">
        <v>144</v>
      </c>
      <c r="C75" s="17">
        <f>NPV('Cost Assumptions'!$B$3,D75:AE75)</f>
        <v>3441866030.8343744</v>
      </c>
      <c r="D75" s="61">
        <f>SUM(D73:D74)</f>
        <v>52706757.580212481</v>
      </c>
      <c r="E75" s="61">
        <f>SUM(E73:E74)</f>
        <v>77960582.999195397</v>
      </c>
      <c r="F75" s="61">
        <f t="shared" ref="F75:AE75" si="29">SUM(F73:F74)</f>
        <v>108627406.16759671</v>
      </c>
      <c r="G75" s="61">
        <f t="shared" si="29"/>
        <v>140778845.1300436</v>
      </c>
      <c r="H75" s="61">
        <f t="shared" si="29"/>
        <v>174469963.91175807</v>
      </c>
      <c r="I75" s="61">
        <f t="shared" si="29"/>
        <v>209757651.854352</v>
      </c>
      <c r="J75" s="61">
        <f t="shared" si="29"/>
        <v>246700680.46663073</v>
      </c>
      <c r="K75" s="61">
        <f t="shared" si="29"/>
        <v>285359761.97711444</v>
      </c>
      <c r="L75" s="61">
        <f t="shared" si="29"/>
        <v>325797609.63783067</v>
      </c>
      <c r="M75" s="61">
        <f t="shared" si="29"/>
        <v>368078999.83034688</v>
      </c>
      <c r="N75" s="61">
        <f t="shared" si="29"/>
        <v>412270836.02646554</v>
      </c>
      <c r="O75" s="61">
        <f t="shared" si="29"/>
        <v>458442214.65749598</v>
      </c>
      <c r="P75" s="61">
        <f t="shared" si="29"/>
        <v>506664492.94756144</v>
      </c>
      <c r="Q75" s="61">
        <f t="shared" si="29"/>
        <v>557011358.76796913</v>
      </c>
      <c r="R75" s="61">
        <f t="shared" si="29"/>
        <v>609558902.57130516</v>
      </c>
      <c r="S75" s="61">
        <f t="shared" si="29"/>
        <v>664385691.46557784</v>
      </c>
      <c r="T75" s="61">
        <f t="shared" si="29"/>
        <v>721572845.49045718</v>
      </c>
      <c r="U75" s="61">
        <f t="shared" si="29"/>
        <v>781204116.15941453</v>
      </c>
      <c r="V75" s="61">
        <f t="shared" si="29"/>
        <v>843365967.33338809</v>
      </c>
      <c r="W75" s="61">
        <f t="shared" si="29"/>
        <v>908147658.49346066</v>
      </c>
      <c r="X75" s="61">
        <f t="shared" si="29"/>
        <v>975641330.48195362</v>
      </c>
      <c r="Y75" s="61">
        <f t="shared" si="29"/>
        <v>1045942093.7833128</v>
      </c>
      <c r="Z75" s="61">
        <f t="shared" si="29"/>
        <v>1119148119.4181886</v>
      </c>
      <c r="AA75" s="61">
        <f t="shared" si="29"/>
        <v>1195360732.5261939</v>
      </c>
      <c r="AB75" s="61">
        <f t="shared" si="29"/>
        <v>1274684508.714963</v>
      </c>
      <c r="AC75" s="61">
        <f t="shared" si="29"/>
        <v>1357227373.2553415</v>
      </c>
      <c r="AD75" s="61">
        <f t="shared" si="29"/>
        <v>1443100703.204792</v>
      </c>
      <c r="AE75" s="61">
        <f t="shared" si="29"/>
        <v>1532419432.5434301</v>
      </c>
    </row>
    <row r="76" spans="1:31" x14ac:dyDescent="0.35">
      <c r="A76" s="87"/>
      <c r="B76" s="87"/>
      <c r="C76" s="1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x14ac:dyDescent="0.35">
      <c r="A77" s="87" t="s">
        <v>117</v>
      </c>
      <c r="B77" s="87" t="s">
        <v>152</v>
      </c>
      <c r="C77" s="17">
        <f>NPV('Cost Assumptions'!$B$3,D77:AE77)</f>
        <v>53721266.010462157</v>
      </c>
      <c r="D77" s="61">
        <f>ABS(D50)*D61*1000*'Cost Assumptions'!$B$6*'Cost Assumptions'!$B$13</f>
        <v>4535568.7122134641</v>
      </c>
      <c r="E77" s="61">
        <f>ABS(E50)*E61*1000*'Cost Assumptions'!$B$6*'Cost Assumptions'!$B$13</f>
        <v>4677603.372708953</v>
      </c>
      <c r="F77" s="61">
        <f>ABS(F50)*F61*1000*'Cost Assumptions'!$B$6*'Cost Assumptions'!$B$13</f>
        <v>4822442.6718620909</v>
      </c>
      <c r="G77" s="61">
        <f>ABS(G50)*G61*1000*'Cost Assumptions'!$B$6*'Cost Assumptions'!$B$13</f>
        <v>4959125.9962704647</v>
      </c>
      <c r="H77" s="61">
        <f>ABS(H50)*H61*1000*'Cost Assumptions'!$B$6*'Cost Assumptions'!$B$13</f>
        <v>5099385.7651380701</v>
      </c>
      <c r="I77" s="61">
        <f>ABS(I50)*I61*1000*'Cost Assumptions'!$B$6*'Cost Assumptions'!$B$13</f>
        <v>5242760.100981568</v>
      </c>
      <c r="J77" s="61">
        <f>ABS(J50)*J61*1000*'Cost Assumptions'!$B$6*'Cost Assumptions'!$B$13</f>
        <v>5390570.2670326782</v>
      </c>
      <c r="K77" s="61">
        <f>ABS(K50)*K61*1000*'Cost Assumptions'!$B$6*'Cost Assumptions'!$B$13</f>
        <v>5541515.6042600088</v>
      </c>
      <c r="L77" s="61">
        <f>ABS(L50)*L61*1000*'Cost Assumptions'!$B$6*'Cost Assumptions'!$B$13</f>
        <v>5695706.9753401354</v>
      </c>
      <c r="M77" s="61">
        <f>ABS(M50)*M61*1000*'Cost Assumptions'!$B$6*'Cost Assumptions'!$B$13</f>
        <v>5853390.8489374397</v>
      </c>
      <c r="N77" s="61">
        <f>ABS(N50)*N61*1000*'Cost Assumptions'!$B$6*'Cost Assumptions'!$B$13</f>
        <v>6015185.4315097313</v>
      </c>
      <c r="O77" s="61">
        <f>ABS(O50)*O61*1000*'Cost Assumptions'!$B$6*'Cost Assumptions'!$B$13</f>
        <v>6180811.7052691141</v>
      </c>
      <c r="P77" s="61">
        <f>ABS(P50)*P61*1000*'Cost Assumptions'!$B$6*'Cost Assumptions'!$B$13</f>
        <v>6350444.499566338</v>
      </c>
      <c r="Q77" s="61">
        <f>ABS(Q50)*Q61*1000*'Cost Assumptions'!$B$6*'Cost Assumptions'!$B$13</f>
        <v>6524130.6325851558</v>
      </c>
      <c r="R77" s="61">
        <f>ABS(R50)*R61*1000*'Cost Assumptions'!$B$6*'Cost Assumptions'!$B$13</f>
        <v>6701930.620489737</v>
      </c>
      <c r="S77" s="61">
        <f>ABS(S50)*S61*1000*'Cost Assumptions'!$B$6*'Cost Assumptions'!$B$13</f>
        <v>6884427.2905529421</v>
      </c>
      <c r="T77" s="61">
        <f>ABS(T50)*T61*1000*'Cost Assumptions'!$B$6*'Cost Assumptions'!$B$13</f>
        <v>7071982.664398836</v>
      </c>
      <c r="U77" s="61">
        <f>ABS(U50)*U61*1000*'Cost Assumptions'!$B$6*'Cost Assumptions'!$B$13</f>
        <v>7264487.3985401634</v>
      </c>
      <c r="V77" s="61">
        <f>ABS(V50)*V61*1000*'Cost Assumptions'!$B$6*'Cost Assumptions'!$B$13</f>
        <v>7461038.3388595162</v>
      </c>
      <c r="W77" s="61">
        <f>ABS(W50)*W61*1000*'Cost Assumptions'!$B$6*'Cost Assumptions'!$B$13</f>
        <v>7662876.5215707207</v>
      </c>
      <c r="X77" s="61">
        <f>ABS(X50)*X61*1000*'Cost Assumptions'!$B$6*'Cost Assumptions'!$B$13</f>
        <v>7870143.4644557247</v>
      </c>
      <c r="Y77" s="61">
        <f>ABS(Y50)*Y61*1000*'Cost Assumptions'!$B$6*'Cost Assumptions'!$B$13</f>
        <v>8082845.7721280148</v>
      </c>
      <c r="Z77" s="61">
        <f>ABS(Z50)*Z61*1000*'Cost Assumptions'!$B$6*'Cost Assumptions'!$B$13</f>
        <v>8299558.5357877789</v>
      </c>
      <c r="AA77" s="61">
        <f>ABS(AA50)*AA61*1000*'Cost Assumptions'!$B$6*'Cost Assumptions'!$B$13</f>
        <v>8521909.4535876065</v>
      </c>
      <c r="AB77" s="61">
        <f>ABS(AB50)*AB61*1000*'Cost Assumptions'!$B$6*'Cost Assumptions'!$B$13</f>
        <v>8750190.6931925453</v>
      </c>
      <c r="AC77" s="61">
        <f>ABS(AC50)*AC61*1000*'Cost Assumptions'!$B$6*'Cost Assumptions'!$B$13</f>
        <v>8984712.8831422627</v>
      </c>
      <c r="AD77" s="61">
        <f>ABS(AD50)*AD61*1000*'Cost Assumptions'!$B$6*'Cost Assumptions'!$B$13</f>
        <v>9222981.7723288648</v>
      </c>
      <c r="AE77" s="61">
        <f>ABS(AE50)*AE61*1000*'Cost Assumptions'!$B$6*'Cost Assumptions'!$B$13</f>
        <v>9467548.6604228672</v>
      </c>
    </row>
    <row r="78" spans="1:31" x14ac:dyDescent="0.35">
      <c r="A78" s="87" t="s">
        <v>119</v>
      </c>
      <c r="B78" s="87" t="s">
        <v>152</v>
      </c>
      <c r="C78" s="17">
        <f>NPV('Cost Assumptions'!$B$3,D78:AE78)</f>
        <v>242156769.72510719</v>
      </c>
      <c r="D78" s="61">
        <f>ABS(D50)*D63*1000*'Cost Assumptions'!$B$7*'Cost Assumptions'!$B$13</f>
        <v>20444765.169941828</v>
      </c>
      <c r="E78" s="61">
        <f>ABS(E50)*E63*1000*'Cost Assumptions'!$B$7*'Cost Assumptions'!$B$13</f>
        <v>21085007.984917406</v>
      </c>
      <c r="F78" s="61">
        <f>ABS(F50)*F63*1000*'Cost Assumptions'!$B$7*'Cost Assumptions'!$B$13</f>
        <v>21737893.134819534</v>
      </c>
      <c r="G78" s="61">
        <f>ABS(G50)*G63*1000*'Cost Assumptions'!$B$7*'Cost Assumptions'!$B$13</f>
        <v>22354013.989223354</v>
      </c>
      <c r="H78" s="61">
        <f>ABS(H50)*H63*1000*'Cost Assumptions'!$B$7*'Cost Assumptions'!$B$13</f>
        <v>22986256.210483633</v>
      </c>
      <c r="I78" s="61">
        <f>ABS(I50)*I63*1000*'Cost Assumptions'!$B$7*'Cost Assumptions'!$B$13</f>
        <v>23632537.815659925</v>
      </c>
      <c r="J78" s="61">
        <f>ABS(J50)*J63*1000*'Cost Assumptions'!$B$7*'Cost Assumptions'!$B$13</f>
        <v>24298814.599540979</v>
      </c>
      <c r="K78" s="61">
        <f>ABS(K50)*K63*1000*'Cost Assumptions'!$B$7*'Cost Assumptions'!$B$13</f>
        <v>24979223.643901888</v>
      </c>
      <c r="L78" s="61">
        <f>ABS(L50)*L63*1000*'Cost Assumptions'!$B$7*'Cost Assumptions'!$B$13</f>
        <v>25674264.679103427</v>
      </c>
      <c r="M78" s="61">
        <f>ABS(M50)*M63*1000*'Cost Assumptions'!$B$7*'Cost Assumptions'!$B$13</f>
        <v>26385048.700102288</v>
      </c>
      <c r="N78" s="61">
        <f>ABS(N50)*N63*1000*'Cost Assumptions'!$B$7*'Cost Assumptions'!$B$13</f>
        <v>27114362.366446223</v>
      </c>
      <c r="O78" s="61">
        <f>ABS(O50)*O63*1000*'Cost Assumptions'!$B$7*'Cost Assumptions'!$B$13</f>
        <v>27860947.963058323</v>
      </c>
      <c r="P78" s="61">
        <f>ABS(P50)*P63*1000*'Cost Assumptions'!$B$7*'Cost Assumptions'!$B$13</f>
        <v>28625593.559803188</v>
      </c>
      <c r="Q78" s="61">
        <f>ABS(Q50)*Q63*1000*'Cost Assumptions'!$B$7*'Cost Assumptions'!$B$13</f>
        <v>29408510.196758304</v>
      </c>
      <c r="R78" s="61">
        <f>ABS(R50)*R63*1000*'Cost Assumptions'!$B$7*'Cost Assumptions'!$B$13</f>
        <v>30209970.659729365</v>
      </c>
      <c r="S78" s="61">
        <f>ABS(S50)*S63*1000*'Cost Assumptions'!$B$7*'Cost Assumptions'!$B$13</f>
        <v>31032602.131211959</v>
      </c>
      <c r="T78" s="61">
        <f>ABS(T50)*T63*1000*'Cost Assumptions'!$B$7*'Cost Assumptions'!$B$13</f>
        <v>31878036.47868735</v>
      </c>
      <c r="U78" s="61">
        <f>ABS(U50)*U63*1000*'Cost Assumptions'!$B$7*'Cost Assumptions'!$B$13</f>
        <v>32745780.819771487</v>
      </c>
      <c r="V78" s="61">
        <f>ABS(V50)*V63*1000*'Cost Assumptions'!$B$7*'Cost Assumptions'!$B$13</f>
        <v>33631764.050041921</v>
      </c>
      <c r="W78" s="61">
        <f>ABS(W50)*W63*1000*'Cost Assumptions'!$B$7*'Cost Assumptions'!$B$13</f>
        <v>34541580.328813404</v>
      </c>
      <c r="X78" s="61">
        <f>ABS(X50)*X63*1000*'Cost Assumptions'!$B$7*'Cost Assumptions'!$B$13</f>
        <v>35475867.568992302</v>
      </c>
      <c r="Y78" s="61">
        <f>ABS(Y50)*Y63*1000*'Cost Assumptions'!$B$7*'Cost Assumptions'!$B$13</f>
        <v>36434655.541877493</v>
      </c>
      <c r="Z78" s="61">
        <f>ABS(Z50)*Z63*1000*'Cost Assumptions'!$B$7*'Cost Assumptions'!$B$13</f>
        <v>37411521.25453268</v>
      </c>
      <c r="AA78" s="61">
        <f>ABS(AA50)*AA63*1000*'Cost Assumptions'!$B$7*'Cost Assumptions'!$B$13</f>
        <v>38413801.803716548</v>
      </c>
      <c r="AB78" s="61">
        <f>ABS(AB50)*AB63*1000*'Cost Assumptions'!$B$7*'Cost Assumptions'!$B$13</f>
        <v>39442814.179575488</v>
      </c>
      <c r="AC78" s="61">
        <f>ABS(AC50)*AC63*1000*'Cost Assumptions'!$B$7*'Cost Assumptions'!$B$13</f>
        <v>40499958.587453388</v>
      </c>
      <c r="AD78" s="61">
        <f>ABS(AD50)*AD63*1000*'Cost Assumptions'!$B$7*'Cost Assumptions'!$B$13</f>
        <v>41573991.811469004</v>
      </c>
      <c r="AE78" s="61">
        <f>ABS(AE50)*AE63*1000*'Cost Assumptions'!$B$7*'Cost Assumptions'!$B$13</f>
        <v>42676414.222568385</v>
      </c>
    </row>
    <row r="79" spans="1:31" ht="32.5" customHeight="1" x14ac:dyDescent="0.35">
      <c r="A79" s="3" t="s">
        <v>146</v>
      </c>
      <c r="B79" s="87" t="s">
        <v>152</v>
      </c>
      <c r="C79" s="17">
        <f>NPV('Cost Assumptions'!$B$3,D79:AE79)</f>
        <v>295878035.7355693</v>
      </c>
      <c r="D79" s="61">
        <f>SUM(D77:D78)</f>
        <v>24980333.882155292</v>
      </c>
      <c r="E79" s="61">
        <f>SUM(E77:E78)</f>
        <v>25762611.35762636</v>
      </c>
      <c r="F79" s="61">
        <f t="shared" ref="F79:AE79" si="30">SUM(F77:F78)</f>
        <v>26560335.806681626</v>
      </c>
      <c r="G79" s="61">
        <f t="shared" si="30"/>
        <v>27313139.985493816</v>
      </c>
      <c r="H79" s="61">
        <f t="shared" si="30"/>
        <v>28085641.975621704</v>
      </c>
      <c r="I79" s="61">
        <f t="shared" si="30"/>
        <v>28875297.916641492</v>
      </c>
      <c r="J79" s="61">
        <f t="shared" si="30"/>
        <v>29689384.866573658</v>
      </c>
      <c r="K79" s="61">
        <f t="shared" si="30"/>
        <v>30520739.248161897</v>
      </c>
      <c r="L79" s="61">
        <f t="shared" si="30"/>
        <v>31369971.654443562</v>
      </c>
      <c r="M79" s="61">
        <f t="shared" si="30"/>
        <v>32238439.549039729</v>
      </c>
      <c r="N79" s="61">
        <f t="shared" si="30"/>
        <v>33129547.797955953</v>
      </c>
      <c r="O79" s="61">
        <f t="shared" si="30"/>
        <v>34041759.668327436</v>
      </c>
      <c r="P79" s="61">
        <f t="shared" si="30"/>
        <v>34976038.059369527</v>
      </c>
      <c r="Q79" s="61">
        <f t="shared" si="30"/>
        <v>35932640.829343461</v>
      </c>
      <c r="R79" s="61">
        <f t="shared" si="30"/>
        <v>36911901.2802191</v>
      </c>
      <c r="S79" s="61">
        <f t="shared" si="30"/>
        <v>37917029.421764903</v>
      </c>
      <c r="T79" s="61">
        <f t="shared" si="30"/>
        <v>38950019.143086188</v>
      </c>
      <c r="U79" s="61">
        <f t="shared" si="30"/>
        <v>40010268.218311653</v>
      </c>
      <c r="V79" s="61">
        <f t="shared" si="30"/>
        <v>41092802.388901435</v>
      </c>
      <c r="W79" s="61">
        <f t="shared" si="30"/>
        <v>42204456.850384124</v>
      </c>
      <c r="X79" s="61">
        <f t="shared" si="30"/>
        <v>43346011.033448026</v>
      </c>
      <c r="Y79" s="61">
        <f t="shared" si="30"/>
        <v>44517501.314005509</v>
      </c>
      <c r="Z79" s="61">
        <f t="shared" si="30"/>
        <v>45711079.790320456</v>
      </c>
      <c r="AA79" s="61">
        <f t="shared" si="30"/>
        <v>46935711.257304154</v>
      </c>
      <c r="AB79" s="61">
        <f t="shared" si="30"/>
        <v>48193004.87276803</v>
      </c>
      <c r="AC79" s="61">
        <f t="shared" si="30"/>
        <v>49484671.47059565</v>
      </c>
      <c r="AD79" s="61">
        <f t="shared" si="30"/>
        <v>50796973.583797872</v>
      </c>
      <c r="AE79" s="61">
        <f t="shared" si="30"/>
        <v>52143962.882991254</v>
      </c>
    </row>
    <row r="80" spans="1:31" s="60" customFormat="1" ht="32.5" customHeight="1" x14ac:dyDescent="0.35">
      <c r="A80" s="3"/>
      <c r="B80" s="87"/>
      <c r="C80" s="1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s="60" customFormat="1" ht="29" x14ac:dyDescent="0.35">
      <c r="A81" s="3" t="s">
        <v>147</v>
      </c>
      <c r="B81" s="87" t="s">
        <v>148</v>
      </c>
      <c r="C81" s="17">
        <f>NPV('Cost Assumptions'!$B$3,D81:AE81)</f>
        <v>224072258.94576469</v>
      </c>
      <c r="D81" s="61">
        <f>('Baseline System Analysis'!D42-D36)</f>
        <v>12558789.105584813</v>
      </c>
      <c r="E81" s="61">
        <f>('Baseline System Analysis'!E42-E36)</f>
        <v>13985303.570864048</v>
      </c>
      <c r="F81" s="61">
        <f>('Baseline System Analysis'!F42-F36)</f>
        <v>15430197.689718453</v>
      </c>
      <c r="G81" s="61">
        <f>('Baseline System Analysis'!G42-G36)</f>
        <v>16547939.398202203</v>
      </c>
      <c r="H81" s="61">
        <f>('Baseline System Analysis'!H42-H36)</f>
        <v>17680564.149154782</v>
      </c>
      <c r="I81" s="61">
        <f>('Baseline System Analysis'!I42-I36)</f>
        <v>18855023.544942681</v>
      </c>
      <c r="J81" s="61">
        <f>('Baseline System Analysis'!J42-J36)</f>
        <v>19925861.836750291</v>
      </c>
      <c r="K81" s="61">
        <f>('Baseline System Analysis'!K42-K36)</f>
        <v>21230261.293814443</v>
      </c>
      <c r="L81" s="61">
        <f>('Baseline System Analysis'!L42-L36)</f>
        <v>22736496.623289786</v>
      </c>
      <c r="M81" s="61">
        <f>('Baseline System Analysis'!M42-M36)</f>
        <v>24118345.295649115</v>
      </c>
      <c r="N81" s="61">
        <f>('Baseline System Analysis'!N42-N36)</f>
        <v>25763498.439406902</v>
      </c>
      <c r="O81" s="61">
        <f>('Baseline System Analysis'!O42-O36)</f>
        <v>27305447.881265312</v>
      </c>
      <c r="P81" s="61">
        <f>('Baseline System Analysis'!P42-P36)</f>
        <v>29042391.329290166</v>
      </c>
      <c r="Q81" s="61">
        <f>('Baseline System Analysis'!Q42-Q36)</f>
        <v>30748240.095262021</v>
      </c>
      <c r="R81" s="61">
        <f>('Baseline System Analysis'!R42-R36)</f>
        <v>32490302.594352432</v>
      </c>
      <c r="S81" s="61">
        <f>('Baseline System Analysis'!S42-S36)</f>
        <v>34399376.329900295</v>
      </c>
      <c r="T81" s="61">
        <f>('Baseline System Analysis'!T42-T36)</f>
        <v>36436611.237356231</v>
      </c>
      <c r="U81" s="61">
        <f>('Baseline System Analysis'!U42-U36)</f>
        <v>38458325.508611068</v>
      </c>
      <c r="V81" s="61">
        <f>('Baseline System Analysis'!V42-V36)</f>
        <v>40717373.88510403</v>
      </c>
      <c r="W81" s="61">
        <f>('Baseline System Analysis'!W42-W36)</f>
        <v>42789097.85114184</v>
      </c>
      <c r="X81" s="61">
        <f>('Baseline System Analysis'!X42-X36)</f>
        <v>44797526.443739548</v>
      </c>
      <c r="Y81" s="61">
        <f>('Baseline System Analysis'!Y42-Y36)</f>
        <v>46830050.969969869</v>
      </c>
      <c r="Z81" s="61">
        <f>('Baseline System Analysis'!Z42-Z36)</f>
        <v>49122666.427242115</v>
      </c>
      <c r="AA81" s="61">
        <f>('Baseline System Analysis'!AA42-AA36)</f>
        <v>51524823.84667857</v>
      </c>
      <c r="AB81" s="61">
        <f>('Baseline System Analysis'!AB42-AB36)</f>
        <v>53732433.344936445</v>
      </c>
      <c r="AC81" s="61">
        <f>('Baseline System Analysis'!AC42-AC36)</f>
        <v>56185975.700645879</v>
      </c>
      <c r="AD81" s="61">
        <f>('Baseline System Analysis'!AD42-AD36)</f>
        <v>58293399.081189603</v>
      </c>
      <c r="AE81" s="61">
        <f>('Baseline System Analysis'!AE42-AE36)</f>
        <v>60835870.727382839</v>
      </c>
    </row>
    <row r="82" spans="1:31" x14ac:dyDescent="0.35">
      <c r="A82" s="87"/>
      <c r="B82" s="87"/>
      <c r="C82" s="87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spans="1:31" ht="20" thickBot="1" x14ac:dyDescent="0.5">
      <c r="A83" s="145" t="s">
        <v>61</v>
      </c>
      <c r="B83" s="145"/>
      <c r="C83" s="17">
        <f>NPV('Cost Assumptions'!$B$3,D83:AE83)/1000000</f>
        <v>4593.2129279636802</v>
      </c>
      <c r="D83" s="61">
        <f>SUM(D67,D71,D75,D79,D81)</f>
        <v>92198139.728195116</v>
      </c>
      <c r="E83" s="61">
        <f>SUM(E67,E71,E75,E79,E81)</f>
        <v>122836828.1101595</v>
      </c>
      <c r="F83" s="61">
        <f t="shared" ref="F83:AE83" si="31">SUM(F67,F71,F75,F79,F81)</f>
        <v>158437849.4630062</v>
      </c>
      <c r="G83" s="61">
        <f t="shared" si="31"/>
        <v>195564736.43482032</v>
      </c>
      <c r="H83" s="61">
        <f t="shared" si="31"/>
        <v>233385763.14856523</v>
      </c>
      <c r="I83" s="61">
        <f t="shared" si="31"/>
        <v>272331300.51595759</v>
      </c>
      <c r="J83" s="61">
        <f t="shared" si="31"/>
        <v>316100517.17283189</v>
      </c>
      <c r="K83" s="61">
        <f t="shared" si="31"/>
        <v>361558648.80882692</v>
      </c>
      <c r="L83" s="61">
        <f t="shared" si="31"/>
        <v>410804229.74725962</v>
      </c>
      <c r="M83" s="61">
        <f t="shared" si="31"/>
        <v>465571172.42087013</v>
      </c>
      <c r="N83" s="61">
        <f t="shared" si="31"/>
        <v>525145416.80131948</v>
      </c>
      <c r="O83" s="61">
        <f t="shared" si="31"/>
        <v>589410093.30784702</v>
      </c>
      <c r="P83" s="61">
        <f t="shared" si="31"/>
        <v>656688697.45778775</v>
      </c>
      <c r="Q83" s="61">
        <f t="shared" si="31"/>
        <v>720740706.67751038</v>
      </c>
      <c r="R83" s="61">
        <f t="shared" si="31"/>
        <v>791258797.28995371</v>
      </c>
      <c r="S83" s="61">
        <f t="shared" si="31"/>
        <v>866665890.22728729</v>
      </c>
      <c r="T83" s="61">
        <f t="shared" si="31"/>
        <v>946656589.48505533</v>
      </c>
      <c r="U83" s="61">
        <f t="shared" si="31"/>
        <v>1033311766.1872804</v>
      </c>
      <c r="V83" s="61">
        <f t="shared" si="31"/>
        <v>1122055165.0144427</v>
      </c>
      <c r="W83" s="61">
        <f t="shared" si="31"/>
        <v>1219545866.8024323</v>
      </c>
      <c r="X83" s="61">
        <f t="shared" si="31"/>
        <v>1315671971.0292244</v>
      </c>
      <c r="Y83" s="61">
        <f t="shared" si="31"/>
        <v>1420848251.5032687</v>
      </c>
      <c r="Z83" s="61">
        <f t="shared" si="31"/>
        <v>1522938387.9274814</v>
      </c>
      <c r="AA83" s="61">
        <f t="shared" si="31"/>
        <v>1629872923.3685317</v>
      </c>
      <c r="AB83" s="61">
        <f t="shared" si="31"/>
        <v>1748951918.9361513</v>
      </c>
      <c r="AC83" s="61">
        <f t="shared" si="31"/>
        <v>1872515430.6738198</v>
      </c>
      <c r="AD83" s="61">
        <f t="shared" si="31"/>
        <v>1984730143.8081713</v>
      </c>
      <c r="AE83" s="61">
        <f t="shared" si="31"/>
        <v>2111608664.1852062</v>
      </c>
    </row>
    <row r="84" spans="1:31" s="60" customFormat="1" ht="20.5" thickTop="1" thickBot="1" x14ac:dyDescent="0.5">
      <c r="A84" s="145" t="s">
        <v>149</v>
      </c>
      <c r="B84" s="145"/>
      <c r="C84" s="17">
        <f>NPV('Cost Assumptions'!$B$3,D84:AE84)/1000000</f>
        <v>4596.865815020401</v>
      </c>
      <c r="D84" s="61">
        <f>D83+D43</f>
        <v>92434113.728195086</v>
      </c>
      <c r="E84" s="61">
        <f t="shared" ref="E84:AE84" si="32">E83+E43</f>
        <v>123089922.95515947</v>
      </c>
      <c r="F84" s="61">
        <f t="shared" si="32"/>
        <v>158706436.38415357</v>
      </c>
      <c r="G84" s="61">
        <f t="shared" si="32"/>
        <v>195849431.85164434</v>
      </c>
      <c r="H84" s="61">
        <f t="shared" si="32"/>
        <v>233687204.61902401</v>
      </c>
      <c r="I84" s="61">
        <f t="shared" si="32"/>
        <v>272650147.40809733</v>
      </c>
      <c r="J84" s="61">
        <f t="shared" si="32"/>
        <v>316437451.35681766</v>
      </c>
      <c r="K84" s="61">
        <f t="shared" si="32"/>
        <v>361914375.36994338</v>
      </c>
      <c r="L84" s="61">
        <f t="shared" si="32"/>
        <v>411179477.72049832</v>
      </c>
      <c r="M84" s="61">
        <f t="shared" si="32"/>
        <v>465966695.54773647</v>
      </c>
      <c r="N84" s="61">
        <f t="shared" si="32"/>
        <v>525561994.3095116</v>
      </c>
      <c r="O84" s="61">
        <f t="shared" si="32"/>
        <v>589848530.71447694</v>
      </c>
      <c r="P84" s="61">
        <f t="shared" si="32"/>
        <v>657149827.39683473</v>
      </c>
      <c r="Q84" s="61">
        <f t="shared" si="32"/>
        <v>721225389.7522161</v>
      </c>
      <c r="R84" s="61">
        <f t="shared" si="32"/>
        <v>791767922.95088911</v>
      </c>
      <c r="S84" s="61">
        <f t="shared" si="32"/>
        <v>867200377.67684233</v>
      </c>
      <c r="T84" s="61">
        <f t="shared" si="32"/>
        <v>947217388.60912287</v>
      </c>
      <c r="U84" s="61">
        <f t="shared" si="32"/>
        <v>1033899858.51493</v>
      </c>
      <c r="V84" s="61">
        <f t="shared" si="32"/>
        <v>1122671564.7064009</v>
      </c>
      <c r="W84" s="61">
        <f t="shared" si="32"/>
        <v>1220191621.66921</v>
      </c>
      <c r="X84" s="61">
        <f t="shared" si="32"/>
        <v>1316348163.5797548</v>
      </c>
      <c r="Y84" s="61">
        <f t="shared" si="32"/>
        <v>1421556000.0249479</v>
      </c>
      <c r="Z84" s="61">
        <f t="shared" si="32"/>
        <v>1523678847.5985227</v>
      </c>
      <c r="AA84" s="61">
        <f t="shared" si="32"/>
        <v>1630647287.4035771</v>
      </c>
      <c r="AB84" s="61">
        <f t="shared" si="32"/>
        <v>1749761419.7661066</v>
      </c>
      <c r="AC84" s="61">
        <f t="shared" si="32"/>
        <v>1873361341.1609087</v>
      </c>
      <c r="AD84" s="61">
        <f t="shared" si="32"/>
        <v>1985613778.4972317</v>
      </c>
      <c r="AE84" s="61">
        <f t="shared" si="32"/>
        <v>2112531380.5922823</v>
      </c>
    </row>
    <row r="85" spans="1:31" ht="15" thickTop="1" x14ac:dyDescent="0.35">
      <c r="A85" s="87"/>
      <c r="B85" s="87"/>
      <c r="C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</row>
    <row r="86" spans="1:31" ht="20" thickBot="1" x14ac:dyDescent="0.5">
      <c r="A86" s="145" t="s">
        <v>150</v>
      </c>
      <c r="B86" s="145"/>
      <c r="C86" s="17">
        <f>Summary!$D$8</f>
        <v>469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15" thickTop="1" x14ac:dyDescent="0.35">
      <c r="A87" s="87"/>
      <c r="B87" s="87"/>
      <c r="C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20" thickBot="1" x14ac:dyDescent="0.5">
      <c r="A88" s="145" t="s">
        <v>7</v>
      </c>
      <c r="B88" s="145"/>
      <c r="C88" s="50">
        <f>C84/C86</f>
        <v>9.801419648231132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15" thickTop="1" x14ac:dyDescent="0.35">
      <c r="A89" s="87"/>
      <c r="B89" s="87"/>
      <c r="C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</sheetData>
  <mergeCells count="8">
    <mergeCell ref="A86:B86"/>
    <mergeCell ref="A88:B88"/>
    <mergeCell ref="A84:B84"/>
    <mergeCell ref="B18:B31"/>
    <mergeCell ref="B2:B15"/>
    <mergeCell ref="B40:AE40"/>
    <mergeCell ref="A58:AE59"/>
    <mergeCell ref="A83:B83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0"/>
  <sheetViews>
    <sheetView zoomScale="73" zoomScaleNormal="73" workbookViewId="0"/>
  </sheetViews>
  <sheetFormatPr defaultRowHeight="14.5" x14ac:dyDescent="0.35"/>
  <cols>
    <col min="1" max="1" width="19.81640625" customWidth="1"/>
    <col min="2" max="2" width="29.453125" customWidth="1"/>
    <col min="3" max="3" width="19.26953125" customWidth="1"/>
    <col min="4" max="4" width="19.26953125" style="87" customWidth="1"/>
    <col min="5" max="5" width="15.1796875" bestFit="1" customWidth="1"/>
    <col min="6" max="7" width="15.7265625" bestFit="1" customWidth="1"/>
    <col min="8" max="8" width="16.1796875" bestFit="1" customWidth="1"/>
    <col min="9" max="9" width="14.81640625" bestFit="1" customWidth="1"/>
    <col min="10" max="15" width="16.81640625" bestFit="1" customWidth="1"/>
    <col min="16" max="17" width="19.26953125" customWidth="1"/>
    <col min="18" max="18" width="22.1796875" customWidth="1"/>
    <col min="19" max="19" width="22.453125" customWidth="1"/>
    <col min="20" max="20" width="16.26953125" customWidth="1"/>
    <col min="21" max="21" width="20.54296875" customWidth="1"/>
    <col min="22" max="22" width="21.1796875" customWidth="1"/>
    <col min="23" max="23" width="19.7265625" customWidth="1"/>
    <col min="24" max="24" width="16.54296875" bestFit="1" customWidth="1"/>
    <col min="25" max="25" width="16.81640625" bestFit="1" customWidth="1"/>
    <col min="26" max="31" width="16.26953125" bestFit="1" customWidth="1"/>
  </cols>
  <sheetData>
    <row r="1" spans="1:31" ht="20" thickBot="1" x14ac:dyDescent="0.5">
      <c r="A1" s="120"/>
      <c r="B1" s="125"/>
      <c r="C1" s="120" t="s">
        <v>105</v>
      </c>
      <c r="D1" s="120">
        <v>2021</v>
      </c>
      <c r="E1" s="120">
        <v>2022</v>
      </c>
      <c r="F1" s="120">
        <v>2023</v>
      </c>
      <c r="G1" s="120">
        <v>2024</v>
      </c>
      <c r="H1" s="120">
        <v>2025</v>
      </c>
      <c r="I1" s="120">
        <v>2026</v>
      </c>
      <c r="J1" s="120">
        <v>2027</v>
      </c>
      <c r="K1" s="120">
        <v>2028</v>
      </c>
      <c r="L1" s="120">
        <v>2029</v>
      </c>
      <c r="M1" s="120">
        <v>2030</v>
      </c>
      <c r="N1" s="120">
        <v>2031</v>
      </c>
      <c r="O1" s="120">
        <v>2032</v>
      </c>
      <c r="P1" s="120">
        <v>2033</v>
      </c>
      <c r="Q1" s="120">
        <v>2034</v>
      </c>
      <c r="R1" s="120">
        <v>2035</v>
      </c>
      <c r="S1" s="120">
        <v>2036</v>
      </c>
      <c r="T1" s="120">
        <v>2037</v>
      </c>
      <c r="U1" s="120">
        <v>2038</v>
      </c>
      <c r="V1" s="120">
        <v>2039</v>
      </c>
      <c r="W1" s="120">
        <v>2040</v>
      </c>
      <c r="X1" s="120">
        <v>2041</v>
      </c>
      <c r="Y1" s="120">
        <v>2042</v>
      </c>
      <c r="Z1" s="120">
        <v>2043</v>
      </c>
      <c r="AA1" s="120">
        <v>2044</v>
      </c>
      <c r="AB1" s="120">
        <v>2045</v>
      </c>
      <c r="AC1" s="120">
        <v>2046</v>
      </c>
      <c r="AD1" s="120">
        <v>2047</v>
      </c>
      <c r="AE1" s="120">
        <v>2048</v>
      </c>
    </row>
    <row r="2" spans="1:31" ht="15" thickTop="1" x14ac:dyDescent="0.35">
      <c r="A2" s="87"/>
      <c r="B2" s="161" t="s">
        <v>26</v>
      </c>
      <c r="C2" s="87" t="s">
        <v>107</v>
      </c>
      <c r="D2" s="61">
        <f>'Baseline System Analysis'!D2</f>
        <v>50081.749999999476</v>
      </c>
      <c r="E2" s="61">
        <f>'Baseline System Analysis'!E2</f>
        <v>50888.049999999792</v>
      </c>
      <c r="F2" s="61">
        <f>'Baseline System Analysis'!F2</f>
        <v>51484.553846153649</v>
      </c>
      <c r="G2" s="61">
        <f>'Baseline System Analysis'!G2</f>
        <v>52081.057692307506</v>
      </c>
      <c r="H2" s="61">
        <f>'Baseline System Analysis'!H2</f>
        <v>52677.561538461363</v>
      </c>
      <c r="I2" s="61">
        <f>'Baseline System Analysis'!I2</f>
        <v>53274.06538461522</v>
      </c>
      <c r="J2" s="61">
        <f>'Baseline System Analysis'!J2</f>
        <v>53870.569230769077</v>
      </c>
      <c r="K2" s="61">
        <f>'Baseline System Analysis'!K2</f>
        <v>54467.073076922934</v>
      </c>
      <c r="L2" s="61">
        <f>'Baseline System Analysis'!L2</f>
        <v>55063.576923076791</v>
      </c>
      <c r="M2" s="61">
        <f>'Baseline System Analysis'!M2</f>
        <v>55660.080769230648</v>
      </c>
      <c r="N2" s="61">
        <f>'Baseline System Analysis'!N2</f>
        <v>56256.584615384505</v>
      </c>
      <c r="O2" s="61">
        <f>'Baseline System Analysis'!O2</f>
        <v>56853.088461538362</v>
      </c>
      <c r="P2" s="61">
        <f>'Baseline System Analysis'!P2</f>
        <v>57449.592307692219</v>
      </c>
      <c r="Q2" s="61">
        <f>'Baseline System Analysis'!Q2</f>
        <v>58046.096153846076</v>
      </c>
      <c r="R2" s="61">
        <f>'Baseline System Analysis'!R2</f>
        <v>58642.599999999933</v>
      </c>
      <c r="S2" s="61">
        <f>'Baseline System Analysis'!S2</f>
        <v>59239.10384615379</v>
      </c>
      <c r="T2" s="61">
        <f>'Baseline System Analysis'!T2</f>
        <v>59835.607692307647</v>
      </c>
      <c r="U2" s="61">
        <f>'Baseline System Analysis'!U2</f>
        <v>60432.111538461504</v>
      </c>
      <c r="V2" s="61">
        <f>'Baseline System Analysis'!V2</f>
        <v>61028.615384615361</v>
      </c>
      <c r="W2" s="61">
        <f>'Baseline System Analysis'!W2</f>
        <v>61625.119230769218</v>
      </c>
      <c r="X2" s="61">
        <f>'Baseline System Analysis'!X2</f>
        <v>62221.623076923075</v>
      </c>
      <c r="Y2" s="61">
        <f>'Baseline System Analysis'!Y2</f>
        <v>62818.126923076932</v>
      </c>
      <c r="Z2" s="61">
        <f>'Baseline System Analysis'!Z2</f>
        <v>63414.630769230789</v>
      </c>
      <c r="AA2" s="61">
        <f>'Baseline System Analysis'!AA2</f>
        <v>64011.134615384646</v>
      </c>
      <c r="AB2" s="61">
        <f>'Baseline System Analysis'!AB2</f>
        <v>64607.638461538503</v>
      </c>
      <c r="AC2" s="61">
        <f>'Baseline System Analysis'!AC2</f>
        <v>65204.14230769236</v>
      </c>
      <c r="AD2" s="61">
        <f>'Baseline System Analysis'!AD2</f>
        <v>65800.646153846217</v>
      </c>
      <c r="AE2" s="61">
        <f>'Baseline System Analysis'!AE2</f>
        <v>66397.149999999994</v>
      </c>
    </row>
    <row r="3" spans="1:31" x14ac:dyDescent="0.35">
      <c r="A3" s="87" t="s">
        <v>30</v>
      </c>
      <c r="B3" s="163"/>
      <c r="C3" s="87" t="s">
        <v>31</v>
      </c>
      <c r="D3" s="61">
        <f>'Baseline System Analysis'!D3</f>
        <v>18</v>
      </c>
      <c r="E3" s="61">
        <f>'Baseline System Analysis'!E3</f>
        <v>40</v>
      </c>
      <c r="F3" s="61">
        <f>'Baseline System Analysis'!F3</f>
        <v>71.833333333333343</v>
      </c>
      <c r="G3" s="61">
        <f>'Baseline System Analysis'!G3</f>
        <v>103.66666666666669</v>
      </c>
      <c r="H3" s="61">
        <f>'Baseline System Analysis'!H3</f>
        <v>135.50000000000003</v>
      </c>
      <c r="I3" s="61">
        <f>'Baseline System Analysis'!I3</f>
        <v>167.33333333333337</v>
      </c>
      <c r="J3" s="61">
        <f>'Baseline System Analysis'!J3</f>
        <v>199.16666666666671</v>
      </c>
      <c r="K3" s="61">
        <f>'Baseline System Analysis'!K3</f>
        <v>231.00000000000003</v>
      </c>
      <c r="L3" s="61">
        <f>'Baseline System Analysis'!L3</f>
        <v>348.1</v>
      </c>
      <c r="M3" s="61">
        <f>'Baseline System Analysis'!M3</f>
        <v>465.20000000000005</v>
      </c>
      <c r="N3" s="61">
        <f>'Baseline System Analysis'!N3</f>
        <v>582.30000000000007</v>
      </c>
      <c r="O3" s="61">
        <f>'Baseline System Analysis'!O3</f>
        <v>699.4</v>
      </c>
      <c r="P3" s="61">
        <f>'Baseline System Analysis'!P3</f>
        <v>988.65</v>
      </c>
      <c r="Q3" s="61">
        <f>'Baseline System Analysis'!Q3</f>
        <v>1277.9000000000001</v>
      </c>
      <c r="R3" s="61">
        <f>'Baseline System Analysis'!R3</f>
        <v>1567.15</v>
      </c>
      <c r="S3" s="61">
        <f>'Baseline System Analysis'!S3</f>
        <v>1856.4</v>
      </c>
      <c r="T3" s="61">
        <f>'Baseline System Analysis'!T3</f>
        <v>2145.65</v>
      </c>
      <c r="U3" s="61">
        <f>'Baseline System Analysis'!U3</f>
        <v>2434.9</v>
      </c>
      <c r="V3" s="61">
        <f>'Baseline System Analysis'!V3</f>
        <v>3114.9700000000003</v>
      </c>
      <c r="W3" s="61">
        <f>'Baseline System Analysis'!W3</f>
        <v>3795.04</v>
      </c>
      <c r="X3" s="61">
        <f>'Baseline System Analysis'!X3</f>
        <v>4475.1099999999997</v>
      </c>
      <c r="Y3" s="61">
        <f>'Baseline System Analysis'!Y3</f>
        <v>5155.1799999999994</v>
      </c>
      <c r="Z3" s="61">
        <f>'Baseline System Analysis'!Z3</f>
        <v>5262.7000000000007</v>
      </c>
      <c r="AA3" s="61">
        <f>'Baseline System Analysis'!AA3</f>
        <v>6057.2800000000007</v>
      </c>
      <c r="AB3" s="61">
        <f>'Baseline System Analysis'!AB3</f>
        <v>6851.8600000000006</v>
      </c>
      <c r="AC3" s="61">
        <f>'Baseline System Analysis'!AC3</f>
        <v>7646.4400000000005</v>
      </c>
      <c r="AD3" s="61">
        <f>'Baseline System Analysis'!AD3</f>
        <v>8441.02</v>
      </c>
      <c r="AE3" s="61">
        <f>'Baseline System Analysis'!AE3</f>
        <v>9235.5999999999985</v>
      </c>
    </row>
    <row r="4" spans="1:31" x14ac:dyDescent="0.35">
      <c r="A4" s="87" t="s">
        <v>30</v>
      </c>
      <c r="B4" s="163"/>
      <c r="C4" s="87" t="s">
        <v>32</v>
      </c>
      <c r="D4" s="61">
        <f>'Baseline System Analysis'!D4</f>
        <v>3.5</v>
      </c>
      <c r="E4" s="61">
        <f>'Baseline System Analysis'!E4</f>
        <v>6</v>
      </c>
      <c r="F4" s="61">
        <f>'Baseline System Analysis'!F4</f>
        <v>8.8833333333333346</v>
      </c>
      <c r="G4" s="61">
        <f>'Baseline System Analysis'!G4</f>
        <v>11.766666666666669</v>
      </c>
      <c r="H4" s="61">
        <f>'Baseline System Analysis'!H4</f>
        <v>14.650000000000004</v>
      </c>
      <c r="I4" s="61">
        <f>'Baseline System Analysis'!I4</f>
        <v>17.533333333333339</v>
      </c>
      <c r="J4" s="61">
        <f>'Baseline System Analysis'!J4</f>
        <v>20.416666666666675</v>
      </c>
      <c r="K4" s="61">
        <f>'Baseline System Analysis'!K4</f>
        <v>23.300000000000011</v>
      </c>
      <c r="L4" s="61">
        <f>'Baseline System Analysis'!L4</f>
        <v>26.250000000000014</v>
      </c>
      <c r="M4" s="61">
        <f>'Baseline System Analysis'!M4</f>
        <v>29.200000000000017</v>
      </c>
      <c r="N4" s="61">
        <f>'Baseline System Analysis'!N4</f>
        <v>32.15000000000002</v>
      </c>
      <c r="O4" s="61">
        <f>'Baseline System Analysis'!O4</f>
        <v>35.100000000000023</v>
      </c>
      <c r="P4" s="61">
        <f>'Baseline System Analysis'!P4</f>
        <v>39.500000000000021</v>
      </c>
      <c r="Q4" s="61">
        <f>'Baseline System Analysis'!Q4</f>
        <v>43.90000000000002</v>
      </c>
      <c r="R4" s="61">
        <f>'Baseline System Analysis'!R4</f>
        <v>48.300000000000018</v>
      </c>
      <c r="S4" s="61">
        <f>'Baseline System Analysis'!S4</f>
        <v>52.700000000000017</v>
      </c>
      <c r="T4" s="61">
        <f>'Baseline System Analysis'!T4</f>
        <v>57.100000000000016</v>
      </c>
      <c r="U4" s="61">
        <f>'Baseline System Analysis'!U4</f>
        <v>61.5</v>
      </c>
      <c r="V4" s="61">
        <f>'Baseline System Analysis'!V4</f>
        <v>63.48</v>
      </c>
      <c r="W4" s="61">
        <f>'Baseline System Analysis'!W4</f>
        <v>65.459999999999994</v>
      </c>
      <c r="X4" s="61">
        <f>'Baseline System Analysis'!X4</f>
        <v>67.439999999999984</v>
      </c>
      <c r="Y4" s="61">
        <f>'Baseline System Analysis'!Y4</f>
        <v>69.419999999999973</v>
      </c>
      <c r="Z4" s="61">
        <f>'Baseline System Analysis'!Z4</f>
        <v>71.399999999999977</v>
      </c>
      <c r="AA4" s="61">
        <f>'Baseline System Analysis'!AA4</f>
        <v>82.799999999999983</v>
      </c>
      <c r="AB4" s="61">
        <f>'Baseline System Analysis'!AB4</f>
        <v>94.199999999999989</v>
      </c>
      <c r="AC4" s="61">
        <f>'Baseline System Analysis'!AC4</f>
        <v>105.6</v>
      </c>
      <c r="AD4" s="61">
        <f>'Baseline System Analysis'!AD4</f>
        <v>117</v>
      </c>
      <c r="AE4" s="61">
        <f>'Baseline System Analysis'!AE4</f>
        <v>128.40000000000003</v>
      </c>
    </row>
    <row r="5" spans="1:31" x14ac:dyDescent="0.35">
      <c r="A5" s="87" t="s">
        <v>30</v>
      </c>
      <c r="B5" s="163"/>
      <c r="C5" s="87" t="s">
        <v>33</v>
      </c>
      <c r="D5" s="61">
        <f>'Baseline System Analysis'!D5</f>
        <v>0.20339500662097962</v>
      </c>
      <c r="E5" s="61">
        <f>'Baseline System Analysis'!E5</f>
        <v>0.45604357175421173</v>
      </c>
      <c r="F5" s="61">
        <f>'Baseline System Analysis'!F5</f>
        <v>1.1323955044854586</v>
      </c>
      <c r="G5" s="61">
        <f>'Baseline System Analysis'!G5</f>
        <v>1.8087474372167054</v>
      </c>
      <c r="H5" s="61">
        <f>'Baseline System Analysis'!H5</f>
        <v>2.4850993699479522</v>
      </c>
      <c r="I5" s="61">
        <f>'Baseline System Analysis'!I5</f>
        <v>3.161451302679199</v>
      </c>
      <c r="J5" s="61">
        <f>'Baseline System Analysis'!J5</f>
        <v>3.8378032354104459</v>
      </c>
      <c r="K5" s="61">
        <f>'Baseline System Analysis'!K5</f>
        <v>4.5141551681416932</v>
      </c>
      <c r="L5" s="61">
        <f>'Baseline System Analysis'!L5</f>
        <v>9.7534462457669928</v>
      </c>
      <c r="M5" s="61">
        <f>'Baseline System Analysis'!M5</f>
        <v>14.992737323392292</v>
      </c>
      <c r="N5" s="61">
        <f>'Baseline System Analysis'!N5</f>
        <v>20.232028401017594</v>
      </c>
      <c r="O5" s="61">
        <f>'Baseline System Analysis'!O5</f>
        <v>25.47131947864289</v>
      </c>
      <c r="P5" s="61">
        <f>'Baseline System Analysis'!P5</f>
        <v>54.136770269638852</v>
      </c>
      <c r="Q5" s="61">
        <f>'Baseline System Analysis'!Q5</f>
        <v>82.802221060634821</v>
      </c>
      <c r="R5" s="61">
        <f>'Baseline System Analysis'!R5</f>
        <v>111.46767185163078</v>
      </c>
      <c r="S5" s="61">
        <f>'Baseline System Analysis'!S5</f>
        <v>140.13312264262674</v>
      </c>
      <c r="T5" s="61">
        <f>'Baseline System Analysis'!T5</f>
        <v>168.79857343362272</v>
      </c>
      <c r="U5" s="61">
        <f>'Baseline System Analysis'!U5</f>
        <v>197.46402422461867</v>
      </c>
      <c r="V5" s="61">
        <f>'Baseline System Analysis'!V5</f>
        <v>305.59912830497183</v>
      </c>
      <c r="W5" s="61">
        <f>'Baseline System Analysis'!W5</f>
        <v>413.73423238532496</v>
      </c>
      <c r="X5" s="61">
        <f>'Baseline System Analysis'!X5</f>
        <v>521.86933646567809</v>
      </c>
      <c r="Y5" s="61">
        <f>'Baseline System Analysis'!Y5</f>
        <v>630.00444054603122</v>
      </c>
      <c r="Z5" s="61">
        <f>'Baseline System Analysis'!Z5</f>
        <v>738.13954462638446</v>
      </c>
      <c r="AA5" s="61">
        <f>'Baseline System Analysis'!AA5</f>
        <v>977.35685377183961</v>
      </c>
      <c r="AB5" s="61">
        <f>'Baseline System Analysis'!AB5</f>
        <v>1216.5741629172949</v>
      </c>
      <c r="AC5" s="61">
        <f>'Baseline System Analysis'!AC5</f>
        <v>1455.79147206275</v>
      </c>
      <c r="AD5" s="61">
        <f>'Baseline System Analysis'!AD5</f>
        <v>1695.0087812082052</v>
      </c>
      <c r="AE5" s="61">
        <f>'Baseline System Analysis'!AE5</f>
        <v>1934.2260903536601</v>
      </c>
    </row>
    <row r="6" spans="1:31" x14ac:dyDescent="0.35">
      <c r="A6" s="87" t="s">
        <v>30</v>
      </c>
      <c r="B6" s="163"/>
      <c r="C6" s="87" t="s">
        <v>34</v>
      </c>
      <c r="D6" s="61">
        <f>'Baseline System Analysis'!D6</f>
        <v>1.4005750795433276E-2</v>
      </c>
      <c r="E6" s="61">
        <f>'Baseline System Analysis'!E6</f>
        <v>3.0923092581675603E-2</v>
      </c>
      <c r="F6" s="61">
        <f>'Baseline System Analysis'!F6</f>
        <v>5.759084080794194E-2</v>
      </c>
      <c r="G6" s="61">
        <f>'Baseline System Analysis'!G6</f>
        <v>8.425858903420827E-2</v>
      </c>
      <c r="H6" s="61">
        <f>'Baseline System Analysis'!H6</f>
        <v>0.1109263372604746</v>
      </c>
      <c r="I6" s="61">
        <f>'Baseline System Analysis'!I6</f>
        <v>0.13759408548674093</v>
      </c>
      <c r="J6" s="61">
        <f>'Baseline System Analysis'!J6</f>
        <v>0.16426183371300726</v>
      </c>
      <c r="K6" s="61">
        <f>'Baseline System Analysis'!K6</f>
        <v>0.19092958193927362</v>
      </c>
      <c r="L6" s="61">
        <f>'Baseline System Analysis'!L6</f>
        <v>0.29587438223639861</v>
      </c>
      <c r="M6" s="61">
        <f>'Baseline System Analysis'!M6</f>
        <v>0.40081918253352361</v>
      </c>
      <c r="N6" s="61">
        <f>'Baseline System Analysis'!N6</f>
        <v>0.50576398283064861</v>
      </c>
      <c r="O6" s="61">
        <f>'Baseline System Analysis'!O6</f>
        <v>0.61070878312777355</v>
      </c>
      <c r="P6" s="61">
        <f>'Baseline System Analysis'!P6</f>
        <v>0.87239668235874701</v>
      </c>
      <c r="Q6" s="61">
        <f>'Baseline System Analysis'!Q6</f>
        <v>1.1340845815897205</v>
      </c>
      <c r="R6" s="61">
        <f>'Baseline System Analysis'!R6</f>
        <v>1.3957724808206939</v>
      </c>
      <c r="S6" s="61">
        <f>'Baseline System Analysis'!S6</f>
        <v>1.6574603800516674</v>
      </c>
      <c r="T6" s="61">
        <f>'Baseline System Analysis'!T6</f>
        <v>1.9191482792826409</v>
      </c>
      <c r="U6" s="61">
        <f>'Baseline System Analysis'!U6</f>
        <v>2.1808361785136139</v>
      </c>
      <c r="V6" s="61">
        <f>'Baseline System Analysis'!V6</f>
        <v>2.7006647240796955</v>
      </c>
      <c r="W6" s="61">
        <f>'Baseline System Analysis'!W6</f>
        <v>3.2204932696457771</v>
      </c>
      <c r="X6" s="61">
        <f>'Baseline System Analysis'!X6</f>
        <v>3.7403218152118587</v>
      </c>
      <c r="Y6" s="61">
        <f>'Baseline System Analysis'!Y6</f>
        <v>4.2601503607779403</v>
      </c>
      <c r="Z6" s="61">
        <f>'Baseline System Analysis'!Z6</f>
        <v>4.779978906344021</v>
      </c>
      <c r="AA6" s="61">
        <f>'Baseline System Analysis'!AA6</f>
        <v>5.5135775055585849</v>
      </c>
      <c r="AB6" s="61">
        <f>'Baseline System Analysis'!AB6</f>
        <v>6.2471761047731489</v>
      </c>
      <c r="AC6" s="61">
        <f>'Baseline System Analysis'!AC6</f>
        <v>6.9807747039877128</v>
      </c>
      <c r="AD6" s="61">
        <f>'Baseline System Analysis'!AD6</f>
        <v>7.7143733032022768</v>
      </c>
      <c r="AE6" s="61">
        <f>'Baseline System Analysis'!AE6</f>
        <v>8.4479719024168425</v>
      </c>
    </row>
    <row r="7" spans="1:31" x14ac:dyDescent="0.35">
      <c r="A7" s="87" t="s">
        <v>30</v>
      </c>
      <c r="B7" s="163"/>
      <c r="C7" s="87" t="s">
        <v>35</v>
      </c>
      <c r="D7" s="61">
        <f>'Baseline System Analysis'!D7</f>
        <v>18</v>
      </c>
      <c r="E7" s="61">
        <f>'Baseline System Analysis'!E7</f>
        <v>28</v>
      </c>
      <c r="F7" s="61">
        <f>'Baseline System Analysis'!F7</f>
        <v>33.333333333333336</v>
      </c>
      <c r="G7" s="61">
        <f>'Baseline System Analysis'!G7</f>
        <v>38.666666666666671</v>
      </c>
      <c r="H7" s="61">
        <f>'Baseline System Analysis'!H7</f>
        <v>44.000000000000007</v>
      </c>
      <c r="I7" s="61">
        <f>'Baseline System Analysis'!I7</f>
        <v>49.333333333333343</v>
      </c>
      <c r="J7" s="61">
        <f>'Baseline System Analysis'!J7</f>
        <v>54.666666666666679</v>
      </c>
      <c r="K7" s="61">
        <f>'Baseline System Analysis'!K7</f>
        <v>60</v>
      </c>
      <c r="L7" s="61">
        <f>'Baseline System Analysis'!L7</f>
        <v>67</v>
      </c>
      <c r="M7" s="61">
        <f>'Baseline System Analysis'!M7</f>
        <v>74</v>
      </c>
      <c r="N7" s="61">
        <f>'Baseline System Analysis'!N7</f>
        <v>81</v>
      </c>
      <c r="O7" s="61">
        <f>'Baseline System Analysis'!O7</f>
        <v>88</v>
      </c>
      <c r="P7" s="61">
        <f>'Baseline System Analysis'!P7</f>
        <v>97.833333333333329</v>
      </c>
      <c r="Q7" s="61">
        <f>'Baseline System Analysis'!Q7</f>
        <v>107.66666666666666</v>
      </c>
      <c r="R7" s="61">
        <f>'Baseline System Analysis'!R7</f>
        <v>117.49999999999999</v>
      </c>
      <c r="S7" s="61">
        <f>'Baseline System Analysis'!S7</f>
        <v>127.33333333333331</v>
      </c>
      <c r="T7" s="61">
        <f>'Baseline System Analysis'!T7</f>
        <v>137.16666666666666</v>
      </c>
      <c r="U7" s="61">
        <f>'Baseline System Analysis'!U7</f>
        <v>147</v>
      </c>
      <c r="V7" s="61">
        <f>'Baseline System Analysis'!V7</f>
        <v>158.4</v>
      </c>
      <c r="W7" s="61">
        <f>'Baseline System Analysis'!W7</f>
        <v>169.8</v>
      </c>
      <c r="X7" s="61">
        <f>'Baseline System Analysis'!X7</f>
        <v>181.20000000000002</v>
      </c>
      <c r="Y7" s="61">
        <f>'Baseline System Analysis'!Y7</f>
        <v>192.60000000000002</v>
      </c>
      <c r="Z7" s="61">
        <f>'Baseline System Analysis'!Z7</f>
        <v>204</v>
      </c>
      <c r="AA7" s="61">
        <f>'Baseline System Analysis'!AA7</f>
        <v>215.4</v>
      </c>
      <c r="AB7" s="61">
        <f>'Baseline System Analysis'!AB7</f>
        <v>226.8</v>
      </c>
      <c r="AC7" s="61">
        <f>'Baseline System Analysis'!AC7</f>
        <v>238.20000000000002</v>
      </c>
      <c r="AD7" s="61">
        <f>'Baseline System Analysis'!AD7</f>
        <v>249.60000000000002</v>
      </c>
      <c r="AE7" s="61">
        <f>'Baseline System Analysis'!AE7</f>
        <v>261</v>
      </c>
    </row>
    <row r="8" spans="1:31" x14ac:dyDescent="0.35">
      <c r="A8" s="87" t="s">
        <v>39</v>
      </c>
      <c r="B8" s="163"/>
      <c r="C8" s="87" t="s">
        <v>31</v>
      </c>
      <c r="D8" s="61">
        <f>'Baseline System Analysis'!D8</f>
        <v>49.800000000000182</v>
      </c>
      <c r="E8" s="61">
        <f>'Baseline System Analysis'!E8</f>
        <v>129.00000000000023</v>
      </c>
      <c r="F8" s="61">
        <f>'Baseline System Analysis'!F8</f>
        <v>258.75000000000023</v>
      </c>
      <c r="G8" s="61">
        <f>'Baseline System Analysis'!G8</f>
        <v>388.50000000000023</v>
      </c>
      <c r="H8" s="61">
        <f>'Baseline System Analysis'!H8</f>
        <v>518.25000000000023</v>
      </c>
      <c r="I8" s="61">
        <f>'Baseline System Analysis'!I8</f>
        <v>648.00000000000023</v>
      </c>
      <c r="J8" s="61">
        <f>'Baseline System Analysis'!J8</f>
        <v>777.75000000000023</v>
      </c>
      <c r="K8" s="61">
        <f>'Baseline System Analysis'!K8</f>
        <v>907.5</v>
      </c>
      <c r="L8" s="61">
        <f>'Baseline System Analysis'!L8</f>
        <v>1246.7</v>
      </c>
      <c r="M8" s="61">
        <f>'Baseline System Analysis'!M8</f>
        <v>1585.9</v>
      </c>
      <c r="N8" s="61">
        <f>'Baseline System Analysis'!N8</f>
        <v>1925.1000000000001</v>
      </c>
      <c r="O8" s="61">
        <f>'Baseline System Analysis'!O8</f>
        <v>2264.3000000000002</v>
      </c>
      <c r="P8" s="61">
        <f>'Baseline System Analysis'!P8</f>
        <v>2843.6833333333334</v>
      </c>
      <c r="Q8" s="61">
        <f>'Baseline System Analysis'!Q8</f>
        <v>3423.0666666666666</v>
      </c>
      <c r="R8" s="61">
        <f>'Baseline System Analysis'!R8</f>
        <v>4002.45</v>
      </c>
      <c r="S8" s="61">
        <f>'Baseline System Analysis'!S8</f>
        <v>4581.833333333333</v>
      </c>
      <c r="T8" s="61">
        <f>'Baseline System Analysis'!T8</f>
        <v>5161.2166666666662</v>
      </c>
      <c r="U8" s="61">
        <f>'Baseline System Analysis'!U8</f>
        <v>5740.5999999999995</v>
      </c>
      <c r="V8" s="61">
        <f>'Baseline System Analysis'!V8</f>
        <v>6569.9999999999991</v>
      </c>
      <c r="W8" s="61">
        <f>'Baseline System Analysis'!W8</f>
        <v>7399.3999999999987</v>
      </c>
      <c r="X8" s="61">
        <f>'Baseline System Analysis'!X8</f>
        <v>8228.7999999999993</v>
      </c>
      <c r="Y8" s="61">
        <f>'Baseline System Analysis'!Y8</f>
        <v>9058.1999999999989</v>
      </c>
      <c r="Z8" s="61">
        <f>'Baseline System Analysis'!Z8</f>
        <v>9887.5999999999985</v>
      </c>
      <c r="AA8" s="61">
        <f>'Baseline System Analysis'!AA8</f>
        <v>10814.56</v>
      </c>
      <c r="AB8" s="61">
        <f>'Baseline System Analysis'!AB8</f>
        <v>11741.52</v>
      </c>
      <c r="AC8" s="61">
        <f>'Baseline System Analysis'!AC8</f>
        <v>12668.480000000001</v>
      </c>
      <c r="AD8" s="61">
        <f>'Baseline System Analysis'!AD8</f>
        <v>13595.440000000002</v>
      </c>
      <c r="AE8" s="61">
        <f>'Baseline System Analysis'!AE8</f>
        <v>14522.400000000003</v>
      </c>
    </row>
    <row r="9" spans="1:31" x14ac:dyDescent="0.35">
      <c r="A9" s="87" t="s">
        <v>39</v>
      </c>
      <c r="B9" s="163"/>
      <c r="C9" s="87" t="s">
        <v>32</v>
      </c>
      <c r="D9" s="61">
        <f>'Baseline System Analysis'!D9</f>
        <v>22.400000000000091</v>
      </c>
      <c r="E9" s="61">
        <f>'Baseline System Analysis'!E9</f>
        <v>42.200000000000045</v>
      </c>
      <c r="F9" s="61">
        <f>'Baseline System Analysis'!F9</f>
        <v>57.06666666666672</v>
      </c>
      <c r="G9" s="61">
        <f>'Baseline System Analysis'!G9</f>
        <v>71.933333333333394</v>
      </c>
      <c r="H9" s="61">
        <f>'Baseline System Analysis'!H9</f>
        <v>86.800000000000068</v>
      </c>
      <c r="I9" s="61">
        <f>'Baseline System Analysis'!I9</f>
        <v>101.66666666666674</v>
      </c>
      <c r="J9" s="61">
        <f>'Baseline System Analysis'!J9</f>
        <v>116.53333333333342</v>
      </c>
      <c r="K9" s="61">
        <f>'Baseline System Analysis'!K9</f>
        <v>131.40000000000009</v>
      </c>
      <c r="L9" s="61">
        <f>'Baseline System Analysis'!L9</f>
        <v>146.05000000000007</v>
      </c>
      <c r="M9" s="61">
        <f>'Baseline System Analysis'!M9</f>
        <v>160.70000000000005</v>
      </c>
      <c r="N9" s="61">
        <f>'Baseline System Analysis'!N9</f>
        <v>175.35000000000002</v>
      </c>
      <c r="O9" s="61">
        <f>'Baseline System Analysis'!O9</f>
        <v>190</v>
      </c>
      <c r="P9" s="61">
        <f>'Baseline System Analysis'!P9</f>
        <v>205</v>
      </c>
      <c r="Q9" s="61">
        <f>'Baseline System Analysis'!Q9</f>
        <v>220</v>
      </c>
      <c r="R9" s="61">
        <f>'Baseline System Analysis'!R9</f>
        <v>235</v>
      </c>
      <c r="S9" s="61">
        <f>'Baseline System Analysis'!S9</f>
        <v>250</v>
      </c>
      <c r="T9" s="61">
        <f>'Baseline System Analysis'!T9</f>
        <v>265</v>
      </c>
      <c r="U9" s="61">
        <f>'Baseline System Analysis'!U9</f>
        <v>280</v>
      </c>
      <c r="V9" s="61">
        <f>'Baseline System Analysis'!V9</f>
        <v>293.68</v>
      </c>
      <c r="W9" s="61">
        <f>'Baseline System Analysis'!W9</f>
        <v>307.36</v>
      </c>
      <c r="X9" s="61">
        <f>'Baseline System Analysis'!X9</f>
        <v>321.04000000000002</v>
      </c>
      <c r="Y9" s="61">
        <f>'Baseline System Analysis'!Y9</f>
        <v>334.72</v>
      </c>
      <c r="Z9" s="61">
        <f>'Baseline System Analysis'!Z9</f>
        <v>348.40000000000009</v>
      </c>
      <c r="AA9" s="61">
        <f>'Baseline System Analysis'!AA9</f>
        <v>360.84000000000003</v>
      </c>
      <c r="AB9" s="61">
        <f>'Baseline System Analysis'!AB9</f>
        <v>373.28</v>
      </c>
      <c r="AC9" s="61">
        <f>'Baseline System Analysis'!AC9</f>
        <v>385.71999999999991</v>
      </c>
      <c r="AD9" s="61">
        <f>'Baseline System Analysis'!AD9</f>
        <v>398.15999999999985</v>
      </c>
      <c r="AE9" s="61">
        <f>'Baseline System Analysis'!AE9</f>
        <v>410.59999999999991</v>
      </c>
    </row>
    <row r="10" spans="1:31" x14ac:dyDescent="0.35">
      <c r="A10" s="87" t="s">
        <v>39</v>
      </c>
      <c r="B10" s="163"/>
      <c r="C10" s="87" t="s">
        <v>33</v>
      </c>
      <c r="D10" s="61">
        <f>'Baseline System Analysis'!D10</f>
        <v>0.21200232326290805</v>
      </c>
      <c r="E10" s="61">
        <f>'Baseline System Analysis'!E10</f>
        <v>0.68645330574586072</v>
      </c>
      <c r="F10" s="61">
        <f>'Baseline System Analysis'!F10</f>
        <v>3.6304865724427344</v>
      </c>
      <c r="G10" s="61">
        <f>'Baseline System Analysis'!G10</f>
        <v>6.574519839139608</v>
      </c>
      <c r="H10" s="61">
        <f>'Baseline System Analysis'!H10</f>
        <v>9.5185531058364816</v>
      </c>
      <c r="I10" s="61">
        <f>'Baseline System Analysis'!I10</f>
        <v>12.462586372533355</v>
      </c>
      <c r="J10" s="61">
        <f>'Baseline System Analysis'!J10</f>
        <v>15.406619639230229</v>
      </c>
      <c r="K10" s="61">
        <f>'Baseline System Analysis'!K10</f>
        <v>18.350652905927102</v>
      </c>
      <c r="L10" s="61">
        <f>'Baseline System Analysis'!L10</f>
        <v>36.053857953636381</v>
      </c>
      <c r="M10" s="61">
        <f>'Baseline System Analysis'!M10</f>
        <v>53.757063001345664</v>
      </c>
      <c r="N10" s="61">
        <f>'Baseline System Analysis'!N10</f>
        <v>71.460268049054946</v>
      </c>
      <c r="O10" s="61">
        <f>'Baseline System Analysis'!O10</f>
        <v>89.163473096764235</v>
      </c>
      <c r="P10" s="61">
        <f>'Baseline System Analysis'!P10</f>
        <v>144.562613999387</v>
      </c>
      <c r="Q10" s="61">
        <f>'Baseline System Analysis'!Q10</f>
        <v>199.96175490200974</v>
      </c>
      <c r="R10" s="61">
        <f>'Baseline System Analysis'!R10</f>
        <v>255.36089580463249</v>
      </c>
      <c r="S10" s="61">
        <f>'Baseline System Analysis'!S10</f>
        <v>310.76003670725527</v>
      </c>
      <c r="T10" s="61">
        <f>'Baseline System Analysis'!T10</f>
        <v>366.15917760987804</v>
      </c>
      <c r="U10" s="61">
        <f>'Baseline System Analysis'!U10</f>
        <v>421.5583185125007</v>
      </c>
      <c r="V10" s="61">
        <f>'Baseline System Analysis'!V10</f>
        <v>551.91714225219016</v>
      </c>
      <c r="W10" s="61">
        <f>'Baseline System Analysis'!W10</f>
        <v>682.27596599187962</v>
      </c>
      <c r="X10" s="61">
        <f>'Baseline System Analysis'!X10</f>
        <v>812.63478973156907</v>
      </c>
      <c r="Y10" s="61">
        <f>'Baseline System Analysis'!Y10</f>
        <v>942.99361347125853</v>
      </c>
      <c r="Z10" s="61">
        <f>'Baseline System Analysis'!Z10</f>
        <v>1073.352437210948</v>
      </c>
      <c r="AA10" s="61">
        <f>'Baseline System Analysis'!AA10</f>
        <v>1297.6248419255464</v>
      </c>
      <c r="AB10" s="61">
        <f>'Baseline System Analysis'!AB10</f>
        <v>1521.8972466401449</v>
      </c>
      <c r="AC10" s="61">
        <f>'Baseline System Analysis'!AC10</f>
        <v>1746.1696513547433</v>
      </c>
      <c r="AD10" s="61">
        <f>'Baseline System Analysis'!AD10</f>
        <v>1970.4420560693418</v>
      </c>
      <c r="AE10" s="61">
        <f>'Baseline System Analysis'!AE10</f>
        <v>2194.71446078394</v>
      </c>
    </row>
    <row r="11" spans="1:31" x14ac:dyDescent="0.35">
      <c r="A11" s="87" t="s">
        <v>39</v>
      </c>
      <c r="B11" s="163"/>
      <c r="C11" s="87" t="s">
        <v>34</v>
      </c>
      <c r="D11" s="61">
        <f>'Baseline System Analysis'!D11</f>
        <v>5.3000580815727012E-2</v>
      </c>
      <c r="E11" s="61">
        <f>'Baseline System Analysis'!E11</f>
        <v>0.13729066114917213</v>
      </c>
      <c r="F11" s="61">
        <f>'Baseline System Analysis'!F11</f>
        <v>0.27537952381665309</v>
      </c>
      <c r="G11" s="61">
        <f>'Baseline System Analysis'!G11</f>
        <v>0.41346838648413409</v>
      </c>
      <c r="H11" s="61">
        <f>'Baseline System Analysis'!H11</f>
        <v>0.55155724915161508</v>
      </c>
      <c r="I11" s="61">
        <f>'Baseline System Analysis'!I11</f>
        <v>0.68964611181909607</v>
      </c>
      <c r="J11" s="61">
        <f>'Baseline System Analysis'!J11</f>
        <v>0.82773497448657707</v>
      </c>
      <c r="K11" s="61">
        <f>'Baseline System Analysis'!K11</f>
        <v>0.96582383715405795</v>
      </c>
      <c r="L11" s="61">
        <f>'Baseline System Analysis'!L11</f>
        <v>1.3268237771680045</v>
      </c>
      <c r="M11" s="61">
        <f>'Baseline System Analysis'!M11</f>
        <v>1.687823717181951</v>
      </c>
      <c r="N11" s="61">
        <f>'Baseline System Analysis'!N11</f>
        <v>2.0488236571958973</v>
      </c>
      <c r="O11" s="61">
        <f>'Baseline System Analysis'!O11</f>
        <v>2.4098235972098441</v>
      </c>
      <c r="P11" s="61">
        <f>'Baseline System Analysis'!P11</f>
        <v>3.0264431390094124</v>
      </c>
      <c r="Q11" s="61">
        <f>'Baseline System Analysis'!Q11</f>
        <v>3.6430626808089812</v>
      </c>
      <c r="R11" s="61">
        <f>'Baseline System Analysis'!R11</f>
        <v>4.25968222260855</v>
      </c>
      <c r="S11" s="61">
        <f>'Baseline System Analysis'!S11</f>
        <v>4.8763017644081188</v>
      </c>
      <c r="T11" s="61">
        <f>'Baseline System Analysis'!T11</f>
        <v>5.4929213062076876</v>
      </c>
      <c r="U11" s="61">
        <f>'Baseline System Analysis'!U11</f>
        <v>6.1095408480072555</v>
      </c>
      <c r="V11" s="61">
        <f>'Baseline System Analysis'!V11</f>
        <v>6.9922453003880554</v>
      </c>
      <c r="W11" s="61">
        <f>'Baseline System Analysis'!W11</f>
        <v>7.8749497527688552</v>
      </c>
      <c r="X11" s="61">
        <f>'Baseline System Analysis'!X11</f>
        <v>8.7576542051496542</v>
      </c>
      <c r="Y11" s="61">
        <f>'Baseline System Analysis'!Y11</f>
        <v>9.6403586575304541</v>
      </c>
      <c r="Z11" s="61">
        <f>'Baseline System Analysis'!Z11</f>
        <v>10.523063109911254</v>
      </c>
      <c r="AA11" s="61">
        <f>'Baseline System Analysis'!AA11</f>
        <v>11.509597615793707</v>
      </c>
      <c r="AB11" s="61">
        <f>'Baseline System Analysis'!AB11</f>
        <v>12.49613212167616</v>
      </c>
      <c r="AC11" s="61">
        <f>'Baseline System Analysis'!AC11</f>
        <v>13.482666627558613</v>
      </c>
      <c r="AD11" s="61">
        <f>'Baseline System Analysis'!AD11</f>
        <v>14.469201133441066</v>
      </c>
      <c r="AE11" s="61">
        <f>'Baseline System Analysis'!AE11</f>
        <v>15.455735639323521</v>
      </c>
    </row>
    <row r="12" spans="1:31" x14ac:dyDescent="0.35">
      <c r="A12" s="87" t="s">
        <v>39</v>
      </c>
      <c r="B12" s="163"/>
      <c r="C12" s="87" t="s">
        <v>35</v>
      </c>
      <c r="D12" s="61">
        <f>'Baseline System Analysis'!D12</f>
        <v>4</v>
      </c>
      <c r="E12" s="61">
        <f>'Baseline System Analysis'!E12</f>
        <v>5</v>
      </c>
      <c r="F12" s="61">
        <f>'Baseline System Analysis'!F12</f>
        <v>7.3333333333333339</v>
      </c>
      <c r="G12" s="61">
        <f>'Baseline System Analysis'!G12</f>
        <v>9.6666666666666679</v>
      </c>
      <c r="H12" s="61">
        <f>'Baseline System Analysis'!H12</f>
        <v>12.000000000000002</v>
      </c>
      <c r="I12" s="61">
        <f>'Baseline System Analysis'!I12</f>
        <v>14.333333333333336</v>
      </c>
      <c r="J12" s="61">
        <f>'Baseline System Analysis'!J12</f>
        <v>16.666666666666668</v>
      </c>
      <c r="K12" s="61">
        <f>'Baseline System Analysis'!K12</f>
        <v>19</v>
      </c>
      <c r="L12" s="61">
        <f>'Baseline System Analysis'!L12</f>
        <v>23.5</v>
      </c>
      <c r="M12" s="61">
        <f>'Baseline System Analysis'!M12</f>
        <v>28</v>
      </c>
      <c r="N12" s="61">
        <f>'Baseline System Analysis'!N12</f>
        <v>32.5</v>
      </c>
      <c r="O12" s="61">
        <f>'Baseline System Analysis'!O12</f>
        <v>37</v>
      </c>
      <c r="P12" s="61">
        <f>'Baseline System Analysis'!P12</f>
        <v>42.333333333333336</v>
      </c>
      <c r="Q12" s="61">
        <f>'Baseline System Analysis'!Q12</f>
        <v>47.666666666666671</v>
      </c>
      <c r="R12" s="61">
        <f>'Baseline System Analysis'!R12</f>
        <v>53.000000000000007</v>
      </c>
      <c r="S12" s="61">
        <f>'Baseline System Analysis'!S12</f>
        <v>58.333333333333343</v>
      </c>
      <c r="T12" s="61">
        <f>'Baseline System Analysis'!T12</f>
        <v>63.666666666666679</v>
      </c>
      <c r="U12" s="61">
        <f>'Baseline System Analysis'!U12</f>
        <v>69</v>
      </c>
      <c r="V12" s="61">
        <f>'Baseline System Analysis'!V12</f>
        <v>75.599999999999994</v>
      </c>
      <c r="W12" s="61">
        <f>'Baseline System Analysis'!W12</f>
        <v>82.199999999999989</v>
      </c>
      <c r="X12" s="61">
        <f>'Baseline System Analysis'!X12</f>
        <v>88.799999999999983</v>
      </c>
      <c r="Y12" s="61">
        <f>'Baseline System Analysis'!Y12</f>
        <v>95.399999999999977</v>
      </c>
      <c r="Z12" s="61">
        <f>'Baseline System Analysis'!Z12</f>
        <v>102</v>
      </c>
      <c r="AA12" s="61">
        <f>'Baseline System Analysis'!AA12</f>
        <v>110</v>
      </c>
      <c r="AB12" s="61">
        <f>'Baseline System Analysis'!AB12</f>
        <v>118</v>
      </c>
      <c r="AC12" s="61">
        <f>'Baseline System Analysis'!AC12</f>
        <v>126</v>
      </c>
      <c r="AD12" s="61">
        <f>'Baseline System Analysis'!AD12</f>
        <v>134</v>
      </c>
      <c r="AE12" s="61">
        <f>'Baseline System Analysis'!AE12</f>
        <v>142</v>
      </c>
    </row>
    <row r="13" spans="1:31" s="60" customFormat="1" x14ac:dyDescent="0.35">
      <c r="A13" s="87" t="s">
        <v>30</v>
      </c>
      <c r="B13" s="163"/>
      <c r="C13" s="87" t="s">
        <v>108</v>
      </c>
      <c r="D13" s="61">
        <f>'Baseline System Analysis'!D13</f>
        <v>6327.0339692588404</v>
      </c>
      <c r="E13" s="61">
        <f>'Baseline System Analysis'!E13</f>
        <v>9590.5671410490813</v>
      </c>
      <c r="F13" s="61">
        <f>'Baseline System Analysis'!F13</f>
        <v>12854.100312839322</v>
      </c>
      <c r="G13" s="61">
        <f>'Baseline System Analysis'!G13</f>
        <v>16117.633484629563</v>
      </c>
      <c r="H13" s="61">
        <f>'Baseline System Analysis'!H13</f>
        <v>19381.166656419802</v>
      </c>
      <c r="I13" s="61">
        <f>'Baseline System Analysis'!I13</f>
        <v>22644.699828210043</v>
      </c>
      <c r="J13" s="61">
        <f>'Baseline System Analysis'!J13</f>
        <v>25908.233000000284</v>
      </c>
      <c r="K13" s="61">
        <f>'Baseline System Analysis'!K13</f>
        <v>29171.766171790525</v>
      </c>
      <c r="L13" s="61">
        <f>'Baseline System Analysis'!L13</f>
        <v>32435.299343580766</v>
      </c>
      <c r="M13" s="61">
        <f>'Baseline System Analysis'!M13</f>
        <v>35698.832515371003</v>
      </c>
      <c r="N13" s="61">
        <f>'Baseline System Analysis'!N13</f>
        <v>38962.36568716124</v>
      </c>
      <c r="O13" s="61">
        <f>'Baseline System Analysis'!O13</f>
        <v>42225.898858951477</v>
      </c>
      <c r="P13" s="61">
        <f>'Baseline System Analysis'!P13</f>
        <v>45489.432030741715</v>
      </c>
      <c r="Q13" s="61">
        <f>'Baseline System Analysis'!Q13</f>
        <v>48752.965202531952</v>
      </c>
      <c r="R13" s="61">
        <f>'Baseline System Analysis'!R13</f>
        <v>52016.498374322189</v>
      </c>
      <c r="S13" s="61">
        <f>'Baseline System Analysis'!S13</f>
        <v>55280.031546112426</v>
      </c>
      <c r="T13" s="61">
        <f>'Baseline System Analysis'!T13</f>
        <v>58543.564717902664</v>
      </c>
      <c r="U13" s="61">
        <f>'Baseline System Analysis'!U13</f>
        <v>61807.097889692901</v>
      </c>
      <c r="V13" s="61">
        <f>'Baseline System Analysis'!V13</f>
        <v>65070.631061483138</v>
      </c>
      <c r="W13" s="61">
        <f>'Baseline System Analysis'!W13</f>
        <v>68334.164233273375</v>
      </c>
      <c r="X13" s="61">
        <f>'Baseline System Analysis'!X13</f>
        <v>71597.69740506362</v>
      </c>
      <c r="Y13" s="61">
        <f>'Baseline System Analysis'!Y13</f>
        <v>74861.230576853864</v>
      </c>
      <c r="Z13" s="61">
        <f>'Baseline System Analysis'!Z13</f>
        <v>78124.763748644109</v>
      </c>
      <c r="AA13" s="61">
        <f>'Baseline System Analysis'!AA13</f>
        <v>81388.296920434354</v>
      </c>
      <c r="AB13" s="61">
        <f>'Baseline System Analysis'!AB13</f>
        <v>84651.830092224598</v>
      </c>
      <c r="AC13" s="61">
        <f>'Baseline System Analysis'!AC13</f>
        <v>87915.363264014843</v>
      </c>
      <c r="AD13" s="61">
        <f>'Baseline System Analysis'!AD13</f>
        <v>91178.896435805087</v>
      </c>
      <c r="AE13" s="61">
        <f>'Baseline System Analysis'!AE13</f>
        <v>94442.429607595332</v>
      </c>
    </row>
    <row r="14" spans="1:31" s="60" customFormat="1" x14ac:dyDescent="0.35">
      <c r="A14" s="87" t="s">
        <v>30</v>
      </c>
      <c r="B14" s="163"/>
      <c r="C14" s="87" t="s">
        <v>109</v>
      </c>
      <c r="D14" s="61">
        <f>'Baseline System Analysis'!D14</f>
        <v>194612.53584062794</v>
      </c>
      <c r="E14" s="61">
        <f>'Baseline System Analysis'!E14</f>
        <v>197969.6872907684</v>
      </c>
      <c r="F14" s="61">
        <f>'Baseline System Analysis'!F14</f>
        <v>201326.83874090889</v>
      </c>
      <c r="G14" s="61">
        <f>'Baseline System Analysis'!G14</f>
        <v>203320.67995748969</v>
      </c>
      <c r="H14" s="61">
        <f>'Baseline System Analysis'!H14</f>
        <v>205331.56255199015</v>
      </c>
      <c r="I14" s="61">
        <f>'Baseline System Analysis'!I14</f>
        <v>207325.40376857092</v>
      </c>
      <c r="J14" s="61">
        <f>'Baseline System Analysis'!J14</f>
        <v>209489.65876434682</v>
      </c>
      <c r="K14" s="61">
        <f>'Baseline System Analysis'!K14</f>
        <v>211636.87238220318</v>
      </c>
      <c r="L14" s="61">
        <f>'Baseline System Analysis'!L14</f>
        <v>213784.08600005924</v>
      </c>
      <c r="M14" s="61">
        <f>'Baseline System Analysis'!M14</f>
        <v>215931.29961791576</v>
      </c>
      <c r="N14" s="61">
        <f>'Baseline System Analysis'!N14</f>
        <v>218129.63736953077</v>
      </c>
      <c r="O14" s="61">
        <f>'Baseline System Analysis'!O14</f>
        <v>220327.97512114537</v>
      </c>
      <c r="P14" s="61">
        <f>'Baseline System Analysis'!P14</f>
        <v>222543.35425067964</v>
      </c>
      <c r="Q14" s="61">
        <f>'Baseline System Analysis'!Q14</f>
        <v>224741.69200229441</v>
      </c>
      <c r="R14" s="61">
        <f>'Baseline System Analysis'!R14</f>
        <v>226871.86424223153</v>
      </c>
      <c r="S14" s="61">
        <f>'Baseline System Analysis'!S14</f>
        <v>229002.03648216819</v>
      </c>
      <c r="T14" s="61">
        <f>'Baseline System Analysis'!T14</f>
        <v>231149.25010002451</v>
      </c>
      <c r="U14" s="61">
        <f>'Baseline System Analysis'!U14</f>
        <v>233279.42233996128</v>
      </c>
      <c r="V14" s="61">
        <f>'Baseline System Analysis'!V14</f>
        <v>235256.22217862285</v>
      </c>
      <c r="W14" s="61">
        <f>'Baseline System Analysis'!W14</f>
        <v>237233.02201728406</v>
      </c>
      <c r="X14" s="61">
        <f>'Baseline System Analysis'!X14</f>
        <v>239209.8218559456</v>
      </c>
      <c r="Y14" s="61">
        <f>'Baseline System Analysis'!Y14</f>
        <v>241169.58031668732</v>
      </c>
      <c r="Z14" s="61">
        <f>'Baseline System Analysis'!Z14</f>
        <v>242924.84224239527</v>
      </c>
      <c r="AA14" s="61">
        <f>'Baseline System Analysis'!AA14</f>
        <v>244663.06279018364</v>
      </c>
      <c r="AB14" s="61">
        <f>'Baseline System Analysis'!AB14</f>
        <v>246401.28333797198</v>
      </c>
      <c r="AC14" s="61">
        <f>'Baseline System Analysis'!AC14</f>
        <v>248156.5452636799</v>
      </c>
      <c r="AD14" s="61">
        <f>'Baseline System Analysis'!AD14</f>
        <v>249639.14514267584</v>
      </c>
      <c r="AE14" s="61">
        <f>'Baseline System Analysis'!AE14</f>
        <v>251121.74502167213</v>
      </c>
    </row>
    <row r="15" spans="1:31" s="60" customFormat="1" x14ac:dyDescent="0.35">
      <c r="A15" s="87" t="s">
        <v>30</v>
      </c>
      <c r="B15" s="163"/>
      <c r="C15" s="87" t="s">
        <v>110</v>
      </c>
      <c r="D15" s="61">
        <f>'Baseline System Analysis'!D15</f>
        <v>61013.964889704475</v>
      </c>
      <c r="E15" s="61">
        <f>'Baseline System Analysis'!E15</f>
        <v>67510.279902947688</v>
      </c>
      <c r="F15" s="61">
        <f>'Baseline System Analysis'!F15</f>
        <v>74377.574709919048</v>
      </c>
      <c r="G15" s="61">
        <f>'Baseline System Analysis'!G15</f>
        <v>78618.22602925339</v>
      </c>
      <c r="H15" s="61">
        <f>'Baseline System Analysis'!H15</f>
        <v>82988.981521506663</v>
      </c>
      <c r="I15" s="61">
        <f>'Baseline System Analysis'!I15</f>
        <v>87389.403277175617</v>
      </c>
      <c r="J15" s="61">
        <f>'Baseline System Analysis'!J15</f>
        <v>92321.315639419001</v>
      </c>
      <c r="K15" s="61">
        <f>'Baseline System Analysis'!K15</f>
        <v>97360.528216872204</v>
      </c>
      <c r="L15" s="61">
        <f>'Baseline System Analysis'!L15</f>
        <v>102558.35427416883</v>
      </c>
      <c r="M15" s="61">
        <f>'Baseline System Analysis'!M15</f>
        <v>107902.99911183663</v>
      </c>
      <c r="N15" s="61">
        <f>'Baseline System Analysis'!N15</f>
        <v>113510.28228388321</v>
      </c>
      <c r="O15" s="61">
        <f>'Baseline System Analysis'!O15</f>
        <v>119215.54459930227</v>
      </c>
      <c r="P15" s="61">
        <f>'Baseline System Analysis'!P15</f>
        <v>125103.31853562905</v>
      </c>
      <c r="Q15" s="61">
        <f>'Baseline System Analysis'!Q15</f>
        <v>131061.65320291194</v>
      </c>
      <c r="R15" s="61">
        <f>'Baseline System Analysis'!R15</f>
        <v>136927.3781305576</v>
      </c>
      <c r="S15" s="61">
        <f>'Baseline System Analysis'!S15</f>
        <v>142928.4691747727</v>
      </c>
      <c r="T15" s="61">
        <f>'Baseline System Analysis'!T15</f>
        <v>149096.22979827592</v>
      </c>
      <c r="U15" s="61">
        <f>'Baseline System Analysis'!U15</f>
        <v>155355.88344360888</v>
      </c>
      <c r="V15" s="61">
        <f>'Baseline System Analysis'!V15</f>
        <v>161287.72067303676</v>
      </c>
      <c r="W15" s="61">
        <f>'Baseline System Analysis'!W15</f>
        <v>167330.55136063692</v>
      </c>
      <c r="X15" s="61">
        <f>'Baseline System Analysis'!X15</f>
        <v>173485.43148681833</v>
      </c>
      <c r="Y15" s="61">
        <f>'Baseline System Analysis'!Y15</f>
        <v>179737.56545339135</v>
      </c>
      <c r="Z15" s="61">
        <f>'Baseline System Analysis'!Z15</f>
        <v>185397.93164546805</v>
      </c>
      <c r="AA15" s="61">
        <f>'Baseline System Analysis'!AA15</f>
        <v>191060.8895594143</v>
      </c>
      <c r="AB15" s="61">
        <f>'Baseline System Analysis'!AB15</f>
        <v>196805.23517846514</v>
      </c>
      <c r="AC15" s="61">
        <f>'Baseline System Analysis'!AC15</f>
        <v>202686.63089115554</v>
      </c>
      <c r="AD15" s="61">
        <f>'Baseline System Analysis'!AD15</f>
        <v>207726.8390138846</v>
      </c>
      <c r="AE15" s="61">
        <f>'Baseline System Analysis'!AE15</f>
        <v>212822.72827512978</v>
      </c>
    </row>
    <row r="16" spans="1:31" s="60" customFormat="1" x14ac:dyDescent="0.35">
      <c r="A16" s="87"/>
      <c r="B16" s="87"/>
      <c r="C16" s="87"/>
      <c r="D16" s="87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20" thickBot="1" x14ac:dyDescent="0.5">
      <c r="A17" s="120"/>
      <c r="B17" s="125"/>
      <c r="C17" s="120" t="s">
        <v>105</v>
      </c>
      <c r="D17" s="120">
        <v>2021</v>
      </c>
      <c r="E17" s="120">
        <v>2022</v>
      </c>
      <c r="F17" s="120">
        <v>2023</v>
      </c>
      <c r="G17" s="120">
        <v>2024</v>
      </c>
      <c r="H17" s="120">
        <v>2025</v>
      </c>
      <c r="I17" s="120">
        <v>2026</v>
      </c>
      <c r="J17" s="120">
        <v>2027</v>
      </c>
      <c r="K17" s="120">
        <v>2028</v>
      </c>
      <c r="L17" s="120">
        <v>2029</v>
      </c>
      <c r="M17" s="120">
        <v>2030</v>
      </c>
      <c r="N17" s="120">
        <v>2031</v>
      </c>
      <c r="O17" s="120">
        <v>2032</v>
      </c>
      <c r="P17" s="120">
        <v>2033</v>
      </c>
      <c r="Q17" s="120">
        <v>2034</v>
      </c>
      <c r="R17" s="120">
        <v>2035</v>
      </c>
      <c r="S17" s="120">
        <v>2036</v>
      </c>
      <c r="T17" s="120">
        <v>2037</v>
      </c>
      <c r="U17" s="120">
        <v>2038</v>
      </c>
      <c r="V17" s="120">
        <v>2039</v>
      </c>
      <c r="W17" s="120">
        <v>2040</v>
      </c>
      <c r="X17" s="120">
        <v>2041</v>
      </c>
      <c r="Y17" s="120">
        <v>2042</v>
      </c>
      <c r="Z17" s="120">
        <v>2043</v>
      </c>
      <c r="AA17" s="120">
        <v>2044</v>
      </c>
      <c r="AB17" s="120">
        <v>2045</v>
      </c>
      <c r="AC17" s="120">
        <v>2046</v>
      </c>
      <c r="AD17" s="120">
        <v>2047</v>
      </c>
      <c r="AE17" s="120">
        <v>2048</v>
      </c>
    </row>
    <row r="18" spans="1:31" ht="49.75" customHeight="1" thickTop="1" x14ac:dyDescent="0.35">
      <c r="A18" s="87"/>
      <c r="B18" s="166" t="s">
        <v>12</v>
      </c>
      <c r="C18" s="87" t="s">
        <v>107</v>
      </c>
      <c r="D18" s="61">
        <v>49722.950000000521</v>
      </c>
      <c r="E18" s="61">
        <v>50479.400000000147</v>
      </c>
      <c r="F18" s="61">
        <v>51032.951923077046</v>
      </c>
      <c r="G18" s="61">
        <v>51586.503846153944</v>
      </c>
      <c r="H18" s="61">
        <v>52140.055769230843</v>
      </c>
      <c r="I18" s="61">
        <v>52693.607692307742</v>
      </c>
      <c r="J18" s="61">
        <v>53247.15961538464</v>
      </c>
      <c r="K18" s="61">
        <v>53800.711538461539</v>
      </c>
      <c r="L18" s="61">
        <v>54354.263461538438</v>
      </c>
      <c r="M18" s="61">
        <v>54907.815384615336</v>
      </c>
      <c r="N18" s="61">
        <v>55461.367307692235</v>
      </c>
      <c r="O18" s="61">
        <v>56014.919230769134</v>
      </c>
      <c r="P18" s="61">
        <v>56568.471153846032</v>
      </c>
      <c r="Q18" s="61">
        <v>57122.023076922931</v>
      </c>
      <c r="R18" s="61">
        <v>57675.57499999983</v>
      </c>
      <c r="S18" s="61">
        <v>58229.126923076728</v>
      </c>
      <c r="T18" s="61">
        <v>58782.678846153627</v>
      </c>
      <c r="U18" s="61">
        <v>59336.230769230526</v>
      </c>
      <c r="V18" s="61">
        <v>59889.782692307424</v>
      </c>
      <c r="W18" s="61">
        <v>60443.334615384323</v>
      </c>
      <c r="X18" s="61">
        <v>60996.886538461222</v>
      </c>
      <c r="Y18" s="61">
        <v>61550.43846153812</v>
      </c>
      <c r="Z18" s="61">
        <v>62103.990384615019</v>
      </c>
      <c r="AA18" s="61">
        <v>62657.542307691918</v>
      </c>
      <c r="AB18" s="61">
        <v>63211.094230768816</v>
      </c>
      <c r="AC18" s="61">
        <v>63764.646153845715</v>
      </c>
      <c r="AD18" s="61">
        <v>64318.198076922614</v>
      </c>
      <c r="AE18" s="61">
        <v>64871.749999999534</v>
      </c>
    </row>
    <row r="19" spans="1:31" x14ac:dyDescent="0.35">
      <c r="A19" s="87" t="s">
        <v>30</v>
      </c>
      <c r="B19" s="167"/>
      <c r="C19" s="87" t="s">
        <v>31</v>
      </c>
      <c r="D19" s="61">
        <v>12.400000000000006</v>
      </c>
      <c r="E19" s="61">
        <v>31.900000000000006</v>
      </c>
      <c r="F19" s="61">
        <v>62.63333333333334</v>
      </c>
      <c r="G19" s="61">
        <v>93.366666666666674</v>
      </c>
      <c r="H19" s="61">
        <v>124.10000000000001</v>
      </c>
      <c r="I19" s="61">
        <v>154.83333333333334</v>
      </c>
      <c r="J19" s="61">
        <v>185.56666666666669</v>
      </c>
      <c r="K19" s="61">
        <v>216.30000000000004</v>
      </c>
      <c r="L19" s="61">
        <v>328.58</v>
      </c>
      <c r="M19" s="61">
        <v>440.8599999999999</v>
      </c>
      <c r="N19" s="61">
        <v>553.13999999999987</v>
      </c>
      <c r="O19" s="61">
        <v>665.41999999999985</v>
      </c>
      <c r="P19" s="61">
        <v>777.69999999999982</v>
      </c>
      <c r="Q19" s="61">
        <v>1050.8599999999997</v>
      </c>
      <c r="R19" s="61">
        <v>1324.0199999999995</v>
      </c>
      <c r="S19" s="61">
        <v>1597.1799999999994</v>
      </c>
      <c r="T19" s="61">
        <v>1870.3399999999992</v>
      </c>
      <c r="U19" s="61">
        <v>2143.4999999999995</v>
      </c>
      <c r="V19" s="61">
        <v>2618.12</v>
      </c>
      <c r="W19" s="61">
        <v>3092.7400000000002</v>
      </c>
      <c r="X19" s="61">
        <v>3567.3600000000006</v>
      </c>
      <c r="Y19" s="61">
        <v>4041.9800000000009</v>
      </c>
      <c r="Z19" s="61">
        <v>4516.6000000000013</v>
      </c>
      <c r="AA19" s="61">
        <v>5149.7800000000016</v>
      </c>
      <c r="AB19" s="61">
        <v>5782.9600000000019</v>
      </c>
      <c r="AC19" s="61">
        <v>6416.1400000000021</v>
      </c>
      <c r="AD19" s="61">
        <v>7049.3200000000024</v>
      </c>
      <c r="AE19" s="61">
        <v>7682.5000000000018</v>
      </c>
    </row>
    <row r="20" spans="1:31" x14ac:dyDescent="0.35">
      <c r="A20" s="87" t="s">
        <v>30</v>
      </c>
      <c r="B20" s="167"/>
      <c r="C20" s="87" t="s">
        <v>32</v>
      </c>
      <c r="D20" s="61">
        <v>5.9000000000000057</v>
      </c>
      <c r="E20" s="61">
        <v>10.300000000000011</v>
      </c>
      <c r="F20" s="61">
        <v>13.300000000000011</v>
      </c>
      <c r="G20" s="61">
        <v>16.300000000000011</v>
      </c>
      <c r="H20" s="61">
        <v>19.300000000000011</v>
      </c>
      <c r="I20" s="61">
        <v>22.300000000000011</v>
      </c>
      <c r="J20" s="61">
        <v>25.300000000000011</v>
      </c>
      <c r="K20" s="61">
        <v>28.300000000000011</v>
      </c>
      <c r="L20" s="61">
        <v>31.04000000000001</v>
      </c>
      <c r="M20" s="61">
        <v>33.780000000000008</v>
      </c>
      <c r="N20" s="61">
        <v>36.520000000000003</v>
      </c>
      <c r="O20" s="61">
        <v>39.26</v>
      </c>
      <c r="P20" s="61">
        <v>42</v>
      </c>
      <c r="Q20" s="61">
        <v>45.18</v>
      </c>
      <c r="R20" s="61">
        <v>48.36</v>
      </c>
      <c r="S20" s="61">
        <v>51.54</v>
      </c>
      <c r="T20" s="61">
        <v>54.72</v>
      </c>
      <c r="U20" s="61">
        <v>57.9</v>
      </c>
      <c r="V20" s="61">
        <v>61.760000000000005</v>
      </c>
      <c r="W20" s="61">
        <v>65.620000000000019</v>
      </c>
      <c r="X20" s="61">
        <v>69.480000000000032</v>
      </c>
      <c r="Y20" s="61">
        <v>73.340000000000046</v>
      </c>
      <c r="Z20" s="61">
        <v>77.200000000000045</v>
      </c>
      <c r="AA20" s="61">
        <v>88.760000000000034</v>
      </c>
      <c r="AB20" s="61">
        <v>100.32000000000002</v>
      </c>
      <c r="AC20" s="61">
        <v>111.88000000000001</v>
      </c>
      <c r="AD20" s="61">
        <v>123.44</v>
      </c>
      <c r="AE20" s="61">
        <v>135</v>
      </c>
    </row>
    <row r="21" spans="1:31" x14ac:dyDescent="0.35">
      <c r="A21" s="87" t="s">
        <v>30</v>
      </c>
      <c r="B21" s="167"/>
      <c r="C21" s="87" t="s">
        <v>33</v>
      </c>
      <c r="D21" s="61">
        <v>4.5307405466112567E-2</v>
      </c>
      <c r="E21" s="61">
        <v>0.14569619298074499</v>
      </c>
      <c r="F21" s="61">
        <v>0.86574350096853603</v>
      </c>
      <c r="G21" s="61">
        <v>1.5857908089563271</v>
      </c>
      <c r="H21" s="61">
        <v>2.305838116944118</v>
      </c>
      <c r="I21" s="61">
        <v>3.0258854249319089</v>
      </c>
      <c r="J21" s="61">
        <v>3.7459327329196999</v>
      </c>
      <c r="K21" s="61">
        <v>4.4659800409074917</v>
      </c>
      <c r="L21" s="61">
        <v>9.460193065372609</v>
      </c>
      <c r="M21" s="61">
        <v>14.454406089837725</v>
      </c>
      <c r="N21" s="61">
        <v>19.448619114302844</v>
      </c>
      <c r="O21" s="61">
        <v>24.442832138767962</v>
      </c>
      <c r="P21" s="61">
        <v>29.43704516323308</v>
      </c>
      <c r="Q21" s="61">
        <v>54.627817552493411</v>
      </c>
      <c r="R21" s="61">
        <v>79.818589941753743</v>
      </c>
      <c r="S21" s="61">
        <v>105.00936233101407</v>
      </c>
      <c r="T21" s="61">
        <v>130.20013472027441</v>
      </c>
      <c r="U21" s="61">
        <v>155.39090710953474</v>
      </c>
      <c r="V21" s="61">
        <v>225.175234827998</v>
      </c>
      <c r="W21" s="61">
        <v>294.95956254646126</v>
      </c>
      <c r="X21" s="61">
        <v>364.74389026492452</v>
      </c>
      <c r="Y21" s="61">
        <v>434.52821798338778</v>
      </c>
      <c r="Z21" s="61">
        <v>504.31254570185098</v>
      </c>
      <c r="AA21" s="61">
        <v>637.58944578808473</v>
      </c>
      <c r="AB21" s="61">
        <v>770.86634587431854</v>
      </c>
      <c r="AC21" s="61">
        <v>904.14324596055235</v>
      </c>
      <c r="AD21" s="61">
        <v>1037.4201460467862</v>
      </c>
      <c r="AE21" s="61">
        <v>1170.69704613302</v>
      </c>
    </row>
    <row r="22" spans="1:31" x14ac:dyDescent="0.35">
      <c r="A22" s="87" t="s">
        <v>30</v>
      </c>
      <c r="B22" s="167"/>
      <c r="C22" s="87" t="s">
        <v>34</v>
      </c>
      <c r="D22" s="61">
        <v>1.1326851366528142E-2</v>
      </c>
      <c r="E22" s="61">
        <v>2.9139238596149E-2</v>
      </c>
      <c r="F22" s="61">
        <v>5.7235907484224954E-2</v>
      </c>
      <c r="G22" s="61">
        <v>8.5332576372300906E-2</v>
      </c>
      <c r="H22" s="61">
        <v>0.11342924526037686</v>
      </c>
      <c r="I22" s="61">
        <v>0.14152591414845281</v>
      </c>
      <c r="J22" s="61">
        <v>0.16962258303652877</v>
      </c>
      <c r="K22" s="61">
        <v>0.19771925192460471</v>
      </c>
      <c r="L22" s="61">
        <v>0.30223201187473303</v>
      </c>
      <c r="M22" s="61">
        <v>0.40674477182486135</v>
      </c>
      <c r="N22" s="61">
        <v>0.51125753177498967</v>
      </c>
      <c r="O22" s="61">
        <v>0.61577029172511799</v>
      </c>
      <c r="P22" s="61">
        <v>0.72028305167524642</v>
      </c>
      <c r="Q22" s="61">
        <v>0.97703844770030757</v>
      </c>
      <c r="R22" s="61">
        <v>1.2337938437253686</v>
      </c>
      <c r="S22" s="61">
        <v>1.4905492397504296</v>
      </c>
      <c r="T22" s="61">
        <v>1.7473046357754907</v>
      </c>
      <c r="U22" s="61">
        <v>2.0040600318005519</v>
      </c>
      <c r="V22" s="61">
        <v>2.4537898657634023</v>
      </c>
      <c r="W22" s="61">
        <v>2.9035196997262527</v>
      </c>
      <c r="X22" s="61">
        <v>3.3532495336891031</v>
      </c>
      <c r="Y22" s="61">
        <v>3.8029793676519534</v>
      </c>
      <c r="Z22" s="61">
        <v>4.2527092016148034</v>
      </c>
      <c r="AA22" s="61">
        <v>4.8525401177908556</v>
      </c>
      <c r="AB22" s="61">
        <v>5.4523710339669078</v>
      </c>
      <c r="AC22" s="61">
        <v>6.05220195014296</v>
      </c>
      <c r="AD22" s="61">
        <v>6.6520328663190122</v>
      </c>
      <c r="AE22" s="61">
        <v>7.2518637824950662</v>
      </c>
    </row>
    <row r="23" spans="1:31" ht="13.9" customHeight="1" x14ac:dyDescent="0.35">
      <c r="A23" s="87" t="s">
        <v>30</v>
      </c>
      <c r="B23" s="167"/>
      <c r="C23" s="87" t="s">
        <v>35</v>
      </c>
      <c r="D23" s="61">
        <v>4</v>
      </c>
      <c r="E23" s="61">
        <v>5</v>
      </c>
      <c r="F23" s="61">
        <v>8</v>
      </c>
      <c r="G23" s="61">
        <v>11</v>
      </c>
      <c r="H23" s="61">
        <v>14</v>
      </c>
      <c r="I23" s="61">
        <v>17</v>
      </c>
      <c r="J23" s="61">
        <v>20</v>
      </c>
      <c r="K23" s="61">
        <v>23</v>
      </c>
      <c r="L23" s="61">
        <v>27.2</v>
      </c>
      <c r="M23" s="61">
        <v>31.4</v>
      </c>
      <c r="N23" s="61">
        <v>35.6</v>
      </c>
      <c r="O23" s="61">
        <v>39.800000000000004</v>
      </c>
      <c r="P23" s="61">
        <v>44</v>
      </c>
      <c r="Q23" s="61">
        <v>52.6</v>
      </c>
      <c r="R23" s="61">
        <v>61.2</v>
      </c>
      <c r="S23" s="61">
        <v>69.8</v>
      </c>
      <c r="T23" s="61">
        <v>78.399999999999991</v>
      </c>
      <c r="U23" s="61">
        <v>87</v>
      </c>
      <c r="V23" s="61">
        <v>95.4</v>
      </c>
      <c r="W23" s="61">
        <v>103.80000000000001</v>
      </c>
      <c r="X23" s="61">
        <v>112.20000000000002</v>
      </c>
      <c r="Y23" s="61">
        <v>120.60000000000002</v>
      </c>
      <c r="Z23" s="61">
        <v>129</v>
      </c>
      <c r="AA23" s="61">
        <v>138.80000000000001</v>
      </c>
      <c r="AB23" s="61">
        <v>148.60000000000002</v>
      </c>
      <c r="AC23" s="61">
        <v>158.40000000000003</v>
      </c>
      <c r="AD23" s="61">
        <v>168.20000000000005</v>
      </c>
      <c r="AE23" s="61">
        <v>178</v>
      </c>
    </row>
    <row r="24" spans="1:31" x14ac:dyDescent="0.35">
      <c r="A24" s="87" t="s">
        <v>30</v>
      </c>
      <c r="B24" s="167"/>
      <c r="C24" s="87" t="s">
        <v>108</v>
      </c>
      <c r="D24" s="61">
        <v>4238.9824318989613</v>
      </c>
      <c r="E24" s="61">
        <v>6425.4824330612555</v>
      </c>
      <c r="F24" s="61">
        <v>8611.9824342235497</v>
      </c>
      <c r="G24" s="61">
        <v>10798.482435385844</v>
      </c>
      <c r="H24" s="61">
        <v>12984.982436548136</v>
      </c>
      <c r="I24" s="61">
        <v>15171.482437710431</v>
      </c>
      <c r="J24" s="61">
        <v>17357.982438872725</v>
      </c>
      <c r="K24" s="61">
        <v>19544.482440035019</v>
      </c>
      <c r="L24" s="61">
        <v>21730.982441197313</v>
      </c>
      <c r="M24" s="61">
        <v>23917.482442359604</v>
      </c>
      <c r="N24" s="61">
        <v>26103.982443521894</v>
      </c>
      <c r="O24" s="61">
        <v>28290.482444684185</v>
      </c>
      <c r="P24" s="61">
        <v>30476.982445846475</v>
      </c>
      <c r="Q24" s="61">
        <v>32663.482447008766</v>
      </c>
      <c r="R24" s="61">
        <v>34849.982448171053</v>
      </c>
      <c r="S24" s="61">
        <v>37036.482449333344</v>
      </c>
      <c r="T24" s="61">
        <v>39222.982450495634</v>
      </c>
      <c r="U24" s="61">
        <v>41409.482451657925</v>
      </c>
      <c r="V24" s="61">
        <v>43595.982452820215</v>
      </c>
      <c r="W24" s="61">
        <v>45782.482453982506</v>
      </c>
      <c r="X24" s="61">
        <v>47968.982455144811</v>
      </c>
      <c r="Y24" s="61">
        <v>50155.482456307102</v>
      </c>
      <c r="Z24" s="61">
        <v>52341.982457469407</v>
      </c>
      <c r="AA24" s="61">
        <v>54528.482458631697</v>
      </c>
      <c r="AB24" s="61">
        <v>56714.982459794002</v>
      </c>
      <c r="AC24" s="61">
        <v>58901.482460956293</v>
      </c>
      <c r="AD24" s="61">
        <v>61087.982462118598</v>
      </c>
      <c r="AE24" s="61">
        <v>63274.482463280889</v>
      </c>
    </row>
    <row r="25" spans="1:31" x14ac:dyDescent="0.35">
      <c r="A25" s="87" t="s">
        <v>30</v>
      </c>
      <c r="B25" s="167"/>
      <c r="C25" s="87" t="s">
        <v>109</v>
      </c>
      <c r="D25" s="61">
        <v>194612.53584062794</v>
      </c>
      <c r="E25" s="61">
        <v>197969.6872907684</v>
      </c>
      <c r="F25" s="61">
        <v>201326.83874090889</v>
      </c>
      <c r="G25" s="61">
        <v>203320.67995748969</v>
      </c>
      <c r="H25" s="61">
        <v>205331.56255199015</v>
      </c>
      <c r="I25" s="61">
        <v>207325.40376857092</v>
      </c>
      <c r="J25" s="61">
        <v>209489.65876434682</v>
      </c>
      <c r="K25" s="61">
        <v>211636.87238220318</v>
      </c>
      <c r="L25" s="61">
        <v>213784.08600005924</v>
      </c>
      <c r="M25" s="61">
        <v>215931.29961791576</v>
      </c>
      <c r="N25" s="61">
        <v>218129.63736953077</v>
      </c>
      <c r="O25" s="61">
        <v>220327.97512114537</v>
      </c>
      <c r="P25" s="61">
        <v>222543.35425067964</v>
      </c>
      <c r="Q25" s="61">
        <v>224741.69200229441</v>
      </c>
      <c r="R25" s="61">
        <v>226871.86424223153</v>
      </c>
      <c r="S25" s="61">
        <v>229002.03648216819</v>
      </c>
      <c r="T25" s="61">
        <v>231149.25010002451</v>
      </c>
      <c r="U25" s="61">
        <v>233279.42233996128</v>
      </c>
      <c r="V25" s="61">
        <v>235256.22217862285</v>
      </c>
      <c r="W25" s="61">
        <v>237233.02201728406</v>
      </c>
      <c r="X25" s="61">
        <v>239209.8218559456</v>
      </c>
      <c r="Y25" s="61">
        <v>241169.58031668732</v>
      </c>
      <c r="Z25" s="61">
        <v>242924.84224239527</v>
      </c>
      <c r="AA25" s="61">
        <v>244663.06279018364</v>
      </c>
      <c r="AB25" s="61">
        <v>246401.28333797198</v>
      </c>
      <c r="AC25" s="61">
        <v>248156.5452636799</v>
      </c>
      <c r="AD25" s="61">
        <v>249639.14514267584</v>
      </c>
      <c r="AE25" s="61">
        <v>251121.74502167213</v>
      </c>
    </row>
    <row r="26" spans="1:31" s="80" customFormat="1" x14ac:dyDescent="0.35">
      <c r="A26" s="87" t="s">
        <v>30</v>
      </c>
      <c r="B26" s="167"/>
      <c r="C26" s="87" t="s">
        <v>110</v>
      </c>
      <c r="D26" s="61">
        <v>17164.320788409022</v>
      </c>
      <c r="E26" s="61">
        <v>19844.088685988223</v>
      </c>
      <c r="F26" s="61">
        <v>22754.52737894663</v>
      </c>
      <c r="G26" s="61">
        <v>24601.243472241145</v>
      </c>
      <c r="H26" s="61">
        <v>26524.510398251041</v>
      </c>
      <c r="I26" s="61">
        <v>28541.09475817834</v>
      </c>
      <c r="J26" s="61">
        <v>30814.434788601757</v>
      </c>
      <c r="K26" s="61">
        <v>33148.217064461729</v>
      </c>
      <c r="L26" s="61">
        <v>35561.949841784735</v>
      </c>
      <c r="M26" s="61">
        <v>38077.718685580898</v>
      </c>
      <c r="N26" s="61">
        <v>40736.764278718838</v>
      </c>
      <c r="O26" s="61">
        <v>43501.211576985064</v>
      </c>
      <c r="P26" s="61">
        <v>46385.944399625558</v>
      </c>
      <c r="Q26" s="61">
        <v>49358.935915834365</v>
      </c>
      <c r="R26" s="61">
        <v>52298.721573381416</v>
      </c>
      <c r="S26" s="61">
        <v>55356.343854525418</v>
      </c>
      <c r="T26" s="61">
        <v>58553.288177258051</v>
      </c>
      <c r="U26" s="61">
        <v>61842.499031107713</v>
      </c>
      <c r="V26" s="61">
        <v>65024.885300951166</v>
      </c>
      <c r="W26" s="61">
        <v>68293.268833520342</v>
      </c>
      <c r="X26" s="61">
        <v>71656.49099181639</v>
      </c>
      <c r="Y26" s="61">
        <v>75060.951475304391</v>
      </c>
      <c r="Z26" s="61">
        <v>78184.812939843832</v>
      </c>
      <c r="AA26" s="61">
        <v>81331.701489298488</v>
      </c>
      <c r="AB26" s="61">
        <v>84513.987783635414</v>
      </c>
      <c r="AC26" s="61">
        <v>87765.435092958593</v>
      </c>
      <c r="AD26" s="61">
        <v>90580.769838002132</v>
      </c>
      <c r="AE26" s="61">
        <v>93440.683251971685</v>
      </c>
    </row>
    <row r="27" spans="1:31" s="80" customFormat="1" x14ac:dyDescent="0.35">
      <c r="A27" s="87" t="s">
        <v>39</v>
      </c>
      <c r="B27" s="167"/>
      <c r="C27" s="87" t="s">
        <v>153</v>
      </c>
      <c r="D27" s="87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>
        <v>4.7999999999999545</v>
      </c>
      <c r="T27" s="61">
        <f>S27+(($U27-$S27)/(COLUMN($U27)-COLUMN($S27)))</f>
        <v>42.150000000000077</v>
      </c>
      <c r="U27" s="61">
        <v>79.500000000000199</v>
      </c>
      <c r="V27" s="61">
        <f t="shared" ref="V27:Y27" si="0">U27+(($Z27-$U27)/(COLUMN($Z27)-COLUMN($U27)))</f>
        <v>149.00000000000017</v>
      </c>
      <c r="W27" s="61">
        <f t="shared" si="0"/>
        <v>218.50000000000011</v>
      </c>
      <c r="X27" s="61">
        <f t="shared" si="0"/>
        <v>288.00000000000006</v>
      </c>
      <c r="Y27" s="61">
        <f t="shared" si="0"/>
        <v>357.5</v>
      </c>
      <c r="Z27" s="61">
        <v>427</v>
      </c>
      <c r="AA27" s="61">
        <f>Z27+(($AE27-$Z27)/(COLUMN($AE27)-COLUMN($Z27)))</f>
        <v>542.17999999999995</v>
      </c>
      <c r="AB27" s="61">
        <f t="shared" ref="AB27:AD28" si="1">AA27+(($AE27-$Z27)/(COLUMN($AE27)-COLUMN($Z27)))</f>
        <v>657.3599999999999</v>
      </c>
      <c r="AC27" s="61">
        <f t="shared" si="1"/>
        <v>772.53999999999985</v>
      </c>
      <c r="AD27" s="61">
        <f t="shared" si="1"/>
        <v>887.7199999999998</v>
      </c>
      <c r="AE27" s="61">
        <v>1002.9</v>
      </c>
    </row>
    <row r="28" spans="1:31" x14ac:dyDescent="0.35">
      <c r="A28" s="87" t="s">
        <v>39</v>
      </c>
      <c r="B28" s="167"/>
      <c r="C28" s="87" t="s">
        <v>154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16.400000000000091</v>
      </c>
      <c r="R28" s="61">
        <f>Q28+(($U28-$Q28)/(COLUMN($U28)-COLUMN($Q28)))</f>
        <v>181.30000000000007</v>
      </c>
      <c r="S28" s="61">
        <f t="shared" ref="S28:T28" si="2">R28+(($U28-$Q28)/(COLUMN($U28)-COLUMN($Q28)))</f>
        <v>346.20000000000005</v>
      </c>
      <c r="T28" s="61">
        <f t="shared" si="2"/>
        <v>511.1</v>
      </c>
      <c r="U28" s="61">
        <v>676</v>
      </c>
      <c r="V28" s="61">
        <f t="shared" ref="V28:Y28" si="3">U28+(($Z28-$U28)/(COLUMN($Z28)-COLUMN($U28)))</f>
        <v>1223.92</v>
      </c>
      <c r="W28" s="61">
        <f t="shared" si="3"/>
        <v>1771.8400000000001</v>
      </c>
      <c r="X28" s="61">
        <f t="shared" si="3"/>
        <v>2319.7600000000002</v>
      </c>
      <c r="Y28" s="61">
        <f t="shared" si="3"/>
        <v>2867.6800000000003</v>
      </c>
      <c r="Z28" s="61">
        <v>3415.6</v>
      </c>
      <c r="AA28" s="61">
        <f>Z28+(($AE28-$Z28)/(COLUMN($AE28)-COLUMN($Z28)))</f>
        <v>4332.4799999999996</v>
      </c>
      <c r="AB28" s="61">
        <f t="shared" si="1"/>
        <v>5249.36</v>
      </c>
      <c r="AC28" s="61">
        <f t="shared" si="1"/>
        <v>6166.24</v>
      </c>
      <c r="AD28" s="61">
        <f t="shared" si="1"/>
        <v>7083.12</v>
      </c>
      <c r="AE28" s="61">
        <v>8000</v>
      </c>
    </row>
    <row r="29" spans="1:31" x14ac:dyDescent="0.35">
      <c r="A29" s="87" t="s">
        <v>39</v>
      </c>
      <c r="B29" s="167"/>
      <c r="C29" s="87" t="s">
        <v>32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16.400000000000091</v>
      </c>
      <c r="R29" s="61">
        <v>40.250000000000043</v>
      </c>
      <c r="S29" s="61">
        <v>64.099999999999994</v>
      </c>
      <c r="T29" s="61">
        <v>87.949999999999946</v>
      </c>
      <c r="U29" s="61">
        <v>111.7999999999999</v>
      </c>
      <c r="V29" s="61">
        <v>138.67999999999989</v>
      </c>
      <c r="W29" s="61">
        <v>165.55999999999989</v>
      </c>
      <c r="X29" s="61">
        <v>192.43999999999988</v>
      </c>
      <c r="Y29" s="61">
        <v>219.31999999999988</v>
      </c>
      <c r="Z29" s="61">
        <v>246.19999999999987</v>
      </c>
      <c r="AA29" s="61">
        <v>269.87999999999988</v>
      </c>
      <c r="AB29" s="61">
        <v>293.55999999999989</v>
      </c>
      <c r="AC29" s="61">
        <v>317.2399999999999</v>
      </c>
      <c r="AD29" s="61">
        <v>340.9199999999999</v>
      </c>
      <c r="AE29" s="61">
        <v>364.6</v>
      </c>
    </row>
    <row r="30" spans="1:31" x14ac:dyDescent="0.35">
      <c r="A30" s="87" t="s">
        <v>39</v>
      </c>
      <c r="B30" s="167"/>
      <c r="C30" s="87" t="s">
        <v>33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1.4254426049708295E-2</v>
      </c>
      <c r="R30" s="61">
        <v>2.6114716943689524</v>
      </c>
      <c r="S30" s="61">
        <v>5.2086889626881963</v>
      </c>
      <c r="T30" s="61">
        <v>7.805906231007441</v>
      </c>
      <c r="U30" s="61">
        <v>10.403123499326686</v>
      </c>
      <c r="V30" s="61">
        <v>44.02180317378857</v>
      </c>
      <c r="W30" s="61">
        <v>77.640482848250457</v>
      </c>
      <c r="X30" s="61">
        <v>111.25916252271233</v>
      </c>
      <c r="Y30" s="61">
        <v>144.8778421971742</v>
      </c>
      <c r="Z30" s="61">
        <v>178.49652187163608</v>
      </c>
      <c r="AA30" s="61">
        <v>300.75679076820313</v>
      </c>
      <c r="AB30" s="61">
        <v>423.01705966477016</v>
      </c>
      <c r="AC30" s="61">
        <v>545.27732856133719</v>
      </c>
      <c r="AD30" s="61">
        <v>667.53759745790421</v>
      </c>
      <c r="AE30" s="61">
        <v>789.79786635447135</v>
      </c>
    </row>
    <row r="31" spans="1:31" x14ac:dyDescent="0.35">
      <c r="A31" s="87" t="s">
        <v>39</v>
      </c>
      <c r="B31" s="167"/>
      <c r="C31" s="87" t="s">
        <v>34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1.4254426049708295E-2</v>
      </c>
      <c r="R31" s="61">
        <v>0.17485574149695443</v>
      </c>
      <c r="S31" s="61">
        <v>0.33545705694420058</v>
      </c>
      <c r="T31" s="61">
        <v>0.49605837239144668</v>
      </c>
      <c r="U31" s="61">
        <v>0.65665968783869277</v>
      </c>
      <c r="V31" s="61">
        <v>1.1933040664078494</v>
      </c>
      <c r="W31" s="61">
        <v>1.7299484449770062</v>
      </c>
      <c r="X31" s="61">
        <v>2.266592823546163</v>
      </c>
      <c r="Y31" s="61">
        <v>2.8032372021153198</v>
      </c>
      <c r="Z31" s="61">
        <v>3.3398815806844762</v>
      </c>
      <c r="AA31" s="61">
        <v>4.3239758485140731</v>
      </c>
      <c r="AB31" s="61">
        <v>5.3080701163436705</v>
      </c>
      <c r="AC31" s="61">
        <v>6.292164384173268</v>
      </c>
      <c r="AD31" s="61">
        <v>7.2762586520028654</v>
      </c>
      <c r="AE31" s="61">
        <v>8.2603529198324619</v>
      </c>
    </row>
    <row r="32" spans="1:31" x14ac:dyDescent="0.35">
      <c r="A32" s="87" t="s">
        <v>39</v>
      </c>
      <c r="B32" s="167"/>
      <c r="C32" s="87" t="s">
        <v>35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1</v>
      </c>
      <c r="R32" s="61">
        <v>6.5</v>
      </c>
      <c r="S32" s="61">
        <v>12</v>
      </c>
      <c r="T32" s="61">
        <v>17.5</v>
      </c>
      <c r="U32" s="61">
        <v>23</v>
      </c>
      <c r="V32" s="61">
        <v>31.6</v>
      </c>
      <c r="W32" s="61">
        <v>40.200000000000003</v>
      </c>
      <c r="X32" s="61">
        <v>48.800000000000004</v>
      </c>
      <c r="Y32" s="61">
        <v>57.400000000000006</v>
      </c>
      <c r="Z32" s="61">
        <v>66</v>
      </c>
      <c r="AA32" s="61">
        <v>76.599999999999994</v>
      </c>
      <c r="AB32" s="61">
        <v>87.199999999999989</v>
      </c>
      <c r="AC32" s="61">
        <v>97.799999999999983</v>
      </c>
      <c r="AD32" s="61">
        <v>108.39999999999998</v>
      </c>
      <c r="AE32" s="61">
        <v>119</v>
      </c>
    </row>
    <row r="33" spans="1:31" x14ac:dyDescent="0.35">
      <c r="A33" s="87" t="s">
        <v>130</v>
      </c>
      <c r="B33" s="87" t="s">
        <v>111</v>
      </c>
      <c r="C33" s="87" t="s">
        <v>131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170520.80729668943</v>
      </c>
      <c r="R33" s="61">
        <v>778286.28609297308</v>
      </c>
      <c r="S33" s="61">
        <v>1489424.0239527691</v>
      </c>
      <c r="T33" s="61">
        <v>3008537.6908173528</v>
      </c>
      <c r="U33" s="61">
        <v>4687046.3501266483</v>
      </c>
      <c r="V33" s="61">
        <v>7324251.2997978525</v>
      </c>
      <c r="W33" s="61">
        <v>10234874.662816145</v>
      </c>
      <c r="X33" s="61">
        <v>13943843.621688835</v>
      </c>
      <c r="Y33" s="61">
        <v>19386984.846308552</v>
      </c>
      <c r="Z33" s="61">
        <v>24878781.655475747</v>
      </c>
      <c r="AA33" s="61">
        <v>31065447.393755589</v>
      </c>
      <c r="AB33" s="61">
        <v>36803118.408407651</v>
      </c>
      <c r="AC33" s="61">
        <v>45397659.155865148</v>
      </c>
      <c r="AD33" s="61">
        <v>53235106.734678619</v>
      </c>
      <c r="AE33" s="61">
        <v>62235436.25054308</v>
      </c>
    </row>
    <row r="34" spans="1:31" x14ac:dyDescent="0.35">
      <c r="A34" s="87" t="s">
        <v>130</v>
      </c>
      <c r="B34" s="87" t="s">
        <v>132</v>
      </c>
      <c r="C34" s="87" t="s">
        <v>131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1020123.7736059603</v>
      </c>
      <c r="R34" s="61">
        <v>4440974.2644383721</v>
      </c>
      <c r="S34" s="61">
        <v>7416212.0016368749</v>
      </c>
      <c r="T34" s="61">
        <v>14147820.472569995</v>
      </c>
      <c r="U34" s="61">
        <v>21183859.883291088</v>
      </c>
      <c r="V34" s="61">
        <v>33747958.004902482</v>
      </c>
      <c r="W34" s="61">
        <v>46074334.166373633</v>
      </c>
      <c r="X34" s="61">
        <v>62171517.521202818</v>
      </c>
      <c r="Y34" s="61">
        <v>87009946.670213431</v>
      </c>
      <c r="Z34" s="61">
        <v>111032769.76648465</v>
      </c>
      <c r="AA34" s="61">
        <v>137102438.25258613</v>
      </c>
      <c r="AB34" s="61">
        <v>156116859.09775698</v>
      </c>
      <c r="AC34" s="61">
        <v>192734521.10479197</v>
      </c>
      <c r="AD34" s="61">
        <v>226650085.03287292</v>
      </c>
      <c r="AE34" s="61">
        <v>262136710.1979883</v>
      </c>
    </row>
    <row r="35" spans="1:31" x14ac:dyDescent="0.35">
      <c r="A35" s="87" t="s">
        <v>133</v>
      </c>
      <c r="B35" s="87" t="s">
        <v>111</v>
      </c>
      <c r="C35" s="87" t="s">
        <v>131</v>
      </c>
      <c r="D35" s="61">
        <v>2647.9025931542647</v>
      </c>
      <c r="E35" s="61">
        <v>10044.4023997474</v>
      </c>
      <c r="F35" s="40">
        <v>17440.902206340535</v>
      </c>
      <c r="G35" s="40">
        <v>24837.402012933671</v>
      </c>
      <c r="H35" s="40">
        <v>32233.901819526807</v>
      </c>
      <c r="I35" s="40">
        <v>39630.401626119943</v>
      </c>
      <c r="J35" s="40">
        <v>47026.901432713079</v>
      </c>
      <c r="K35" s="61">
        <v>54423.401239306208</v>
      </c>
      <c r="L35" s="40">
        <v>95034.22727807684</v>
      </c>
      <c r="M35" s="40">
        <v>135645.05331684748</v>
      </c>
      <c r="N35" s="40">
        <v>176255.87935561809</v>
      </c>
      <c r="O35" s="40">
        <v>216866.7053943887</v>
      </c>
      <c r="P35" s="61">
        <v>257477.53143315934</v>
      </c>
      <c r="Q35" s="40">
        <v>381974.23915217625</v>
      </c>
      <c r="R35" s="40">
        <v>506470.94687119313</v>
      </c>
      <c r="S35" s="40">
        <v>630967.65459021006</v>
      </c>
      <c r="T35" s="40">
        <v>755464.362309227</v>
      </c>
      <c r="U35" s="61">
        <v>879961.07002824382</v>
      </c>
      <c r="V35" s="40">
        <v>1146479.2724289009</v>
      </c>
      <c r="W35" s="40">
        <v>1412997.4748295578</v>
      </c>
      <c r="X35" s="40">
        <v>1679515.6772302147</v>
      </c>
      <c r="Y35" s="40">
        <v>1946033.8796308716</v>
      </c>
      <c r="Z35" s="61">
        <v>2212552.0820315289</v>
      </c>
      <c r="AA35" s="40">
        <v>2636500.6420433475</v>
      </c>
      <c r="AB35" s="40">
        <v>3060449.202055166</v>
      </c>
      <c r="AC35" s="40">
        <v>3484397.7620669845</v>
      </c>
      <c r="AD35" s="40">
        <v>3908346.3220788031</v>
      </c>
      <c r="AE35" s="61">
        <v>4332294.8820906207</v>
      </c>
    </row>
    <row r="36" spans="1:31" x14ac:dyDescent="0.35">
      <c r="A36" s="87" t="s">
        <v>133</v>
      </c>
      <c r="B36" s="87" t="s">
        <v>132</v>
      </c>
      <c r="C36" s="87" t="s">
        <v>131</v>
      </c>
      <c r="D36" s="61">
        <v>10987.434286717866</v>
      </c>
      <c r="E36" s="61">
        <v>41676.716615048615</v>
      </c>
      <c r="F36" s="40">
        <v>72365.998943379367</v>
      </c>
      <c r="G36" s="40">
        <v>103055.28127171012</v>
      </c>
      <c r="H36" s="40">
        <v>133744.56360004086</v>
      </c>
      <c r="I36" s="40">
        <v>164433.84592837159</v>
      </c>
      <c r="J36" s="40">
        <v>195123.12825670233</v>
      </c>
      <c r="K36" s="61">
        <v>225812.41058503313</v>
      </c>
      <c r="L36" s="40">
        <v>394329.80205870548</v>
      </c>
      <c r="M36" s="40">
        <v>562847.19353237783</v>
      </c>
      <c r="N36" s="40">
        <v>731364.58500605018</v>
      </c>
      <c r="O36" s="40">
        <v>899881.97647972254</v>
      </c>
      <c r="P36" s="61">
        <v>1068399.367953395</v>
      </c>
      <c r="Q36" s="40">
        <v>1584996.692383647</v>
      </c>
      <c r="R36" s="40">
        <v>2101594.0168138989</v>
      </c>
      <c r="S36" s="40">
        <v>2618191.3412441509</v>
      </c>
      <c r="T36" s="40">
        <v>3134788.6656744028</v>
      </c>
      <c r="U36" s="61">
        <v>3651385.9901046548</v>
      </c>
      <c r="V36" s="40">
        <v>4757299.4941218281</v>
      </c>
      <c r="W36" s="40">
        <v>5863212.9981390014</v>
      </c>
      <c r="X36" s="40">
        <v>6969126.5021561747</v>
      </c>
      <c r="Y36" s="40">
        <v>8075040.0061733481</v>
      </c>
      <c r="Z36" s="61">
        <v>9180953.5101905204</v>
      </c>
      <c r="AA36" s="40">
        <v>10940122.052160803</v>
      </c>
      <c r="AB36" s="40">
        <v>12699290.594131086</v>
      </c>
      <c r="AC36" s="40">
        <v>14458459.136101369</v>
      </c>
      <c r="AD36" s="40">
        <v>16217627.678071652</v>
      </c>
      <c r="AE36" s="61">
        <v>17976796.220041938</v>
      </c>
    </row>
    <row r="37" spans="1:31" ht="29" x14ac:dyDescent="0.35">
      <c r="A37" s="3" t="s">
        <v>134</v>
      </c>
      <c r="B37" s="3" t="s">
        <v>135</v>
      </c>
      <c r="C37" s="87" t="s">
        <v>131</v>
      </c>
      <c r="D37" s="61">
        <v>5110374.2213796834</v>
      </c>
      <c r="E37" s="61">
        <v>6015097.5811416227</v>
      </c>
      <c r="F37" s="61">
        <v>6967510.592113046</v>
      </c>
      <c r="G37" s="61">
        <v>7745187.9968061158</v>
      </c>
      <c r="H37" s="61">
        <v>8491036.71368628</v>
      </c>
      <c r="I37" s="61">
        <v>9233048.74636738</v>
      </c>
      <c r="J37" s="61">
        <v>10172667.817321118</v>
      </c>
      <c r="K37" s="61">
        <v>11216525.058557451</v>
      </c>
      <c r="L37" s="61">
        <v>12260160.059538106</v>
      </c>
      <c r="M37" s="61">
        <v>13330830.006865343</v>
      </c>
      <c r="N37" s="61">
        <v>14604368.715492908</v>
      </c>
      <c r="O37" s="61">
        <v>15898045.990351547</v>
      </c>
      <c r="P37" s="61">
        <v>17328004.734673198</v>
      </c>
      <c r="Q37" s="61">
        <v>18766389.698252752</v>
      </c>
      <c r="R37" s="61">
        <v>20232001.086540084</v>
      </c>
      <c r="S37" s="61">
        <v>21817429.49744973</v>
      </c>
      <c r="T37" s="61">
        <v>23600568.043533172</v>
      </c>
      <c r="U37" s="61">
        <v>25503802.072911512</v>
      </c>
      <c r="V37" s="61">
        <v>27434997.056164566</v>
      </c>
      <c r="W37" s="61">
        <v>29443388.644315328</v>
      </c>
      <c r="X37" s="61">
        <v>31566313.148651812</v>
      </c>
      <c r="Y37" s="61">
        <v>33843442.253389135</v>
      </c>
      <c r="Z37" s="61">
        <v>36000441.291783169</v>
      </c>
      <c r="AA37" s="61">
        <v>38358137.116168171</v>
      </c>
      <c r="AB37" s="61">
        <v>40806428.006710529</v>
      </c>
      <c r="AC37" s="61">
        <v>43292848.447085924</v>
      </c>
      <c r="AD37" s="61">
        <v>45372446.239866607</v>
      </c>
      <c r="AE37" s="61">
        <v>47951699.30872459</v>
      </c>
    </row>
    <row r="38" spans="1:31" x14ac:dyDescent="0.35">
      <c r="A38" s="87"/>
      <c r="B38" s="87"/>
      <c r="C38" s="8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x14ac:dyDescent="0.35">
      <c r="A39" s="87"/>
      <c r="B39" s="87"/>
      <c r="C39" s="87" t="s">
        <v>136</v>
      </c>
      <c r="D39" s="87">
        <f>'Cost Assumptions'!$B$4</f>
        <v>40</v>
      </c>
      <c r="E39" s="61">
        <f>D39*'Cost Assumptions'!$B$5</f>
        <v>41</v>
      </c>
      <c r="F39" s="61">
        <f>E39*'Cost Assumptions'!$B$5</f>
        <v>42.024999999999999</v>
      </c>
      <c r="G39" s="61">
        <f>F39*'Cost Assumptions'!$B$5</f>
        <v>43.075624999999995</v>
      </c>
      <c r="H39" s="61">
        <f>G39*'Cost Assumptions'!$B$5</f>
        <v>44.152515624999992</v>
      </c>
      <c r="I39" s="8">
        <f>H39*'Cost Assumptions'!$B$5</f>
        <v>45.256328515624986</v>
      </c>
      <c r="J39" s="8">
        <f>I39*'Cost Assumptions'!$B$5</f>
        <v>46.387736728515605</v>
      </c>
      <c r="K39" s="8">
        <f>J39*'Cost Assumptions'!$B$5</f>
        <v>47.547430146728495</v>
      </c>
      <c r="L39" s="8">
        <f>K39*'Cost Assumptions'!$B$5</f>
        <v>48.736115900396705</v>
      </c>
      <c r="M39" s="8">
        <f>L39*'Cost Assumptions'!$B$5</f>
        <v>49.954518797906616</v>
      </c>
      <c r="N39" s="8">
        <f>M39*'Cost Assumptions'!$B$5</f>
        <v>51.203381767854275</v>
      </c>
      <c r="O39" s="8">
        <f>N39*'Cost Assumptions'!$B$5</f>
        <v>52.483466312050624</v>
      </c>
      <c r="P39" s="8">
        <f>O39*'Cost Assumptions'!$B$5</f>
        <v>53.795552969851883</v>
      </c>
      <c r="Q39" s="8">
        <f>P39*'Cost Assumptions'!$B$5</f>
        <v>55.140441794098173</v>
      </c>
      <c r="R39" s="8">
        <f>Q39*'Cost Assumptions'!$B$5</f>
        <v>56.518952838950625</v>
      </c>
      <c r="S39" s="8">
        <f>R39*'Cost Assumptions'!$B$5</f>
        <v>57.931926659924386</v>
      </c>
      <c r="T39" s="8">
        <f>S39*'Cost Assumptions'!$B$5</f>
        <v>59.380224826422491</v>
      </c>
      <c r="U39" s="8">
        <f>T39*'Cost Assumptions'!$B$5</f>
        <v>60.864730447083048</v>
      </c>
      <c r="V39" s="8">
        <f>U39*'Cost Assumptions'!$B$5</f>
        <v>62.386348708260115</v>
      </c>
      <c r="W39" s="8">
        <f>V39*'Cost Assumptions'!$B$5</f>
        <v>63.946007425966613</v>
      </c>
      <c r="X39" s="8">
        <f>W39*'Cost Assumptions'!$B$5</f>
        <v>65.544657611615776</v>
      </c>
      <c r="Y39" s="8">
        <f>X39*'Cost Assumptions'!$B$5</f>
        <v>67.183274051906167</v>
      </c>
      <c r="Z39" s="8">
        <f>Y39*'Cost Assumptions'!$B$5</f>
        <v>68.862855903203823</v>
      </c>
      <c r="AA39" s="8">
        <f>Z39*'Cost Assumptions'!$B$5</f>
        <v>70.584427300783915</v>
      </c>
      <c r="AB39" s="8">
        <f>AA39*'Cost Assumptions'!$B$5</f>
        <v>72.349037983303504</v>
      </c>
      <c r="AC39" s="8">
        <f>AB39*'Cost Assumptions'!$B$5</f>
        <v>74.157763932886084</v>
      </c>
      <c r="AD39" s="8">
        <f>AC39*'Cost Assumptions'!$B$5</f>
        <v>76.011708031208229</v>
      </c>
      <c r="AE39" s="8">
        <f>AD39*'Cost Assumptions'!$B$5</f>
        <v>77.912000731988428</v>
      </c>
    </row>
    <row r="40" spans="1:31" x14ac:dyDescent="0.35">
      <c r="A40" s="87"/>
      <c r="B40" s="87"/>
      <c r="C40" s="87"/>
      <c r="E40" s="87"/>
      <c r="F40" s="87"/>
      <c r="G40" s="87"/>
      <c r="H40" s="6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23.5" x14ac:dyDescent="0.55000000000000004">
      <c r="A41" s="87"/>
      <c r="B41" s="165" t="s">
        <v>137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</row>
    <row r="42" spans="1:31" ht="20" thickBot="1" x14ac:dyDescent="0.5">
      <c r="A42" s="120"/>
      <c r="B42" s="125" t="s">
        <v>138</v>
      </c>
      <c r="C42" s="120" t="s">
        <v>105</v>
      </c>
      <c r="D42" s="120">
        <v>2021</v>
      </c>
      <c r="E42" s="120">
        <v>2022</v>
      </c>
      <c r="F42" s="120">
        <v>2023</v>
      </c>
      <c r="G42" s="120">
        <v>2024</v>
      </c>
      <c r="H42" s="120">
        <v>2025</v>
      </c>
      <c r="I42" s="120">
        <v>2026</v>
      </c>
      <c r="J42" s="120">
        <v>2027</v>
      </c>
      <c r="K42" s="120">
        <v>2028</v>
      </c>
      <c r="L42" s="120">
        <v>2029</v>
      </c>
      <c r="M42" s="120">
        <v>2030</v>
      </c>
      <c r="N42" s="120">
        <v>2031</v>
      </c>
      <c r="O42" s="120">
        <v>2032</v>
      </c>
      <c r="P42" s="120">
        <v>2033</v>
      </c>
      <c r="Q42" s="120">
        <v>2034</v>
      </c>
      <c r="R42" s="120">
        <v>2035</v>
      </c>
      <c r="S42" s="120">
        <v>2036</v>
      </c>
      <c r="T42" s="120">
        <v>2037</v>
      </c>
      <c r="U42" s="120">
        <v>2038</v>
      </c>
      <c r="V42" s="120">
        <v>2039</v>
      </c>
      <c r="W42" s="120">
        <v>2040</v>
      </c>
      <c r="X42" s="120">
        <v>2041</v>
      </c>
      <c r="Y42" s="120">
        <v>2042</v>
      </c>
      <c r="Z42" s="120">
        <v>2043</v>
      </c>
      <c r="AA42" s="120">
        <v>2044</v>
      </c>
      <c r="AB42" s="120">
        <v>2045</v>
      </c>
      <c r="AC42" s="120">
        <v>2046</v>
      </c>
      <c r="AD42" s="120">
        <v>2047</v>
      </c>
      <c r="AE42" s="120">
        <v>2048</v>
      </c>
    </row>
    <row r="43" spans="1:31" ht="15" thickTop="1" x14ac:dyDescent="0.35">
      <c r="A43" s="87"/>
      <c r="B43" s="9">
        <f>NPV('Cost Assumptions'!$B$3,'Valley S to Valley N to Vista'!D43:'Valley S to Valley N to Vista'!AE43)</f>
        <v>6560.511321240846</v>
      </c>
      <c r="C43" s="87" t="s">
        <v>107</v>
      </c>
      <c r="D43" s="61">
        <f t="shared" ref="D43" si="4">D2-D18</f>
        <v>358.79999999895517</v>
      </c>
      <c r="E43" s="61">
        <f t="shared" ref="E43:AE43" si="5">E2-E18</f>
        <v>408.64999999964493</v>
      </c>
      <c r="F43" s="61">
        <f t="shared" si="5"/>
        <v>451.60192307660327</v>
      </c>
      <c r="G43" s="61">
        <f t="shared" si="5"/>
        <v>494.55384615356161</v>
      </c>
      <c r="H43" s="61">
        <f t="shared" si="5"/>
        <v>537.50576923051995</v>
      </c>
      <c r="I43" s="61">
        <f t="shared" si="5"/>
        <v>580.45769230747828</v>
      </c>
      <c r="J43" s="61">
        <f t="shared" si="5"/>
        <v>623.40961538443662</v>
      </c>
      <c r="K43" s="61">
        <f t="shared" si="5"/>
        <v>666.36153846139496</v>
      </c>
      <c r="L43" s="61">
        <f t="shared" si="5"/>
        <v>709.31346153835329</v>
      </c>
      <c r="M43" s="61">
        <f t="shared" si="5"/>
        <v>752.26538461531163</v>
      </c>
      <c r="N43" s="61">
        <f t="shared" si="5"/>
        <v>795.21730769226997</v>
      </c>
      <c r="O43" s="61">
        <f t="shared" si="5"/>
        <v>838.16923076922831</v>
      </c>
      <c r="P43" s="61">
        <f t="shared" si="5"/>
        <v>881.12115384618664</v>
      </c>
      <c r="Q43" s="61">
        <f t="shared" si="5"/>
        <v>924.07307692314498</v>
      </c>
      <c r="R43" s="61">
        <f t="shared" si="5"/>
        <v>967.02500000010332</v>
      </c>
      <c r="S43" s="61">
        <f t="shared" si="5"/>
        <v>1009.9769230770617</v>
      </c>
      <c r="T43" s="61">
        <f t="shared" si="5"/>
        <v>1052.92884615402</v>
      </c>
      <c r="U43" s="61">
        <f t="shared" si="5"/>
        <v>1095.8807692309783</v>
      </c>
      <c r="V43" s="61">
        <f t="shared" si="5"/>
        <v>1138.8326923079367</v>
      </c>
      <c r="W43" s="61">
        <f t="shared" si="5"/>
        <v>1181.784615384895</v>
      </c>
      <c r="X43" s="61">
        <f t="shared" si="5"/>
        <v>1224.7365384618533</v>
      </c>
      <c r="Y43" s="61">
        <f t="shared" si="5"/>
        <v>1267.6884615388117</v>
      </c>
      <c r="Z43" s="61">
        <f t="shared" si="5"/>
        <v>1310.64038461577</v>
      </c>
      <c r="AA43" s="61">
        <f t="shared" si="5"/>
        <v>1353.5923076927284</v>
      </c>
      <c r="AB43" s="61">
        <f t="shared" si="5"/>
        <v>1396.5442307696867</v>
      </c>
      <c r="AC43" s="61">
        <f t="shared" si="5"/>
        <v>1439.496153846645</v>
      </c>
      <c r="AD43" s="61">
        <f t="shared" si="5"/>
        <v>1482.4480769236034</v>
      </c>
      <c r="AE43" s="61">
        <f t="shared" si="5"/>
        <v>1525.4000000004598</v>
      </c>
    </row>
    <row r="44" spans="1:31" x14ac:dyDescent="0.35">
      <c r="A44" s="87"/>
      <c r="B44" s="9">
        <f>NPV('Cost Assumptions'!$B$3,'Valley S to Valley N to Vista'!D44:'Valley S to Valley N to Vista'!AE44)</f>
        <v>348715.33143486065</v>
      </c>
      <c r="C44" s="87" t="s">
        <v>139</v>
      </c>
      <c r="D44" s="61">
        <f>D43*D39</f>
        <v>14351.999999958207</v>
      </c>
      <c r="E44" s="61">
        <f>E43*E39</f>
        <v>16754.649999985442</v>
      </c>
      <c r="F44" s="61">
        <f>F43*F39</f>
        <v>18978.57081729425</v>
      </c>
      <c r="G44" s="61">
        <f>G43*G39</f>
        <v>21303.216019218511</v>
      </c>
      <c r="H44" s="61">
        <f>H43*H39</f>
        <v>23732.231874478173</v>
      </c>
      <c r="I44" s="61">
        <f t="shared" ref="I44:AE44" si="6">I43*I39</f>
        <v>26269.384012488805</v>
      </c>
      <c r="J44" s="61">
        <f t="shared" si="6"/>
        <v>28918.561112478419</v>
      </c>
      <c r="K44" s="61">
        <f t="shared" si="6"/>
        <v>31683.778702459709</v>
      </c>
      <c r="L44" s="61">
        <f t="shared" si="6"/>
        <v>34569.18307124477</v>
      </c>
      <c r="M44" s="61">
        <f t="shared" si="6"/>
        <v>37579.055296780032</v>
      </c>
      <c r="N44" s="61">
        <f t="shared" si="6"/>
        <v>40717.81539417254</v>
      </c>
      <c r="O44" s="61">
        <f t="shared" si="6"/>
        <v>43990.026586874177</v>
      </c>
      <c r="P44" s="61">
        <f t="shared" si="6"/>
        <v>47400.399704589545</v>
      </c>
      <c r="Q44" s="61">
        <f t="shared" si="6"/>
        <v>50953.797711573883</v>
      </c>
      <c r="R44" s="61">
        <f t="shared" si="6"/>
        <v>54655.240369092069</v>
      </c>
      <c r="S44" s="61">
        <f t="shared" si="6"/>
        <v>58509.909035916426</v>
      </c>
      <c r="T44" s="61">
        <f t="shared" si="6"/>
        <v>62523.151610851324</v>
      </c>
      <c r="U44" s="61">
        <f t="shared" si="6"/>
        <v>66700.487621385517</v>
      </c>
      <c r="V44" s="61">
        <f t="shared" si="6"/>
        <v>71047.613462689638</v>
      </c>
      <c r="W44" s="61">
        <f t="shared" si="6"/>
        <v>75570.407791295598</v>
      </c>
      <c r="X44" s="61">
        <f t="shared" si="6"/>
        <v>80274.937077917668</v>
      </c>
      <c r="Y44" s="61">
        <f t="shared" si="6"/>
        <v>85167.461324001299</v>
      </c>
      <c r="Z44" s="61">
        <f t="shared" si="6"/>
        <v>90254.4399467154</v>
      </c>
      <c r="AA44" s="61">
        <f t="shared" si="6"/>
        <v>95542.537837237716</v>
      </c>
      <c r="AB44" s="61">
        <f t="shared" si="6"/>
        <v>101038.63159731943</v>
      </c>
      <c r="AC44" s="61">
        <f t="shared" si="6"/>
        <v>106749.81595925697</v>
      </c>
      <c r="AD44" s="61">
        <f t="shared" si="6"/>
        <v>112683.41039454305</v>
      </c>
      <c r="AE44" s="61">
        <f t="shared" si="6"/>
        <v>118846.96591661098</v>
      </c>
    </row>
    <row r="45" spans="1:31" x14ac:dyDescent="0.35">
      <c r="A45" s="87" t="s">
        <v>30</v>
      </c>
      <c r="B45" s="9">
        <f>NPV('Cost Assumptions'!$B$3,'Valley S to Valley N to Vista'!D45:'Valley S to Valley N to Vista'!AE45)</f>
        <v>1471.0441040403673</v>
      </c>
      <c r="C45" s="87" t="s">
        <v>31</v>
      </c>
      <c r="D45" s="61">
        <f t="shared" ref="D45" si="7">D3-D19</f>
        <v>5.5999999999999943</v>
      </c>
      <c r="E45" s="61">
        <f t="shared" ref="E45:AE45" si="8">E3-E19</f>
        <v>8.0999999999999943</v>
      </c>
      <c r="F45" s="61">
        <f t="shared" si="8"/>
        <v>9.2000000000000028</v>
      </c>
      <c r="G45" s="61">
        <f t="shared" si="8"/>
        <v>10.300000000000011</v>
      </c>
      <c r="H45" s="61">
        <f t="shared" si="8"/>
        <v>11.40000000000002</v>
      </c>
      <c r="I45" s="61">
        <f t="shared" si="8"/>
        <v>12.500000000000028</v>
      </c>
      <c r="J45" s="61">
        <f t="shared" si="8"/>
        <v>13.600000000000023</v>
      </c>
      <c r="K45" s="61">
        <f t="shared" si="8"/>
        <v>14.699999999999989</v>
      </c>
      <c r="L45" s="61">
        <f t="shared" si="8"/>
        <v>19.520000000000039</v>
      </c>
      <c r="M45" s="61">
        <f t="shared" si="8"/>
        <v>24.340000000000146</v>
      </c>
      <c r="N45" s="61">
        <f t="shared" si="8"/>
        <v>29.160000000000196</v>
      </c>
      <c r="O45" s="61">
        <f t="shared" si="8"/>
        <v>33.980000000000132</v>
      </c>
      <c r="P45" s="61">
        <f t="shared" si="8"/>
        <v>210.95000000000016</v>
      </c>
      <c r="Q45" s="61">
        <f t="shared" si="8"/>
        <v>227.04000000000042</v>
      </c>
      <c r="R45" s="61">
        <f t="shared" si="8"/>
        <v>243.13000000000056</v>
      </c>
      <c r="S45" s="61">
        <f t="shared" si="8"/>
        <v>259.22000000000071</v>
      </c>
      <c r="T45" s="61">
        <f t="shared" si="8"/>
        <v>275.31000000000085</v>
      </c>
      <c r="U45" s="61">
        <f t="shared" si="8"/>
        <v>291.40000000000055</v>
      </c>
      <c r="V45" s="61">
        <f t="shared" si="8"/>
        <v>496.85000000000036</v>
      </c>
      <c r="W45" s="61">
        <f t="shared" si="8"/>
        <v>702.29999999999973</v>
      </c>
      <c r="X45" s="61">
        <f t="shared" si="8"/>
        <v>907.74999999999909</v>
      </c>
      <c r="Y45" s="61">
        <f t="shared" si="8"/>
        <v>1113.1999999999985</v>
      </c>
      <c r="Z45" s="61">
        <f t="shared" si="8"/>
        <v>746.09999999999945</v>
      </c>
      <c r="AA45" s="61">
        <f t="shared" si="8"/>
        <v>907.49999999999909</v>
      </c>
      <c r="AB45" s="61">
        <f t="shared" si="8"/>
        <v>1068.8999999999987</v>
      </c>
      <c r="AC45" s="61">
        <f t="shared" si="8"/>
        <v>1230.2999999999984</v>
      </c>
      <c r="AD45" s="61">
        <f t="shared" si="8"/>
        <v>1391.699999999998</v>
      </c>
      <c r="AE45" s="61">
        <f t="shared" si="8"/>
        <v>1553.0999999999967</v>
      </c>
    </row>
    <row r="46" spans="1:31" x14ac:dyDescent="0.35">
      <c r="A46" s="87" t="s">
        <v>30</v>
      </c>
      <c r="B46" s="9">
        <f>NPV('Cost Assumptions'!$B$3,'Valley S to Valley N to Vista'!D46:'Valley S to Valley N to Vista'!AE46)</f>
        <v>-32.718999124342567</v>
      </c>
      <c r="C46" s="87" t="s">
        <v>32</v>
      </c>
      <c r="D46" s="61">
        <f t="shared" ref="D46" si="9">D4-D20</f>
        <v>-2.4000000000000057</v>
      </c>
      <c r="E46" s="61">
        <f t="shared" ref="E46:AE46" si="10">E4-E20</f>
        <v>-4.3000000000000114</v>
      </c>
      <c r="F46" s="61">
        <f t="shared" si="10"/>
        <v>-4.4166666666666767</v>
      </c>
      <c r="G46" s="61">
        <f t="shared" si="10"/>
        <v>-4.5333333333333421</v>
      </c>
      <c r="H46" s="61">
        <f t="shared" si="10"/>
        <v>-4.6500000000000075</v>
      </c>
      <c r="I46" s="61">
        <f t="shared" si="10"/>
        <v>-4.7666666666666728</v>
      </c>
      <c r="J46" s="61">
        <f t="shared" si="10"/>
        <v>-4.8833333333333364</v>
      </c>
      <c r="K46" s="61">
        <f t="shared" si="10"/>
        <v>-5</v>
      </c>
      <c r="L46" s="61">
        <f t="shared" si="10"/>
        <v>-4.7899999999999956</v>
      </c>
      <c r="M46" s="61">
        <f t="shared" si="10"/>
        <v>-4.5799999999999912</v>
      </c>
      <c r="N46" s="61">
        <f t="shared" si="10"/>
        <v>-4.3699999999999832</v>
      </c>
      <c r="O46" s="61">
        <f t="shared" si="10"/>
        <v>-4.1599999999999753</v>
      </c>
      <c r="P46" s="61">
        <f t="shared" si="10"/>
        <v>-2.4999999999999787</v>
      </c>
      <c r="Q46" s="61">
        <f t="shared" si="10"/>
        <v>-1.2799999999999798</v>
      </c>
      <c r="R46" s="61">
        <f t="shared" si="10"/>
        <v>-5.9999999999980957E-2</v>
      </c>
      <c r="S46" s="61">
        <f t="shared" si="10"/>
        <v>1.1600000000000179</v>
      </c>
      <c r="T46" s="61">
        <f t="shared" si="10"/>
        <v>2.3800000000000168</v>
      </c>
      <c r="U46" s="61">
        <f t="shared" si="10"/>
        <v>3.6000000000000014</v>
      </c>
      <c r="V46" s="61">
        <f t="shared" si="10"/>
        <v>1.7199999999999918</v>
      </c>
      <c r="W46" s="61">
        <f t="shared" si="10"/>
        <v>-0.16000000000002501</v>
      </c>
      <c r="X46" s="61">
        <f t="shared" si="10"/>
        <v>-2.0400000000000489</v>
      </c>
      <c r="Y46" s="61">
        <f t="shared" si="10"/>
        <v>-3.9200000000000728</v>
      </c>
      <c r="Z46" s="61">
        <f t="shared" si="10"/>
        <v>-5.8000000000000682</v>
      </c>
      <c r="AA46" s="61">
        <f t="shared" si="10"/>
        <v>-5.9600000000000506</v>
      </c>
      <c r="AB46" s="61">
        <f t="shared" si="10"/>
        <v>-6.120000000000033</v>
      </c>
      <c r="AC46" s="61">
        <f t="shared" si="10"/>
        <v>-6.2800000000000153</v>
      </c>
      <c r="AD46" s="61">
        <f t="shared" si="10"/>
        <v>-6.4399999999999977</v>
      </c>
      <c r="AE46" s="61">
        <f t="shared" si="10"/>
        <v>-6.5999999999999659</v>
      </c>
    </row>
    <row r="47" spans="1:31" x14ac:dyDescent="0.35">
      <c r="A47" s="87" t="s">
        <v>30</v>
      </c>
      <c r="B47" s="9">
        <f>NPV('Cost Assumptions'!$B$3,'Valley S to Valley N to Vista'!D47:'Valley S to Valley N to Vista'!AE47)</f>
        <v>374.13028185809554</v>
      </c>
      <c r="C47" s="87" t="s">
        <v>33</v>
      </c>
      <c r="D47" s="61">
        <f t="shared" ref="D47" si="11">D5-D21</f>
        <v>0.15808760115486706</v>
      </c>
      <c r="E47" s="61">
        <f t="shared" ref="E47:AE47" si="12">E5-E21</f>
        <v>0.31034737877346674</v>
      </c>
      <c r="F47" s="61">
        <f t="shared" si="12"/>
        <v>0.26665200351692253</v>
      </c>
      <c r="G47" s="61">
        <f t="shared" si="12"/>
        <v>0.22295662826037832</v>
      </c>
      <c r="H47" s="61">
        <f t="shared" si="12"/>
        <v>0.17926125300383422</v>
      </c>
      <c r="I47" s="61">
        <f t="shared" si="12"/>
        <v>0.13556587774729012</v>
      </c>
      <c r="J47" s="61">
        <f t="shared" si="12"/>
        <v>9.187050249074602E-2</v>
      </c>
      <c r="K47" s="61">
        <f t="shared" si="12"/>
        <v>4.8175127234201476E-2</v>
      </c>
      <c r="L47" s="61">
        <f t="shared" si="12"/>
        <v>0.29325318039438386</v>
      </c>
      <c r="M47" s="61">
        <f t="shared" si="12"/>
        <v>0.53833123355456713</v>
      </c>
      <c r="N47" s="61">
        <f t="shared" si="12"/>
        <v>0.78340928671475041</v>
      </c>
      <c r="O47" s="61">
        <f t="shared" si="12"/>
        <v>1.0284873398749284</v>
      </c>
      <c r="P47" s="61">
        <f t="shared" si="12"/>
        <v>24.699725106405772</v>
      </c>
      <c r="Q47" s="61">
        <f t="shared" si="12"/>
        <v>28.17440350814141</v>
      </c>
      <c r="R47" s="61">
        <f t="shared" si="12"/>
        <v>31.64908190987704</v>
      </c>
      <c r="S47" s="61">
        <f t="shared" si="12"/>
        <v>35.123760311612671</v>
      </c>
      <c r="T47" s="61">
        <f t="shared" si="12"/>
        <v>38.598438713348315</v>
      </c>
      <c r="U47" s="61">
        <f t="shared" si="12"/>
        <v>42.073117115083932</v>
      </c>
      <c r="V47" s="61">
        <f t="shared" si="12"/>
        <v>80.423893476973831</v>
      </c>
      <c r="W47" s="61">
        <f t="shared" si="12"/>
        <v>118.7746698388637</v>
      </c>
      <c r="X47" s="61">
        <f t="shared" si="12"/>
        <v>157.12544620075357</v>
      </c>
      <c r="Y47" s="61">
        <f t="shared" si="12"/>
        <v>195.47622256264344</v>
      </c>
      <c r="Z47" s="61">
        <f t="shared" si="12"/>
        <v>233.82699892453348</v>
      </c>
      <c r="AA47" s="61">
        <f t="shared" si="12"/>
        <v>339.76740798375488</v>
      </c>
      <c r="AB47" s="61">
        <f t="shared" si="12"/>
        <v>445.70781704297633</v>
      </c>
      <c r="AC47" s="61">
        <f t="shared" si="12"/>
        <v>551.64822610219767</v>
      </c>
      <c r="AD47" s="61">
        <f t="shared" si="12"/>
        <v>657.58863516141901</v>
      </c>
      <c r="AE47" s="61">
        <f t="shared" si="12"/>
        <v>763.52904422064012</v>
      </c>
    </row>
    <row r="48" spans="1:31" x14ac:dyDescent="0.35">
      <c r="A48" s="87" t="s">
        <v>30</v>
      </c>
      <c r="B48" s="9">
        <f>NPV('Cost Assumptions'!$B$3,'Valley S to Valley N to Vista'!D48:'Valley S to Valley N to Vista'!AE48)</f>
        <v>0.84873352317780459</v>
      </c>
      <c r="C48" s="87" t="s">
        <v>34</v>
      </c>
      <c r="D48" s="61">
        <f t="shared" ref="D48" si="13">D6-D22</f>
        <v>2.6788994289051338E-3</v>
      </c>
      <c r="E48" s="61">
        <f t="shared" ref="E48:AE48" si="14">E6-E22</f>
        <v>1.7838539855266032E-3</v>
      </c>
      <c r="F48" s="61">
        <f t="shared" si="14"/>
        <v>3.5493332371698549E-4</v>
      </c>
      <c r="G48" s="61">
        <f t="shared" si="14"/>
        <v>-1.0739873380926357E-3</v>
      </c>
      <c r="H48" s="61">
        <f t="shared" si="14"/>
        <v>-2.5029079999022569E-3</v>
      </c>
      <c r="I48" s="61">
        <f t="shared" si="14"/>
        <v>-3.9318286617118781E-3</v>
      </c>
      <c r="J48" s="61">
        <f t="shared" si="14"/>
        <v>-5.3607493235215131E-3</v>
      </c>
      <c r="K48" s="61">
        <f t="shared" si="14"/>
        <v>-6.7896699853310927E-3</v>
      </c>
      <c r="L48" s="61">
        <f t="shared" si="14"/>
        <v>-6.3576296383344166E-3</v>
      </c>
      <c r="M48" s="61">
        <f t="shared" si="14"/>
        <v>-5.9255892913377406E-3</v>
      </c>
      <c r="N48" s="61">
        <f t="shared" si="14"/>
        <v>-5.4935489443410646E-3</v>
      </c>
      <c r="O48" s="61">
        <f t="shared" si="14"/>
        <v>-5.061508597344444E-3</v>
      </c>
      <c r="P48" s="61">
        <f t="shared" si="14"/>
        <v>0.15211363068350059</v>
      </c>
      <c r="Q48" s="61">
        <f t="shared" si="14"/>
        <v>0.15704613388941291</v>
      </c>
      <c r="R48" s="61">
        <f t="shared" si="14"/>
        <v>0.16197863709532534</v>
      </c>
      <c r="S48" s="61">
        <f t="shared" si="14"/>
        <v>0.16691114030123777</v>
      </c>
      <c r="T48" s="61">
        <f t="shared" si="14"/>
        <v>0.1718436435071502</v>
      </c>
      <c r="U48" s="61">
        <f t="shared" si="14"/>
        <v>0.17677614671306197</v>
      </c>
      <c r="V48" s="61">
        <f t="shared" si="14"/>
        <v>0.24687485831629319</v>
      </c>
      <c r="W48" s="61">
        <f t="shared" si="14"/>
        <v>0.31697356991952441</v>
      </c>
      <c r="X48" s="61">
        <f t="shared" si="14"/>
        <v>0.38707228152275563</v>
      </c>
      <c r="Y48" s="61">
        <f t="shared" si="14"/>
        <v>0.45717099312598686</v>
      </c>
      <c r="Z48" s="61">
        <f t="shared" si="14"/>
        <v>0.52726970472921764</v>
      </c>
      <c r="AA48" s="61">
        <f t="shared" si="14"/>
        <v>0.66103738776772936</v>
      </c>
      <c r="AB48" s="61">
        <f t="shared" si="14"/>
        <v>0.79480507080624108</v>
      </c>
      <c r="AC48" s="61">
        <f t="shared" si="14"/>
        <v>0.9285727538447528</v>
      </c>
      <c r="AD48" s="61">
        <f t="shared" si="14"/>
        <v>1.0623404368832645</v>
      </c>
      <c r="AE48" s="61">
        <f t="shared" si="14"/>
        <v>1.1961081199217762</v>
      </c>
    </row>
    <row r="49" spans="1:31" x14ac:dyDescent="0.35">
      <c r="A49" s="87" t="s">
        <v>30</v>
      </c>
      <c r="B49" s="9">
        <f>NPV('Cost Assumptions'!$B$3,'Valley S to Valley N to Vista'!D49:'Valley S to Valley N to Vista'!AE49)</f>
        <v>364.99053013132732</v>
      </c>
      <c r="C49" s="87" t="s">
        <v>35</v>
      </c>
      <c r="D49" s="61">
        <f t="shared" ref="D49" si="15">D7-D23</f>
        <v>14</v>
      </c>
      <c r="E49" s="61">
        <f t="shared" ref="E49:AE49" si="16">E7-E23</f>
        <v>23</v>
      </c>
      <c r="F49" s="61">
        <f t="shared" si="16"/>
        <v>25.333333333333336</v>
      </c>
      <c r="G49" s="61">
        <f t="shared" si="16"/>
        <v>27.666666666666671</v>
      </c>
      <c r="H49" s="61">
        <f t="shared" si="16"/>
        <v>30.000000000000007</v>
      </c>
      <c r="I49" s="61">
        <f t="shared" si="16"/>
        <v>32.333333333333343</v>
      </c>
      <c r="J49" s="61">
        <f t="shared" si="16"/>
        <v>34.666666666666679</v>
      </c>
      <c r="K49" s="61">
        <f t="shared" si="16"/>
        <v>37</v>
      </c>
      <c r="L49" s="61">
        <f t="shared" si="16"/>
        <v>39.799999999999997</v>
      </c>
      <c r="M49" s="61">
        <f t="shared" si="16"/>
        <v>42.6</v>
      </c>
      <c r="N49" s="61">
        <f t="shared" si="16"/>
        <v>45.4</v>
      </c>
      <c r="O49" s="61">
        <f t="shared" si="16"/>
        <v>48.199999999999996</v>
      </c>
      <c r="P49" s="61">
        <f t="shared" si="16"/>
        <v>53.833333333333329</v>
      </c>
      <c r="Q49" s="61">
        <f t="shared" si="16"/>
        <v>55.066666666666656</v>
      </c>
      <c r="R49" s="61">
        <f t="shared" si="16"/>
        <v>56.299999999999983</v>
      </c>
      <c r="S49" s="61">
        <f t="shared" si="16"/>
        <v>57.533333333333317</v>
      </c>
      <c r="T49" s="61">
        <f t="shared" si="16"/>
        <v>58.766666666666666</v>
      </c>
      <c r="U49" s="61">
        <f t="shared" si="16"/>
        <v>60</v>
      </c>
      <c r="V49" s="61">
        <f t="shared" si="16"/>
        <v>63</v>
      </c>
      <c r="W49" s="61">
        <f t="shared" si="16"/>
        <v>66</v>
      </c>
      <c r="X49" s="61">
        <f t="shared" si="16"/>
        <v>69</v>
      </c>
      <c r="Y49" s="61">
        <f t="shared" si="16"/>
        <v>72</v>
      </c>
      <c r="Z49" s="61">
        <f t="shared" si="16"/>
        <v>75</v>
      </c>
      <c r="AA49" s="61">
        <f t="shared" si="16"/>
        <v>76.599999999999994</v>
      </c>
      <c r="AB49" s="61">
        <f t="shared" si="16"/>
        <v>78.199999999999989</v>
      </c>
      <c r="AC49" s="61">
        <f t="shared" si="16"/>
        <v>79.799999999999983</v>
      </c>
      <c r="AD49" s="61">
        <f t="shared" si="16"/>
        <v>81.399999999999977</v>
      </c>
      <c r="AE49" s="61">
        <f t="shared" si="16"/>
        <v>83</v>
      </c>
    </row>
    <row r="50" spans="1:31" s="60" customFormat="1" x14ac:dyDescent="0.35">
      <c r="A50" s="87" t="s">
        <v>30</v>
      </c>
      <c r="B50" s="9">
        <f>NPV('Cost Assumptions'!$B$3,'Valley S to Valley N to Vista'!D50:'Valley S to Valley N to Vista'!AE50)</f>
        <v>98755.574285405048</v>
      </c>
      <c r="C50" s="85" t="s">
        <v>140</v>
      </c>
      <c r="D50" s="61">
        <f t="shared" ref="D50:E52" si="17">D13-D24</f>
        <v>2088.0515373598791</v>
      </c>
      <c r="E50" s="61">
        <f t="shared" si="17"/>
        <v>3165.0847079878258</v>
      </c>
      <c r="F50" s="61">
        <f t="shared" ref="F50:AE50" si="18">F13-F24</f>
        <v>4242.1178786157725</v>
      </c>
      <c r="G50" s="61">
        <f t="shared" si="18"/>
        <v>5319.1510492437192</v>
      </c>
      <c r="H50" s="61">
        <f t="shared" si="18"/>
        <v>6396.1842198716658</v>
      </c>
      <c r="I50" s="61">
        <f t="shared" si="18"/>
        <v>7473.2173904996125</v>
      </c>
      <c r="J50" s="61">
        <f t="shared" si="18"/>
        <v>8550.2505611275592</v>
      </c>
      <c r="K50" s="61">
        <f t="shared" si="18"/>
        <v>9627.2837317555059</v>
      </c>
      <c r="L50" s="61">
        <f t="shared" si="18"/>
        <v>10704.316902383453</v>
      </c>
      <c r="M50" s="61">
        <f t="shared" si="18"/>
        <v>11781.350073011399</v>
      </c>
      <c r="N50" s="61">
        <f t="shared" si="18"/>
        <v>12858.383243639346</v>
      </c>
      <c r="O50" s="61">
        <f t="shared" si="18"/>
        <v>13935.416414267293</v>
      </c>
      <c r="P50" s="61">
        <f t="shared" si="18"/>
        <v>15012.449584895239</v>
      </c>
      <c r="Q50" s="61">
        <f t="shared" si="18"/>
        <v>16089.482755523186</v>
      </c>
      <c r="R50" s="61">
        <f t="shared" si="18"/>
        <v>17166.515926151136</v>
      </c>
      <c r="S50" s="61">
        <f t="shared" si="18"/>
        <v>18243.549096779083</v>
      </c>
      <c r="T50" s="61">
        <f t="shared" si="18"/>
        <v>19320.58226740703</v>
      </c>
      <c r="U50" s="61">
        <f t="shared" si="18"/>
        <v>20397.615438034976</v>
      </c>
      <c r="V50" s="61">
        <f t="shared" si="18"/>
        <v>21474.648608662923</v>
      </c>
      <c r="W50" s="61">
        <f t="shared" si="18"/>
        <v>22551.68177929087</v>
      </c>
      <c r="X50" s="61">
        <f t="shared" si="18"/>
        <v>23628.714949918809</v>
      </c>
      <c r="Y50" s="61">
        <f t="shared" si="18"/>
        <v>24705.748120546763</v>
      </c>
      <c r="Z50" s="61">
        <f t="shared" si="18"/>
        <v>25782.781291174702</v>
      </c>
      <c r="AA50" s="61">
        <f t="shared" si="18"/>
        <v>26859.814461802656</v>
      </c>
      <c r="AB50" s="61">
        <f t="shared" si="18"/>
        <v>27936.847632430596</v>
      </c>
      <c r="AC50" s="61">
        <f t="shared" si="18"/>
        <v>29013.88080305855</v>
      </c>
      <c r="AD50" s="61">
        <f t="shared" si="18"/>
        <v>30090.913973686489</v>
      </c>
      <c r="AE50" s="61">
        <f t="shared" si="18"/>
        <v>31167.947144314443</v>
      </c>
    </row>
    <row r="51" spans="1:31" s="60" customFormat="1" x14ac:dyDescent="0.35">
      <c r="A51" s="87" t="s">
        <v>30</v>
      </c>
      <c r="B51" s="9">
        <f>NPV('Cost Assumptions'!$B$3,'Valley S to Valley N to Vista'!D51:'Valley S to Valley N to Vista'!AE51)</f>
        <v>0</v>
      </c>
      <c r="C51" s="85" t="s">
        <v>141</v>
      </c>
      <c r="D51" s="61">
        <f t="shared" si="17"/>
        <v>0</v>
      </c>
      <c r="E51" s="61">
        <f t="shared" si="17"/>
        <v>0</v>
      </c>
      <c r="F51" s="61">
        <f t="shared" ref="F51:AE51" si="19">F14-F25</f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9"/>
        <v>0</v>
      </c>
      <c r="K51" s="61">
        <f t="shared" si="19"/>
        <v>0</v>
      </c>
      <c r="L51" s="61">
        <f t="shared" si="19"/>
        <v>0</v>
      </c>
      <c r="M51" s="61">
        <f t="shared" si="19"/>
        <v>0</v>
      </c>
      <c r="N51" s="61">
        <f t="shared" si="19"/>
        <v>0</v>
      </c>
      <c r="O51" s="61">
        <f t="shared" si="19"/>
        <v>0</v>
      </c>
      <c r="P51" s="61">
        <f t="shared" si="19"/>
        <v>0</v>
      </c>
      <c r="Q51" s="61">
        <f t="shared" si="19"/>
        <v>0</v>
      </c>
      <c r="R51" s="61">
        <f t="shared" si="19"/>
        <v>0</v>
      </c>
      <c r="S51" s="61">
        <f t="shared" si="19"/>
        <v>0</v>
      </c>
      <c r="T51" s="61">
        <f t="shared" si="19"/>
        <v>0</v>
      </c>
      <c r="U51" s="61">
        <f t="shared" si="19"/>
        <v>0</v>
      </c>
      <c r="V51" s="61">
        <f t="shared" si="19"/>
        <v>0</v>
      </c>
      <c r="W51" s="61">
        <f t="shared" si="19"/>
        <v>0</v>
      </c>
      <c r="X51" s="61">
        <f t="shared" si="19"/>
        <v>0</v>
      </c>
      <c r="Y51" s="61">
        <f t="shared" si="19"/>
        <v>0</v>
      </c>
      <c r="Z51" s="61">
        <f t="shared" si="19"/>
        <v>0</v>
      </c>
      <c r="AA51" s="61">
        <f t="shared" si="19"/>
        <v>0</v>
      </c>
      <c r="AB51" s="61">
        <f t="shared" si="19"/>
        <v>0</v>
      </c>
      <c r="AC51" s="61">
        <f t="shared" si="19"/>
        <v>0</v>
      </c>
      <c r="AD51" s="61">
        <f t="shared" si="19"/>
        <v>0</v>
      </c>
      <c r="AE51" s="61">
        <f t="shared" si="19"/>
        <v>0</v>
      </c>
    </row>
    <row r="52" spans="1:31" s="80" customFormat="1" x14ac:dyDescent="0.35">
      <c r="A52" s="87" t="s">
        <v>30</v>
      </c>
      <c r="B52" s="9">
        <f>NPV('Cost Assumptions'!$B$3,'Valley S to Valley N to Vista'!D52:'Valley S to Valley N to Vista'!AE52)</f>
        <v>625479.5609838292</v>
      </c>
      <c r="C52" s="85" t="s">
        <v>142</v>
      </c>
      <c r="D52" s="61">
        <f t="shared" si="17"/>
        <v>43849.644101295453</v>
      </c>
      <c r="E52" s="61">
        <f t="shared" si="17"/>
        <v>47666.191216959465</v>
      </c>
      <c r="F52" s="61">
        <f t="shared" ref="F52:AE52" si="20">F15-F26</f>
        <v>51623.047330972418</v>
      </c>
      <c r="G52" s="61">
        <f t="shared" si="20"/>
        <v>54016.982557012248</v>
      </c>
      <c r="H52" s="61">
        <f t="shared" si="20"/>
        <v>56464.471123255622</v>
      </c>
      <c r="I52" s="61">
        <f t="shared" si="20"/>
        <v>58848.308518997277</v>
      </c>
      <c r="J52" s="61">
        <f t="shared" si="20"/>
        <v>61506.880850817244</v>
      </c>
      <c r="K52" s="61">
        <f t="shared" si="20"/>
        <v>64212.311152410475</v>
      </c>
      <c r="L52" s="61">
        <f t="shared" si="20"/>
        <v>66996.404432384094</v>
      </c>
      <c r="M52" s="61">
        <f t="shared" si="20"/>
        <v>69825.280426255733</v>
      </c>
      <c r="N52" s="61">
        <f t="shared" si="20"/>
        <v>72773.518005164369</v>
      </c>
      <c r="O52" s="61">
        <f t="shared" si="20"/>
        <v>75714.333022317209</v>
      </c>
      <c r="P52" s="61">
        <f t="shared" si="20"/>
        <v>78717.374136003491</v>
      </c>
      <c r="Q52" s="61">
        <f t="shared" si="20"/>
        <v>81702.717287077568</v>
      </c>
      <c r="R52" s="61">
        <f t="shared" si="20"/>
        <v>84628.656557176175</v>
      </c>
      <c r="S52" s="61">
        <f t="shared" si="20"/>
        <v>87572.125320247287</v>
      </c>
      <c r="T52" s="61">
        <f t="shared" si="20"/>
        <v>90542.941621017875</v>
      </c>
      <c r="U52" s="61">
        <f t="shared" si="20"/>
        <v>93513.384412501167</v>
      </c>
      <c r="V52" s="61">
        <f t="shared" si="20"/>
        <v>96262.835372085596</v>
      </c>
      <c r="W52" s="61">
        <f t="shared" si="20"/>
        <v>99037.282527116578</v>
      </c>
      <c r="X52" s="61">
        <f t="shared" si="20"/>
        <v>101828.94049500194</v>
      </c>
      <c r="Y52" s="61">
        <f t="shared" si="20"/>
        <v>104676.61397808696</v>
      </c>
      <c r="Z52" s="61">
        <f t="shared" si="20"/>
        <v>107213.11870562422</v>
      </c>
      <c r="AA52" s="61">
        <f t="shared" si="20"/>
        <v>109729.18807011581</v>
      </c>
      <c r="AB52" s="61">
        <f t="shared" si="20"/>
        <v>112291.24739482973</v>
      </c>
      <c r="AC52" s="61">
        <f t="shared" si="20"/>
        <v>114921.19579819695</v>
      </c>
      <c r="AD52" s="61">
        <f t="shared" si="20"/>
        <v>117146.06917588247</v>
      </c>
      <c r="AE52" s="61">
        <f t="shared" si="20"/>
        <v>119382.04502315809</v>
      </c>
    </row>
    <row r="53" spans="1:31" x14ac:dyDescent="0.35">
      <c r="A53" s="87" t="s">
        <v>39</v>
      </c>
      <c r="B53" s="9">
        <f>NPV('Cost Assumptions'!$B$3,'Valley S to Valley N to Vista'!D53:'Valley S to Valley N to Vista'!AE53)</f>
        <v>16261.741440920299</v>
      </c>
      <c r="C53" s="87" t="s">
        <v>31</v>
      </c>
      <c r="D53" s="61">
        <f>D8-SUM(D28,D27)</f>
        <v>49.800000000000182</v>
      </c>
      <c r="E53" s="61">
        <f>E8-SUM(E28,E27)</f>
        <v>129.00000000000023</v>
      </c>
      <c r="F53" s="61">
        <f t="shared" ref="F53:AE53" si="21">F8-SUM(F28,F27)</f>
        <v>258.75000000000023</v>
      </c>
      <c r="G53" s="61">
        <f t="shared" si="21"/>
        <v>388.50000000000023</v>
      </c>
      <c r="H53" s="61">
        <f t="shared" si="21"/>
        <v>518.25000000000023</v>
      </c>
      <c r="I53" s="61">
        <f t="shared" si="21"/>
        <v>648.00000000000023</v>
      </c>
      <c r="J53" s="61">
        <f t="shared" si="21"/>
        <v>777.75000000000023</v>
      </c>
      <c r="K53" s="61">
        <f t="shared" si="21"/>
        <v>907.5</v>
      </c>
      <c r="L53" s="61">
        <f t="shared" si="21"/>
        <v>1246.7</v>
      </c>
      <c r="M53" s="61">
        <f t="shared" si="21"/>
        <v>1585.9</v>
      </c>
      <c r="N53" s="61">
        <f t="shared" si="21"/>
        <v>1925.1000000000001</v>
      </c>
      <c r="O53" s="61">
        <f t="shared" si="21"/>
        <v>2264.3000000000002</v>
      </c>
      <c r="P53" s="61">
        <f t="shared" si="21"/>
        <v>2843.6833333333334</v>
      </c>
      <c r="Q53" s="61">
        <f t="shared" si="21"/>
        <v>3406.6666666666665</v>
      </c>
      <c r="R53" s="61">
        <f t="shared" si="21"/>
        <v>3821.1499999999996</v>
      </c>
      <c r="S53" s="61">
        <f t="shared" si="21"/>
        <v>4230.833333333333</v>
      </c>
      <c r="T53" s="61">
        <f t="shared" si="21"/>
        <v>4607.9666666666662</v>
      </c>
      <c r="U53" s="61">
        <f t="shared" si="21"/>
        <v>4985.0999999999995</v>
      </c>
      <c r="V53" s="61">
        <f t="shared" si="21"/>
        <v>5197.079999999999</v>
      </c>
      <c r="W53" s="61">
        <f t="shared" si="21"/>
        <v>5409.0599999999986</v>
      </c>
      <c r="X53" s="61">
        <f t="shared" si="21"/>
        <v>5621.0399999999991</v>
      </c>
      <c r="Y53" s="61">
        <f t="shared" si="21"/>
        <v>5833.0199999999986</v>
      </c>
      <c r="Z53" s="61">
        <f t="shared" si="21"/>
        <v>6044.9999999999982</v>
      </c>
      <c r="AA53" s="61">
        <f t="shared" si="21"/>
        <v>5939.9</v>
      </c>
      <c r="AB53" s="61">
        <f t="shared" si="21"/>
        <v>5834.8000000000011</v>
      </c>
      <c r="AC53" s="61">
        <f t="shared" si="21"/>
        <v>5729.7000000000016</v>
      </c>
      <c r="AD53" s="61">
        <f t="shared" si="21"/>
        <v>5624.6000000000022</v>
      </c>
      <c r="AE53" s="61">
        <f t="shared" si="21"/>
        <v>5519.5000000000036</v>
      </c>
    </row>
    <row r="54" spans="1:31" x14ac:dyDescent="0.35">
      <c r="A54" s="87" t="s">
        <v>39</v>
      </c>
      <c r="B54" s="9">
        <f>NPV('Cost Assumptions'!$B$3,'Valley S to Valley N to Vista'!D54:'Valley S to Valley N to Vista'!AE54)</f>
        <v>1010.1630645495271</v>
      </c>
      <c r="C54" s="87" t="s">
        <v>32</v>
      </c>
      <c r="D54" s="61">
        <f t="shared" ref="D54" si="22">D9-D29</f>
        <v>22.400000000000091</v>
      </c>
      <c r="E54" s="61">
        <f t="shared" ref="E54:AE54" si="23">E9-E29</f>
        <v>42.200000000000045</v>
      </c>
      <c r="F54" s="61">
        <f t="shared" si="23"/>
        <v>57.06666666666672</v>
      </c>
      <c r="G54" s="61">
        <f t="shared" si="23"/>
        <v>71.933333333333394</v>
      </c>
      <c r="H54" s="61">
        <f t="shared" si="23"/>
        <v>86.800000000000068</v>
      </c>
      <c r="I54" s="61">
        <f t="shared" si="23"/>
        <v>101.66666666666674</v>
      </c>
      <c r="J54" s="61">
        <f t="shared" si="23"/>
        <v>116.53333333333342</v>
      </c>
      <c r="K54" s="61">
        <f t="shared" si="23"/>
        <v>131.40000000000009</v>
      </c>
      <c r="L54" s="61">
        <f t="shared" si="23"/>
        <v>146.05000000000007</v>
      </c>
      <c r="M54" s="61">
        <f t="shared" si="23"/>
        <v>160.70000000000005</v>
      </c>
      <c r="N54" s="61">
        <f t="shared" si="23"/>
        <v>175.35000000000002</v>
      </c>
      <c r="O54" s="61">
        <f t="shared" si="23"/>
        <v>190</v>
      </c>
      <c r="P54" s="61">
        <f t="shared" si="23"/>
        <v>205</v>
      </c>
      <c r="Q54" s="61">
        <f t="shared" si="23"/>
        <v>203.59999999999991</v>
      </c>
      <c r="R54" s="61">
        <f t="shared" si="23"/>
        <v>194.74999999999994</v>
      </c>
      <c r="S54" s="61">
        <f t="shared" si="23"/>
        <v>185.9</v>
      </c>
      <c r="T54" s="61">
        <f t="shared" si="23"/>
        <v>177.05000000000007</v>
      </c>
      <c r="U54" s="61">
        <f t="shared" si="23"/>
        <v>168.2000000000001</v>
      </c>
      <c r="V54" s="61">
        <f t="shared" si="23"/>
        <v>155.00000000000011</v>
      </c>
      <c r="W54" s="61">
        <f t="shared" si="23"/>
        <v>141.80000000000013</v>
      </c>
      <c r="X54" s="61">
        <f t="shared" si="23"/>
        <v>128.60000000000014</v>
      </c>
      <c r="Y54" s="61">
        <f t="shared" si="23"/>
        <v>115.40000000000015</v>
      </c>
      <c r="Z54" s="61">
        <f t="shared" si="23"/>
        <v>102.20000000000022</v>
      </c>
      <c r="AA54" s="61">
        <f t="shared" si="23"/>
        <v>90.96000000000015</v>
      </c>
      <c r="AB54" s="61">
        <f t="shared" si="23"/>
        <v>79.720000000000084</v>
      </c>
      <c r="AC54" s="61">
        <f t="shared" si="23"/>
        <v>68.480000000000018</v>
      </c>
      <c r="AD54" s="61">
        <f t="shared" si="23"/>
        <v>57.239999999999952</v>
      </c>
      <c r="AE54" s="61">
        <f t="shared" si="23"/>
        <v>45.999999999999886</v>
      </c>
    </row>
    <row r="55" spans="1:31" x14ac:dyDescent="0.35">
      <c r="A55" s="87" t="s">
        <v>39</v>
      </c>
      <c r="B55" s="9">
        <f>NPV('Cost Assumptions'!$B$3,'Valley S to Valley N to Vista'!D55:'Valley S to Valley N to Vista'!AE55)</f>
        <v>1459.1150045389138</v>
      </c>
      <c r="C55" s="87" t="s">
        <v>33</v>
      </c>
      <c r="D55" s="61">
        <f t="shared" ref="D55" si="24">D10-D30</f>
        <v>0.21200232326290805</v>
      </c>
      <c r="E55" s="61">
        <f t="shared" ref="E55:AE55" si="25">E10-E30</f>
        <v>0.68645330574586072</v>
      </c>
      <c r="F55" s="61">
        <f t="shared" si="25"/>
        <v>3.6304865724427344</v>
      </c>
      <c r="G55" s="61">
        <f t="shared" si="25"/>
        <v>6.574519839139608</v>
      </c>
      <c r="H55" s="61">
        <f t="shared" si="25"/>
        <v>9.5185531058364816</v>
      </c>
      <c r="I55" s="61">
        <f t="shared" si="25"/>
        <v>12.462586372533355</v>
      </c>
      <c r="J55" s="61">
        <f t="shared" si="25"/>
        <v>15.406619639230229</v>
      </c>
      <c r="K55" s="61">
        <f t="shared" si="25"/>
        <v>18.350652905927102</v>
      </c>
      <c r="L55" s="61">
        <f t="shared" si="25"/>
        <v>36.053857953636381</v>
      </c>
      <c r="M55" s="61">
        <f t="shared" si="25"/>
        <v>53.757063001345664</v>
      </c>
      <c r="N55" s="61">
        <f t="shared" si="25"/>
        <v>71.460268049054946</v>
      </c>
      <c r="O55" s="61">
        <f t="shared" si="25"/>
        <v>89.163473096764235</v>
      </c>
      <c r="P55" s="61">
        <f t="shared" si="25"/>
        <v>144.562613999387</v>
      </c>
      <c r="Q55" s="61">
        <f t="shared" si="25"/>
        <v>199.94750047596003</v>
      </c>
      <c r="R55" s="61">
        <f t="shared" si="25"/>
        <v>252.74942411026353</v>
      </c>
      <c r="S55" s="61">
        <f t="shared" si="25"/>
        <v>305.55134774456707</v>
      </c>
      <c r="T55" s="61">
        <f t="shared" si="25"/>
        <v>358.3532713788706</v>
      </c>
      <c r="U55" s="61">
        <f t="shared" si="25"/>
        <v>411.15519501317402</v>
      </c>
      <c r="V55" s="61">
        <f t="shared" si="25"/>
        <v>507.89533907840161</v>
      </c>
      <c r="W55" s="61">
        <f t="shared" si="25"/>
        <v>604.63548314362913</v>
      </c>
      <c r="X55" s="61">
        <f t="shared" si="25"/>
        <v>701.37562720885671</v>
      </c>
      <c r="Y55" s="61">
        <f t="shared" si="25"/>
        <v>798.1157712740843</v>
      </c>
      <c r="Z55" s="61">
        <f t="shared" si="25"/>
        <v>894.85591533931188</v>
      </c>
      <c r="AA55" s="61">
        <f t="shared" si="25"/>
        <v>996.8680511573433</v>
      </c>
      <c r="AB55" s="61">
        <f t="shared" si="25"/>
        <v>1098.8801869753747</v>
      </c>
      <c r="AC55" s="61">
        <f t="shared" si="25"/>
        <v>1200.892322793406</v>
      </c>
      <c r="AD55" s="61">
        <f t="shared" si="25"/>
        <v>1302.9044586114376</v>
      </c>
      <c r="AE55" s="61">
        <f t="shared" si="25"/>
        <v>1404.9165944294687</v>
      </c>
    </row>
    <row r="56" spans="1:31" x14ac:dyDescent="0.35">
      <c r="A56" s="87" t="s">
        <v>39</v>
      </c>
      <c r="B56" s="9">
        <f>NPV('Cost Assumptions'!$B$3,'Valley S to Valley N to Vista'!D56:'Valley S to Valley N to Vista'!AE56)</f>
        <v>18.149820486089183</v>
      </c>
      <c r="C56" s="87" t="s">
        <v>34</v>
      </c>
      <c r="D56" s="61">
        <f t="shared" ref="D56" si="26">D11-D31</f>
        <v>5.3000580815727012E-2</v>
      </c>
      <c r="E56" s="61">
        <f t="shared" ref="E56:AE56" si="27">E11-E31</f>
        <v>0.13729066114917213</v>
      </c>
      <c r="F56" s="61">
        <f t="shared" si="27"/>
        <v>0.27537952381665309</v>
      </c>
      <c r="G56" s="61">
        <f t="shared" si="27"/>
        <v>0.41346838648413409</v>
      </c>
      <c r="H56" s="61">
        <f t="shared" si="27"/>
        <v>0.55155724915161508</v>
      </c>
      <c r="I56" s="61">
        <f t="shared" si="27"/>
        <v>0.68964611181909607</v>
      </c>
      <c r="J56" s="61">
        <f t="shared" si="27"/>
        <v>0.82773497448657707</v>
      </c>
      <c r="K56" s="61">
        <f t="shared" si="27"/>
        <v>0.96582383715405795</v>
      </c>
      <c r="L56" s="61">
        <f t="shared" si="27"/>
        <v>1.3268237771680045</v>
      </c>
      <c r="M56" s="61">
        <f t="shared" si="27"/>
        <v>1.687823717181951</v>
      </c>
      <c r="N56" s="61">
        <f t="shared" si="27"/>
        <v>2.0488236571958973</v>
      </c>
      <c r="O56" s="61">
        <f t="shared" si="27"/>
        <v>2.4098235972098441</v>
      </c>
      <c r="P56" s="61">
        <f t="shared" si="27"/>
        <v>3.0264431390094124</v>
      </c>
      <c r="Q56" s="61">
        <f t="shared" si="27"/>
        <v>3.628808254759273</v>
      </c>
      <c r="R56" s="61">
        <f t="shared" si="27"/>
        <v>4.0848264811115955</v>
      </c>
      <c r="S56" s="61">
        <f t="shared" si="27"/>
        <v>4.5408447074639184</v>
      </c>
      <c r="T56" s="61">
        <f t="shared" si="27"/>
        <v>4.9968629338162405</v>
      </c>
      <c r="U56" s="61">
        <f t="shared" si="27"/>
        <v>5.4528811601685625</v>
      </c>
      <c r="V56" s="61">
        <f t="shared" si="27"/>
        <v>5.798941233980206</v>
      </c>
      <c r="W56" s="61">
        <f t="shared" si="27"/>
        <v>6.1450013077918495</v>
      </c>
      <c r="X56" s="61">
        <f t="shared" si="27"/>
        <v>6.4910613816034912</v>
      </c>
      <c r="Y56" s="61">
        <f t="shared" si="27"/>
        <v>6.8371214554151347</v>
      </c>
      <c r="Z56" s="61">
        <f t="shared" si="27"/>
        <v>7.1831815292267773</v>
      </c>
      <c r="AA56" s="61">
        <f t="shared" si="27"/>
        <v>7.1856217672796339</v>
      </c>
      <c r="AB56" s="61">
        <f t="shared" si="27"/>
        <v>7.1880620053324895</v>
      </c>
      <c r="AC56" s="61">
        <f t="shared" si="27"/>
        <v>7.1905022433853452</v>
      </c>
      <c r="AD56" s="61">
        <f t="shared" si="27"/>
        <v>7.1929424814382008</v>
      </c>
      <c r="AE56" s="61">
        <f t="shared" si="27"/>
        <v>7.1953827194910591</v>
      </c>
    </row>
    <row r="57" spans="1:31" x14ac:dyDescent="0.35">
      <c r="A57" s="87" t="s">
        <v>39</v>
      </c>
      <c r="B57" s="9">
        <f>NPV('Cost Assumptions'!$B$3,'Valley S to Valley N to Vista'!D57:'Valley S to Valley N to Vista'!AE57)</f>
        <v>199.63309899192024</v>
      </c>
      <c r="C57" s="87" t="s">
        <v>35</v>
      </c>
      <c r="D57" s="61">
        <f t="shared" ref="D57" si="28">D12-D32</f>
        <v>4</v>
      </c>
      <c r="E57" s="61">
        <f t="shared" ref="E57:AE57" si="29">E12-E32</f>
        <v>5</v>
      </c>
      <c r="F57" s="61">
        <f t="shared" si="29"/>
        <v>7.3333333333333339</v>
      </c>
      <c r="G57" s="61">
        <f t="shared" si="29"/>
        <v>9.6666666666666679</v>
      </c>
      <c r="H57" s="61">
        <f t="shared" si="29"/>
        <v>12.000000000000002</v>
      </c>
      <c r="I57" s="61">
        <f t="shared" si="29"/>
        <v>14.333333333333336</v>
      </c>
      <c r="J57" s="61">
        <f t="shared" si="29"/>
        <v>16.666666666666668</v>
      </c>
      <c r="K57" s="61">
        <f t="shared" si="29"/>
        <v>19</v>
      </c>
      <c r="L57" s="61">
        <f t="shared" si="29"/>
        <v>23.5</v>
      </c>
      <c r="M57" s="61">
        <f t="shared" si="29"/>
        <v>28</v>
      </c>
      <c r="N57" s="61">
        <f t="shared" si="29"/>
        <v>32.5</v>
      </c>
      <c r="O57" s="61">
        <f t="shared" si="29"/>
        <v>37</v>
      </c>
      <c r="P57" s="61">
        <f t="shared" si="29"/>
        <v>42.333333333333336</v>
      </c>
      <c r="Q57" s="61">
        <f t="shared" si="29"/>
        <v>46.666666666666671</v>
      </c>
      <c r="R57" s="61">
        <f t="shared" si="29"/>
        <v>46.500000000000007</v>
      </c>
      <c r="S57" s="61">
        <f t="shared" si="29"/>
        <v>46.333333333333343</v>
      </c>
      <c r="T57" s="61">
        <f t="shared" si="29"/>
        <v>46.166666666666679</v>
      </c>
      <c r="U57" s="61">
        <f t="shared" si="29"/>
        <v>46</v>
      </c>
      <c r="V57" s="61">
        <f t="shared" si="29"/>
        <v>43.999999999999993</v>
      </c>
      <c r="W57" s="61">
        <f t="shared" si="29"/>
        <v>41.999999999999986</v>
      </c>
      <c r="X57" s="61">
        <f t="shared" si="29"/>
        <v>39.999999999999979</v>
      </c>
      <c r="Y57" s="61">
        <f t="shared" si="29"/>
        <v>37.999999999999972</v>
      </c>
      <c r="Z57" s="61">
        <f t="shared" si="29"/>
        <v>36</v>
      </c>
      <c r="AA57" s="61">
        <f t="shared" si="29"/>
        <v>33.400000000000006</v>
      </c>
      <c r="AB57" s="61">
        <f t="shared" si="29"/>
        <v>30.800000000000011</v>
      </c>
      <c r="AC57" s="61">
        <f t="shared" si="29"/>
        <v>28.200000000000017</v>
      </c>
      <c r="AD57" s="61">
        <f t="shared" si="29"/>
        <v>25.600000000000023</v>
      </c>
      <c r="AE57" s="61">
        <f t="shared" si="29"/>
        <v>23</v>
      </c>
    </row>
    <row r="59" spans="1:31" ht="15" thickBot="1" x14ac:dyDescent="0.4">
      <c r="A59" s="164" t="s">
        <v>143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</row>
    <row r="60" spans="1:31" ht="15.5" thickTop="1" thickBot="1" x14ac:dyDescent="0.4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</row>
    <row r="61" spans="1:31" ht="15" thickTop="1" x14ac:dyDescent="0.35">
      <c r="A61" s="87" t="str">
        <f>'Baseline System Analysis'!A17</f>
        <v>Residential</v>
      </c>
      <c r="B61" s="87" t="str">
        <f>'Baseline System Analysis'!B17</f>
        <v>Cost of Reliability (N-1)</v>
      </c>
      <c r="C61" s="87" t="str">
        <f>'Baseline System Analysis'!C17</f>
        <v>$/kWh</v>
      </c>
      <c r="D61" s="5">
        <f>'Baseline System Analysis'!D17</f>
        <v>4.3837328124999999</v>
      </c>
      <c r="E61" s="5">
        <f>'Baseline System Analysis'!E17</f>
        <v>4.4933261328124994</v>
      </c>
      <c r="F61" s="5">
        <f>'Baseline System Analysis'!F17</f>
        <v>4.6056592861328118</v>
      </c>
      <c r="G61" s="5">
        <f>'Baseline System Analysis'!G17</f>
        <v>4.7208007682861322</v>
      </c>
      <c r="H61" s="5">
        <f>'Baseline System Analysis'!H17</f>
        <v>4.8388207874932849</v>
      </c>
      <c r="I61" s="5">
        <f>'Baseline System Analysis'!I17</f>
        <v>4.959791307180617</v>
      </c>
      <c r="J61" s="5">
        <f>'Baseline System Analysis'!J17</f>
        <v>5.0837860898601317</v>
      </c>
      <c r="K61" s="5">
        <f>'Baseline System Analysis'!K17</f>
        <v>5.2108807421066343</v>
      </c>
      <c r="L61" s="5">
        <f>'Baseline System Analysis'!L17</f>
        <v>5.3411527606593001</v>
      </c>
      <c r="M61" s="5">
        <f>'Baseline System Analysis'!M17</f>
        <v>5.4746815796757824</v>
      </c>
      <c r="N61" s="5">
        <f>'Baseline System Analysis'!N17</f>
        <v>5.6115486191676762</v>
      </c>
      <c r="O61" s="5">
        <f>'Baseline System Analysis'!O17</f>
        <v>5.7518373346468676</v>
      </c>
      <c r="P61" s="5">
        <f>'Baseline System Analysis'!P17</f>
        <v>5.8956332680130386</v>
      </c>
      <c r="Q61" s="5">
        <f>'Baseline System Analysis'!Q17</f>
        <v>6.0430240997133637</v>
      </c>
      <c r="R61" s="5">
        <f>'Baseline System Analysis'!R17</f>
        <v>6.1940997022061977</v>
      </c>
      <c r="S61" s="5">
        <f>'Baseline System Analysis'!S17</f>
        <v>6.3489521947613516</v>
      </c>
      <c r="T61" s="5">
        <f>'Baseline System Analysis'!T17</f>
        <v>6.5076759996303846</v>
      </c>
      <c r="U61" s="5">
        <f>'Baseline System Analysis'!U17</f>
        <v>6.6703678996211435</v>
      </c>
      <c r="V61" s="5">
        <f>'Baseline System Analysis'!V17</f>
        <v>6.8371270971116713</v>
      </c>
      <c r="W61" s="5">
        <f>'Baseline System Analysis'!W17</f>
        <v>7.0080552745394629</v>
      </c>
      <c r="X61" s="5">
        <f>'Baseline System Analysis'!X17</f>
        <v>7.183256656402949</v>
      </c>
      <c r="Y61" s="5">
        <f>'Baseline System Analysis'!Y17</f>
        <v>7.3628380728130223</v>
      </c>
      <c r="Z61" s="5">
        <f>'Baseline System Analysis'!Z17</f>
        <v>7.5469090246333472</v>
      </c>
      <c r="AA61" s="5">
        <f>'Baseline System Analysis'!AA17</f>
        <v>7.7355817502491799</v>
      </c>
      <c r="AB61" s="5">
        <f>'Baseline System Analysis'!AB17</f>
        <v>7.9289712940054091</v>
      </c>
      <c r="AC61" s="5">
        <f>'Baseline System Analysis'!AC17</f>
        <v>8.1271955763555432</v>
      </c>
      <c r="AD61" s="5">
        <f>'Baseline System Analysis'!AD17</f>
        <v>8.3303754657644316</v>
      </c>
      <c r="AE61" s="5">
        <f>'Baseline System Analysis'!AE17</f>
        <v>8.538634852408542</v>
      </c>
    </row>
    <row r="62" spans="1:31" x14ac:dyDescent="0.35">
      <c r="A62" s="87" t="str">
        <f>'Baseline System Analysis'!A18</f>
        <v>Residential</v>
      </c>
      <c r="B62" s="87" t="str">
        <f>'Baseline System Analysis'!B18</f>
        <v>Cost of Reliability (N-0)</v>
      </c>
      <c r="C62" s="87" t="str">
        <f>'Baseline System Analysis'!C18</f>
        <v>$/kWh</v>
      </c>
      <c r="D62" s="5">
        <f>'Baseline System Analysis'!D18</f>
        <v>3.6995132812499993</v>
      </c>
      <c r="E62" s="5">
        <f>'Baseline System Analysis'!E18</f>
        <v>3.7920011132812488</v>
      </c>
      <c r="F62" s="5">
        <f>'Baseline System Analysis'!F18</f>
        <v>3.8868011411132795</v>
      </c>
      <c r="G62" s="5">
        <f>'Baseline System Analysis'!G18</f>
        <v>3.9839711696411113</v>
      </c>
      <c r="H62" s="5">
        <f>'Baseline System Analysis'!H18</f>
        <v>4.0835704488821385</v>
      </c>
      <c r="I62" s="5">
        <f>'Baseline System Analysis'!I18</f>
        <v>4.1856597101041917</v>
      </c>
      <c r="J62" s="5">
        <f>'Baseline System Analysis'!J18</f>
        <v>4.2903012028567957</v>
      </c>
      <c r="K62" s="5">
        <f>'Baseline System Analysis'!K18</f>
        <v>4.3975587329282151</v>
      </c>
      <c r="L62" s="5">
        <f>'Baseline System Analysis'!L18</f>
        <v>4.5074977012514204</v>
      </c>
      <c r="M62" s="5">
        <f>'Baseline System Analysis'!M18</f>
        <v>4.6201851437827051</v>
      </c>
      <c r="N62" s="5">
        <f>'Baseline System Analysis'!N18</f>
        <v>4.7356897723772722</v>
      </c>
      <c r="O62" s="5">
        <f>'Baseline System Analysis'!O18</f>
        <v>4.8540820166867036</v>
      </c>
      <c r="P62" s="5">
        <f>'Baseline System Analysis'!P18</f>
        <v>4.9754340671038708</v>
      </c>
      <c r="Q62" s="5">
        <f>'Baseline System Analysis'!Q18</f>
        <v>5.099819918781467</v>
      </c>
      <c r="R62" s="5">
        <f>'Baseline System Analysis'!R18</f>
        <v>5.2273154167510034</v>
      </c>
      <c r="S62" s="5">
        <f>'Baseline System Analysis'!S18</f>
        <v>5.3579983021697783</v>
      </c>
      <c r="T62" s="5">
        <f>'Baseline System Analysis'!T18</f>
        <v>5.4919482597240226</v>
      </c>
      <c r="U62" s="5">
        <f>'Baseline System Analysis'!U18</f>
        <v>5.6292469662171225</v>
      </c>
      <c r="V62" s="5">
        <f>'Baseline System Analysis'!V18</f>
        <v>5.7699781403725501</v>
      </c>
      <c r="W62" s="5">
        <f>'Baseline System Analysis'!W18</f>
        <v>5.9142275938818631</v>
      </c>
      <c r="X62" s="5">
        <f>'Baseline System Analysis'!X18</f>
        <v>6.0620832837289091</v>
      </c>
      <c r="Y62" s="5">
        <f>'Baseline System Analysis'!Y18</f>
        <v>6.2136353658221317</v>
      </c>
      <c r="Z62" s="5">
        <f>'Baseline System Analysis'!Z18</f>
        <v>6.3689762499676847</v>
      </c>
      <c r="AA62" s="5">
        <f>'Baseline System Analysis'!AA18</f>
        <v>6.5282006562168764</v>
      </c>
      <c r="AB62" s="5">
        <f>'Baseline System Analysis'!AB18</f>
        <v>6.6914056726222979</v>
      </c>
      <c r="AC62" s="5">
        <f>'Baseline System Analysis'!AC18</f>
        <v>6.8586908144378551</v>
      </c>
      <c r="AD62" s="5">
        <f>'Baseline System Analysis'!AD18</f>
        <v>7.030158084798801</v>
      </c>
      <c r="AE62" s="5">
        <f>'Baseline System Analysis'!AE18</f>
        <v>7.2059120369187708</v>
      </c>
    </row>
    <row r="63" spans="1:31" x14ac:dyDescent="0.35">
      <c r="A63" s="87" t="str">
        <f>'Baseline System Analysis'!A19</f>
        <v>Commerical</v>
      </c>
      <c r="B63" s="87" t="str">
        <f>'Baseline System Analysis'!B19</f>
        <v>Cost of Reliability (N-1)</v>
      </c>
      <c r="C63" s="87" t="str">
        <f>'Baseline System Analysis'!C19</f>
        <v>$/kWh</v>
      </c>
      <c r="D63" s="5">
        <f>'Baseline System Analysis'!D19</f>
        <v>162.53431406249996</v>
      </c>
      <c r="E63" s="5">
        <f>'Baseline System Analysis'!E19</f>
        <v>166.59767191406243</v>
      </c>
      <c r="F63" s="5">
        <f>'Baseline System Analysis'!F19</f>
        <v>170.76261371191399</v>
      </c>
      <c r="G63" s="5">
        <f>'Baseline System Analysis'!G19</f>
        <v>175.03167905471182</v>
      </c>
      <c r="H63" s="5">
        <f>'Baseline System Analysis'!H19</f>
        <v>179.40747103107961</v>
      </c>
      <c r="I63" s="5">
        <f>'Baseline System Analysis'!I19</f>
        <v>183.89265780685659</v>
      </c>
      <c r="J63" s="5">
        <f>'Baseline System Analysis'!J19</f>
        <v>188.48997425202799</v>
      </c>
      <c r="K63" s="5">
        <f>'Baseline System Analysis'!K19</f>
        <v>193.20222360832867</v>
      </c>
      <c r="L63" s="5">
        <f>'Baseline System Analysis'!L19</f>
        <v>198.03227919853686</v>
      </c>
      <c r="M63" s="5">
        <f>'Baseline System Analysis'!M19</f>
        <v>202.98308617850026</v>
      </c>
      <c r="N63" s="5">
        <f>'Baseline System Analysis'!N19</f>
        <v>208.05766333296273</v>
      </c>
      <c r="O63" s="5">
        <f>'Baseline System Analysis'!O19</f>
        <v>213.25910491628679</v>
      </c>
      <c r="P63" s="5">
        <f>'Baseline System Analysis'!P19</f>
        <v>218.59058253919395</v>
      </c>
      <c r="Q63" s="5">
        <f>'Baseline System Analysis'!Q19</f>
        <v>224.05534710267378</v>
      </c>
      <c r="R63" s="5">
        <f>'Baseline System Analysis'!R19</f>
        <v>229.65673078024059</v>
      </c>
      <c r="S63" s="5">
        <f>'Baseline System Analysis'!S19</f>
        <v>235.39814904974659</v>
      </c>
      <c r="T63" s="5">
        <f>'Baseline System Analysis'!T19</f>
        <v>241.28310277599024</v>
      </c>
      <c r="U63" s="5">
        <f>'Baseline System Analysis'!U19</f>
        <v>247.31518034538999</v>
      </c>
      <c r="V63" s="5">
        <f>'Baseline System Analysis'!V19</f>
        <v>253.49805985402472</v>
      </c>
      <c r="W63" s="5">
        <f>'Baseline System Analysis'!W19</f>
        <v>259.83551135037533</v>
      </c>
      <c r="X63" s="5">
        <f>'Baseline System Analysis'!X19</f>
        <v>266.3313991341347</v>
      </c>
      <c r="Y63" s="5">
        <f>'Baseline System Analysis'!Y19</f>
        <v>272.98968411248802</v>
      </c>
      <c r="Z63" s="5">
        <f>'Baseline System Analysis'!Z19</f>
        <v>279.81442621530022</v>
      </c>
      <c r="AA63" s="5">
        <f>'Baseline System Analysis'!AA19</f>
        <v>286.80978687068267</v>
      </c>
      <c r="AB63" s="5">
        <f>'Baseline System Analysis'!AB19</f>
        <v>293.98003154244969</v>
      </c>
      <c r="AC63" s="5">
        <f>'Baseline System Analysis'!AC19</f>
        <v>301.32953233101091</v>
      </c>
      <c r="AD63" s="5">
        <f>'Baseline System Analysis'!AD19</f>
        <v>308.86277063928617</v>
      </c>
      <c r="AE63" s="5">
        <f>'Baseline System Analysis'!AE19</f>
        <v>316.58433990526828</v>
      </c>
    </row>
    <row r="64" spans="1:31" x14ac:dyDescent="0.35">
      <c r="A64" s="87" t="str">
        <f>'Baseline System Analysis'!A20</f>
        <v>Commerical</v>
      </c>
      <c r="B64" s="87" t="str">
        <f>'Baseline System Analysis'!B20</f>
        <v>Cost of Reliability (N-0)</v>
      </c>
      <c r="C64" s="87" t="str">
        <f>'Baseline System Analysis'!C20</f>
        <v>$/kWh</v>
      </c>
      <c r="D64" s="5">
        <f>'Baseline System Analysis'!D20</f>
        <v>150.08506445312503</v>
      </c>
      <c r="E64" s="5">
        <f>'Baseline System Analysis'!E20</f>
        <v>153.83719106445315</v>
      </c>
      <c r="F64" s="5">
        <f>'Baseline System Analysis'!F20</f>
        <v>157.68312084106446</v>
      </c>
      <c r="G64" s="5">
        <f>'Baseline System Analysis'!G20</f>
        <v>161.62519886209105</v>
      </c>
      <c r="H64" s="5">
        <f>'Baseline System Analysis'!H20</f>
        <v>165.6658288336433</v>
      </c>
      <c r="I64" s="5">
        <f>'Baseline System Analysis'!I20</f>
        <v>169.80747455448437</v>
      </c>
      <c r="J64" s="5">
        <f>'Baseline System Analysis'!J20</f>
        <v>174.05266141834647</v>
      </c>
      <c r="K64" s="5">
        <f>'Baseline System Analysis'!K20</f>
        <v>178.40397795380511</v>
      </c>
      <c r="L64" s="5">
        <f>'Baseline System Analysis'!L20</f>
        <v>182.86407740265022</v>
      </c>
      <c r="M64" s="5">
        <f>'Baseline System Analysis'!M20</f>
        <v>187.43567933771646</v>
      </c>
      <c r="N64" s="5">
        <f>'Baseline System Analysis'!N20</f>
        <v>192.12157132115937</v>
      </c>
      <c r="O64" s="5">
        <f>'Baseline System Analysis'!O20</f>
        <v>196.92461060418833</v>
      </c>
      <c r="P64" s="5">
        <f>'Baseline System Analysis'!P20</f>
        <v>201.84772586929301</v>
      </c>
      <c r="Q64" s="5">
        <f>'Baseline System Analysis'!Q20</f>
        <v>206.89391901602534</v>
      </c>
      <c r="R64" s="5">
        <f>'Baseline System Analysis'!R20</f>
        <v>212.06626699142595</v>
      </c>
      <c r="S64" s="5">
        <f>'Baseline System Analysis'!S20</f>
        <v>217.36792366621157</v>
      </c>
      <c r="T64" s="5">
        <f>'Baseline System Analysis'!T20</f>
        <v>222.80212175786684</v>
      </c>
      <c r="U64" s="5">
        <f>'Baseline System Analysis'!U20</f>
        <v>228.37217480181349</v>
      </c>
      <c r="V64" s="5">
        <f>'Baseline System Analysis'!V20</f>
        <v>234.0814791718588</v>
      </c>
      <c r="W64" s="5">
        <f>'Baseline System Analysis'!W20</f>
        <v>239.93351615115526</v>
      </c>
      <c r="X64" s="5">
        <f>'Baseline System Analysis'!X20</f>
        <v>245.93185405493412</v>
      </c>
      <c r="Y64" s="5">
        <f>'Baseline System Analysis'!Y20</f>
        <v>252.08015040630744</v>
      </c>
      <c r="Z64" s="5">
        <f>'Baseline System Analysis'!Z20</f>
        <v>258.38215416646511</v>
      </c>
      <c r="AA64" s="5">
        <f>'Baseline System Analysis'!AA20</f>
        <v>264.8417080206267</v>
      </c>
      <c r="AB64" s="5">
        <f>'Baseline System Analysis'!AB20</f>
        <v>271.46275072114236</v>
      </c>
      <c r="AC64" s="5">
        <f>'Baseline System Analysis'!AC20</f>
        <v>278.24931948917089</v>
      </c>
      <c r="AD64" s="5">
        <f>'Baseline System Analysis'!AD20</f>
        <v>285.20555247640016</v>
      </c>
      <c r="AE64" s="5">
        <f>'Baseline System Analysis'!AE20</f>
        <v>292.33569128831016</v>
      </c>
    </row>
    <row r="66" spans="1:31" x14ac:dyDescent="0.35">
      <c r="A66" s="87" t="s">
        <v>117</v>
      </c>
      <c r="B66" s="87" t="s">
        <v>31</v>
      </c>
      <c r="C66" s="17">
        <f>NPV('Cost Assumptions'!$B$3,D66:AE66)</f>
        <v>1002742.6620794707</v>
      </c>
      <c r="D66" s="5">
        <f>'Baseline System Analysis'!D24-D35</f>
        <v>16.269754796645884</v>
      </c>
      <c r="E66" s="5">
        <f>'Baseline System Analysis'!E24-E35</f>
        <v>-3347.7459039557161</v>
      </c>
      <c r="F66" s="5">
        <f>'Baseline System Analysis'!F24-F35</f>
        <v>-2144.7602536947761</v>
      </c>
      <c r="G66" s="5">
        <f>'Baseline System Analysis'!G24-G35</f>
        <v>-941.77460343383427</v>
      </c>
      <c r="H66" s="5">
        <f>'Baseline System Analysis'!H24-H35</f>
        <v>261.21104682710575</v>
      </c>
      <c r="I66" s="5">
        <f>'Baseline System Analysis'!I24-I35</f>
        <v>1464.1966970880458</v>
      </c>
      <c r="J66" s="5">
        <f>'Baseline System Analysis'!J24-J35</f>
        <v>2667.1823473489858</v>
      </c>
      <c r="K66" s="5">
        <f>'Baseline System Analysis'!K24-K35</f>
        <v>3870.1679976099331</v>
      </c>
      <c r="L66" s="5">
        <f>'Baseline System Analysis'!L24-L35</f>
        <v>10820.696142320201</v>
      </c>
      <c r="M66" s="5">
        <f>'Baseline System Analysis'!M24-M35</f>
        <v>17771.224287030462</v>
      </c>
      <c r="N66" s="5">
        <f>'Baseline System Analysis'!N24-N35</f>
        <v>24721.752431740751</v>
      </c>
      <c r="O66" s="5">
        <f>'Baseline System Analysis'!O24-O35</f>
        <v>31672.280576451012</v>
      </c>
      <c r="P66" s="5">
        <f>'Baseline System Analysis'!P24-P35</f>
        <v>135060.12405416605</v>
      </c>
      <c r="Q66" s="5">
        <f>'Baseline System Analysis'!Q24-Q35</f>
        <v>154562.08585163491</v>
      </c>
      <c r="R66" s="5">
        <f>'Baseline System Analysis'!R24-R35</f>
        <v>174064.04764910368</v>
      </c>
      <c r="S66" s="5">
        <f>'Baseline System Analysis'!S24-S35</f>
        <v>193566.0094465724</v>
      </c>
      <c r="T66" s="5">
        <f>'Baseline System Analysis'!T24-T35</f>
        <v>213067.97124404111</v>
      </c>
      <c r="U66" s="5">
        <f>'Baseline System Analysis'!U24-U35</f>
        <v>232569.93304151017</v>
      </c>
      <c r="V66" s="5">
        <f>'Baseline System Analysis'!V24-V35</f>
        <v>310473.22427344462</v>
      </c>
      <c r="W66" s="5">
        <f>'Baseline System Analysis'!W24-W35</f>
        <v>388376.51550537907</v>
      </c>
      <c r="X66" s="5">
        <f>'Baseline System Analysis'!X24-X35</f>
        <v>466279.80673731351</v>
      </c>
      <c r="Y66" s="5">
        <f>'Baseline System Analysis'!Y24-Y35</f>
        <v>544183.09796924796</v>
      </c>
      <c r="Z66" s="5">
        <f>'Baseline System Analysis'!Z24-Z35</f>
        <v>622086.38920118241</v>
      </c>
      <c r="AA66" s="5">
        <f>'Baseline System Analysis'!AA24-AA35</f>
        <v>752039.62800197117</v>
      </c>
      <c r="AB66" s="5">
        <f>'Baseline System Analysis'!AB24-AB35</f>
        <v>881992.86680275993</v>
      </c>
      <c r="AC66" s="5">
        <f>'Baseline System Analysis'!AC24-AC35</f>
        <v>1011946.1056035487</v>
      </c>
      <c r="AD66" s="5">
        <f>'Baseline System Analysis'!AD24-AD35</f>
        <v>1141899.3444043375</v>
      </c>
      <c r="AE66" s="5">
        <f>'Baseline System Analysis'!AE24-AE35</f>
        <v>1271852.5832051281</v>
      </c>
    </row>
    <row r="67" spans="1:31" x14ac:dyDescent="0.35">
      <c r="A67" s="87" t="s">
        <v>119</v>
      </c>
      <c r="B67" s="87" t="s">
        <v>31</v>
      </c>
      <c r="C67" s="17">
        <f>NPV('Cost Assumptions'!$B$3,D67:AE67)</f>
        <v>4160917.7070734934</v>
      </c>
      <c r="D67" s="5">
        <f>'Baseline System Analysis'!D25-D36</f>
        <v>67.511116969079012</v>
      </c>
      <c r="E67" s="5">
        <f>'Baseline System Analysis'!E25-E36</f>
        <v>-13889.035384454786</v>
      </c>
      <c r="F67" s="5">
        <f>'Baseline System Analysis'!F25-F36</f>
        <v>-8894.8746733589505</v>
      </c>
      <c r="G67" s="5">
        <f>'Baseline System Analysis'!G25-G36</f>
        <v>-3900.7139622631075</v>
      </c>
      <c r="H67" s="5">
        <f>'Baseline System Analysis'!H25-H36</f>
        <v>1093.4467488327355</v>
      </c>
      <c r="I67" s="5">
        <f>'Baseline System Analysis'!I25-I36</f>
        <v>6087.6074599285785</v>
      </c>
      <c r="J67" s="5">
        <f>'Baseline System Analysis'!J25-J36</f>
        <v>11081.768171024421</v>
      </c>
      <c r="K67" s="5">
        <f>'Baseline System Analysis'!K25-K36</f>
        <v>16075.928882120206</v>
      </c>
      <c r="L67" s="5">
        <f>'Baseline System Analysis'!L25-L36</f>
        <v>44913.702598191448</v>
      </c>
      <c r="M67" s="5">
        <f>'Baseline System Analysis'!M25-M36</f>
        <v>73751.47631426272</v>
      </c>
      <c r="N67" s="5">
        <f>'Baseline System Analysis'!N25-N36</f>
        <v>102589.25003033399</v>
      </c>
      <c r="O67" s="5">
        <f>'Baseline System Analysis'!O25-O36</f>
        <v>131427.02374640526</v>
      </c>
      <c r="P67" s="5">
        <f>'Baseline System Analysis'!P25-P36</f>
        <v>560430.07081819023</v>
      </c>
      <c r="Q67" s="5">
        <f>'Baseline System Analysis'!Q25-Q36</f>
        <v>641353.18493339559</v>
      </c>
      <c r="R67" s="5">
        <f>'Baseline System Analysis'!R25-R36</f>
        <v>722276.29904860118</v>
      </c>
      <c r="S67" s="5">
        <f>'Baseline System Analysis'!S25-S36</f>
        <v>803199.41316380678</v>
      </c>
      <c r="T67" s="5">
        <f>'Baseline System Analysis'!T25-T36</f>
        <v>884122.52727901237</v>
      </c>
      <c r="U67" s="5">
        <f>'Baseline System Analysis'!U25-U36</f>
        <v>965045.6413942175</v>
      </c>
      <c r="V67" s="5">
        <f>'Baseline System Analysis'!V25-V36</f>
        <v>1288304.2443892313</v>
      </c>
      <c r="W67" s="5">
        <f>'Baseline System Analysis'!W25-W36</f>
        <v>1611562.8473842442</v>
      </c>
      <c r="X67" s="5">
        <f>'Baseline System Analysis'!X25-X36</f>
        <v>1934821.4503792571</v>
      </c>
      <c r="Y67" s="5">
        <f>'Baseline System Analysis'!Y25-Y36</f>
        <v>2258080.05337427</v>
      </c>
      <c r="Z67" s="5">
        <f>'Baseline System Analysis'!Z25-Z36</f>
        <v>2581338.6563692857</v>
      </c>
      <c r="AA67" s="5">
        <f>'Baseline System Analysis'!AA25-AA36</f>
        <v>3120577.7791985478</v>
      </c>
      <c r="AB67" s="5">
        <f>'Baseline System Analysis'!AB25-AB36</f>
        <v>3659816.90202781</v>
      </c>
      <c r="AC67" s="5">
        <f>'Baseline System Analysis'!AC25-AC36</f>
        <v>4199056.024857074</v>
      </c>
      <c r="AD67" s="5">
        <f>'Baseline System Analysis'!AD25-AD36</f>
        <v>4738295.1476863362</v>
      </c>
      <c r="AE67" s="5">
        <f>'Baseline System Analysis'!AE25-AE36</f>
        <v>5277534.2705155946</v>
      </c>
    </row>
    <row r="68" spans="1:31" x14ac:dyDescent="0.35">
      <c r="A68" s="87" t="s">
        <v>24</v>
      </c>
      <c r="B68" s="87" t="s">
        <v>31</v>
      </c>
      <c r="C68" s="17">
        <f>NPV('Cost Assumptions'!$B$3,D68:AE68)</f>
        <v>5163660.3691529641</v>
      </c>
      <c r="D68" s="5">
        <f>SUM(D66:D67)</f>
        <v>83.780871765724896</v>
      </c>
      <c r="E68" s="5">
        <f>SUM(E66:E67)</f>
        <v>-17236.781288410501</v>
      </c>
      <c r="F68" s="5">
        <f t="shared" ref="F68:AE68" si="30">SUM(F66:F67)</f>
        <v>-11039.634927053727</v>
      </c>
      <c r="G68" s="5">
        <f t="shared" si="30"/>
        <v>-4842.4885656969418</v>
      </c>
      <c r="H68" s="5">
        <f t="shared" si="30"/>
        <v>1354.6577956598412</v>
      </c>
      <c r="I68" s="5">
        <f t="shared" si="30"/>
        <v>7551.8041570166242</v>
      </c>
      <c r="J68" s="5">
        <f t="shared" si="30"/>
        <v>13748.950518373407</v>
      </c>
      <c r="K68" s="5">
        <f t="shared" si="30"/>
        <v>19946.096879730139</v>
      </c>
      <c r="L68" s="5">
        <f t="shared" si="30"/>
        <v>55734.39874051165</v>
      </c>
      <c r="M68" s="5">
        <f t="shared" si="30"/>
        <v>91522.700601293182</v>
      </c>
      <c r="N68" s="5">
        <f t="shared" si="30"/>
        <v>127311.00246207474</v>
      </c>
      <c r="O68" s="5">
        <f t="shared" si="30"/>
        <v>163099.30432285627</v>
      </c>
      <c r="P68" s="5">
        <f t="shared" si="30"/>
        <v>695490.19487235625</v>
      </c>
      <c r="Q68" s="5">
        <f t="shared" si="30"/>
        <v>795915.27078503044</v>
      </c>
      <c r="R68" s="5">
        <f t="shared" si="30"/>
        <v>896340.34669770487</v>
      </c>
      <c r="S68" s="5">
        <f t="shared" si="30"/>
        <v>996765.42261037917</v>
      </c>
      <c r="T68" s="5">
        <f t="shared" si="30"/>
        <v>1097190.4985230535</v>
      </c>
      <c r="U68" s="5">
        <f t="shared" si="30"/>
        <v>1197615.5744357277</v>
      </c>
      <c r="V68" s="5">
        <f t="shared" si="30"/>
        <v>1598777.4686626759</v>
      </c>
      <c r="W68" s="5">
        <f t="shared" si="30"/>
        <v>1999939.3628896233</v>
      </c>
      <c r="X68" s="5">
        <f t="shared" si="30"/>
        <v>2401101.2571165706</v>
      </c>
      <c r="Y68" s="5">
        <f t="shared" si="30"/>
        <v>2802263.1513435179</v>
      </c>
      <c r="Z68" s="5">
        <f t="shared" si="30"/>
        <v>3203425.0455704681</v>
      </c>
      <c r="AA68" s="5">
        <f t="shared" si="30"/>
        <v>3872617.407200519</v>
      </c>
      <c r="AB68" s="5">
        <f t="shared" si="30"/>
        <v>4541809.7688305695</v>
      </c>
      <c r="AC68" s="5">
        <f t="shared" si="30"/>
        <v>5211002.1304606227</v>
      </c>
      <c r="AD68" s="5">
        <f t="shared" si="30"/>
        <v>5880194.4920906741</v>
      </c>
      <c r="AE68" s="5">
        <f t="shared" si="30"/>
        <v>6549386.8537207227</v>
      </c>
    </row>
    <row r="69" spans="1:31" x14ac:dyDescent="0.35">
      <c r="A69" s="87"/>
      <c r="B69" s="87"/>
      <c r="C69" s="8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x14ac:dyDescent="0.35">
      <c r="A70" s="87" t="s">
        <v>120</v>
      </c>
      <c r="B70" s="87" t="s">
        <v>31</v>
      </c>
      <c r="C70" s="17">
        <f>NPV('Cost Assumptions'!$B$3,D70:AE70)</f>
        <v>91909509.050064251</v>
      </c>
      <c r="D70" s="5">
        <f>'Baseline System Analysis'!D28-D33</f>
        <v>310386.79798866023</v>
      </c>
      <c r="E70" s="5">
        <f>'Baseline System Analysis'!E28-E33</f>
        <v>817408.12222421367</v>
      </c>
      <c r="F70" s="5">
        <f>'Baseline System Analysis'!F28-F33</f>
        <v>1334522.6987350811</v>
      </c>
      <c r="G70" s="5">
        <f>'Baseline System Analysis'!G28-G33</f>
        <v>1839795.5479560234</v>
      </c>
      <c r="H70" s="5">
        <f>'Baseline System Analysis'!H28-H33</f>
        <v>2286697.9912531795</v>
      </c>
      <c r="I70" s="5">
        <f>'Baseline System Analysis'!I28-I33</f>
        <v>2696419.0538857356</v>
      </c>
      <c r="J70" s="5">
        <f>'Baseline System Analysis'!J28-J33</f>
        <v>3587048.7001477713</v>
      </c>
      <c r="K70" s="5">
        <f>'Baseline System Analysis'!K28-K33</f>
        <v>4534084.5657563498</v>
      </c>
      <c r="L70" s="5">
        <f>'Baseline System Analysis'!L28-L33</f>
        <v>5693348.9186131302</v>
      </c>
      <c r="M70" s="5">
        <f>'Baseline System Analysis'!M28-M33</f>
        <v>7548985.0743932622</v>
      </c>
      <c r="N70" s="5">
        <f>'Baseline System Analysis'!N28-N33</f>
        <v>9794691.5976483021</v>
      </c>
      <c r="O70" s="5">
        <f>'Baseline System Analysis'!O28-O33</f>
        <v>12474348.375717288</v>
      </c>
      <c r="P70" s="5">
        <f>'Baseline System Analysis'!P28-P33</f>
        <v>15347020.983958816</v>
      </c>
      <c r="Q70" s="5">
        <f>'Baseline System Analysis'!Q28-Q33</f>
        <v>17695946.149409708</v>
      </c>
      <c r="R70" s="5">
        <f>'Baseline System Analysis'!R28-R33</f>
        <v>20218511.499962803</v>
      </c>
      <c r="S70" s="5">
        <f>'Baseline System Analysis'!S28-S33</f>
        <v>23208674.964275092</v>
      </c>
      <c r="T70" s="5">
        <f>'Baseline System Analysis'!T28-T33</f>
        <v>25831779.650853895</v>
      </c>
      <c r="U70" s="5">
        <f>'Baseline System Analysis'!U28-U33</f>
        <v>28854171.003205098</v>
      </c>
      <c r="V70" s="5">
        <f>'Baseline System Analysis'!V28-V33</f>
        <v>31146822.828118306</v>
      </c>
      <c r="W70" s="5">
        <f>'Baseline System Analysis'!W28-W33</f>
        <v>34303220.834403798</v>
      </c>
      <c r="X70" s="5">
        <f>'Baseline System Analysis'!X28-X33</f>
        <v>36121303.832762793</v>
      </c>
      <c r="Y70" s="5">
        <f>'Baseline System Analysis'!Y28-Y33</f>
        <v>36640626.372174136</v>
      </c>
      <c r="Z70" s="5">
        <f>'Baseline System Analysis'!Z28-Z33</f>
        <v>37074235.27148819</v>
      </c>
      <c r="AA70" s="5">
        <f>'Baseline System Analysis'!AA28-AA33</f>
        <v>37126629.098994911</v>
      </c>
      <c r="AB70" s="5">
        <f>'Baseline System Analysis'!AB28-AB33</f>
        <v>38950457.646371521</v>
      </c>
      <c r="AC70" s="5">
        <f>'Baseline System Analysis'!AC28-AC33</f>
        <v>38675237.619351238</v>
      </c>
      <c r="AD70" s="5">
        <f>'Baseline System Analysis'!AD28-AD33</f>
        <v>37061048.00056272</v>
      </c>
      <c r="AE70" s="5">
        <f>'Baseline System Analysis'!AE28-AE33</f>
        <v>37705885.674966864</v>
      </c>
    </row>
    <row r="71" spans="1:31" x14ac:dyDescent="0.35">
      <c r="A71" s="87" t="s">
        <v>121</v>
      </c>
      <c r="B71" s="87" t="s">
        <v>31</v>
      </c>
      <c r="C71" s="17">
        <f>NPV('Cost Assumptions'!$B$3,D71:AE71)</f>
        <v>391312838.43544495</v>
      </c>
      <c r="D71" s="5">
        <f>'Baseline System Analysis'!D29-D34</f>
        <v>1628153.2445022203</v>
      </c>
      <c r="E71" s="5">
        <f>'Baseline System Analysis'!E29-E34</f>
        <v>4276437.722523096</v>
      </c>
      <c r="F71" s="5">
        <f>'Baseline System Analysis'!F29-F34</f>
        <v>6406619.8340516584</v>
      </c>
      <c r="G71" s="5">
        <f>'Baseline System Analysis'!G29-G34</f>
        <v>8961966.1784057487</v>
      </c>
      <c r="H71" s="5">
        <f>'Baseline System Analysis'!H29-H34</f>
        <v>10695561.997562293</v>
      </c>
      <c r="I71" s="5">
        <f>'Baseline System Analysis'!I29-I34</f>
        <v>11935292.094424136</v>
      </c>
      <c r="J71" s="5">
        <f>'Baseline System Analysis'!J29-J34</f>
        <v>15941642.32252172</v>
      </c>
      <c r="K71" s="5">
        <f>'Baseline System Analysis'!K29-K34</f>
        <v>19613619.815275714</v>
      </c>
      <c r="L71" s="5">
        <f>'Baseline System Analysis'!L29-L34</f>
        <v>24661704.485005222</v>
      </c>
      <c r="M71" s="5">
        <f>'Baseline System Analysis'!M29-M34</f>
        <v>32796387.723990619</v>
      </c>
      <c r="N71" s="5">
        <f>'Baseline System Analysis'!N29-N34</f>
        <v>43151911.473019019</v>
      </c>
      <c r="O71" s="5">
        <f>'Baseline System Analysis'!O29-O34</f>
        <v>55866474.738844089</v>
      </c>
      <c r="P71" s="5">
        <f>'Baseline System Analysis'!P29-P34</f>
        <v>68637387.043348879</v>
      </c>
      <c r="Q71" s="5">
        <f>'Baseline System Analysis'!Q29-Q34</f>
        <v>76655071.337018058</v>
      </c>
      <c r="R71" s="5">
        <f>'Baseline System Analysis'!R29-R34</f>
        <v>85951569.301666319</v>
      </c>
      <c r="S71" s="5">
        <f>'Baseline System Analysis'!S29-S34</f>
        <v>99278756.754152715</v>
      </c>
      <c r="T71" s="5">
        <f>'Baseline System Analysis'!T29-T34</f>
        <v>110197545.63830259</v>
      </c>
      <c r="U71" s="5">
        <f>'Baseline System Analysis'!U29-U34</f>
        <v>122528571.62867278</v>
      </c>
      <c r="V71" s="5">
        <f>'Baseline System Analysis'!V29-V34</f>
        <v>130810388.42454749</v>
      </c>
      <c r="W71" s="5">
        <f>'Baseline System Analysis'!W29-W34</f>
        <v>144658169.20342237</v>
      </c>
      <c r="X71" s="5">
        <f>'Baseline System Analysis'!X29-X34</f>
        <v>149564978.2349878</v>
      </c>
      <c r="Y71" s="5">
        <f>'Baseline System Analysis'!Y29-Y34</f>
        <v>150630923.62070286</v>
      </c>
      <c r="Z71" s="5">
        <f>'Baseline System Analysis'!Z29-Z34</f>
        <v>149991513.66592795</v>
      </c>
      <c r="AA71" s="5">
        <f>'Baseline System Analysis'!AA29-AA34</f>
        <v>148308390.43257123</v>
      </c>
      <c r="AB71" s="5">
        <f>'Baseline System Analysis'!AB29-AB34</f>
        <v>160272453.2540971</v>
      </c>
      <c r="AC71" s="5">
        <f>'Baseline System Analysis'!AC29-AC34</f>
        <v>158792298.36258742</v>
      </c>
      <c r="AD71" s="5">
        <f>'Baseline System Analysis'!AD29-AD34</f>
        <v>145386095.33374739</v>
      </c>
      <c r="AE71" s="5">
        <f>'Baseline System Analysis'!AE29-AE34</f>
        <v>143016275.36405095</v>
      </c>
    </row>
    <row r="72" spans="1:31" x14ac:dyDescent="0.35">
      <c r="A72" s="87" t="s">
        <v>24</v>
      </c>
      <c r="B72" s="87" t="s">
        <v>31</v>
      </c>
      <c r="C72" s="17">
        <f>NPV('Cost Assumptions'!$B$3,D72:AE72)</f>
        <v>483222347.4855094</v>
      </c>
      <c r="D72" s="5">
        <f>SUM(D70:D71)</f>
        <v>1938540.0424908805</v>
      </c>
      <c r="E72" s="5">
        <f>SUM(E70:E71)</f>
        <v>5093845.8447473096</v>
      </c>
      <c r="F72" s="5">
        <f t="shared" ref="F72:AE72" si="31">SUM(F70:F71)</f>
        <v>7741142.53278674</v>
      </c>
      <c r="G72" s="5">
        <f t="shared" si="31"/>
        <v>10801761.726361772</v>
      </c>
      <c r="H72" s="5">
        <f t="shared" si="31"/>
        <v>12982259.988815472</v>
      </c>
      <c r="I72" s="5">
        <f t="shared" si="31"/>
        <v>14631711.148309872</v>
      </c>
      <c r="J72" s="5">
        <f t="shared" si="31"/>
        <v>19528691.02266949</v>
      </c>
      <c r="K72" s="5">
        <f t="shared" si="31"/>
        <v>24147704.381032065</v>
      </c>
      <c r="L72" s="5">
        <f t="shared" si="31"/>
        <v>30355053.403618351</v>
      </c>
      <c r="M72" s="5">
        <f t="shared" si="31"/>
        <v>40345372.798383884</v>
      </c>
      <c r="N72" s="5">
        <f t="shared" si="31"/>
        <v>52946603.070667319</v>
      </c>
      <c r="O72" s="5">
        <f t="shared" si="31"/>
        <v>68340823.114561379</v>
      </c>
      <c r="P72" s="5">
        <f t="shared" si="31"/>
        <v>83984408.027307689</v>
      </c>
      <c r="Q72" s="5">
        <f t="shared" si="31"/>
        <v>94351017.486427769</v>
      </c>
      <c r="R72" s="5">
        <f t="shared" si="31"/>
        <v>106170080.80162913</v>
      </c>
      <c r="S72" s="5">
        <f t="shared" si="31"/>
        <v>122487431.71842781</v>
      </c>
      <c r="T72" s="5">
        <f t="shared" si="31"/>
        <v>136029325.2891565</v>
      </c>
      <c r="U72" s="5">
        <f t="shared" si="31"/>
        <v>151382742.63187787</v>
      </c>
      <c r="V72" s="5">
        <f t="shared" si="31"/>
        <v>161957211.25266579</v>
      </c>
      <c r="W72" s="5">
        <f t="shared" si="31"/>
        <v>178961390.03782618</v>
      </c>
      <c r="X72" s="5">
        <f t="shared" si="31"/>
        <v>185686282.06775057</v>
      </c>
      <c r="Y72" s="5">
        <f t="shared" si="31"/>
        <v>187271549.99287701</v>
      </c>
      <c r="Z72" s="5">
        <f t="shared" si="31"/>
        <v>187065748.93741614</v>
      </c>
      <c r="AA72" s="5">
        <f t="shared" si="31"/>
        <v>185435019.53156614</v>
      </c>
      <c r="AB72" s="5">
        <f t="shared" si="31"/>
        <v>199222910.90046862</v>
      </c>
      <c r="AC72" s="5">
        <f t="shared" si="31"/>
        <v>197467535.98193866</v>
      </c>
      <c r="AD72" s="5">
        <f t="shared" si="31"/>
        <v>182447143.33431011</v>
      </c>
      <c r="AE72" s="5">
        <f t="shared" si="31"/>
        <v>180722161.03901783</v>
      </c>
    </row>
    <row r="74" spans="1:31" x14ac:dyDescent="0.35">
      <c r="A74" s="87" t="s">
        <v>117</v>
      </c>
      <c r="B74" s="87" t="s">
        <v>144</v>
      </c>
      <c r="C74" s="17">
        <f>NPV('Cost Assumptions'!$B$3,D74:AE74)</f>
        <v>542122761.40570855</v>
      </c>
      <c r="D74" s="61">
        <f>ABS((D50*D61*1000*'Cost Assumptions'!$B$6)/'Cost Assumptions'!$B$14)</f>
        <v>8238114.0346640144</v>
      </c>
      <c r="E74" s="61">
        <f>ABS((E50*E61*1000*'Cost Assumptions'!$B$6)/'Cost Assumptions'!$B$14)</f>
        <v>12799582.047870226</v>
      </c>
      <c r="F74" s="61">
        <f>ABS((F50*F61*1000*'Cost Assumptions'!$B$6)/'Cost Assumptions'!$B$14)</f>
        <v>17583974.640465081</v>
      </c>
      <c r="G74" s="61">
        <f>ABS((G50*G61*1000*'Cost Assumptions'!$B$6)/'Cost Assumptions'!$B$14)</f>
        <v>22599587.12390976</v>
      </c>
      <c r="H74" s="61">
        <f>ABS((H50*H61*1000*'Cost Assumptions'!$B$6)/'Cost Assumptions'!$B$14)</f>
        <v>27854990.247376382</v>
      </c>
      <c r="I74" s="61">
        <f>ABS((I50*I61*1000*'Cost Assumptions'!$B$6)/'Cost Assumptions'!$B$14)</f>
        <v>33359038.785063896</v>
      </c>
      <c r="J74" s="61">
        <f>ABS((J50*J61*1000*'Cost Assumptions'!$B$6)/'Cost Assumptions'!$B$14)</f>
        <v>39120880.380731165</v>
      </c>
      <c r="K74" s="61">
        <f>ABS((K50*K61*1000*'Cost Assumptions'!$B$6)/'Cost Assumptions'!$B$14)</f>
        <v>45149964.656941138</v>
      </c>
      <c r="L74" s="61">
        <f>ABS((L50*L61*1000*'Cost Assumptions'!$B$6)/'Cost Assumptions'!$B$14)</f>
        <v>51456052.596723646</v>
      </c>
      <c r="M74" s="61">
        <f>ABS((M50*M61*1000*'Cost Assumptions'!$B$6)/'Cost Assumptions'!$B$14)</f>
        <v>58049226.205584705</v>
      </c>
      <c r="N74" s="61">
        <f>ABS((N50*N61*1000*'Cost Assumptions'!$B$6)/'Cost Assumptions'!$B$14)</f>
        <v>64939898.462015845</v>
      </c>
      <c r="O74" s="61">
        <f>ABS((O50*O61*1000*'Cost Assumptions'!$B$6)/'Cost Assumptions'!$B$14)</f>
        <v>72138823.564890057</v>
      </c>
      <c r="P74" s="61">
        <f>ABS((P50*P61*1000*'Cost Assumptions'!$B$6)/'Cost Assumptions'!$B$14)</f>
        <v>79657107.486369222</v>
      </c>
      <c r="Q74" s="61">
        <f>ABS((Q50*Q61*1000*'Cost Assumptions'!$B$6)/'Cost Assumptions'!$B$14)</f>
        <v>87506218.839194283</v>
      </c>
      <c r="R74" s="61">
        <f>ABS((R50*R61*1000*'Cost Assumptions'!$B$6)/'Cost Assumptions'!$B$14)</f>
        <v>95698000.067481622</v>
      </c>
      <c r="S74" s="61">
        <f>ABS((S50*S61*1000*'Cost Assumptions'!$B$6)/'Cost Assumptions'!$B$14)</f>
        <v>104244678.97040883</v>
      </c>
      <c r="T74" s="61">
        <f>ABS((T50*T61*1000*'Cost Assumptions'!$B$6)/'Cost Assumptions'!$B$14)</f>
        <v>113158880.56844021</v>
      </c>
      <c r="U74" s="61">
        <f>ABS((U50*U61*1000*'Cost Assumptions'!$B$6)/'Cost Assumptions'!$B$14)</f>
        <v>122453639.32201666</v>
      </c>
      <c r="V74" s="61">
        <f>ABS((V50*V61*1000*'Cost Assumptions'!$B$6)/'Cost Assumptions'!$B$14)</f>
        <v>132142411.71291664</v>
      </c>
      <c r="W74" s="61">
        <f>ABS((W50*W61*1000*'Cost Assumptions'!$B$6)/'Cost Assumptions'!$B$14)</f>
        <v>142239089.19878539</v>
      </c>
      <c r="X74" s="61">
        <f>ABS((X50*X61*1000*'Cost Assumptions'!$B$6)/'Cost Assumptions'!$B$14)</f>
        <v>152758011.55162695</v>
      </c>
      <c r="Y74" s="61">
        <f>ABS((Y50*Y61*1000*'Cost Assumptions'!$B$6)/'Cost Assumptions'!$B$14)</f>
        <v>163713980.59136143</v>
      </c>
      <c r="Z74" s="61">
        <f>ABS((Z50*Z61*1000*'Cost Assumptions'!$B$6)/'Cost Assumptions'!$B$14)</f>
        <v>175122274.32586277</v>
      </c>
      <c r="AA74" s="61">
        <f>ABS((AA50*AA61*1000*'Cost Assumptions'!$B$6)/'Cost Assumptions'!$B$14)</f>
        <v>186998661.50921968</v>
      </c>
      <c r="AB74" s="61">
        <f>ABS((AB50*AB61*1000*'Cost Assumptions'!$B$6)/'Cost Assumptions'!$B$14)</f>
        <v>199359416.63029066</v>
      </c>
      <c r="AC74" s="61">
        <f>ABS((AC50*AC61*1000*'Cost Assumptions'!$B$6)/'Cost Assumptions'!$B$14)</f>
        <v>212221335.34397203</v>
      </c>
      <c r="AD74" s="61">
        <f>ABS((AD50*AD61*1000*'Cost Assumptions'!$B$6)/'Cost Assumptions'!$B$14)</f>
        <v>225601750.35794342</v>
      </c>
      <c r="AE74" s="61">
        <f>ABS((AE50*AE61*1000*'Cost Assumptions'!$B$6)/'Cost Assumptions'!$B$14)</f>
        <v>239518547.78802353</v>
      </c>
    </row>
    <row r="75" spans="1:31" x14ac:dyDescent="0.35">
      <c r="A75" s="87" t="s">
        <v>119</v>
      </c>
      <c r="B75" s="87" t="s">
        <v>144</v>
      </c>
      <c r="C75" s="17">
        <f>NPV('Cost Assumptions'!$B$3,D75:AE75)</f>
        <v>2233346554.726491</v>
      </c>
      <c r="D75" s="61">
        <f>ABS((D50*D63*1000*'Cost Assumptions'!$B$7)/'Cost Assumptions'!$B$14)</f>
        <v>33938002.435193636</v>
      </c>
      <c r="E75" s="61">
        <f>ABS((E50*E63*1000*'Cost Assumptions'!$B$7)/'Cost Assumptions'!$B$14)</f>
        <v>52729574.376157179</v>
      </c>
      <c r="F75" s="61">
        <f>ABS((F50*F63*1000*'Cost Assumptions'!$B$7)/'Cost Assumptions'!$B$14)</f>
        <v>72439513.662646905</v>
      </c>
      <c r="G75" s="61">
        <f>ABS((G50*G63*1000*'Cost Assumptions'!$B$7)/'Cost Assumptions'!$B$14)</f>
        <v>93101993.929476008</v>
      </c>
      <c r="H75" s="61">
        <f>ABS((H50*H63*1000*'Cost Assumptions'!$B$7)/'Cost Assumptions'!$B$14)</f>
        <v>114752323.51360743</v>
      </c>
      <c r="I75" s="61">
        <f>ABS((I50*I63*1000*'Cost Assumptions'!$B$7)/'Cost Assumptions'!$B$14)</f>
        <v>137426980.83073947</v>
      </c>
      <c r="J75" s="61">
        <f>ABS((J50*J63*1000*'Cost Assumptions'!$B$7)/'Cost Assumptions'!$B$14)</f>
        <v>161163650.81153214</v>
      </c>
      <c r="K75" s="61">
        <f>ABS((K50*K63*1000*'Cost Assumptions'!$B$7)/'Cost Assumptions'!$B$14)</f>
        <v>186001262.42834517</v>
      </c>
      <c r="L75" s="61">
        <f>ABS((L50*L63*1000*'Cost Assumptions'!$B$7)/'Cost Assumptions'!$B$14)</f>
        <v>211980027.34424165</v>
      </c>
      <c r="M75" s="61">
        <f>ABS((M50*M63*1000*'Cost Assumptions'!$B$7)/'Cost Assumptions'!$B$14)</f>
        <v>239141479.71691528</v>
      </c>
      <c r="N75" s="61">
        <f>ABS((N50*N63*1000*'Cost Assumptions'!$B$7)/'Cost Assumptions'!$B$14)</f>
        <v>267528517.1911324</v>
      </c>
      <c r="O75" s="61">
        <f>ABS((O50*O63*1000*'Cost Assumptions'!$B$7)/'Cost Assumptions'!$B$14)</f>
        <v>297185443.11423731</v>
      </c>
      <c r="P75" s="61">
        <f>ABS((P50*P63*1000*'Cost Assumptions'!$B$7)/'Cost Assumptions'!$B$14)</f>
        <v>328158010.01025301</v>
      </c>
      <c r="Q75" s="61">
        <f>ABS((Q50*Q63*1000*'Cost Assumptions'!$B$7)/'Cost Assumptions'!$B$14)</f>
        <v>360493464.34912306</v>
      </c>
      <c r="R75" s="61">
        <f>ABS((R50*R63*1000*'Cost Assumptions'!$B$7)/'Cost Assumptions'!$B$14)</f>
        <v>394240592.64868033</v>
      </c>
      <c r="S75" s="61">
        <f>ABS((S50*S63*1000*'Cost Assumptions'!$B$7)/'Cost Assumptions'!$B$14)</f>
        <v>429449768.94799715</v>
      </c>
      <c r="T75" s="61">
        <f>ABS((T50*T63*1000*'Cost Assumptions'!$B$7)/'Cost Assumptions'!$B$14)</f>
        <v>466173003.69187438</v>
      </c>
      <c r="U75" s="61">
        <f>ABS((U50*U63*1000*'Cost Assumptions'!$B$7)/'Cost Assumptions'!$B$14)</f>
        <v>504463994.06735295</v>
      </c>
      <c r="V75" s="61">
        <f>ABS((V50*V63*1000*'Cost Assumptions'!$B$7)/'Cost Assumptions'!$B$14)</f>
        <v>544378175.83429813</v>
      </c>
      <c r="W75" s="61">
        <f>ABS((W50*W63*1000*'Cost Assumptions'!$B$7)/'Cost Assumptions'!$B$14)</f>
        <v>585972776.69329834</v>
      </c>
      <c r="X75" s="61">
        <f>ABS((X50*X63*1000*'Cost Assumptions'!$B$7)/'Cost Assumptions'!$B$14)</f>
        <v>629306871.23535204</v>
      </c>
      <c r="Y75" s="61">
        <f>ABS((Y50*Y63*1000*'Cost Assumptions'!$B$7)/'Cost Assumptions'!$B$14)</f>
        <v>674441437.51907539</v>
      </c>
      <c r="Z75" s="61">
        <f>ABS((Z50*Z63*1000*'Cost Assumptions'!$B$7)/'Cost Assumptions'!$B$14)</f>
        <v>721439415.32246244</v>
      </c>
      <c r="AA75" s="61">
        <f>ABS((AA50*AA63*1000*'Cost Assumptions'!$B$7)/'Cost Assumptions'!$B$14)</f>
        <v>770365766.1175698</v>
      </c>
      <c r="AB75" s="61">
        <f>ABS((AB50*AB63*1000*'Cost Assumptions'!$B$7)/'Cost Assumptions'!$B$14)</f>
        <v>821287534.8178556</v>
      </c>
      <c r="AC75" s="61">
        <f>ABS((AC50*AC63*1000*'Cost Assumptions'!$B$7)/'Cost Assumptions'!$B$14)</f>
        <v>874273913.34933257</v>
      </c>
      <c r="AD75" s="61">
        <f>ABS((AD50*AD63*1000*'Cost Assumptions'!$B$7)/'Cost Assumptions'!$B$14)</f>
        <v>929396306.098122</v>
      </c>
      <c r="AE75" s="61">
        <f>ABS((AE50*AE63*1000*'Cost Assumptions'!$B$7)/'Cost Assumptions'!$B$14)</f>
        <v>986728397.28850782</v>
      </c>
    </row>
    <row r="76" spans="1:31" x14ac:dyDescent="0.35">
      <c r="A76" s="87" t="s">
        <v>24</v>
      </c>
      <c r="B76" s="87" t="s">
        <v>144</v>
      </c>
      <c r="C76" s="17">
        <f>NPV('Cost Assumptions'!$B$3,D76:AE76)</f>
        <v>2775469316.1321998</v>
      </c>
      <c r="D76" s="61">
        <f>SUM(D74:D75)</f>
        <v>42176116.469857648</v>
      </c>
      <c r="E76" s="61">
        <f>SUM(E74:E75)</f>
        <v>65529156.424027406</v>
      </c>
      <c r="F76" s="61">
        <f t="shared" ref="F76:AE76" si="32">SUM(F74:F75)</f>
        <v>90023488.303111985</v>
      </c>
      <c r="G76" s="61">
        <f t="shared" si="32"/>
        <v>115701581.05338576</v>
      </c>
      <c r="H76" s="61">
        <f t="shared" si="32"/>
        <v>142607313.76098382</v>
      </c>
      <c r="I76" s="61">
        <f t="shared" si="32"/>
        <v>170786019.61580336</v>
      </c>
      <c r="J76" s="61">
        <f t="shared" si="32"/>
        <v>200284531.19226331</v>
      </c>
      <c r="K76" s="61">
        <f t="shared" si="32"/>
        <v>231151227.08528632</v>
      </c>
      <c r="L76" s="61">
        <f t="shared" si="32"/>
        <v>263436079.94096529</v>
      </c>
      <c r="M76" s="61">
        <f t="shared" si="32"/>
        <v>297190705.92250001</v>
      </c>
      <c r="N76" s="61">
        <f t="shared" si="32"/>
        <v>332468415.65314823</v>
      </c>
      <c r="O76" s="61">
        <f t="shared" si="32"/>
        <v>369324266.67912734</v>
      </c>
      <c r="P76" s="61">
        <f t="shared" si="32"/>
        <v>407815117.4966222</v>
      </c>
      <c r="Q76" s="61">
        <f t="shared" si="32"/>
        <v>447999683.18831736</v>
      </c>
      <c r="R76" s="61">
        <f t="shared" si="32"/>
        <v>489938592.71616197</v>
      </c>
      <c r="S76" s="61">
        <f t="shared" si="32"/>
        <v>533694447.91840601</v>
      </c>
      <c r="T76" s="61">
        <f t="shared" si="32"/>
        <v>579331884.26031458</v>
      </c>
      <c r="U76" s="61">
        <f t="shared" si="32"/>
        <v>626917633.38936961</v>
      </c>
      <c r="V76" s="61">
        <f t="shared" si="32"/>
        <v>676520587.54721475</v>
      </c>
      <c r="W76" s="61">
        <f t="shared" si="32"/>
        <v>728211865.89208376</v>
      </c>
      <c r="X76" s="61">
        <f t="shared" si="32"/>
        <v>782064882.78697896</v>
      </c>
      <c r="Y76" s="61">
        <f t="shared" si="32"/>
        <v>838155418.1104368</v>
      </c>
      <c r="Z76" s="61">
        <f t="shared" si="32"/>
        <v>896561689.6483252</v>
      </c>
      <c r="AA76" s="61">
        <f t="shared" si="32"/>
        <v>957364427.62678945</v>
      </c>
      <c r="AB76" s="61">
        <f t="shared" si="32"/>
        <v>1020646951.4481462</v>
      </c>
      <c r="AC76" s="61">
        <f t="shared" si="32"/>
        <v>1086495248.6933045</v>
      </c>
      <c r="AD76" s="61">
        <f t="shared" si="32"/>
        <v>1154998056.4560654</v>
      </c>
      <c r="AE76" s="61">
        <f t="shared" si="32"/>
        <v>1226246945.0765314</v>
      </c>
    </row>
    <row r="77" spans="1:31" x14ac:dyDescent="0.35">
      <c r="A77" s="87"/>
      <c r="B77" s="87"/>
      <c r="C77" s="1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x14ac:dyDescent="0.35">
      <c r="A78" s="87" t="s">
        <v>117</v>
      </c>
      <c r="B78" s="87" t="s">
        <v>152</v>
      </c>
      <c r="C78" s="17">
        <f>NPV('Cost Assumptions'!$B$3,D78:AE78)</f>
        <v>0</v>
      </c>
      <c r="D78" s="61">
        <f>ABS(((MIN(ABS(D51),'Baseline System Analysis'!D14)*D62*1000*'Cost Assumptions'!$B$6)*'Cost Assumptions'!$B$13))</f>
        <v>0</v>
      </c>
      <c r="E78" s="61">
        <f>ABS(((MIN(ABS(E51),'Baseline System Analysis'!E14)*E62*1000*'Cost Assumptions'!$B$6)*'Cost Assumptions'!$B$13))</f>
        <v>0</v>
      </c>
      <c r="F78" s="61">
        <f>ABS((F51*F61*1000*'Cost Assumptions'!$B$6)*'Cost Assumptions'!$B$13)</f>
        <v>0</v>
      </c>
      <c r="G78" s="61">
        <f>ABS((G51*G61*1000*'Cost Assumptions'!$B$6)*'Cost Assumptions'!$B$13)</f>
        <v>0</v>
      </c>
      <c r="H78" s="61">
        <f>ABS((H51*H61*1000*'Cost Assumptions'!$B$6)*'Cost Assumptions'!$B$13)</f>
        <v>0</v>
      </c>
      <c r="I78" s="61">
        <f>ABS((I51*I61*1000*'Cost Assumptions'!$B$6)*'Cost Assumptions'!$B$13)</f>
        <v>0</v>
      </c>
      <c r="J78" s="61">
        <f>ABS((J51*J61*1000*'Cost Assumptions'!$B$6)*'Cost Assumptions'!$B$13)</f>
        <v>0</v>
      </c>
      <c r="K78" s="61">
        <f>ABS((K51*K61*1000*'Cost Assumptions'!$B$6)*'Cost Assumptions'!$B$13)</f>
        <v>0</v>
      </c>
      <c r="L78" s="61">
        <f>ABS((L51*L61*1000*'Cost Assumptions'!$B$6)*'Cost Assumptions'!$B$13)</f>
        <v>0</v>
      </c>
      <c r="M78" s="61">
        <f>ABS((M51*M61*1000*'Cost Assumptions'!$B$6)*'Cost Assumptions'!$B$13)</f>
        <v>0</v>
      </c>
      <c r="N78" s="61">
        <f>ABS((N51*N61*1000*'Cost Assumptions'!$B$6)*'Cost Assumptions'!$B$13)</f>
        <v>0</v>
      </c>
      <c r="O78" s="61">
        <f>ABS((O51*O61*1000*'Cost Assumptions'!$B$6)*'Cost Assumptions'!$B$13)</f>
        <v>0</v>
      </c>
      <c r="P78" s="61">
        <f>ABS((P51*P61*1000*'Cost Assumptions'!$B$6)*'Cost Assumptions'!$B$13)</f>
        <v>0</v>
      </c>
      <c r="Q78" s="61">
        <f>ABS((Q51*Q61*1000*'Cost Assumptions'!$B$6)*'Cost Assumptions'!$B$13)</f>
        <v>0</v>
      </c>
      <c r="R78" s="61">
        <f>ABS((R51*R61*1000*'Cost Assumptions'!$B$6)*'Cost Assumptions'!$B$13)</f>
        <v>0</v>
      </c>
      <c r="S78" s="61">
        <f>ABS((S51*S61*1000*'Cost Assumptions'!$B$6)*'Cost Assumptions'!$B$13)</f>
        <v>0</v>
      </c>
      <c r="T78" s="61">
        <f>ABS((T51*T61*1000*'Cost Assumptions'!$B$6)*'Cost Assumptions'!$B$13)</f>
        <v>0</v>
      </c>
      <c r="U78" s="61">
        <f>ABS((U51*U61*1000*'Cost Assumptions'!$B$6)*'Cost Assumptions'!$B$13)</f>
        <v>0</v>
      </c>
      <c r="V78" s="61">
        <f>ABS((V51*V61*1000*'Cost Assumptions'!$B$6)*'Cost Assumptions'!$B$13)</f>
        <v>0</v>
      </c>
      <c r="W78" s="61">
        <f>ABS((W51*W61*1000*'Cost Assumptions'!$B$6)*'Cost Assumptions'!$B$13)</f>
        <v>0</v>
      </c>
      <c r="X78" s="61">
        <f>ABS((X51*X61*1000*'Cost Assumptions'!$B$6)*'Cost Assumptions'!$B$13)</f>
        <v>0</v>
      </c>
      <c r="Y78" s="61">
        <f>ABS((Y51*Y61*1000*'Cost Assumptions'!$B$6)*'Cost Assumptions'!$B$13)</f>
        <v>0</v>
      </c>
      <c r="Z78" s="61">
        <f>ABS((Z51*Z61*1000*'Cost Assumptions'!$B$6)*'Cost Assumptions'!$B$13)</f>
        <v>0</v>
      </c>
      <c r="AA78" s="61">
        <f>ABS((AA51*AA61*1000*'Cost Assumptions'!$B$6)*'Cost Assumptions'!$B$13)</f>
        <v>0</v>
      </c>
      <c r="AB78" s="61">
        <f>ABS((AB51*AB61*1000*'Cost Assumptions'!$B$6)*'Cost Assumptions'!$B$13)</f>
        <v>0</v>
      </c>
      <c r="AC78" s="61">
        <f>ABS((AC51*AC61*1000*'Cost Assumptions'!$B$6)*'Cost Assumptions'!$B$13)</f>
        <v>0</v>
      </c>
      <c r="AD78" s="61">
        <f>ABS((AD51*AD61*1000*'Cost Assumptions'!$B$6)*'Cost Assumptions'!$B$13)</f>
        <v>0</v>
      </c>
      <c r="AE78" s="61">
        <f>ABS((AE51*AE61*1000*'Cost Assumptions'!$B$6)*'Cost Assumptions'!$B$13)</f>
        <v>0</v>
      </c>
    </row>
    <row r="79" spans="1:31" x14ac:dyDescent="0.35">
      <c r="A79" s="87" t="s">
        <v>119</v>
      </c>
      <c r="B79" s="87" t="s">
        <v>152</v>
      </c>
      <c r="C79" s="17">
        <f>NPV('Cost Assumptions'!$B$3,D79:AE79)</f>
        <v>0</v>
      </c>
      <c r="D79" s="61">
        <f>ABS(((MIN(ABS(D51),'Baseline System Analysis'!D14)*D64*1000*'Cost Assumptions'!$B$6)*'Cost Assumptions'!$B$13))</f>
        <v>0</v>
      </c>
      <c r="E79" s="61">
        <f>ABS(((MIN(ABS(E51),'Baseline System Analysis'!E14)*E64*1000*'Cost Assumptions'!$B$6)*'Cost Assumptions'!$B$13))</f>
        <v>0</v>
      </c>
      <c r="F79" s="61">
        <f>ABS((F51*F63*1000*'Cost Assumptions'!$B$6)*'Cost Assumptions'!$B$13)</f>
        <v>0</v>
      </c>
      <c r="G79" s="61">
        <f>ABS((G51*G63*1000*'Cost Assumptions'!$B$6)*'Cost Assumptions'!$B$13)</f>
        <v>0</v>
      </c>
      <c r="H79" s="61">
        <f>ABS((H51*H63*1000*'Cost Assumptions'!$B$6)*'Cost Assumptions'!$B$13)</f>
        <v>0</v>
      </c>
      <c r="I79" s="61">
        <f>ABS((I51*I63*1000*'Cost Assumptions'!$B$6)*'Cost Assumptions'!$B$13)</f>
        <v>0</v>
      </c>
      <c r="J79" s="61">
        <f>ABS((J51*J63*1000*'Cost Assumptions'!$B$6)*'Cost Assumptions'!$B$13)</f>
        <v>0</v>
      </c>
      <c r="K79" s="61">
        <f>ABS((K51*K63*1000*'Cost Assumptions'!$B$6)*'Cost Assumptions'!$B$13)</f>
        <v>0</v>
      </c>
      <c r="L79" s="61">
        <f>ABS((L51*L63*1000*'Cost Assumptions'!$B$6)*'Cost Assumptions'!$B$13)</f>
        <v>0</v>
      </c>
      <c r="M79" s="61">
        <f>ABS((M51*M63*1000*'Cost Assumptions'!$B$6)*'Cost Assumptions'!$B$13)</f>
        <v>0</v>
      </c>
      <c r="N79" s="61">
        <f>ABS((N51*N63*1000*'Cost Assumptions'!$B$6)*'Cost Assumptions'!$B$13)</f>
        <v>0</v>
      </c>
      <c r="O79" s="61">
        <f>ABS((O51*O63*1000*'Cost Assumptions'!$B$6)*'Cost Assumptions'!$B$13)</f>
        <v>0</v>
      </c>
      <c r="P79" s="61">
        <f>ABS((P51*P63*1000*'Cost Assumptions'!$B$6)*'Cost Assumptions'!$B$13)</f>
        <v>0</v>
      </c>
      <c r="Q79" s="61">
        <f>ABS((Q51*Q63*1000*'Cost Assumptions'!$B$6)*'Cost Assumptions'!$B$13)</f>
        <v>0</v>
      </c>
      <c r="R79" s="61">
        <f>ABS((R51*R63*1000*'Cost Assumptions'!$B$6)*'Cost Assumptions'!$B$13)</f>
        <v>0</v>
      </c>
      <c r="S79" s="61">
        <f>ABS((S51*S63*1000*'Cost Assumptions'!$B$6)*'Cost Assumptions'!$B$13)</f>
        <v>0</v>
      </c>
      <c r="T79" s="61">
        <f>ABS((T51*T63*1000*'Cost Assumptions'!$B$6)*'Cost Assumptions'!$B$13)</f>
        <v>0</v>
      </c>
      <c r="U79" s="61">
        <f>ABS((U51*U63*1000*'Cost Assumptions'!$B$6)*'Cost Assumptions'!$B$13)</f>
        <v>0</v>
      </c>
      <c r="V79" s="61">
        <f>ABS((V51*V63*1000*'Cost Assumptions'!$B$6)*'Cost Assumptions'!$B$13)</f>
        <v>0</v>
      </c>
      <c r="W79" s="61">
        <f>ABS((W51*W63*1000*'Cost Assumptions'!$B$6)*'Cost Assumptions'!$B$13)</f>
        <v>0</v>
      </c>
      <c r="X79" s="61">
        <f>ABS((X51*X63*1000*'Cost Assumptions'!$B$6)*'Cost Assumptions'!$B$13)</f>
        <v>0</v>
      </c>
      <c r="Y79" s="61">
        <f>ABS((Y51*Y63*1000*'Cost Assumptions'!$B$6)*'Cost Assumptions'!$B$13)</f>
        <v>0</v>
      </c>
      <c r="Z79" s="61">
        <f>ABS((Z51*Z63*1000*'Cost Assumptions'!$B$6)*'Cost Assumptions'!$B$13)</f>
        <v>0</v>
      </c>
      <c r="AA79" s="61">
        <f>ABS((AA51*AA63*1000*'Cost Assumptions'!$B$6)*'Cost Assumptions'!$B$13)</f>
        <v>0</v>
      </c>
      <c r="AB79" s="61">
        <f>ABS((AB51*AB63*1000*'Cost Assumptions'!$B$6)*'Cost Assumptions'!$B$13)</f>
        <v>0</v>
      </c>
      <c r="AC79" s="61">
        <f>ABS((AC51*AC63*1000*'Cost Assumptions'!$B$6)*'Cost Assumptions'!$B$13)</f>
        <v>0</v>
      </c>
      <c r="AD79" s="61">
        <f>ABS((AD51*AD63*1000*'Cost Assumptions'!$B$6)*'Cost Assumptions'!$B$13)</f>
        <v>0</v>
      </c>
      <c r="AE79" s="61">
        <f>ABS((AE51*AE63*1000*'Cost Assumptions'!$B$6)*'Cost Assumptions'!$B$13)</f>
        <v>0</v>
      </c>
    </row>
    <row r="80" spans="1:31" ht="37.15" customHeight="1" x14ac:dyDescent="0.35">
      <c r="A80" s="3" t="s">
        <v>155</v>
      </c>
      <c r="B80" s="87" t="s">
        <v>152</v>
      </c>
      <c r="C80" s="17">
        <f>NPV('Cost Assumptions'!$B$3,D80:AE80)</f>
        <v>0</v>
      </c>
      <c r="D80" s="61">
        <f>SUM(D78:D79)</f>
        <v>0</v>
      </c>
      <c r="E80" s="61">
        <f>SUM(E78:E79)</f>
        <v>0</v>
      </c>
      <c r="F80" s="61">
        <f t="shared" ref="F80:AE80" si="33">SUM(F78:F79)</f>
        <v>0</v>
      </c>
      <c r="G80" s="61">
        <f t="shared" si="33"/>
        <v>0</v>
      </c>
      <c r="H80" s="61">
        <f t="shared" si="33"/>
        <v>0</v>
      </c>
      <c r="I80" s="61">
        <f t="shared" si="33"/>
        <v>0</v>
      </c>
      <c r="J80" s="61">
        <f t="shared" si="33"/>
        <v>0</v>
      </c>
      <c r="K80" s="61">
        <f t="shared" si="33"/>
        <v>0</v>
      </c>
      <c r="L80" s="61">
        <f t="shared" si="33"/>
        <v>0</v>
      </c>
      <c r="M80" s="61">
        <f t="shared" si="33"/>
        <v>0</v>
      </c>
      <c r="N80" s="61">
        <f t="shared" si="33"/>
        <v>0</v>
      </c>
      <c r="O80" s="61">
        <f t="shared" si="33"/>
        <v>0</v>
      </c>
      <c r="P80" s="61">
        <f t="shared" si="33"/>
        <v>0</v>
      </c>
      <c r="Q80" s="61">
        <f t="shared" si="33"/>
        <v>0</v>
      </c>
      <c r="R80" s="61">
        <f t="shared" si="33"/>
        <v>0</v>
      </c>
      <c r="S80" s="61">
        <f t="shared" si="33"/>
        <v>0</v>
      </c>
      <c r="T80" s="61">
        <f t="shared" si="33"/>
        <v>0</v>
      </c>
      <c r="U80" s="61">
        <f t="shared" si="33"/>
        <v>0</v>
      </c>
      <c r="V80" s="61">
        <f t="shared" si="33"/>
        <v>0</v>
      </c>
      <c r="W80" s="61">
        <f t="shared" si="33"/>
        <v>0</v>
      </c>
      <c r="X80" s="61">
        <f t="shared" si="33"/>
        <v>0</v>
      </c>
      <c r="Y80" s="61">
        <f t="shared" si="33"/>
        <v>0</v>
      </c>
      <c r="Z80" s="61">
        <f t="shared" si="33"/>
        <v>0</v>
      </c>
      <c r="AA80" s="61">
        <f t="shared" si="33"/>
        <v>0</v>
      </c>
      <c r="AB80" s="61">
        <f t="shared" si="33"/>
        <v>0</v>
      </c>
      <c r="AC80" s="61">
        <f t="shared" si="33"/>
        <v>0</v>
      </c>
      <c r="AD80" s="61">
        <f t="shared" si="33"/>
        <v>0</v>
      </c>
      <c r="AE80" s="61">
        <f t="shared" si="33"/>
        <v>0</v>
      </c>
    </row>
    <row r="81" spans="1:31" s="60" customFormat="1" x14ac:dyDescent="0.35">
      <c r="A81" s="3"/>
      <c r="B81" s="87"/>
      <c r="C81" s="1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s="60" customFormat="1" ht="29" x14ac:dyDescent="0.35">
      <c r="A82" s="3" t="s">
        <v>147</v>
      </c>
      <c r="B82" s="87" t="s">
        <v>148</v>
      </c>
      <c r="C82" s="17">
        <f>NPV('Cost Assumptions'!$B$3,D82:AE82)</f>
        <v>201421523.7424624</v>
      </c>
      <c r="D82" s="61">
        <f>('Baseline System Analysis'!D42-D37)</f>
        <v>11415404.726474755</v>
      </c>
      <c r="E82" s="61">
        <f>('Baseline System Analysis'!E42-E37)</f>
        <v>12677256.086189514</v>
      </c>
      <c r="F82" s="61">
        <f>('Baseline System Analysis'!F42-F37)</f>
        <v>14005928.33497976</v>
      </c>
      <c r="G82" s="61">
        <f>('Baseline System Analysis'!G42-G37)</f>
        <v>14898443.995636351</v>
      </c>
      <c r="H82" s="61">
        <f>('Baseline System Analysis'!H42-H37)</f>
        <v>16001404.151103705</v>
      </c>
      <c r="I82" s="61">
        <f>('Baseline System Analysis'!I42-I37)</f>
        <v>17079540.657531884</v>
      </c>
      <c r="J82" s="61">
        <f>('Baseline System Analysis'!J42-J37)</f>
        <v>18025564.820723638</v>
      </c>
      <c r="K82" s="61">
        <f>('Baseline System Analysis'!K42-K37)</f>
        <v>19173409.538344882</v>
      </c>
      <c r="L82" s="61">
        <f>('Baseline System Analysis'!L42-L37)</f>
        <v>20408716.377800144</v>
      </c>
      <c r="M82" s="61">
        <f>('Baseline System Analysis'!M42-M37)</f>
        <v>21700257.554819502</v>
      </c>
      <c r="N82" s="61">
        <f>('Baseline System Analysis'!N42-N37)</f>
        <v>23225050.521736037</v>
      </c>
      <c r="O82" s="61">
        <f>('Baseline System Analysis'!O42-O37)</f>
        <v>24562337.309540544</v>
      </c>
      <c r="P82" s="61">
        <f>('Baseline System Analysis'!P42-P37)</f>
        <v>26000278.429442648</v>
      </c>
      <c r="Q82" s="61">
        <f>('Baseline System Analysis'!Q42-Q37)</f>
        <v>27628571.211867087</v>
      </c>
      <c r="R82" s="61">
        <f>('Baseline System Analysis'!R42-R37)</f>
        <v>29216356.105742048</v>
      </c>
      <c r="S82" s="61">
        <f>('Baseline System Analysis'!S42-S37)</f>
        <v>31019684.762876015</v>
      </c>
      <c r="T82" s="61">
        <f>('Baseline System Analysis'!T42-T37)</f>
        <v>32721790.79613499</v>
      </c>
      <c r="U82" s="61">
        <f>('Baseline System Analysis'!U42-U37)</f>
        <v>34498473.537261531</v>
      </c>
      <c r="V82" s="61">
        <f>('Baseline System Analysis'!V42-V37)</f>
        <v>36216597.888129503</v>
      </c>
      <c r="W82" s="61">
        <f>('Baseline System Analysis'!W42-W37)</f>
        <v>38085174.954066977</v>
      </c>
      <c r="X82" s="61">
        <f>('Baseline System Analysis'!X42-X37)</f>
        <v>39829235.050383419</v>
      </c>
      <c r="Y82" s="61">
        <f>('Baseline System Analysis'!Y42-Y37)</f>
        <v>41537971.859504849</v>
      </c>
      <c r="Z82" s="61">
        <f>('Baseline System Analysis'!Z42-Z37)</f>
        <v>43666848.802640006</v>
      </c>
      <c r="AA82" s="61">
        <f>('Baseline System Analysis'!AA42-AA37)</f>
        <v>45674640.509398893</v>
      </c>
      <c r="AB82" s="61">
        <f>('Baseline System Analysis'!AB42-AB37)</f>
        <v>47592810.13016814</v>
      </c>
      <c r="AC82" s="61">
        <f>('Baseline System Analysis'!AC42-AC37)</f>
        <v>49813062.13103693</v>
      </c>
      <c r="AD82" s="61">
        <f>('Baseline System Analysis'!AD42-AD37)</f>
        <v>52005419.753570341</v>
      </c>
      <c r="AE82" s="61">
        <f>('Baseline System Analysis'!AE42-AE37)</f>
        <v>54190723.063085757</v>
      </c>
    </row>
    <row r="84" spans="1:31" ht="20" thickBot="1" x14ac:dyDescent="0.5">
      <c r="A84" s="145" t="s">
        <v>61</v>
      </c>
      <c r="B84" s="145"/>
      <c r="C84" s="17">
        <f>NPV('Cost Assumptions'!$B$3,D84:AE84)/1000000</f>
        <v>3465.2768477293248</v>
      </c>
      <c r="D84" s="61">
        <f>SUM(D68,D72,D76,D80,D82)</f>
        <v>55530145.019695051</v>
      </c>
      <c r="E84" s="61">
        <f>SUM(E68,E72,E76,E80,E82)</f>
        <v>83283021.573675811</v>
      </c>
      <c r="F84" s="61">
        <f t="shared" ref="F84:AE84" si="34">SUM(F68,F72,F76,F80,F82)</f>
        <v>111759519.53595144</v>
      </c>
      <c r="G84" s="61">
        <f t="shared" si="34"/>
        <v>141396944.28681818</v>
      </c>
      <c r="H84" s="61">
        <f t="shared" si="34"/>
        <v>171592332.55869865</v>
      </c>
      <c r="I84" s="61">
        <f t="shared" si="34"/>
        <v>202504823.22580212</v>
      </c>
      <c r="J84" s="61">
        <f t="shared" si="34"/>
        <v>237852535.98617482</v>
      </c>
      <c r="K84" s="61">
        <f t="shared" si="34"/>
        <v>274492287.10154301</v>
      </c>
      <c r="L84" s="61">
        <f t="shared" si="34"/>
        <v>314255584.12112433</v>
      </c>
      <c r="M84" s="61">
        <f t="shared" si="34"/>
        <v>359327858.97630471</v>
      </c>
      <c r="N84" s="61">
        <f t="shared" si="34"/>
        <v>408767380.24801368</v>
      </c>
      <c r="O84" s="61">
        <f t="shared" si="34"/>
        <v>462390526.40755212</v>
      </c>
      <c r="P84" s="61">
        <f t="shared" si="34"/>
        <v>518495294.14824486</v>
      </c>
      <c r="Q84" s="61">
        <f t="shared" si="34"/>
        <v>570775187.15739727</v>
      </c>
      <c r="R84" s="61">
        <f t="shared" si="34"/>
        <v>626221369.97023094</v>
      </c>
      <c r="S84" s="61">
        <f t="shared" si="34"/>
        <v>688198329.82232022</v>
      </c>
      <c r="T84" s="61">
        <f t="shared" si="34"/>
        <v>749180190.84412909</v>
      </c>
      <c r="U84" s="61">
        <f t="shared" si="34"/>
        <v>813996465.1329447</v>
      </c>
      <c r="V84" s="61">
        <f t="shared" si="34"/>
        <v>876293174.15667272</v>
      </c>
      <c r="W84" s="61">
        <f t="shared" si="34"/>
        <v>947258370.24686658</v>
      </c>
      <c r="X84" s="61">
        <f t="shared" si="34"/>
        <v>1009981501.1622295</v>
      </c>
      <c r="Y84" s="61">
        <f t="shared" si="34"/>
        <v>1069767203.1141621</v>
      </c>
      <c r="Z84" s="61">
        <f t="shared" si="34"/>
        <v>1130497712.4339519</v>
      </c>
      <c r="AA84" s="61">
        <f t="shared" si="34"/>
        <v>1192346705.074955</v>
      </c>
      <c r="AB84" s="61">
        <f t="shared" si="34"/>
        <v>1272004482.2476137</v>
      </c>
      <c r="AC84" s="61">
        <f t="shared" si="34"/>
        <v>1338986848.9367409</v>
      </c>
      <c r="AD84" s="61">
        <f t="shared" si="34"/>
        <v>1395330814.0360365</v>
      </c>
      <c r="AE84" s="61">
        <f t="shared" si="34"/>
        <v>1467709216.0323558</v>
      </c>
    </row>
    <row r="85" spans="1:31" s="60" customFormat="1" ht="20.5" thickTop="1" thickBot="1" x14ac:dyDescent="0.5">
      <c r="A85" s="145" t="s">
        <v>149</v>
      </c>
      <c r="B85" s="145"/>
      <c r="C85" s="17">
        <f>NPV('Cost Assumptions'!$B$3,D85:AE85)/1000000</f>
        <v>3465.6255630607602</v>
      </c>
      <c r="D85" s="61">
        <f>D84+D44</f>
        <v>55544497.019695006</v>
      </c>
      <c r="E85" s="61">
        <f t="shared" ref="E85:AE85" si="35">E84+E44</f>
        <v>83299776.223675802</v>
      </c>
      <c r="F85" s="61">
        <f t="shared" si="35"/>
        <v>111778498.10676873</v>
      </c>
      <c r="G85" s="61">
        <f t="shared" si="35"/>
        <v>141418247.50283739</v>
      </c>
      <c r="H85" s="61">
        <f t="shared" si="35"/>
        <v>171616064.79057312</v>
      </c>
      <c r="I85" s="61">
        <f t="shared" si="35"/>
        <v>202531092.60981461</v>
      </c>
      <c r="J85" s="61">
        <f t="shared" si="35"/>
        <v>237881454.54728732</v>
      </c>
      <c r="K85" s="61">
        <f t="shared" si="35"/>
        <v>274523970.88024545</v>
      </c>
      <c r="L85" s="61">
        <f t="shared" si="35"/>
        <v>314290153.30419558</v>
      </c>
      <c r="M85" s="61">
        <f t="shared" si="35"/>
        <v>359365438.03160149</v>
      </c>
      <c r="N85" s="61">
        <f t="shared" si="35"/>
        <v>408808098.06340784</v>
      </c>
      <c r="O85" s="61">
        <f t="shared" si="35"/>
        <v>462434516.43413901</v>
      </c>
      <c r="P85" s="61">
        <f t="shared" si="35"/>
        <v>518542694.54794943</v>
      </c>
      <c r="Q85" s="61">
        <f t="shared" si="35"/>
        <v>570826140.95510888</v>
      </c>
      <c r="R85" s="61">
        <f t="shared" si="35"/>
        <v>626276025.21060002</v>
      </c>
      <c r="S85" s="61">
        <f t="shared" si="35"/>
        <v>688256839.73135614</v>
      </c>
      <c r="T85" s="61">
        <f t="shared" si="35"/>
        <v>749242713.99573994</v>
      </c>
      <c r="U85" s="61">
        <f t="shared" si="35"/>
        <v>814063165.62056613</v>
      </c>
      <c r="V85" s="61">
        <f t="shared" si="35"/>
        <v>876364221.7701354</v>
      </c>
      <c r="W85" s="61">
        <f t="shared" si="35"/>
        <v>947333940.65465784</v>
      </c>
      <c r="X85" s="61">
        <f t="shared" si="35"/>
        <v>1010061776.0993074</v>
      </c>
      <c r="Y85" s="61">
        <f t="shared" si="35"/>
        <v>1069852370.5754861</v>
      </c>
      <c r="Z85" s="61">
        <f t="shared" si="35"/>
        <v>1130587966.8738985</v>
      </c>
      <c r="AA85" s="61">
        <f t="shared" si="35"/>
        <v>1192442247.6127923</v>
      </c>
      <c r="AB85" s="61">
        <f t="shared" si="35"/>
        <v>1272105520.8792109</v>
      </c>
      <c r="AC85" s="61">
        <f t="shared" si="35"/>
        <v>1339093598.7527001</v>
      </c>
      <c r="AD85" s="61">
        <f t="shared" si="35"/>
        <v>1395443497.4464309</v>
      </c>
      <c r="AE85" s="61">
        <f t="shared" si="35"/>
        <v>1467828062.9982724</v>
      </c>
    </row>
    <row r="86" spans="1:31" ht="15" thickTop="1" x14ac:dyDescent="0.35">
      <c r="A86" s="87"/>
      <c r="B86" s="87"/>
      <c r="C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</row>
    <row r="87" spans="1:31" ht="20" thickBot="1" x14ac:dyDescent="0.5">
      <c r="A87" s="145" t="s">
        <v>150</v>
      </c>
      <c r="B87" s="145"/>
      <c r="C87" s="17">
        <f>Summary!$D$9</f>
        <v>270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</row>
    <row r="88" spans="1:31" ht="15" thickTop="1" x14ac:dyDescent="0.35">
      <c r="A88" s="87"/>
      <c r="B88" s="87"/>
      <c r="C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</row>
    <row r="89" spans="1:31" ht="20" thickBot="1" x14ac:dyDescent="0.5">
      <c r="A89" s="145" t="s">
        <v>7</v>
      </c>
      <c r="B89" s="145"/>
      <c r="C89" s="50">
        <f>C85/C87</f>
        <v>12.835650233558372</v>
      </c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</row>
    <row r="90" spans="1:31" ht="15" thickTop="1" x14ac:dyDescent="0.35">
      <c r="A90" s="87"/>
      <c r="B90" s="87"/>
      <c r="C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</row>
  </sheetData>
  <mergeCells count="8">
    <mergeCell ref="A87:B87"/>
    <mergeCell ref="A89:B89"/>
    <mergeCell ref="A85:B85"/>
    <mergeCell ref="B2:B15"/>
    <mergeCell ref="B18:B32"/>
    <mergeCell ref="B41:AE41"/>
    <mergeCell ref="A59:AE60"/>
    <mergeCell ref="A84:B84"/>
  </mergeCells>
  <phoneticPr fontId="17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- 15400 01g - Revised </Data_x0020_Request_x0020_Set_x0020_Name>
    <Document_x0020_Review_x0020_Status xmlns="d1269d0e-3d21-492c-95ee-c4f1a377396e">Pending for Case Admin</Document_x0020_Review_x0020_Status>
    <Response_x0020_Date xmlns="8430d550-c2bd-4ade-ae56-0b82b076c537">2020-04-23T07:00:00+00:00</Response_x0020_Date>
    <Manual_x0020_Handling xmlns="d1269d0e-3d21-492c-95ee-c4f1a377396e">
      <Url>https://edisonintl.sharepoint.com/teams/rcms365/_layouts/15/wrkstat.aspx?List=d1269d0e-3d21-492c-95ee-c4f1a377396e&amp;WorkflowInstanceName=9476eb91-2a6a-49da-ad46-e98b79bf89f8</Url>
      <Description>Completed</Description>
    </Manual_x0020_Handling>
    <Acronym xmlns="8430d550-c2bd-4ade-ae56-0b82b076c537">Alberhill PTC &amp; CPCN</Acronym>
    <RimsSpid xmlns="8430d550-c2bd-4ade-ae56-0b82b076c537">20285</RimsSpid>
    <Witness xmlns="8430d550-c2bd-4ade-ae56-0b82b076c537">
      <UserInfo>
        <DisplayName/>
        <AccountId xsi:nil="true"/>
        <AccountType/>
      </UserInfo>
    </Witness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Paul Mccabe</DisplayName>
        <AccountId>1713</AccountId>
        <AccountType/>
      </UserInfo>
    </Assignee>
    <Question_x0020_Number xmlns="8430d550-c2bd-4ade-ae56-0b82b076c537">01g - Revised </Question_x0020_Number>
    <Data_x0020_Request_x0020_Set_x0020_Name1 xmlns="8430d550-c2bd-4ade-ae56-0b82b076c537">CPUC-JWS-4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Tammy Jones</DisplayName>
        <AccountId>1418</AccountId>
        <AccountType/>
      </UserInfo>
    </Attorney>
    <Received_x0020_Date xmlns="8430d550-c2bd-4ade-ae56-0b82b076c537">2019-12-23T08:00:00+00:00</Received_x0020_Date>
    <Year xmlns="8430d550-c2bd-4ade-ae56-0b82b076c537">2021</Year>
    <HeaderSpid xmlns="8430d550-c2bd-4ade-ae56-0b82b076c537">2399</HeaderSpid>
    <Question xmlns="8430d550-c2bd-4ade-ae56-0b82b076c537">Provide additional analysis as required by Decision D.18-08-026, Ordering Paragraph 4, items 4.a,
4.c, 4.f, 4.g and 4.i, replicated below:
g) Cost/benefit analysis of several alternatives for:
• enhancing reliability and
• providing additional capacity including evaluation of energy storage, distributed energy
resources, demand response or smart-grid solutions; and </Question>
    <Classification xmlns="8430d550-c2bd-4ade-ae56-0b82b076c537">Public</Classification>
    <Proceeding_x0020_Number xmlns="8430d550-c2bd-4ade-ae56-0b82b076c537">A.09-09-022</Proceeding_x0020_Number>
    <Party xmlns="8430d550-c2bd-4ade-ae56-0b82b076c537">4;#CPUC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https://edisonintl.sharepoint.com/teams/rcms365/_layouts/15/wrkstat.aspx?List=21149cbb-4f61-4bd7-8a64-8d38b2a0e31c&amp;WorkflowInstanceName=ca42cbfd-1c09-454a-8599-1f671976ddfc</Url>
      <Description>Ready for Case Admin</Description>
    </Review_x0020_Status>
    <DR_x0020_360_x0020_Link xmlns="8430d550-c2bd-4ade-ae56-0b82b076c537">
      <Url xsi:nil="true"/>
      <Description xsi:nil="true"/>
    </DR_x0020_360_x0020_Link>
    <Document_x0020_Type xmlns="8430d550-c2bd-4ade-ae56-0b82b076c537">Attachment</Document_x0020_Type>
    <Party xmlns="d1269d0e-3d21-492c-95ee-c4f1a377396e">4</Party>
    <Agency xmlns="8430d550-c2bd-4ade-ae56-0b82b076c537">CPUC</Agency>
    <_dlc_DocId xmlns="8430d550-c2bd-4ade-ae56-0b82b076c537">RCMS365-1419139168-89075</_dlc_DocId>
    <_dlc_DocIdUrl xmlns="8430d550-c2bd-4ade-ae56-0b82b076c537">
      <Url>https://edisonintl.sharepoint.com/teams/rcms365/_layouts/15/DocIdRedir.aspx?ID=RCMS365-1419139168-89075</Url>
      <Description>RCMS365-1419139168-89075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06" ma:contentTypeDescription="" ma:contentTypeScope="" ma:versionID="58a9065a31d516d9da8253c607e50a34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targetNamespace="http://schemas.microsoft.com/office/2006/metadata/properties" ma:root="true" ma:fieldsID="b16bf94fc7ed4d8baff96bc998330e6e" ns1:_="" ns3:_="" ns4:_="" ns5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dexed="true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F45F6-49D6-4AF4-BF39-72C97EDB4B2E}">
  <ds:schemaRefs>
    <ds:schemaRef ds:uri="http://schemas.microsoft.com/office/2006/metadata/properties"/>
    <ds:schemaRef ds:uri="http://schemas.microsoft.com/sharepoint/v4"/>
    <ds:schemaRef ds:uri="http://schemas.microsoft.com/sharepoint/v3/field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8430d550-c2bd-4ade-ae56-0b82b076c537"/>
    <ds:schemaRef ds:uri="http://purl.org/dc/dcmitype/"/>
    <ds:schemaRef ds:uri="d1269d0e-3d21-492c-95ee-c4f1a377396e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9927DA-3B2D-4C7A-89B6-DE7A25BF0D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6E7B3-3A86-4CC7-BA4D-10280C3B24F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C3DB24-638F-4553-992F-7753175E5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Summary</vt:lpstr>
      <vt:lpstr>Incr. C-B Reliability Indices</vt:lpstr>
      <vt:lpstr>Incr. C-B Monetized</vt:lpstr>
      <vt:lpstr>Levelized Cost Analysis</vt:lpstr>
      <vt:lpstr>Cost Assumptions</vt:lpstr>
      <vt:lpstr>Baseline System Analysis</vt:lpstr>
      <vt:lpstr>Alberhill System Project</vt:lpstr>
      <vt:lpstr>SDG&amp;E</vt:lpstr>
      <vt:lpstr>Valley S to Valley N to Vista</vt:lpstr>
      <vt:lpstr>Centralized BESS in Valley S</vt:lpstr>
      <vt:lpstr>MiraLoma &amp; Centralized BESS VS</vt:lpstr>
      <vt:lpstr>VS to VN &amp; Distributed BESS VS</vt:lpstr>
      <vt:lpstr>Menifee</vt:lpstr>
      <vt:lpstr>Mira Loma</vt:lpstr>
      <vt:lpstr>SCE Orange County</vt:lpstr>
      <vt:lpstr>VS to VN &amp; Central BESS VS VN </vt:lpstr>
      <vt:lpstr>VS to VN to VST &amp; Cen BESS VS</vt:lpstr>
      <vt:lpstr>SDG&amp;E and Central BESS in VS</vt:lpstr>
      <vt:lpstr>Valley South to Valley North</vt:lpstr>
      <vt:lpstr>Sourcedata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Anilkumar, Rahul</dc:creator>
  <cp:keywords/>
  <dc:description/>
  <cp:lastModifiedBy>Laura Placencia</cp:lastModifiedBy>
  <cp:revision/>
  <dcterms:created xsi:type="dcterms:W3CDTF">2018-12-26T17:46:05Z</dcterms:created>
  <dcterms:modified xsi:type="dcterms:W3CDTF">2020-04-23T23:25:25Z</dcterms:modified>
  <cp:category/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130d37a6-f084-4f30-ac23-98b7d94f277d</vt:lpwstr>
  </property>
  <property fmtid="{D5CDD505-2E9C-101B-9397-08002B2CF9AE}" pid="4" name="_docset_NoMedatataSyncRequired">
    <vt:lpwstr>False</vt:lpwstr>
  </property>
</Properties>
</file>