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05" yWindow="75" windowWidth="26610" windowHeight="10335" tabRatio="854"/>
  </bookViews>
  <sheets>
    <sheet name="Introduction" sheetId="19" r:id="rId1"/>
    <sheet name="ScenariosMatrix" sheetId="17" r:id="rId2"/>
    <sheet name="Notes" sheetId="5" r:id="rId3"/>
    <sheet name="Scenarios" sheetId="16" r:id="rId4"/>
    <sheet name="Assumptions" sheetId="1" r:id="rId5"/>
    <sheet name="Demand Individual Assumptions" sheetId="4" r:id="rId6"/>
    <sheet name="Supply Individual Assumptions" sheetId="6" r:id="rId7"/>
    <sheet name="GeneratingCapabilityList sorted" sheetId="14" r:id="rId8"/>
    <sheet name="NQC list mod" sheetId="12" r:id="rId9"/>
    <sheet name="SitingCases mod" sheetId="15" r:id="rId10"/>
    <sheet name="OTC" sheetId="10" r:id="rId11"/>
    <sheet name="IUEE" sheetId="18" r:id="rId12"/>
  </sheets>
  <definedNames>
    <definedName name="_xlnm._FilterDatabase" localSheetId="7" hidden="1">'GeneratingCapabilityList sorted'!$A$6:$S$1569</definedName>
    <definedName name="_xlnm._FilterDatabase" localSheetId="8" hidden="1">'NQC list mod'!$A$3:$AC$660</definedName>
    <definedName name="GWhIncDCHP">Assumptions!$B$71:$B$75</definedName>
    <definedName name="GWhIncEE">Assumptions!$B$40:$B$47</definedName>
    <definedName name="GWhIncSCHP">Assumptions!$B$86:$B$90</definedName>
    <definedName name="GWhIncSmPV">Assumptions!$B$57:$B$61</definedName>
    <definedName name="GWhLoad">Assumptions!$B$13:$B$18</definedName>
    <definedName name="GWhPumpedLoad">Assumptions!$B$21:$B$26</definedName>
    <definedName name="GWhResourceAddsRPS">Assumptions!$B$125:$B$128</definedName>
    <definedName name="MWEventBasedDR">Assumptions!$B$93:$B$97</definedName>
    <definedName name="MWExisting">Assumptions!$B$110:$B$111</definedName>
    <definedName name="MWHydroRetires">Assumptions!$B$150:$B$152</definedName>
    <definedName name="MWImports">Assumptions!$B$100:$B$102</definedName>
    <definedName name="MWIncDCHP">Assumptions!$B$64:$B$68</definedName>
    <definedName name="MWIncEE">Assumptions!$B$30:$B$37</definedName>
    <definedName name="MWIncSCHP">Assumptions!$B$79:$B$83</definedName>
    <definedName name="MWIncSmPV">Assumptions!$B$50:$B$54</definedName>
    <definedName name="MWLoad">Assumptions!$B$5:$B$10</definedName>
    <definedName name="MWNuclearRetires">Assumptions!$B$141:$B$144</definedName>
    <definedName name="MWOTCRetires">Assumptions!$B$137:$B$139</definedName>
    <definedName name="MWOtherRetires">Assumptions!$B$154:$B$156</definedName>
    <definedName name="MWResourceAdds">Assumptions!$B$115:$B$116</definedName>
    <definedName name="MWResourceAddsRPS">Assumptions!$B$118:$B$122</definedName>
    <definedName name="MWSolarWindRetires">Assumptions!$B$146:$B$148</definedName>
    <definedName name="MWTotalRetires">Assumptions!$B$132:$B$135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159" i="4" l="1"/>
  <c r="R147" i="4"/>
  <c r="S147" i="4"/>
  <c r="T147" i="4"/>
  <c r="R148" i="4"/>
  <c r="S148" i="4"/>
  <c r="T148" i="4"/>
  <c r="R149" i="4"/>
  <c r="T149" i="4" s="1"/>
  <c r="S149" i="4"/>
  <c r="R150" i="4"/>
  <c r="T150" i="4" s="1"/>
  <c r="S150" i="4"/>
  <c r="R151" i="4"/>
  <c r="S151" i="4"/>
  <c r="T151" i="4"/>
  <c r="R152" i="4"/>
  <c r="S152" i="4"/>
  <c r="T152" i="4"/>
  <c r="R153" i="4"/>
  <c r="T153" i="4" s="1"/>
  <c r="S153" i="4"/>
  <c r="R154" i="4"/>
  <c r="T154" i="4" s="1"/>
  <c r="S154" i="4"/>
  <c r="R155" i="4"/>
  <c r="S155" i="4"/>
  <c r="T155" i="4"/>
  <c r="R156" i="4"/>
  <c r="S156" i="4"/>
  <c r="T156" i="4"/>
  <c r="T146" i="4"/>
  <c r="S146" i="4"/>
  <c r="R146" i="4"/>
  <c r="T159" i="4" l="1"/>
  <c r="Y443" i="12"/>
  <c r="Y442" i="12"/>
  <c r="E93" i="1" l="1"/>
  <c r="F93" i="1"/>
  <c r="G93" i="1"/>
  <c r="H93" i="1" s="1"/>
  <c r="I93" i="1" s="1"/>
  <c r="J93" i="1" s="1"/>
  <c r="K93" i="1" s="1"/>
  <c r="L93" i="1" s="1"/>
  <c r="M93" i="1" s="1"/>
  <c r="N93" i="1" s="1"/>
  <c r="O93" i="1" s="1"/>
  <c r="P93" i="1" s="1"/>
  <c r="Q93" i="1" s="1"/>
  <c r="R93" i="1" s="1"/>
  <c r="S93" i="1" s="1"/>
  <c r="T93" i="1" s="1"/>
  <c r="U93" i="1" s="1"/>
  <c r="V93" i="1" s="1"/>
  <c r="W93" i="1" s="1"/>
  <c r="X93" i="1" s="1"/>
  <c r="Y93" i="1" s="1"/>
  <c r="D93" i="1"/>
  <c r="E86" i="1"/>
  <c r="F86" i="1"/>
  <c r="G86" i="1"/>
  <c r="H86" i="1" s="1"/>
  <c r="I86" i="1" s="1"/>
  <c r="J86" i="1" s="1"/>
  <c r="K86" i="1" s="1"/>
  <c r="L86" i="1" s="1"/>
  <c r="M86" i="1" s="1"/>
  <c r="N86" i="1" s="1"/>
  <c r="O86" i="1" s="1"/>
  <c r="P86" i="1" s="1"/>
  <c r="Q86" i="1" s="1"/>
  <c r="R86" i="1" s="1"/>
  <c r="S86" i="1" s="1"/>
  <c r="T86" i="1" s="1"/>
  <c r="U86" i="1" s="1"/>
  <c r="V86" i="1" s="1"/>
  <c r="W86" i="1" s="1"/>
  <c r="X86" i="1" s="1"/>
  <c r="Y86" i="1" s="1"/>
  <c r="D86" i="1"/>
  <c r="E80" i="1"/>
  <c r="F80" i="1"/>
  <c r="G80" i="1"/>
  <c r="H80" i="1"/>
  <c r="I80" i="1"/>
  <c r="J80" i="1"/>
  <c r="K80" i="1"/>
  <c r="L80" i="1"/>
  <c r="M80" i="1"/>
  <c r="N80" i="1"/>
  <c r="O80" i="1"/>
  <c r="P80" i="1"/>
  <c r="Q80" i="1"/>
  <c r="R80" i="1"/>
  <c r="S80" i="1"/>
  <c r="T80" i="1"/>
  <c r="U80" i="1"/>
  <c r="V80" i="1"/>
  <c r="W80" i="1"/>
  <c r="X80" i="1"/>
  <c r="Y80" i="1"/>
  <c r="D79" i="1"/>
  <c r="E79" i="1" s="1"/>
  <c r="F79" i="1" s="1"/>
  <c r="G79" i="1" s="1"/>
  <c r="H79" i="1" s="1"/>
  <c r="I79" i="1" s="1"/>
  <c r="J79" i="1" s="1"/>
  <c r="K79" i="1" s="1"/>
  <c r="L79" i="1" s="1"/>
  <c r="M79" i="1" s="1"/>
  <c r="N79" i="1" s="1"/>
  <c r="O79" i="1" s="1"/>
  <c r="P79" i="1" s="1"/>
  <c r="Q79" i="1" s="1"/>
  <c r="R79" i="1" s="1"/>
  <c r="S79" i="1" s="1"/>
  <c r="T79" i="1" s="1"/>
  <c r="U79" i="1" s="1"/>
  <c r="V79" i="1" s="1"/>
  <c r="W79" i="1" s="1"/>
  <c r="X79" i="1" s="1"/>
  <c r="Y79" i="1" s="1"/>
  <c r="E71" i="1"/>
  <c r="F71" i="1"/>
  <c r="G71" i="1" s="1"/>
  <c r="H71" i="1" s="1"/>
  <c r="I71" i="1" s="1"/>
  <c r="J71" i="1" s="1"/>
  <c r="K71" i="1" s="1"/>
  <c r="L71" i="1" s="1"/>
  <c r="M71" i="1" s="1"/>
  <c r="N71" i="1" s="1"/>
  <c r="O71" i="1" s="1"/>
  <c r="P71" i="1" s="1"/>
  <c r="Q71" i="1" s="1"/>
  <c r="R71" i="1" s="1"/>
  <c r="S71" i="1" s="1"/>
  <c r="T71" i="1" s="1"/>
  <c r="U71" i="1" s="1"/>
  <c r="V71" i="1" s="1"/>
  <c r="W71" i="1" s="1"/>
  <c r="X71" i="1" s="1"/>
  <c r="Y71" i="1" s="1"/>
  <c r="D71" i="1"/>
  <c r="D64" i="1"/>
  <c r="E64" i="1" s="1"/>
  <c r="F64" i="1" s="1"/>
  <c r="G64" i="1" s="1"/>
  <c r="H64" i="1" s="1"/>
  <c r="I64" i="1" s="1"/>
  <c r="J64" i="1" s="1"/>
  <c r="K64" i="1" s="1"/>
  <c r="L64" i="1" s="1"/>
  <c r="M64" i="1" s="1"/>
  <c r="N64" i="1" s="1"/>
  <c r="O64" i="1" s="1"/>
  <c r="P64" i="1" s="1"/>
  <c r="Q64" i="1" s="1"/>
  <c r="R64" i="1" s="1"/>
  <c r="S64" i="1" s="1"/>
  <c r="T64" i="1" s="1"/>
  <c r="U64" i="1" s="1"/>
  <c r="V64" i="1" s="1"/>
  <c r="W64" i="1" s="1"/>
  <c r="X64" i="1" s="1"/>
  <c r="Y64" i="1" s="1"/>
  <c r="D57" i="1"/>
  <c r="E57" i="1" s="1"/>
  <c r="F57" i="1" s="1"/>
  <c r="G57" i="1" s="1"/>
  <c r="H57" i="1" s="1"/>
  <c r="I57" i="1" s="1"/>
  <c r="J57" i="1" s="1"/>
  <c r="K57" i="1" s="1"/>
  <c r="L57" i="1" s="1"/>
  <c r="M57" i="1" s="1"/>
  <c r="D50" i="1"/>
  <c r="E50" i="1" s="1"/>
  <c r="F50" i="1" s="1"/>
  <c r="G50" i="1" s="1"/>
  <c r="H50" i="1" s="1"/>
  <c r="I50" i="1" s="1"/>
  <c r="J50" i="1" s="1"/>
  <c r="K50" i="1" s="1"/>
  <c r="L50" i="1" s="1"/>
  <c r="M50" i="1" s="1"/>
  <c r="D40" i="1"/>
  <c r="E40" i="1" s="1"/>
  <c r="F40" i="1" s="1"/>
  <c r="G40" i="1" s="1"/>
  <c r="H40" i="1" s="1"/>
  <c r="I40" i="1" s="1"/>
  <c r="J40" i="1" s="1"/>
  <c r="K40" i="1" s="1"/>
  <c r="L40" i="1" s="1"/>
  <c r="M40" i="1" s="1"/>
  <c r="C30" i="1"/>
  <c r="D30" i="1" s="1"/>
  <c r="E30" i="1" s="1"/>
  <c r="F30" i="1" s="1"/>
  <c r="G30" i="1" s="1"/>
  <c r="H30" i="1" s="1"/>
  <c r="I30" i="1" s="1"/>
  <c r="J30" i="1" s="1"/>
  <c r="K30" i="1" s="1"/>
  <c r="L30" i="1" s="1"/>
  <c r="M30" i="1" s="1"/>
  <c r="Z557" i="12" l="1"/>
  <c r="Z556" i="12"/>
  <c r="Z154" i="12"/>
  <c r="Z153" i="12"/>
  <c r="B131" i="4" l="1"/>
  <c r="F56" i="4"/>
  <c r="D26" i="1" s="1"/>
  <c r="G56" i="4"/>
  <c r="E26" i="1" s="1"/>
  <c r="H56" i="4"/>
  <c r="F26" i="1" s="1"/>
  <c r="I56" i="4"/>
  <c r="G26" i="1" s="1"/>
  <c r="J56" i="4"/>
  <c r="H26" i="1" s="1"/>
  <c r="K56" i="4"/>
  <c r="I26" i="1" s="1"/>
  <c r="L56" i="4"/>
  <c r="J26" i="1" s="1"/>
  <c r="M56" i="4"/>
  <c r="K26" i="1" s="1"/>
  <c r="E56" i="4"/>
  <c r="C26" i="1" s="1"/>
  <c r="F54" i="4"/>
  <c r="D22" i="1" s="1"/>
  <c r="D23" i="1" s="1"/>
  <c r="G54" i="4"/>
  <c r="E22" i="1" s="1"/>
  <c r="E24" i="1" s="1"/>
  <c r="H54" i="4"/>
  <c r="F22" i="1" s="1"/>
  <c r="F24" i="1" s="1"/>
  <c r="I54" i="4"/>
  <c r="G22" i="1" s="1"/>
  <c r="G23" i="1" s="1"/>
  <c r="J54" i="4"/>
  <c r="H22" i="1" s="1"/>
  <c r="H23" i="1" s="1"/>
  <c r="K54" i="4"/>
  <c r="I22" i="1" s="1"/>
  <c r="I23" i="1" s="1"/>
  <c r="L54" i="4"/>
  <c r="J22" i="1" s="1"/>
  <c r="J24" i="1" s="1"/>
  <c r="M54" i="4"/>
  <c r="K22" i="1" s="1"/>
  <c r="K23" i="1" s="1"/>
  <c r="N54" i="4"/>
  <c r="L22" i="1" s="1"/>
  <c r="L23" i="1" s="1"/>
  <c r="O54" i="4"/>
  <c r="M22" i="1" s="1"/>
  <c r="M24" i="1" s="1"/>
  <c r="E54" i="4"/>
  <c r="C22" i="1" s="1"/>
  <c r="C24" i="1" s="1"/>
  <c r="F50" i="4"/>
  <c r="F55" i="4" s="1"/>
  <c r="D25" i="1" s="1"/>
  <c r="G50" i="4"/>
  <c r="G55" i="4" s="1"/>
  <c r="E25" i="1" s="1"/>
  <c r="H50" i="4"/>
  <c r="H55" i="4" s="1"/>
  <c r="F25" i="1" s="1"/>
  <c r="I50" i="4"/>
  <c r="I55" i="4" s="1"/>
  <c r="G25" i="1" s="1"/>
  <c r="J50" i="4"/>
  <c r="J55" i="4" s="1"/>
  <c r="H25" i="1" s="1"/>
  <c r="K50" i="4"/>
  <c r="K55" i="4" s="1"/>
  <c r="I25" i="1" s="1"/>
  <c r="L50" i="4"/>
  <c r="L55" i="4" s="1"/>
  <c r="J25" i="1" s="1"/>
  <c r="M50" i="4"/>
  <c r="M55" i="4" s="1"/>
  <c r="K25" i="1" s="1"/>
  <c r="N50" i="4"/>
  <c r="N55" i="4" s="1"/>
  <c r="L25" i="1" s="1"/>
  <c r="O50" i="4"/>
  <c r="O55" i="4" s="1"/>
  <c r="M25" i="1" s="1"/>
  <c r="F48" i="4"/>
  <c r="F53" i="4" s="1"/>
  <c r="D21" i="1" s="1"/>
  <c r="G48" i="4"/>
  <c r="G53" i="4" s="1"/>
  <c r="E21" i="1" s="1"/>
  <c r="H48" i="4"/>
  <c r="H53" i="4" s="1"/>
  <c r="F21" i="1" s="1"/>
  <c r="I48" i="4"/>
  <c r="I53" i="4" s="1"/>
  <c r="G21" i="1" s="1"/>
  <c r="J48" i="4"/>
  <c r="J53" i="4" s="1"/>
  <c r="H21" i="1" s="1"/>
  <c r="K48" i="4"/>
  <c r="K53" i="4" s="1"/>
  <c r="I21" i="1" s="1"/>
  <c r="L48" i="4"/>
  <c r="L53" i="4" s="1"/>
  <c r="J21" i="1" s="1"/>
  <c r="M48" i="4"/>
  <c r="M53" i="4" s="1"/>
  <c r="K21" i="1" s="1"/>
  <c r="N48" i="4"/>
  <c r="N53" i="4" s="1"/>
  <c r="L21" i="1" s="1"/>
  <c r="O48" i="4"/>
  <c r="O53" i="4" s="1"/>
  <c r="M21" i="1" s="1"/>
  <c r="E50" i="4"/>
  <c r="E55" i="4" s="1"/>
  <c r="C25" i="1" s="1"/>
  <c r="E48" i="4"/>
  <c r="E53" i="4" s="1"/>
  <c r="C21" i="1" s="1"/>
  <c r="B56" i="16"/>
  <c r="D126" i="1"/>
  <c r="B24" i="6"/>
  <c r="B23" i="6"/>
  <c r="E126" i="1"/>
  <c r="F126" i="1"/>
  <c r="G126" i="1"/>
  <c r="H126" i="1"/>
  <c r="I126" i="1"/>
  <c r="J126" i="1"/>
  <c r="K126" i="1"/>
  <c r="L126" i="1"/>
  <c r="M126" i="1"/>
  <c r="N126" i="1"/>
  <c r="O126" i="1"/>
  <c r="P126" i="1"/>
  <c r="Q126" i="1"/>
  <c r="R126" i="1"/>
  <c r="S126" i="1"/>
  <c r="T126" i="1"/>
  <c r="U126" i="1"/>
  <c r="W23" i="6"/>
  <c r="U87" i="1" s="1"/>
  <c r="V126" i="1"/>
  <c r="W126" i="1"/>
  <c r="X126" i="1"/>
  <c r="Y126" i="1"/>
  <c r="C126" i="1"/>
  <c r="D125" i="1"/>
  <c r="E125" i="1"/>
  <c r="F125" i="1"/>
  <c r="G125" i="1"/>
  <c r="H125" i="1"/>
  <c r="I125" i="1"/>
  <c r="J125" i="1"/>
  <c r="K125" i="1"/>
  <c r="L125" i="1"/>
  <c r="M125" i="1"/>
  <c r="N125" i="1"/>
  <c r="O125" i="1"/>
  <c r="P125" i="1"/>
  <c r="Q125" i="1"/>
  <c r="R125" i="1"/>
  <c r="S125" i="1"/>
  <c r="T125" i="1"/>
  <c r="U125" i="1"/>
  <c r="V125" i="1"/>
  <c r="W125" i="1"/>
  <c r="X125" i="1"/>
  <c r="Y125" i="1"/>
  <c r="C125" i="1"/>
  <c r="D118" i="1"/>
  <c r="D119" i="1"/>
  <c r="E118" i="1"/>
  <c r="E119" i="1"/>
  <c r="F118" i="1"/>
  <c r="F119" i="1"/>
  <c r="G118" i="1"/>
  <c r="G119" i="1"/>
  <c r="H118" i="1"/>
  <c r="H119" i="1"/>
  <c r="I118" i="1"/>
  <c r="I119" i="1"/>
  <c r="J118" i="1"/>
  <c r="J119" i="1"/>
  <c r="K118" i="1"/>
  <c r="K119" i="1"/>
  <c r="L118" i="1"/>
  <c r="L119" i="1"/>
  <c r="M118" i="1"/>
  <c r="M119" i="1"/>
  <c r="N118" i="1"/>
  <c r="N119" i="1"/>
  <c r="O118" i="1"/>
  <c r="O119" i="1"/>
  <c r="P118" i="1"/>
  <c r="P119" i="1"/>
  <c r="Q118" i="1"/>
  <c r="Q119" i="1"/>
  <c r="R118" i="1"/>
  <c r="R119" i="1"/>
  <c r="S118" i="1"/>
  <c r="S119" i="1"/>
  <c r="T118" i="1"/>
  <c r="T119" i="1"/>
  <c r="U118" i="1"/>
  <c r="U119" i="1"/>
  <c r="V118" i="1"/>
  <c r="V119" i="1"/>
  <c r="W118" i="1"/>
  <c r="W119" i="1"/>
  <c r="X118" i="1"/>
  <c r="X119" i="1"/>
  <c r="Y118" i="1"/>
  <c r="Y119" i="1"/>
  <c r="C118" i="1"/>
  <c r="C119" i="1"/>
  <c r="M90" i="15"/>
  <c r="M91" i="15"/>
  <c r="M101" i="15"/>
  <c r="M107" i="15"/>
  <c r="M116" i="15"/>
  <c r="D127" i="1"/>
  <c r="E127" i="1"/>
  <c r="F127" i="1"/>
  <c r="G127" i="1"/>
  <c r="H127" i="1"/>
  <c r="I127" i="1"/>
  <c r="J127" i="1"/>
  <c r="K127" i="1"/>
  <c r="L127" i="1"/>
  <c r="M127" i="1"/>
  <c r="N127" i="1"/>
  <c r="O127" i="1"/>
  <c r="P127" i="1"/>
  <c r="Q127" i="1"/>
  <c r="R127" i="1"/>
  <c r="S127" i="1"/>
  <c r="T127" i="1"/>
  <c r="U127" i="1"/>
  <c r="V127" i="1"/>
  <c r="W127" i="1"/>
  <c r="X127" i="1"/>
  <c r="Y127" i="1"/>
  <c r="D128" i="1"/>
  <c r="E128" i="1"/>
  <c r="F128" i="1"/>
  <c r="G128" i="1"/>
  <c r="H128" i="1"/>
  <c r="I128" i="1"/>
  <c r="J128" i="1"/>
  <c r="K128" i="1"/>
  <c r="L128" i="1"/>
  <c r="M128" i="1"/>
  <c r="N128" i="1"/>
  <c r="O128" i="1"/>
  <c r="P128" i="1"/>
  <c r="Q128" i="1"/>
  <c r="R128" i="1"/>
  <c r="S128" i="1"/>
  <c r="T128" i="1"/>
  <c r="U128" i="1"/>
  <c r="V128" i="1"/>
  <c r="W128" i="1"/>
  <c r="X128" i="1"/>
  <c r="Y128" i="1"/>
  <c r="D120" i="1"/>
  <c r="E120" i="1"/>
  <c r="G14" i="16" s="1"/>
  <c r="F120" i="1"/>
  <c r="G120" i="1"/>
  <c r="H120" i="1"/>
  <c r="I120" i="1"/>
  <c r="J120" i="1"/>
  <c r="K120" i="1"/>
  <c r="L120" i="1"/>
  <c r="M120" i="1"/>
  <c r="N120" i="1"/>
  <c r="O120" i="1"/>
  <c r="P120" i="1"/>
  <c r="Q120" i="1"/>
  <c r="R120" i="1"/>
  <c r="S120" i="1"/>
  <c r="T120" i="1"/>
  <c r="U120" i="1"/>
  <c r="V120" i="1"/>
  <c r="W120" i="1"/>
  <c r="X120" i="1"/>
  <c r="Y120" i="1"/>
  <c r="D121" i="1"/>
  <c r="E121" i="1"/>
  <c r="F121" i="1"/>
  <c r="G121" i="1"/>
  <c r="H121" i="1"/>
  <c r="I121" i="1"/>
  <c r="J121" i="1"/>
  <c r="K121" i="1"/>
  <c r="L121" i="1"/>
  <c r="M121" i="1"/>
  <c r="N121" i="1"/>
  <c r="O121" i="1"/>
  <c r="P121" i="1"/>
  <c r="Q121" i="1"/>
  <c r="R121" i="1"/>
  <c r="S121" i="1"/>
  <c r="T121" i="1"/>
  <c r="U121" i="1"/>
  <c r="V121" i="1"/>
  <c r="W121" i="1"/>
  <c r="X121" i="1"/>
  <c r="Y121" i="1"/>
  <c r="D122" i="1"/>
  <c r="E122" i="1"/>
  <c r="F122" i="1"/>
  <c r="G122" i="1"/>
  <c r="H122" i="1"/>
  <c r="I122" i="1"/>
  <c r="J122" i="1"/>
  <c r="K122" i="1"/>
  <c r="C127" i="1"/>
  <c r="C128" i="1"/>
  <c r="C122" i="1"/>
  <c r="C120" i="1"/>
  <c r="C121" i="1"/>
  <c r="F50" i="6"/>
  <c r="D111" i="1" s="1"/>
  <c r="D116" i="1"/>
  <c r="D102" i="1"/>
  <c r="D100" i="1"/>
  <c r="F15" i="16" s="1"/>
  <c r="D83" i="1"/>
  <c r="D97" i="1"/>
  <c r="F2" i="6"/>
  <c r="X7" i="12"/>
  <c r="X8" i="12"/>
  <c r="X9" i="12"/>
  <c r="X10" i="12"/>
  <c r="X11" i="12"/>
  <c r="X12" i="12"/>
  <c r="X107" i="12"/>
  <c r="X108" i="12"/>
  <c r="X153" i="12"/>
  <c r="X154" i="12"/>
  <c r="X184" i="12"/>
  <c r="X185" i="12"/>
  <c r="X186" i="12"/>
  <c r="X187" i="12"/>
  <c r="X188" i="12"/>
  <c r="X189" i="12"/>
  <c r="X190" i="12"/>
  <c r="X191" i="12"/>
  <c r="X284" i="12"/>
  <c r="X285" i="12"/>
  <c r="X286" i="12"/>
  <c r="X287" i="12"/>
  <c r="X385" i="12"/>
  <c r="X386" i="12"/>
  <c r="X387" i="12"/>
  <c r="X395" i="12"/>
  <c r="X396" i="12"/>
  <c r="X398" i="12"/>
  <c r="X399" i="12"/>
  <c r="X400" i="12"/>
  <c r="X401" i="12"/>
  <c r="X442" i="12"/>
  <c r="X443" i="12"/>
  <c r="X475" i="12"/>
  <c r="X476" i="12"/>
  <c r="X500" i="12"/>
  <c r="X501" i="12"/>
  <c r="X502" i="12"/>
  <c r="X503" i="12"/>
  <c r="X556" i="12"/>
  <c r="X557" i="12"/>
  <c r="Y7" i="12"/>
  <c r="Y8" i="12"/>
  <c r="Y9" i="12"/>
  <c r="Y10" i="12"/>
  <c r="Y11" i="12"/>
  <c r="Y12" i="12"/>
  <c r="Y107" i="12"/>
  <c r="Y108" i="12"/>
  <c r="Y153" i="12"/>
  <c r="Y154" i="12"/>
  <c r="Y184" i="12"/>
  <c r="Y185" i="12"/>
  <c r="Y186" i="12"/>
  <c r="Y187" i="12"/>
  <c r="Y188" i="12"/>
  <c r="Y189" i="12"/>
  <c r="Y190" i="12"/>
  <c r="Y191" i="12"/>
  <c r="Y284" i="12"/>
  <c r="Y285" i="12"/>
  <c r="Y286" i="12"/>
  <c r="Y287" i="12"/>
  <c r="Y385" i="12"/>
  <c r="Y386" i="12"/>
  <c r="Y387" i="12"/>
  <c r="Y395" i="12"/>
  <c r="Y396" i="12"/>
  <c r="Y398" i="12"/>
  <c r="Y399" i="12"/>
  <c r="Y400" i="12"/>
  <c r="Y401" i="12"/>
  <c r="Y475" i="12"/>
  <c r="Y476" i="12"/>
  <c r="Y500" i="12"/>
  <c r="Y501" i="12"/>
  <c r="Y502" i="12"/>
  <c r="Y503" i="12"/>
  <c r="Y556" i="12"/>
  <c r="Y557" i="12"/>
  <c r="F78" i="6"/>
  <c r="D141" i="1" s="1"/>
  <c r="W4" i="12"/>
  <c r="AA5" i="12"/>
  <c r="W5" i="12" s="1"/>
  <c r="AA6" i="12"/>
  <c r="W6" i="12" s="1"/>
  <c r="AA14" i="12"/>
  <c r="W14" i="12" s="1"/>
  <c r="AA7" i="12"/>
  <c r="W7" i="12" s="1"/>
  <c r="AA8" i="12"/>
  <c r="W8" i="12" s="1"/>
  <c r="AA9" i="12"/>
  <c r="W9" i="12" s="1"/>
  <c r="AA10" i="12"/>
  <c r="W10" i="12" s="1"/>
  <c r="AA11" i="12"/>
  <c r="W11" i="12" s="1"/>
  <c r="AA12" i="12"/>
  <c r="W12" i="12" s="1"/>
  <c r="AA13" i="12"/>
  <c r="W13" i="12" s="1"/>
  <c r="AA15" i="12"/>
  <c r="W15" i="12" s="1"/>
  <c r="AA16" i="12"/>
  <c r="W16" i="12" s="1"/>
  <c r="AA17" i="12"/>
  <c r="W17" i="12" s="1"/>
  <c r="AA18" i="12"/>
  <c r="W18" i="12" s="1"/>
  <c r="AA19" i="12"/>
  <c r="W19" i="12" s="1"/>
  <c r="AA20" i="12"/>
  <c r="W20" i="12" s="1"/>
  <c r="AA21" i="12"/>
  <c r="W21" i="12" s="1"/>
  <c r="AA22" i="12"/>
  <c r="W22" i="12" s="1"/>
  <c r="AA23" i="12"/>
  <c r="W23" i="12" s="1"/>
  <c r="AA24" i="12"/>
  <c r="W24" i="12" s="1"/>
  <c r="AA25" i="12"/>
  <c r="W25" i="12" s="1"/>
  <c r="AA26" i="12"/>
  <c r="W26" i="12" s="1"/>
  <c r="AA27" i="12"/>
  <c r="W27" i="12" s="1"/>
  <c r="AA28" i="12"/>
  <c r="W28" i="12" s="1"/>
  <c r="AA29" i="12"/>
  <c r="W29" i="12" s="1"/>
  <c r="AA30" i="12"/>
  <c r="W30" i="12" s="1"/>
  <c r="AA31" i="12"/>
  <c r="W31" i="12" s="1"/>
  <c r="AA32" i="12"/>
  <c r="W32" i="12" s="1"/>
  <c r="AA33" i="12"/>
  <c r="W33" i="12" s="1"/>
  <c r="AA34" i="12"/>
  <c r="W34" i="12" s="1"/>
  <c r="AA35" i="12"/>
  <c r="W35" i="12" s="1"/>
  <c r="AA36" i="12"/>
  <c r="W36" i="12" s="1"/>
  <c r="W37" i="12"/>
  <c r="AA38" i="12"/>
  <c r="W38" i="12" s="1"/>
  <c r="AA39" i="12"/>
  <c r="W39" i="12" s="1"/>
  <c r="AA40" i="12"/>
  <c r="W40" i="12" s="1"/>
  <c r="AA41" i="12"/>
  <c r="W41" i="12" s="1"/>
  <c r="AA42" i="12"/>
  <c r="W42" i="12" s="1"/>
  <c r="AA43" i="12"/>
  <c r="W43" i="12" s="1"/>
  <c r="AA44" i="12"/>
  <c r="W44" i="12" s="1"/>
  <c r="AA45" i="12"/>
  <c r="W45" i="12" s="1"/>
  <c r="AA46" i="12"/>
  <c r="W46" i="12" s="1"/>
  <c r="AA47" i="12"/>
  <c r="W47" i="12" s="1"/>
  <c r="AA48" i="12"/>
  <c r="W48" i="12" s="1"/>
  <c r="AA49" i="12"/>
  <c r="W49" i="12" s="1"/>
  <c r="AA50" i="12"/>
  <c r="W50" i="12" s="1"/>
  <c r="AA51" i="12"/>
  <c r="W51" i="12" s="1"/>
  <c r="AA52" i="12"/>
  <c r="W52" i="12" s="1"/>
  <c r="AA53" i="12"/>
  <c r="W53" i="12" s="1"/>
  <c r="AA54" i="12"/>
  <c r="W54" i="12" s="1"/>
  <c r="AA55" i="12"/>
  <c r="W55" i="12" s="1"/>
  <c r="AA56" i="12"/>
  <c r="W56" i="12" s="1"/>
  <c r="AA57" i="12"/>
  <c r="W57" i="12" s="1"/>
  <c r="AA58" i="12"/>
  <c r="W58" i="12" s="1"/>
  <c r="AA59" i="12"/>
  <c r="W59" i="12" s="1"/>
  <c r="AA60" i="12"/>
  <c r="W60" i="12" s="1"/>
  <c r="AA61" i="12"/>
  <c r="W61" i="12" s="1"/>
  <c r="AA62" i="12"/>
  <c r="W62" i="12" s="1"/>
  <c r="AA63" i="12"/>
  <c r="W63" i="12" s="1"/>
  <c r="AA64" i="12"/>
  <c r="W64" i="12" s="1"/>
  <c r="AA65" i="12"/>
  <c r="W65" i="12" s="1"/>
  <c r="AA66" i="12"/>
  <c r="W66" i="12" s="1"/>
  <c r="AA67" i="12"/>
  <c r="W67" i="12" s="1"/>
  <c r="AA68" i="12"/>
  <c r="W68" i="12" s="1"/>
  <c r="AA69" i="12"/>
  <c r="W69" i="12" s="1"/>
  <c r="AA70" i="12"/>
  <c r="W70" i="12" s="1"/>
  <c r="AA71" i="12"/>
  <c r="W71" i="12" s="1"/>
  <c r="AA72" i="12"/>
  <c r="W72" i="12" s="1"/>
  <c r="AA73" i="12"/>
  <c r="W73" i="12" s="1"/>
  <c r="AA74" i="12"/>
  <c r="W74" i="12" s="1"/>
  <c r="AA75" i="12"/>
  <c r="W75" i="12" s="1"/>
  <c r="AA76" i="12"/>
  <c r="W76" i="12" s="1"/>
  <c r="AA77" i="12"/>
  <c r="W77" i="12" s="1"/>
  <c r="AA78" i="12"/>
  <c r="W78" i="12" s="1"/>
  <c r="AA79" i="12"/>
  <c r="W79" i="12" s="1"/>
  <c r="AA80" i="12"/>
  <c r="W80" i="12" s="1"/>
  <c r="AA81" i="12"/>
  <c r="W81" i="12" s="1"/>
  <c r="AA82" i="12"/>
  <c r="W82" i="12" s="1"/>
  <c r="AA83" i="12"/>
  <c r="W83" i="12" s="1"/>
  <c r="AA84" i="12"/>
  <c r="W84" i="12" s="1"/>
  <c r="AA85" i="12"/>
  <c r="W85" i="12" s="1"/>
  <c r="AA86" i="12"/>
  <c r="W86" i="12" s="1"/>
  <c r="AA87" i="12"/>
  <c r="W87" i="12" s="1"/>
  <c r="AA88" i="12"/>
  <c r="W88" i="12" s="1"/>
  <c r="AA89" i="12"/>
  <c r="W89" i="12" s="1"/>
  <c r="AA90" i="12"/>
  <c r="W90" i="12" s="1"/>
  <c r="AA91" i="12"/>
  <c r="W91" i="12" s="1"/>
  <c r="AA92" i="12"/>
  <c r="W92" i="12" s="1"/>
  <c r="AA93" i="12"/>
  <c r="W93" i="12" s="1"/>
  <c r="AA94" i="12"/>
  <c r="W94" i="12" s="1"/>
  <c r="AA95" i="12"/>
  <c r="W95" i="12" s="1"/>
  <c r="AA96" i="12"/>
  <c r="W96" i="12" s="1"/>
  <c r="AA97" i="12"/>
  <c r="W97" i="12" s="1"/>
  <c r="AA98" i="12"/>
  <c r="W98" i="12" s="1"/>
  <c r="AA99" i="12"/>
  <c r="W99" i="12" s="1"/>
  <c r="AA100" i="12"/>
  <c r="W100" i="12" s="1"/>
  <c r="AA101" i="12"/>
  <c r="W101" i="12" s="1"/>
  <c r="AA102" i="12"/>
  <c r="W102" i="12" s="1"/>
  <c r="AA103" i="12"/>
  <c r="W103" i="12" s="1"/>
  <c r="AA104" i="12"/>
  <c r="W104" i="12" s="1"/>
  <c r="AA105" i="12"/>
  <c r="W105" i="12" s="1"/>
  <c r="AA106" i="12"/>
  <c r="W106" i="12" s="1"/>
  <c r="AA107" i="12"/>
  <c r="W107" i="12" s="1"/>
  <c r="AA108" i="12"/>
  <c r="W108" i="12" s="1"/>
  <c r="AA109" i="12"/>
  <c r="W109" i="12" s="1"/>
  <c r="AA110" i="12"/>
  <c r="W110" i="12" s="1"/>
  <c r="AA111" i="12"/>
  <c r="W111" i="12" s="1"/>
  <c r="AA112" i="12"/>
  <c r="W112" i="12" s="1"/>
  <c r="AA113" i="12"/>
  <c r="W113" i="12" s="1"/>
  <c r="AA114" i="12"/>
  <c r="W114" i="12" s="1"/>
  <c r="AA115" i="12"/>
  <c r="W115" i="12" s="1"/>
  <c r="W116" i="12"/>
  <c r="AA117" i="12"/>
  <c r="W117" i="12" s="1"/>
  <c r="AA118" i="12"/>
  <c r="W118" i="12" s="1"/>
  <c r="AA119" i="12"/>
  <c r="W119" i="12" s="1"/>
  <c r="AA120" i="12"/>
  <c r="W120" i="12" s="1"/>
  <c r="AA121" i="12"/>
  <c r="W121" i="12" s="1"/>
  <c r="AA122" i="12"/>
  <c r="W122" i="12" s="1"/>
  <c r="AA123" i="12"/>
  <c r="W123" i="12" s="1"/>
  <c r="AA124" i="12"/>
  <c r="W124" i="12" s="1"/>
  <c r="AA125" i="12"/>
  <c r="W125" i="12" s="1"/>
  <c r="AA126" i="12"/>
  <c r="W126" i="12" s="1"/>
  <c r="AA127" i="12"/>
  <c r="W127" i="12" s="1"/>
  <c r="AA128" i="12"/>
  <c r="W128" i="12" s="1"/>
  <c r="AA129" i="12"/>
  <c r="W129" i="12" s="1"/>
  <c r="AA130" i="12"/>
  <c r="W130" i="12" s="1"/>
  <c r="AA131" i="12"/>
  <c r="W131" i="12" s="1"/>
  <c r="AA132" i="12"/>
  <c r="W132" i="12" s="1"/>
  <c r="AA133" i="12"/>
  <c r="W133" i="12" s="1"/>
  <c r="AA134" i="12"/>
  <c r="W134" i="12" s="1"/>
  <c r="AA135" i="12"/>
  <c r="W135" i="12" s="1"/>
  <c r="AA136" i="12"/>
  <c r="W136" i="12" s="1"/>
  <c r="AA137" i="12"/>
  <c r="W137" i="12" s="1"/>
  <c r="AA138" i="12"/>
  <c r="W138" i="12" s="1"/>
  <c r="AA139" i="12"/>
  <c r="W139" i="12" s="1"/>
  <c r="AA140" i="12"/>
  <c r="W140" i="12" s="1"/>
  <c r="AA141" i="12"/>
  <c r="W141" i="12" s="1"/>
  <c r="AA142" i="12"/>
  <c r="W142" i="12" s="1"/>
  <c r="AA143" i="12"/>
  <c r="W143" i="12" s="1"/>
  <c r="AA144" i="12"/>
  <c r="W144" i="12" s="1"/>
  <c r="AA145" i="12"/>
  <c r="W145" i="12" s="1"/>
  <c r="AA146" i="12"/>
  <c r="W146" i="12" s="1"/>
  <c r="AA147" i="12"/>
  <c r="W147" i="12" s="1"/>
  <c r="AA148" i="12"/>
  <c r="W148" i="12" s="1"/>
  <c r="AA149" i="12"/>
  <c r="W149" i="12" s="1"/>
  <c r="AA150" i="12"/>
  <c r="W150" i="12" s="1"/>
  <c r="AA151" i="12"/>
  <c r="W151" i="12" s="1"/>
  <c r="AA152" i="12"/>
  <c r="W152" i="12" s="1"/>
  <c r="AA153" i="12"/>
  <c r="W153" i="12" s="1"/>
  <c r="AA154" i="12"/>
  <c r="W154" i="12" s="1"/>
  <c r="AA155" i="12"/>
  <c r="W155" i="12" s="1"/>
  <c r="AA156" i="12"/>
  <c r="W156" i="12" s="1"/>
  <c r="AA157" i="12"/>
  <c r="W157" i="12" s="1"/>
  <c r="AA158" i="12"/>
  <c r="W158" i="12" s="1"/>
  <c r="AA159" i="12"/>
  <c r="W159" i="12" s="1"/>
  <c r="AA160" i="12"/>
  <c r="W160" i="12" s="1"/>
  <c r="AA161" i="12"/>
  <c r="W161" i="12" s="1"/>
  <c r="AA162" i="12"/>
  <c r="W162" i="12" s="1"/>
  <c r="AA163" i="12"/>
  <c r="W163" i="12" s="1"/>
  <c r="AA164" i="12"/>
  <c r="W164" i="12" s="1"/>
  <c r="AA165" i="12"/>
  <c r="W165" i="12" s="1"/>
  <c r="AA166" i="12"/>
  <c r="W166" i="12" s="1"/>
  <c r="AA167" i="12"/>
  <c r="W167" i="12" s="1"/>
  <c r="AA168" i="12"/>
  <c r="W168" i="12" s="1"/>
  <c r="AA169" i="12"/>
  <c r="W169" i="12" s="1"/>
  <c r="AA170" i="12"/>
  <c r="W170" i="12" s="1"/>
  <c r="AA171" i="12"/>
  <c r="W171" i="12" s="1"/>
  <c r="AA172" i="12"/>
  <c r="W172" i="12" s="1"/>
  <c r="AA173" i="12"/>
  <c r="W173" i="12" s="1"/>
  <c r="AA174" i="12"/>
  <c r="W174" i="12" s="1"/>
  <c r="AA175" i="12"/>
  <c r="W175" i="12" s="1"/>
  <c r="AA176" i="12"/>
  <c r="W176" i="12" s="1"/>
  <c r="AA177" i="12"/>
  <c r="W177" i="12" s="1"/>
  <c r="AA178" i="12"/>
  <c r="W178" i="12" s="1"/>
  <c r="AA179" i="12"/>
  <c r="W179" i="12" s="1"/>
  <c r="AA180" i="12"/>
  <c r="W180" i="12" s="1"/>
  <c r="AA181" i="12"/>
  <c r="W181" i="12" s="1"/>
  <c r="AA182" i="12"/>
  <c r="W182" i="12" s="1"/>
  <c r="AA183" i="12"/>
  <c r="W183" i="12" s="1"/>
  <c r="AA184" i="12"/>
  <c r="W184" i="12" s="1"/>
  <c r="AA185" i="12"/>
  <c r="W185" i="12" s="1"/>
  <c r="AA186" i="12"/>
  <c r="W186" i="12" s="1"/>
  <c r="AA187" i="12"/>
  <c r="W187" i="12" s="1"/>
  <c r="AA188" i="12"/>
  <c r="W188" i="12" s="1"/>
  <c r="AA189" i="12"/>
  <c r="W189" i="12" s="1"/>
  <c r="AA190" i="12"/>
  <c r="W190" i="12" s="1"/>
  <c r="AA191" i="12"/>
  <c r="W191" i="12" s="1"/>
  <c r="AA192" i="12"/>
  <c r="W192" i="12" s="1"/>
  <c r="AA193" i="12"/>
  <c r="W193" i="12" s="1"/>
  <c r="AA194" i="12"/>
  <c r="W194" i="12" s="1"/>
  <c r="AA195" i="12"/>
  <c r="W195" i="12" s="1"/>
  <c r="AA196" i="12"/>
  <c r="W196" i="12" s="1"/>
  <c r="AA197" i="12"/>
  <c r="W197" i="12" s="1"/>
  <c r="AA198" i="12"/>
  <c r="W198" i="12" s="1"/>
  <c r="AA199" i="12"/>
  <c r="W199" i="12" s="1"/>
  <c r="AA200" i="12"/>
  <c r="W200" i="12" s="1"/>
  <c r="W201" i="12"/>
  <c r="W202" i="12"/>
  <c r="AA203" i="12"/>
  <c r="W203" i="12" s="1"/>
  <c r="AA204" i="12"/>
  <c r="W204" i="12" s="1"/>
  <c r="AA205" i="12"/>
  <c r="W205" i="12" s="1"/>
  <c r="AA206" i="12"/>
  <c r="W206" i="12" s="1"/>
  <c r="AA207" i="12"/>
  <c r="W207" i="12" s="1"/>
  <c r="AA208" i="12"/>
  <c r="W208" i="12" s="1"/>
  <c r="AA209" i="12"/>
  <c r="W209" i="12" s="1"/>
  <c r="AA210" i="12"/>
  <c r="W210" i="12" s="1"/>
  <c r="AA211" i="12"/>
  <c r="W211" i="12" s="1"/>
  <c r="AA212" i="12"/>
  <c r="W212" i="12" s="1"/>
  <c r="AA213" i="12"/>
  <c r="W213" i="12" s="1"/>
  <c r="AA214" i="12"/>
  <c r="W214" i="12" s="1"/>
  <c r="AA215" i="12"/>
  <c r="W215" i="12" s="1"/>
  <c r="W216" i="12"/>
  <c r="AA217" i="12"/>
  <c r="W217" i="12" s="1"/>
  <c r="AA218" i="12"/>
  <c r="W218" i="12" s="1"/>
  <c r="AA219" i="12"/>
  <c r="W219" i="12" s="1"/>
  <c r="AA220" i="12"/>
  <c r="W220" i="12" s="1"/>
  <c r="AA221" i="12"/>
  <c r="W221" i="12" s="1"/>
  <c r="AA222" i="12"/>
  <c r="W222" i="12" s="1"/>
  <c r="AA223" i="12"/>
  <c r="W223" i="12" s="1"/>
  <c r="AA224" i="12"/>
  <c r="W224" i="12" s="1"/>
  <c r="AA225" i="12"/>
  <c r="W225" i="12" s="1"/>
  <c r="AA226" i="12"/>
  <c r="W226" i="12" s="1"/>
  <c r="AA227" i="12"/>
  <c r="W227" i="12" s="1"/>
  <c r="AA228" i="12"/>
  <c r="W228" i="12" s="1"/>
  <c r="AA229" i="12"/>
  <c r="W229" i="12" s="1"/>
  <c r="AA230" i="12"/>
  <c r="W230" i="12" s="1"/>
  <c r="AA231" i="12"/>
  <c r="W231" i="12" s="1"/>
  <c r="AA232" i="12"/>
  <c r="W232" i="12" s="1"/>
  <c r="AA233" i="12"/>
  <c r="W233" i="12" s="1"/>
  <c r="AA234" i="12"/>
  <c r="W234" i="12" s="1"/>
  <c r="AA235" i="12"/>
  <c r="W235" i="12" s="1"/>
  <c r="AA236" i="12"/>
  <c r="W236" i="12" s="1"/>
  <c r="AA237" i="12"/>
  <c r="W237" i="12" s="1"/>
  <c r="AA238" i="12"/>
  <c r="W238" i="12" s="1"/>
  <c r="AA239" i="12"/>
  <c r="W239" i="12" s="1"/>
  <c r="AA240" i="12"/>
  <c r="W240" i="12" s="1"/>
  <c r="W241" i="12"/>
  <c r="AA242" i="12"/>
  <c r="W242" i="12" s="1"/>
  <c r="AA243" i="12"/>
  <c r="W243" i="12" s="1"/>
  <c r="AA244" i="12"/>
  <c r="W244" i="12" s="1"/>
  <c r="AA245" i="12"/>
  <c r="W245" i="12" s="1"/>
  <c r="AA246" i="12"/>
  <c r="W246" i="12" s="1"/>
  <c r="AA247" i="12"/>
  <c r="W247" i="12" s="1"/>
  <c r="AA248" i="12"/>
  <c r="W248" i="12" s="1"/>
  <c r="AA249" i="12"/>
  <c r="W249" i="12" s="1"/>
  <c r="AA250" i="12"/>
  <c r="W250" i="12" s="1"/>
  <c r="AA251" i="12"/>
  <c r="W251" i="12" s="1"/>
  <c r="AA252" i="12"/>
  <c r="W252" i="12" s="1"/>
  <c r="AA253" i="12"/>
  <c r="W253" i="12" s="1"/>
  <c r="AA254" i="12"/>
  <c r="W254" i="12" s="1"/>
  <c r="AA255" i="12"/>
  <c r="W255" i="12" s="1"/>
  <c r="AA256" i="12"/>
  <c r="W256" i="12" s="1"/>
  <c r="AA257" i="12"/>
  <c r="W257" i="12" s="1"/>
  <c r="AA258" i="12"/>
  <c r="W258" i="12" s="1"/>
  <c r="AA259" i="12"/>
  <c r="W259" i="12" s="1"/>
  <c r="AA260" i="12"/>
  <c r="W260" i="12" s="1"/>
  <c r="AA261" i="12"/>
  <c r="W261" i="12" s="1"/>
  <c r="AA262" i="12"/>
  <c r="W262" i="12" s="1"/>
  <c r="AA263" i="12"/>
  <c r="W263" i="12" s="1"/>
  <c r="AA264" i="12"/>
  <c r="W264" i="12" s="1"/>
  <c r="AA265" i="12"/>
  <c r="W265" i="12" s="1"/>
  <c r="AA266" i="12"/>
  <c r="W266" i="12" s="1"/>
  <c r="AA267" i="12"/>
  <c r="W267" i="12" s="1"/>
  <c r="AA268" i="12"/>
  <c r="W268" i="12" s="1"/>
  <c r="AA269" i="12"/>
  <c r="W269" i="12" s="1"/>
  <c r="AA270" i="12"/>
  <c r="W270" i="12" s="1"/>
  <c r="AA271" i="12"/>
  <c r="W271" i="12" s="1"/>
  <c r="AA272" i="12"/>
  <c r="W272" i="12" s="1"/>
  <c r="AA273" i="12"/>
  <c r="W273" i="12" s="1"/>
  <c r="AA274" i="12"/>
  <c r="W274" i="12" s="1"/>
  <c r="W275" i="12"/>
  <c r="AA276" i="12"/>
  <c r="W276" i="12" s="1"/>
  <c r="AA277" i="12"/>
  <c r="W277" i="12" s="1"/>
  <c r="AA278" i="12"/>
  <c r="W278" i="12" s="1"/>
  <c r="AA279" i="12"/>
  <c r="W279" i="12" s="1"/>
  <c r="AA280" i="12"/>
  <c r="W280" i="12" s="1"/>
  <c r="AA281" i="12"/>
  <c r="W281" i="12" s="1"/>
  <c r="AA282" i="12"/>
  <c r="W282" i="12" s="1"/>
  <c r="AA283" i="12"/>
  <c r="W283" i="12" s="1"/>
  <c r="W284" i="12"/>
  <c r="W285" i="12"/>
  <c r="AA286" i="12"/>
  <c r="W286" i="12" s="1"/>
  <c r="AA287" i="12"/>
  <c r="W287" i="12" s="1"/>
  <c r="AA288" i="12"/>
  <c r="W288" i="12" s="1"/>
  <c r="AA289" i="12"/>
  <c r="W289" i="12" s="1"/>
  <c r="AA290" i="12"/>
  <c r="W290" i="12" s="1"/>
  <c r="AA291" i="12"/>
  <c r="W291" i="12" s="1"/>
  <c r="AA292" i="12"/>
  <c r="W292" i="12" s="1"/>
  <c r="W293" i="12"/>
  <c r="AA294" i="12"/>
  <c r="W294" i="12" s="1"/>
  <c r="AA295" i="12"/>
  <c r="W295" i="12" s="1"/>
  <c r="AA296" i="12"/>
  <c r="W296" i="12" s="1"/>
  <c r="AA297" i="12"/>
  <c r="W297" i="12" s="1"/>
  <c r="AA298" i="12"/>
  <c r="W298" i="12" s="1"/>
  <c r="AA299" i="12"/>
  <c r="W299" i="12" s="1"/>
  <c r="AA300" i="12"/>
  <c r="W300" i="12" s="1"/>
  <c r="AA301" i="12"/>
  <c r="W301" i="12" s="1"/>
  <c r="AA302" i="12"/>
  <c r="W302" i="12" s="1"/>
  <c r="AA303" i="12"/>
  <c r="W303" i="12" s="1"/>
  <c r="AA304" i="12"/>
  <c r="W304" i="12" s="1"/>
  <c r="AA305" i="12"/>
  <c r="W305" i="12" s="1"/>
  <c r="AA306" i="12"/>
  <c r="W306" i="12" s="1"/>
  <c r="AA307" i="12"/>
  <c r="W307" i="12" s="1"/>
  <c r="AA308" i="12"/>
  <c r="W308" i="12" s="1"/>
  <c r="AA309" i="12"/>
  <c r="W309" i="12" s="1"/>
  <c r="AA310" i="12"/>
  <c r="W310" i="12" s="1"/>
  <c r="AA311" i="12"/>
  <c r="W311" i="12" s="1"/>
  <c r="AA312" i="12"/>
  <c r="W312" i="12" s="1"/>
  <c r="AA313" i="12"/>
  <c r="W313" i="12" s="1"/>
  <c r="AA314" i="12"/>
  <c r="W314" i="12" s="1"/>
  <c r="AA315" i="12"/>
  <c r="W315" i="12" s="1"/>
  <c r="AA316" i="12"/>
  <c r="W316" i="12" s="1"/>
  <c r="AA317" i="12"/>
  <c r="W317" i="12" s="1"/>
  <c r="AA318" i="12"/>
  <c r="W318" i="12" s="1"/>
  <c r="AA319" i="12"/>
  <c r="W319" i="12" s="1"/>
  <c r="AA320" i="12"/>
  <c r="W320" i="12" s="1"/>
  <c r="AA321" i="12"/>
  <c r="W321" i="12" s="1"/>
  <c r="AA322" i="12"/>
  <c r="W322" i="12" s="1"/>
  <c r="AA323" i="12"/>
  <c r="W323" i="12" s="1"/>
  <c r="AA324" i="12"/>
  <c r="W324" i="12" s="1"/>
  <c r="AA325" i="12"/>
  <c r="W325" i="12" s="1"/>
  <c r="AA326" i="12"/>
  <c r="W326" i="12" s="1"/>
  <c r="AA327" i="12"/>
  <c r="W327" i="12" s="1"/>
  <c r="AA328" i="12"/>
  <c r="W328" i="12" s="1"/>
  <c r="AA329" i="12"/>
  <c r="W329" i="12" s="1"/>
  <c r="AA330" i="12"/>
  <c r="W330" i="12" s="1"/>
  <c r="AA331" i="12"/>
  <c r="W331" i="12" s="1"/>
  <c r="AA332" i="12"/>
  <c r="W332" i="12" s="1"/>
  <c r="AA333" i="12"/>
  <c r="W333" i="12" s="1"/>
  <c r="AA334" i="12"/>
  <c r="W334" i="12" s="1"/>
  <c r="AA335" i="12"/>
  <c r="W335" i="12" s="1"/>
  <c r="AA336" i="12"/>
  <c r="W336" i="12" s="1"/>
  <c r="AA337" i="12"/>
  <c r="W337" i="12" s="1"/>
  <c r="AA338" i="12"/>
  <c r="W338" i="12" s="1"/>
  <c r="AA339" i="12"/>
  <c r="W339" i="12" s="1"/>
  <c r="AA340" i="12"/>
  <c r="W340" i="12" s="1"/>
  <c r="AA341" i="12"/>
  <c r="W341" i="12" s="1"/>
  <c r="AA342" i="12"/>
  <c r="W342" i="12" s="1"/>
  <c r="AA343" i="12"/>
  <c r="W343" i="12" s="1"/>
  <c r="AA344" i="12"/>
  <c r="W344" i="12" s="1"/>
  <c r="AA345" i="12"/>
  <c r="W345" i="12" s="1"/>
  <c r="AA346" i="12"/>
  <c r="W346" i="12" s="1"/>
  <c r="AA347" i="12"/>
  <c r="W347" i="12" s="1"/>
  <c r="AA348" i="12"/>
  <c r="W348" i="12" s="1"/>
  <c r="AA349" i="12"/>
  <c r="W349" i="12" s="1"/>
  <c r="AA350" i="12"/>
  <c r="W350" i="12" s="1"/>
  <c r="AA351" i="12"/>
  <c r="W351" i="12" s="1"/>
  <c r="AA352" i="12"/>
  <c r="W352" i="12" s="1"/>
  <c r="AA353" i="12"/>
  <c r="W353" i="12" s="1"/>
  <c r="AA354" i="12"/>
  <c r="W354" i="12" s="1"/>
  <c r="AA355" i="12"/>
  <c r="W355" i="12" s="1"/>
  <c r="AA356" i="12"/>
  <c r="W356" i="12" s="1"/>
  <c r="W357" i="12"/>
  <c r="AA358" i="12"/>
  <c r="W358" i="12" s="1"/>
  <c r="AA359" i="12"/>
  <c r="W359" i="12" s="1"/>
  <c r="AA360" i="12"/>
  <c r="W360" i="12" s="1"/>
  <c r="AA361" i="12"/>
  <c r="W361" i="12" s="1"/>
  <c r="AA362" i="12"/>
  <c r="W362" i="12" s="1"/>
  <c r="AA363" i="12"/>
  <c r="W363" i="12" s="1"/>
  <c r="AA364" i="12"/>
  <c r="W364" i="12" s="1"/>
  <c r="AA365" i="12"/>
  <c r="W365" i="12" s="1"/>
  <c r="AA366" i="12"/>
  <c r="W366" i="12" s="1"/>
  <c r="AA367" i="12"/>
  <c r="W367" i="12" s="1"/>
  <c r="AA368" i="12"/>
  <c r="W368" i="12" s="1"/>
  <c r="AA369" i="12"/>
  <c r="W369" i="12" s="1"/>
  <c r="AA370" i="12"/>
  <c r="W370" i="12" s="1"/>
  <c r="AA371" i="12"/>
  <c r="W371" i="12" s="1"/>
  <c r="W372" i="12"/>
  <c r="AA373" i="12"/>
  <c r="W373" i="12" s="1"/>
  <c r="AA374" i="12"/>
  <c r="W374" i="12" s="1"/>
  <c r="W375" i="12"/>
  <c r="AA376" i="12"/>
  <c r="W376" i="12" s="1"/>
  <c r="AA377" i="12"/>
  <c r="W377" i="12" s="1"/>
  <c r="AA378" i="12"/>
  <c r="W378" i="12" s="1"/>
  <c r="AA379" i="12"/>
  <c r="W379" i="12" s="1"/>
  <c r="AA380" i="12"/>
  <c r="W380" i="12" s="1"/>
  <c r="AA381" i="12"/>
  <c r="W381" i="12" s="1"/>
  <c r="AA382" i="12"/>
  <c r="W382" i="12" s="1"/>
  <c r="AA383" i="12"/>
  <c r="W383" i="12" s="1"/>
  <c r="W384" i="12"/>
  <c r="AA385" i="12"/>
  <c r="W385" i="12" s="1"/>
  <c r="AA386" i="12"/>
  <c r="W386" i="12" s="1"/>
  <c r="W387" i="12"/>
  <c r="AA388" i="12"/>
  <c r="W388" i="12" s="1"/>
  <c r="AA389" i="12"/>
  <c r="W389" i="12" s="1"/>
  <c r="AA390" i="12"/>
  <c r="W390" i="12" s="1"/>
  <c r="AA391" i="12"/>
  <c r="W391" i="12" s="1"/>
  <c r="AA392" i="12"/>
  <c r="W392" i="12" s="1"/>
  <c r="AA393" i="12"/>
  <c r="W393" i="12" s="1"/>
  <c r="AA394" i="12"/>
  <c r="W394" i="12" s="1"/>
  <c r="AA395" i="12"/>
  <c r="W395" i="12" s="1"/>
  <c r="AA396" i="12"/>
  <c r="W396" i="12" s="1"/>
  <c r="AA397" i="12"/>
  <c r="W397" i="12" s="1"/>
  <c r="AA398" i="12"/>
  <c r="W398" i="12" s="1"/>
  <c r="AA399" i="12"/>
  <c r="W399" i="12" s="1"/>
  <c r="AA400" i="12"/>
  <c r="W400" i="12" s="1"/>
  <c r="AA401" i="12"/>
  <c r="W401" i="12" s="1"/>
  <c r="AA402" i="12"/>
  <c r="W402" i="12" s="1"/>
  <c r="AA403" i="12"/>
  <c r="W403" i="12" s="1"/>
  <c r="AA404" i="12"/>
  <c r="W404" i="12" s="1"/>
  <c r="AA405" i="12"/>
  <c r="W405" i="12" s="1"/>
  <c r="AA406" i="12"/>
  <c r="W406" i="12" s="1"/>
  <c r="AA407" i="12"/>
  <c r="W407" i="12" s="1"/>
  <c r="AA408" i="12"/>
  <c r="W408" i="12" s="1"/>
  <c r="AA409" i="12"/>
  <c r="W409" i="12" s="1"/>
  <c r="AA410" i="12"/>
  <c r="W410" i="12" s="1"/>
  <c r="AA411" i="12"/>
  <c r="W411" i="12" s="1"/>
  <c r="AA412" i="12"/>
  <c r="W412" i="12" s="1"/>
  <c r="AA413" i="12"/>
  <c r="W413" i="12" s="1"/>
  <c r="AA414" i="12"/>
  <c r="W414" i="12" s="1"/>
  <c r="AA415" i="12"/>
  <c r="W415" i="12" s="1"/>
  <c r="AA416" i="12"/>
  <c r="W416" i="12" s="1"/>
  <c r="AA417" i="12"/>
  <c r="W417" i="12" s="1"/>
  <c r="AA418" i="12"/>
  <c r="W418" i="12" s="1"/>
  <c r="AA419" i="12"/>
  <c r="W419" i="12" s="1"/>
  <c r="AA420" i="12"/>
  <c r="W420" i="12" s="1"/>
  <c r="AA421" i="12"/>
  <c r="W421" i="12" s="1"/>
  <c r="AA422" i="12"/>
  <c r="W422" i="12" s="1"/>
  <c r="W423" i="12"/>
  <c r="AA424" i="12"/>
  <c r="W424" i="12" s="1"/>
  <c r="AA425" i="12"/>
  <c r="W425" i="12" s="1"/>
  <c r="AA426" i="12"/>
  <c r="W426" i="12" s="1"/>
  <c r="AA427" i="12"/>
  <c r="W427" i="12" s="1"/>
  <c r="AA428" i="12"/>
  <c r="W428" i="12" s="1"/>
  <c r="AA429" i="12"/>
  <c r="W429" i="12" s="1"/>
  <c r="AA430" i="12"/>
  <c r="W430" i="12" s="1"/>
  <c r="AA431" i="12"/>
  <c r="W431" i="12" s="1"/>
  <c r="AA432" i="12"/>
  <c r="W432" i="12" s="1"/>
  <c r="W433" i="12"/>
  <c r="AA434" i="12"/>
  <c r="W434" i="12" s="1"/>
  <c r="AA435" i="12"/>
  <c r="W435" i="12" s="1"/>
  <c r="AA436" i="12"/>
  <c r="W436" i="12" s="1"/>
  <c r="AA437" i="12"/>
  <c r="W437" i="12" s="1"/>
  <c r="AA438" i="12"/>
  <c r="W438" i="12" s="1"/>
  <c r="AA439" i="12"/>
  <c r="W439" i="12" s="1"/>
  <c r="AA440" i="12"/>
  <c r="W440" i="12" s="1"/>
  <c r="AA441" i="12"/>
  <c r="W441" i="12" s="1"/>
  <c r="AA442" i="12"/>
  <c r="W442" i="12" s="1"/>
  <c r="AA443" i="12"/>
  <c r="W443" i="12" s="1"/>
  <c r="AA444" i="12"/>
  <c r="W444" i="12" s="1"/>
  <c r="AA445" i="12"/>
  <c r="W445" i="12" s="1"/>
  <c r="AA446" i="12"/>
  <c r="W446" i="12" s="1"/>
  <c r="AA447" i="12"/>
  <c r="W447" i="12" s="1"/>
  <c r="AA448" i="12"/>
  <c r="W448" i="12" s="1"/>
  <c r="AA449" i="12"/>
  <c r="W449" i="12" s="1"/>
  <c r="AA450" i="12"/>
  <c r="W450" i="12" s="1"/>
  <c r="AA451" i="12"/>
  <c r="W451" i="12" s="1"/>
  <c r="AA452" i="12"/>
  <c r="W452" i="12" s="1"/>
  <c r="AA453" i="12"/>
  <c r="W453" i="12" s="1"/>
  <c r="AA454" i="12"/>
  <c r="W454" i="12" s="1"/>
  <c r="AA455" i="12"/>
  <c r="W455" i="12" s="1"/>
  <c r="AA456" i="12"/>
  <c r="W456" i="12" s="1"/>
  <c r="AA457" i="12"/>
  <c r="W457" i="12" s="1"/>
  <c r="AA458" i="12"/>
  <c r="W458" i="12" s="1"/>
  <c r="AA459" i="12"/>
  <c r="W459" i="12" s="1"/>
  <c r="AA460" i="12"/>
  <c r="W460" i="12" s="1"/>
  <c r="AA461" i="12"/>
  <c r="W461" i="12" s="1"/>
  <c r="AA462" i="12"/>
  <c r="W462" i="12" s="1"/>
  <c r="AA463" i="12"/>
  <c r="W463" i="12" s="1"/>
  <c r="AA464" i="12"/>
  <c r="W464" i="12" s="1"/>
  <c r="AA465" i="12"/>
  <c r="W465" i="12" s="1"/>
  <c r="AA466" i="12"/>
  <c r="W466" i="12" s="1"/>
  <c r="AA467" i="12"/>
  <c r="W467" i="12" s="1"/>
  <c r="AA468" i="12"/>
  <c r="W468" i="12" s="1"/>
  <c r="AA469" i="12"/>
  <c r="W469" i="12" s="1"/>
  <c r="AA470" i="12"/>
  <c r="W470" i="12" s="1"/>
  <c r="AA471" i="12"/>
  <c r="W471" i="12" s="1"/>
  <c r="AA472" i="12"/>
  <c r="W472" i="12" s="1"/>
  <c r="AA473" i="12"/>
  <c r="W473" i="12" s="1"/>
  <c r="AA474" i="12"/>
  <c r="W474" i="12" s="1"/>
  <c r="AA475" i="12"/>
  <c r="W475" i="12" s="1"/>
  <c r="AA476" i="12"/>
  <c r="W476" i="12" s="1"/>
  <c r="AA477" i="12"/>
  <c r="W477" i="12" s="1"/>
  <c r="AA478" i="12"/>
  <c r="W478" i="12" s="1"/>
  <c r="AA479" i="12"/>
  <c r="W479" i="12" s="1"/>
  <c r="AA480" i="12"/>
  <c r="W480" i="12" s="1"/>
  <c r="AA481" i="12"/>
  <c r="W481" i="12" s="1"/>
  <c r="AA482" i="12"/>
  <c r="W482" i="12" s="1"/>
  <c r="AA483" i="12"/>
  <c r="W483" i="12" s="1"/>
  <c r="AA484" i="12"/>
  <c r="W484" i="12" s="1"/>
  <c r="AA485" i="12"/>
  <c r="W485" i="12" s="1"/>
  <c r="AA486" i="12"/>
  <c r="W486" i="12" s="1"/>
  <c r="AA487" i="12"/>
  <c r="W487" i="12" s="1"/>
  <c r="AA488" i="12"/>
  <c r="W488" i="12" s="1"/>
  <c r="W489" i="12"/>
  <c r="AA490" i="12"/>
  <c r="W490" i="12" s="1"/>
  <c r="AA491" i="12"/>
  <c r="W491" i="12" s="1"/>
  <c r="W492" i="12"/>
  <c r="AA493" i="12"/>
  <c r="W493" i="12" s="1"/>
  <c r="AA494" i="12"/>
  <c r="W494" i="12" s="1"/>
  <c r="AA495" i="12"/>
  <c r="W495" i="12" s="1"/>
  <c r="AA496" i="12"/>
  <c r="W496" i="12" s="1"/>
  <c r="AA497" i="12"/>
  <c r="W497" i="12" s="1"/>
  <c r="AA498" i="12"/>
  <c r="W498" i="12" s="1"/>
  <c r="AA499" i="12"/>
  <c r="W499" i="12" s="1"/>
  <c r="AA500" i="12"/>
  <c r="W500" i="12" s="1"/>
  <c r="AA501" i="12"/>
  <c r="W501" i="12" s="1"/>
  <c r="AA502" i="12"/>
  <c r="W502" i="12" s="1"/>
  <c r="AA503" i="12"/>
  <c r="W503" i="12" s="1"/>
  <c r="AA504" i="12"/>
  <c r="W504" i="12" s="1"/>
  <c r="AA505" i="12"/>
  <c r="W505" i="12" s="1"/>
  <c r="AA506" i="12"/>
  <c r="W506" i="12" s="1"/>
  <c r="AA507" i="12"/>
  <c r="W507" i="12" s="1"/>
  <c r="AA508" i="12"/>
  <c r="W508" i="12" s="1"/>
  <c r="AA509" i="12"/>
  <c r="W509" i="12" s="1"/>
  <c r="AA510" i="12"/>
  <c r="W510" i="12" s="1"/>
  <c r="AA511" i="12"/>
  <c r="W511" i="12" s="1"/>
  <c r="AA512" i="12"/>
  <c r="W512" i="12" s="1"/>
  <c r="AA513" i="12"/>
  <c r="W513" i="12" s="1"/>
  <c r="AA514" i="12"/>
  <c r="W514" i="12" s="1"/>
  <c r="AA515" i="12"/>
  <c r="W515" i="12" s="1"/>
  <c r="AA516" i="12"/>
  <c r="W516" i="12" s="1"/>
  <c r="AA517" i="12"/>
  <c r="W517" i="12" s="1"/>
  <c r="AA518" i="12"/>
  <c r="W518" i="12" s="1"/>
  <c r="AA519" i="12"/>
  <c r="W519" i="12" s="1"/>
  <c r="AA520" i="12"/>
  <c r="W520" i="12" s="1"/>
  <c r="AA521" i="12"/>
  <c r="W521" i="12" s="1"/>
  <c r="AA522" i="12"/>
  <c r="W522" i="12" s="1"/>
  <c r="AA523" i="12"/>
  <c r="W523" i="12" s="1"/>
  <c r="AA524" i="12"/>
  <c r="W524" i="12" s="1"/>
  <c r="AA525" i="12"/>
  <c r="W525" i="12" s="1"/>
  <c r="AA526" i="12"/>
  <c r="W526" i="12" s="1"/>
  <c r="AA527" i="12"/>
  <c r="W527" i="12" s="1"/>
  <c r="AA528" i="12"/>
  <c r="W528" i="12" s="1"/>
  <c r="AA529" i="12"/>
  <c r="W529" i="12" s="1"/>
  <c r="AA530" i="12"/>
  <c r="W530" i="12" s="1"/>
  <c r="AA531" i="12"/>
  <c r="W531" i="12" s="1"/>
  <c r="W532" i="12"/>
  <c r="W533" i="12"/>
  <c r="AA534" i="12"/>
  <c r="W534" i="12" s="1"/>
  <c r="AA535" i="12"/>
  <c r="W535" i="12" s="1"/>
  <c r="AA536" i="12"/>
  <c r="W536" i="12" s="1"/>
  <c r="AA537" i="12"/>
  <c r="W537" i="12" s="1"/>
  <c r="AA538" i="12"/>
  <c r="W538" i="12" s="1"/>
  <c r="AA539" i="12"/>
  <c r="W539" i="12" s="1"/>
  <c r="AA540" i="12"/>
  <c r="W540" i="12" s="1"/>
  <c r="AA541" i="12"/>
  <c r="W541" i="12" s="1"/>
  <c r="AA542" i="12"/>
  <c r="W542" i="12" s="1"/>
  <c r="AA543" i="12"/>
  <c r="W543" i="12" s="1"/>
  <c r="AA544" i="12"/>
  <c r="W544" i="12" s="1"/>
  <c r="AA545" i="12"/>
  <c r="W545" i="12" s="1"/>
  <c r="AA546" i="12"/>
  <c r="W546" i="12" s="1"/>
  <c r="AA547" i="12"/>
  <c r="W547" i="12" s="1"/>
  <c r="AA548" i="12"/>
  <c r="W548" i="12" s="1"/>
  <c r="AA549" i="12"/>
  <c r="W549" i="12" s="1"/>
  <c r="AA550" i="12"/>
  <c r="W550" i="12" s="1"/>
  <c r="AA551" i="12"/>
  <c r="W551" i="12" s="1"/>
  <c r="AA552" i="12"/>
  <c r="W552" i="12" s="1"/>
  <c r="AA553" i="12"/>
  <c r="W553" i="12" s="1"/>
  <c r="AA554" i="12"/>
  <c r="W554" i="12" s="1"/>
  <c r="AA555" i="12"/>
  <c r="W555" i="12" s="1"/>
  <c r="AA556" i="12"/>
  <c r="W556" i="12" s="1"/>
  <c r="AA557" i="12"/>
  <c r="W557" i="12" s="1"/>
  <c r="AA558" i="12"/>
  <c r="W558" i="12" s="1"/>
  <c r="AA559" i="12"/>
  <c r="W559" i="12" s="1"/>
  <c r="AA560" i="12"/>
  <c r="W560" i="12" s="1"/>
  <c r="AA561" i="12"/>
  <c r="W561" i="12" s="1"/>
  <c r="AA562" i="12"/>
  <c r="W562" i="12" s="1"/>
  <c r="AA563" i="12"/>
  <c r="W563" i="12" s="1"/>
  <c r="AA564" i="12"/>
  <c r="W564" i="12" s="1"/>
  <c r="AA565" i="12"/>
  <c r="W565" i="12" s="1"/>
  <c r="AA566" i="12"/>
  <c r="W566" i="12" s="1"/>
  <c r="AA567" i="12"/>
  <c r="W567" i="12" s="1"/>
  <c r="AA568" i="12"/>
  <c r="W568" i="12" s="1"/>
  <c r="AA569" i="12"/>
  <c r="W569" i="12" s="1"/>
  <c r="AA570" i="12"/>
  <c r="W570" i="12" s="1"/>
  <c r="AA571" i="12"/>
  <c r="W571" i="12" s="1"/>
  <c r="AA572" i="12"/>
  <c r="W572" i="12" s="1"/>
  <c r="AA573" i="12"/>
  <c r="W573" i="12" s="1"/>
  <c r="AA574" i="12"/>
  <c r="W574" i="12" s="1"/>
  <c r="AA575" i="12"/>
  <c r="W575" i="12" s="1"/>
  <c r="AA576" i="12"/>
  <c r="W576" i="12" s="1"/>
  <c r="AA577" i="12"/>
  <c r="W577" i="12" s="1"/>
  <c r="AA578" i="12"/>
  <c r="W578" i="12" s="1"/>
  <c r="AA579" i="12"/>
  <c r="W579" i="12" s="1"/>
  <c r="AA580" i="12"/>
  <c r="W580" i="12" s="1"/>
  <c r="AA581" i="12"/>
  <c r="W581" i="12" s="1"/>
  <c r="AA582" i="12"/>
  <c r="W582" i="12" s="1"/>
  <c r="AA583" i="12"/>
  <c r="W583" i="12" s="1"/>
  <c r="AA584" i="12"/>
  <c r="W584" i="12" s="1"/>
  <c r="AA585" i="12"/>
  <c r="W585" i="12" s="1"/>
  <c r="AA586" i="12"/>
  <c r="W586" i="12" s="1"/>
  <c r="AA587" i="12"/>
  <c r="W587" i="12" s="1"/>
  <c r="AA588" i="12"/>
  <c r="W588" i="12" s="1"/>
  <c r="AA589" i="12"/>
  <c r="W589" i="12" s="1"/>
  <c r="AA590" i="12"/>
  <c r="W590" i="12" s="1"/>
  <c r="AA591" i="12"/>
  <c r="W591" i="12" s="1"/>
  <c r="AA592" i="12"/>
  <c r="W592" i="12" s="1"/>
  <c r="AA593" i="12"/>
  <c r="W593" i="12" s="1"/>
  <c r="AA594" i="12"/>
  <c r="W594" i="12" s="1"/>
  <c r="AA595" i="12"/>
  <c r="W595" i="12" s="1"/>
  <c r="AA596" i="12"/>
  <c r="W596" i="12" s="1"/>
  <c r="AA597" i="12"/>
  <c r="W597" i="12" s="1"/>
  <c r="AA598" i="12"/>
  <c r="W598" i="12" s="1"/>
  <c r="AA599" i="12"/>
  <c r="W599" i="12" s="1"/>
  <c r="AA600" i="12"/>
  <c r="W600" i="12" s="1"/>
  <c r="AA601" i="12"/>
  <c r="W601" i="12" s="1"/>
  <c r="AA602" i="12"/>
  <c r="W602" i="12" s="1"/>
  <c r="AA603" i="12"/>
  <c r="W603" i="12" s="1"/>
  <c r="AA604" i="12"/>
  <c r="W604" i="12" s="1"/>
  <c r="AA605" i="12"/>
  <c r="W605" i="12" s="1"/>
  <c r="AA606" i="12"/>
  <c r="W606" i="12" s="1"/>
  <c r="AA607" i="12"/>
  <c r="W607" i="12" s="1"/>
  <c r="AA608" i="12"/>
  <c r="W608" i="12" s="1"/>
  <c r="AA609" i="12"/>
  <c r="W609" i="12" s="1"/>
  <c r="AA610" i="12"/>
  <c r="W610" i="12" s="1"/>
  <c r="AA611" i="12"/>
  <c r="W611" i="12" s="1"/>
  <c r="AA612" i="12"/>
  <c r="W612" i="12" s="1"/>
  <c r="AA613" i="12"/>
  <c r="W613" i="12" s="1"/>
  <c r="AA614" i="12"/>
  <c r="W614" i="12" s="1"/>
  <c r="AA615" i="12"/>
  <c r="W615" i="12" s="1"/>
  <c r="AA616" i="12"/>
  <c r="W616" i="12" s="1"/>
  <c r="AA617" i="12"/>
  <c r="W617" i="12" s="1"/>
  <c r="AA618" i="12"/>
  <c r="W618" i="12" s="1"/>
  <c r="AA619" i="12"/>
  <c r="W619" i="12" s="1"/>
  <c r="AA620" i="12"/>
  <c r="W620" i="12" s="1"/>
  <c r="AA621" i="12"/>
  <c r="W621" i="12" s="1"/>
  <c r="AA622" i="12"/>
  <c r="W622" i="12" s="1"/>
  <c r="AA623" i="12"/>
  <c r="W623" i="12" s="1"/>
  <c r="AA624" i="12"/>
  <c r="W624" i="12" s="1"/>
  <c r="AA625" i="12"/>
  <c r="W625" i="12" s="1"/>
  <c r="AA626" i="12"/>
  <c r="W626" i="12" s="1"/>
  <c r="AA627" i="12"/>
  <c r="W627" i="12" s="1"/>
  <c r="AA628" i="12"/>
  <c r="W628" i="12" s="1"/>
  <c r="AA629" i="12"/>
  <c r="W629" i="12" s="1"/>
  <c r="AA630" i="12"/>
  <c r="W630" i="12" s="1"/>
  <c r="AA631" i="12"/>
  <c r="W631" i="12" s="1"/>
  <c r="AA632" i="12"/>
  <c r="W632" i="12" s="1"/>
  <c r="AA633" i="12"/>
  <c r="W633" i="12" s="1"/>
  <c r="AA634" i="12"/>
  <c r="W634" i="12" s="1"/>
  <c r="AA635" i="12"/>
  <c r="W635" i="12" s="1"/>
  <c r="AA636" i="12"/>
  <c r="W636" i="12" s="1"/>
  <c r="AA637" i="12"/>
  <c r="W637" i="12" s="1"/>
  <c r="AA638" i="12"/>
  <c r="W638" i="12" s="1"/>
  <c r="W639" i="12"/>
  <c r="AA640" i="12"/>
  <c r="W640" i="12" s="1"/>
  <c r="AA641" i="12"/>
  <c r="W641" i="12" s="1"/>
  <c r="AA642" i="12"/>
  <c r="W642" i="12" s="1"/>
  <c r="AA643" i="12"/>
  <c r="W643" i="12" s="1"/>
  <c r="AA644" i="12"/>
  <c r="W644" i="12" s="1"/>
  <c r="AA645" i="12"/>
  <c r="W645" i="12" s="1"/>
  <c r="AA646" i="12"/>
  <c r="W646" i="12" s="1"/>
  <c r="AA647" i="12"/>
  <c r="W647" i="12" s="1"/>
  <c r="AA648" i="12"/>
  <c r="W648" i="12" s="1"/>
  <c r="AA649" i="12"/>
  <c r="W649" i="12" s="1"/>
  <c r="AA650" i="12"/>
  <c r="W650" i="12" s="1"/>
  <c r="AA651" i="12"/>
  <c r="W651" i="12" s="1"/>
  <c r="AA652" i="12"/>
  <c r="W652" i="12" s="1"/>
  <c r="AA653" i="12"/>
  <c r="W653" i="12" s="1"/>
  <c r="AA654" i="12"/>
  <c r="W654" i="12" s="1"/>
  <c r="AA655" i="12"/>
  <c r="W655" i="12" s="1"/>
  <c r="W656" i="12"/>
  <c r="AA657" i="12"/>
  <c r="W657" i="12" s="1"/>
  <c r="AA658" i="12"/>
  <c r="W658" i="12" s="1"/>
  <c r="AA659" i="12"/>
  <c r="W659" i="12" s="1"/>
  <c r="AA660" i="12"/>
  <c r="W660" i="12" s="1"/>
  <c r="D94" i="6"/>
  <c r="D96" i="6"/>
  <c r="D97" i="6"/>
  <c r="D99" i="6"/>
  <c r="J99" i="6" s="1"/>
  <c r="D100" i="6"/>
  <c r="E116" i="1"/>
  <c r="E102" i="1"/>
  <c r="E100" i="1"/>
  <c r="G15" i="16" s="1"/>
  <c r="E83" i="1"/>
  <c r="E97" i="1"/>
  <c r="G2" i="6"/>
  <c r="G78" i="6"/>
  <c r="E141" i="1" s="1"/>
  <c r="F116" i="1"/>
  <c r="F102" i="1"/>
  <c r="F100" i="1"/>
  <c r="H15" i="16" s="1"/>
  <c r="F83" i="1"/>
  <c r="F97" i="1"/>
  <c r="H2" i="6"/>
  <c r="H78" i="6"/>
  <c r="F141" i="1" s="1"/>
  <c r="G116" i="1"/>
  <c r="G102" i="1"/>
  <c r="G100" i="1"/>
  <c r="I15" i="16" s="1"/>
  <c r="G83" i="1"/>
  <c r="G97" i="1"/>
  <c r="I2" i="6"/>
  <c r="I78" i="6"/>
  <c r="G141" i="1" s="1"/>
  <c r="H116" i="1"/>
  <c r="H102" i="1"/>
  <c r="H100" i="1"/>
  <c r="J15" i="16" s="1"/>
  <c r="H83" i="1"/>
  <c r="H97" i="1"/>
  <c r="J2" i="6"/>
  <c r="J78" i="6"/>
  <c r="H141" i="1" s="1"/>
  <c r="I116" i="1"/>
  <c r="I102" i="1"/>
  <c r="I100" i="1"/>
  <c r="K15" i="16" s="1"/>
  <c r="I83" i="1"/>
  <c r="I97" i="1"/>
  <c r="K2" i="6"/>
  <c r="J116" i="1"/>
  <c r="J102" i="1"/>
  <c r="J100" i="1"/>
  <c r="L15" i="16" s="1"/>
  <c r="J83" i="1"/>
  <c r="J97" i="1"/>
  <c r="L2" i="6"/>
  <c r="K116" i="1"/>
  <c r="K102" i="1"/>
  <c r="K100" i="1"/>
  <c r="M15" i="16" s="1"/>
  <c r="K83" i="1"/>
  <c r="K97" i="1"/>
  <c r="M2" i="6"/>
  <c r="N2" i="6" s="1"/>
  <c r="O2" i="6" s="1"/>
  <c r="P2" i="6" s="1"/>
  <c r="L100" i="1"/>
  <c r="N15" i="16" s="1"/>
  <c r="M100" i="1"/>
  <c r="O15" i="16" s="1"/>
  <c r="N100" i="1"/>
  <c r="P15" i="16" s="1"/>
  <c r="O100" i="1"/>
  <c r="Q15" i="16" s="1"/>
  <c r="P100" i="1"/>
  <c r="R15" i="16" s="1"/>
  <c r="Q100" i="1"/>
  <c r="S15" i="16" s="1"/>
  <c r="R100" i="1"/>
  <c r="T15" i="16" s="1"/>
  <c r="S100" i="1"/>
  <c r="U15" i="16" s="1"/>
  <c r="T100" i="1"/>
  <c r="V15" i="16" s="1"/>
  <c r="U100" i="1"/>
  <c r="W15" i="16" s="1"/>
  <c r="U81" i="1"/>
  <c r="V100" i="1"/>
  <c r="X15" i="16" s="1"/>
  <c r="W100" i="1"/>
  <c r="Y15" i="16" s="1"/>
  <c r="X100" i="1"/>
  <c r="Z15" i="16" s="1"/>
  <c r="Y100" i="1"/>
  <c r="AA15" i="16" s="1"/>
  <c r="C111" i="1"/>
  <c r="C116" i="1"/>
  <c r="C102" i="1"/>
  <c r="C100" i="1"/>
  <c r="E15" i="16" s="1"/>
  <c r="C83" i="1"/>
  <c r="C81" i="1"/>
  <c r="C97" i="1"/>
  <c r="C141" i="1"/>
  <c r="E99" i="6"/>
  <c r="B32" i="16"/>
  <c r="B31" i="16"/>
  <c r="B30" i="16"/>
  <c r="B29" i="16"/>
  <c r="F86" i="4"/>
  <c r="F88" i="4"/>
  <c r="F90" i="4"/>
  <c r="G86" i="4"/>
  <c r="G88" i="4"/>
  <c r="G90" i="4"/>
  <c r="H86" i="4"/>
  <c r="H88" i="4"/>
  <c r="H90" i="4"/>
  <c r="I86" i="4"/>
  <c r="I88" i="4"/>
  <c r="I90" i="4"/>
  <c r="J86" i="4"/>
  <c r="J88" i="4"/>
  <c r="J90" i="4"/>
  <c r="K86" i="4"/>
  <c r="K88" i="4"/>
  <c r="K90" i="4"/>
  <c r="L86" i="4"/>
  <c r="L88" i="4"/>
  <c r="L90" i="4"/>
  <c r="M86" i="4"/>
  <c r="M88" i="4"/>
  <c r="M90" i="4"/>
  <c r="N86" i="4"/>
  <c r="N88" i="4"/>
  <c r="N90" i="4"/>
  <c r="O86" i="4"/>
  <c r="O88" i="4"/>
  <c r="O90" i="4"/>
  <c r="F87" i="4"/>
  <c r="F89" i="4"/>
  <c r="F91" i="4"/>
  <c r="G87" i="4"/>
  <c r="G89" i="4"/>
  <c r="G91" i="4"/>
  <c r="H87" i="4"/>
  <c r="H89" i="4"/>
  <c r="H91" i="4"/>
  <c r="I87" i="4"/>
  <c r="I89" i="4"/>
  <c r="I91" i="4"/>
  <c r="J87" i="4"/>
  <c r="J89" i="4"/>
  <c r="J91" i="4"/>
  <c r="K87" i="4"/>
  <c r="K89" i="4"/>
  <c r="K91" i="4"/>
  <c r="L87" i="4"/>
  <c r="L89" i="4"/>
  <c r="L91" i="4"/>
  <c r="M87" i="4"/>
  <c r="M89" i="4"/>
  <c r="M91" i="4"/>
  <c r="N87" i="4"/>
  <c r="N89" i="4"/>
  <c r="N91" i="4"/>
  <c r="O87" i="4"/>
  <c r="O89" i="4"/>
  <c r="O91" i="4"/>
  <c r="F93" i="4"/>
  <c r="F95" i="4"/>
  <c r="F97" i="4"/>
  <c r="G93" i="4"/>
  <c r="G95" i="4"/>
  <c r="G97" i="4"/>
  <c r="H93" i="4"/>
  <c r="H95" i="4"/>
  <c r="H97" i="4"/>
  <c r="I93" i="4"/>
  <c r="I95" i="4"/>
  <c r="I97" i="4"/>
  <c r="J93" i="4"/>
  <c r="J95" i="4"/>
  <c r="J97" i="4"/>
  <c r="K93" i="4"/>
  <c r="K95" i="4"/>
  <c r="K97" i="4"/>
  <c r="L93" i="4"/>
  <c r="L95" i="4"/>
  <c r="L97" i="4"/>
  <c r="M93" i="4"/>
  <c r="M95" i="4"/>
  <c r="M97" i="4"/>
  <c r="N93" i="4"/>
  <c r="N95" i="4"/>
  <c r="N97" i="4"/>
  <c r="O93" i="4"/>
  <c r="O95" i="4"/>
  <c r="O97" i="4"/>
  <c r="F94" i="4"/>
  <c r="F96" i="4"/>
  <c r="F98" i="4"/>
  <c r="G94" i="4"/>
  <c r="G96" i="4"/>
  <c r="G98" i="4"/>
  <c r="H94" i="4"/>
  <c r="H96" i="4"/>
  <c r="H98" i="4"/>
  <c r="I94" i="4"/>
  <c r="I96" i="4"/>
  <c r="I98" i="4"/>
  <c r="J94" i="4"/>
  <c r="J96" i="4"/>
  <c r="J98" i="4"/>
  <c r="K94" i="4"/>
  <c r="K96" i="4"/>
  <c r="K98" i="4"/>
  <c r="L94" i="4"/>
  <c r="L96" i="4"/>
  <c r="L98" i="4"/>
  <c r="M94" i="4"/>
  <c r="M96" i="4"/>
  <c r="M98" i="4"/>
  <c r="N94" i="4"/>
  <c r="N96" i="4"/>
  <c r="N98" i="4"/>
  <c r="O94" i="4"/>
  <c r="O96" i="4"/>
  <c r="O98" i="4"/>
  <c r="F100" i="4"/>
  <c r="F102" i="4"/>
  <c r="F104" i="4"/>
  <c r="G100" i="4"/>
  <c r="G102" i="4"/>
  <c r="G104" i="4"/>
  <c r="H100" i="4"/>
  <c r="H102" i="4"/>
  <c r="H104" i="4"/>
  <c r="I100" i="4"/>
  <c r="I102" i="4"/>
  <c r="I104" i="4"/>
  <c r="J100" i="4"/>
  <c r="J102" i="4"/>
  <c r="J104" i="4"/>
  <c r="K100" i="4"/>
  <c r="K102" i="4"/>
  <c r="K104" i="4"/>
  <c r="L100" i="4"/>
  <c r="L102" i="4"/>
  <c r="L104" i="4"/>
  <c r="M100" i="4"/>
  <c r="M102" i="4"/>
  <c r="M104" i="4"/>
  <c r="N100" i="4"/>
  <c r="N102" i="4"/>
  <c r="N104" i="4"/>
  <c r="O100" i="4"/>
  <c r="O102" i="4"/>
  <c r="O104" i="4"/>
  <c r="F101" i="4"/>
  <c r="F103" i="4"/>
  <c r="F105" i="4"/>
  <c r="G101" i="4"/>
  <c r="G103" i="4"/>
  <c r="G105" i="4"/>
  <c r="H101" i="4"/>
  <c r="H103" i="4"/>
  <c r="H105" i="4"/>
  <c r="I101" i="4"/>
  <c r="I103" i="4"/>
  <c r="I105" i="4"/>
  <c r="J101" i="4"/>
  <c r="J103" i="4"/>
  <c r="J105" i="4"/>
  <c r="K101" i="4"/>
  <c r="K103" i="4"/>
  <c r="K105" i="4"/>
  <c r="L101" i="4"/>
  <c r="L103" i="4"/>
  <c r="L105" i="4"/>
  <c r="M101" i="4"/>
  <c r="M103" i="4"/>
  <c r="M105" i="4"/>
  <c r="N101" i="4"/>
  <c r="N103" i="4"/>
  <c r="N105" i="4"/>
  <c r="O101" i="4"/>
  <c r="O103" i="4"/>
  <c r="O105" i="4"/>
  <c r="E100" i="4"/>
  <c r="E102" i="4"/>
  <c r="E104" i="4"/>
  <c r="E101" i="4"/>
  <c r="E103" i="4"/>
  <c r="E105" i="4"/>
  <c r="E93" i="4"/>
  <c r="E94" i="4"/>
  <c r="E95" i="4"/>
  <c r="E96" i="4"/>
  <c r="E97" i="4"/>
  <c r="E98" i="4"/>
  <c r="E86" i="4"/>
  <c r="E87" i="4"/>
  <c r="E88" i="4"/>
  <c r="C41" i="1" s="1"/>
  <c r="E89" i="4"/>
  <c r="E90" i="4"/>
  <c r="E91" i="4"/>
  <c r="F61" i="4"/>
  <c r="F63" i="4"/>
  <c r="F65" i="4"/>
  <c r="G61" i="4"/>
  <c r="G63" i="4"/>
  <c r="G65" i="4"/>
  <c r="H61" i="4"/>
  <c r="H63" i="4"/>
  <c r="H65" i="4"/>
  <c r="I61" i="4"/>
  <c r="I63" i="4"/>
  <c r="I65" i="4"/>
  <c r="J61" i="4"/>
  <c r="J63" i="4"/>
  <c r="J65" i="4"/>
  <c r="K61" i="4"/>
  <c r="K63" i="4"/>
  <c r="K65" i="4"/>
  <c r="L61" i="4"/>
  <c r="L63" i="4"/>
  <c r="L65" i="4"/>
  <c r="M61" i="4"/>
  <c r="M63" i="4"/>
  <c r="M65" i="4"/>
  <c r="N61" i="4"/>
  <c r="N63" i="4"/>
  <c r="N65" i="4"/>
  <c r="O61" i="4"/>
  <c r="O63" i="4"/>
  <c r="O65" i="4"/>
  <c r="F62" i="4"/>
  <c r="F64" i="4"/>
  <c r="F66" i="4"/>
  <c r="G62" i="4"/>
  <c r="G64" i="4"/>
  <c r="G66" i="4"/>
  <c r="H62" i="4"/>
  <c r="H64" i="4"/>
  <c r="H66" i="4"/>
  <c r="I62" i="4"/>
  <c r="I64" i="4"/>
  <c r="I66" i="4"/>
  <c r="J62" i="4"/>
  <c r="J64" i="4"/>
  <c r="J66" i="4"/>
  <c r="K62" i="4"/>
  <c r="K64" i="4"/>
  <c r="K66" i="4"/>
  <c r="L62" i="4"/>
  <c r="L64" i="4"/>
  <c r="L66" i="4"/>
  <c r="M62" i="4"/>
  <c r="M64" i="4"/>
  <c r="M66" i="4"/>
  <c r="N62" i="4"/>
  <c r="N64" i="4"/>
  <c r="N66" i="4"/>
  <c r="O62" i="4"/>
  <c r="O64" i="4"/>
  <c r="O66" i="4"/>
  <c r="F68" i="4"/>
  <c r="F70" i="4"/>
  <c r="F72" i="4"/>
  <c r="G68" i="4"/>
  <c r="G70" i="4"/>
  <c r="G72" i="4"/>
  <c r="H68" i="4"/>
  <c r="H70" i="4"/>
  <c r="H72" i="4"/>
  <c r="I68" i="4"/>
  <c r="I70" i="4"/>
  <c r="I72" i="4"/>
  <c r="J68" i="4"/>
  <c r="J70" i="4"/>
  <c r="J72" i="4"/>
  <c r="K68" i="4"/>
  <c r="K70" i="4"/>
  <c r="K72" i="4"/>
  <c r="L68" i="4"/>
  <c r="L70" i="4"/>
  <c r="L72" i="4"/>
  <c r="M68" i="4"/>
  <c r="M70" i="4"/>
  <c r="M72" i="4"/>
  <c r="N68" i="4"/>
  <c r="N70" i="4"/>
  <c r="N72" i="4"/>
  <c r="O68" i="4"/>
  <c r="O70" i="4"/>
  <c r="O72" i="4"/>
  <c r="F69" i="4"/>
  <c r="F71" i="4"/>
  <c r="F73" i="4"/>
  <c r="G69" i="4"/>
  <c r="G71" i="4"/>
  <c r="G73" i="4"/>
  <c r="H69" i="4"/>
  <c r="H71" i="4"/>
  <c r="H73" i="4"/>
  <c r="I69" i="4"/>
  <c r="I71" i="4"/>
  <c r="I73" i="4"/>
  <c r="J69" i="4"/>
  <c r="J71" i="4"/>
  <c r="J73" i="4"/>
  <c r="K69" i="4"/>
  <c r="K71" i="4"/>
  <c r="K73" i="4"/>
  <c r="L69" i="4"/>
  <c r="L71" i="4"/>
  <c r="L73" i="4"/>
  <c r="M69" i="4"/>
  <c r="M71" i="4"/>
  <c r="M73" i="4"/>
  <c r="N69" i="4"/>
  <c r="N71" i="4"/>
  <c r="N73" i="4"/>
  <c r="O69" i="4"/>
  <c r="O71" i="4"/>
  <c r="O73" i="4"/>
  <c r="F75" i="4"/>
  <c r="F77" i="4"/>
  <c r="F79" i="4"/>
  <c r="G75" i="4"/>
  <c r="G77" i="4"/>
  <c r="G79" i="4"/>
  <c r="H75" i="4"/>
  <c r="H77" i="4"/>
  <c r="H79" i="4"/>
  <c r="I75" i="4"/>
  <c r="I77" i="4"/>
  <c r="I79" i="4"/>
  <c r="J75" i="4"/>
  <c r="J77" i="4"/>
  <c r="J79" i="4"/>
  <c r="K75" i="4"/>
  <c r="K77" i="4"/>
  <c r="K79" i="4"/>
  <c r="L75" i="4"/>
  <c r="L77" i="4"/>
  <c r="L79" i="4"/>
  <c r="M75" i="4"/>
  <c r="M77" i="4"/>
  <c r="M79" i="4"/>
  <c r="N75" i="4"/>
  <c r="N77" i="4"/>
  <c r="N79" i="4"/>
  <c r="O75" i="4"/>
  <c r="O77" i="4"/>
  <c r="O79" i="4"/>
  <c r="F76" i="4"/>
  <c r="F78" i="4"/>
  <c r="F80" i="4"/>
  <c r="G76" i="4"/>
  <c r="G78" i="4"/>
  <c r="G80" i="4"/>
  <c r="H76" i="4"/>
  <c r="H78" i="4"/>
  <c r="H80" i="4"/>
  <c r="I76" i="4"/>
  <c r="I78" i="4"/>
  <c r="I80" i="4"/>
  <c r="J76" i="4"/>
  <c r="J78" i="4"/>
  <c r="J80" i="4"/>
  <c r="K76" i="4"/>
  <c r="K78" i="4"/>
  <c r="K80" i="4"/>
  <c r="L76" i="4"/>
  <c r="L78" i="4"/>
  <c r="L80" i="4"/>
  <c r="M76" i="4"/>
  <c r="M78" i="4"/>
  <c r="M80" i="4"/>
  <c r="N76" i="4"/>
  <c r="N78" i="4"/>
  <c r="N80" i="4"/>
  <c r="O76" i="4"/>
  <c r="O78" i="4"/>
  <c r="O80" i="4"/>
  <c r="E75" i="4"/>
  <c r="E77" i="4"/>
  <c r="E79" i="4"/>
  <c r="E76" i="4"/>
  <c r="E78" i="4"/>
  <c r="E80" i="4"/>
  <c r="E68" i="4"/>
  <c r="E69" i="4"/>
  <c r="E70" i="4"/>
  <c r="E71" i="4"/>
  <c r="E72" i="4"/>
  <c r="E73" i="4"/>
  <c r="E61" i="4"/>
  <c r="E62" i="4"/>
  <c r="E63" i="4"/>
  <c r="E64" i="4"/>
  <c r="E65" i="4"/>
  <c r="E66" i="4"/>
  <c r="M14" i="1"/>
  <c r="M16" i="1" s="1"/>
  <c r="O29" i="16" s="1"/>
  <c r="M13" i="1"/>
  <c r="C14" i="1"/>
  <c r="C16" i="1" s="1"/>
  <c r="E29" i="16" s="1"/>
  <c r="C18" i="1"/>
  <c r="C13" i="1"/>
  <c r="C47" i="1"/>
  <c r="C61" i="1"/>
  <c r="E17" i="6"/>
  <c r="F17" i="6"/>
  <c r="D81" i="1" s="1"/>
  <c r="F27" i="6"/>
  <c r="D90" i="1"/>
  <c r="G27" i="6"/>
  <c r="E90" i="1"/>
  <c r="H27" i="6"/>
  <c r="F90" i="1"/>
  <c r="I27" i="6"/>
  <c r="G90" i="1" s="1"/>
  <c r="J27" i="6"/>
  <c r="H90" i="1"/>
  <c r="K27" i="6"/>
  <c r="I90" i="1"/>
  <c r="L27" i="6"/>
  <c r="J90" i="1"/>
  <c r="M27" i="6"/>
  <c r="K90" i="1" s="1"/>
  <c r="X17" i="6"/>
  <c r="V81" i="1" s="1"/>
  <c r="Y17" i="6"/>
  <c r="W81" i="1" s="1"/>
  <c r="E27" i="6"/>
  <c r="C90" i="1"/>
  <c r="W131" i="4"/>
  <c r="U73" i="1" s="1"/>
  <c r="D61" i="1"/>
  <c r="E61" i="1"/>
  <c r="F61" i="1"/>
  <c r="G61" i="1"/>
  <c r="H61" i="1"/>
  <c r="I61" i="1"/>
  <c r="J61" i="1"/>
  <c r="K61" i="1"/>
  <c r="P31" i="16"/>
  <c r="Q31" i="16"/>
  <c r="R31" i="16"/>
  <c r="S31" i="16"/>
  <c r="T31" i="16"/>
  <c r="U31" i="16"/>
  <c r="V31" i="16"/>
  <c r="W31" i="16"/>
  <c r="X31" i="16"/>
  <c r="Y31" i="16"/>
  <c r="Z31" i="16"/>
  <c r="AA31" i="16"/>
  <c r="D47" i="1"/>
  <c r="E47" i="1"/>
  <c r="F47" i="1"/>
  <c r="G47" i="1"/>
  <c r="H47" i="1"/>
  <c r="I47" i="1"/>
  <c r="J47" i="1"/>
  <c r="K47" i="1"/>
  <c r="P30" i="16"/>
  <c r="Q30" i="16"/>
  <c r="R30" i="16"/>
  <c r="S30" i="16"/>
  <c r="T30" i="16"/>
  <c r="U30" i="16"/>
  <c r="V30" i="16"/>
  <c r="W30" i="16"/>
  <c r="X30" i="16"/>
  <c r="Y30" i="16"/>
  <c r="Z30" i="16"/>
  <c r="AA30" i="16"/>
  <c r="D14" i="1"/>
  <c r="D16" i="1" s="1"/>
  <c r="F29" i="16" s="1"/>
  <c r="D18" i="1"/>
  <c r="D13" i="1"/>
  <c r="E14" i="1"/>
  <c r="E16" i="1" s="1"/>
  <c r="G29" i="16" s="1"/>
  <c r="E18" i="1"/>
  <c r="E13" i="1"/>
  <c r="F14" i="1"/>
  <c r="F16" i="1" s="1"/>
  <c r="H29" i="16" s="1"/>
  <c r="F18" i="1"/>
  <c r="F13" i="1"/>
  <c r="G14" i="1"/>
  <c r="G16" i="1" s="1"/>
  <c r="I29" i="16" s="1"/>
  <c r="G18" i="1"/>
  <c r="G13" i="1"/>
  <c r="H14" i="1"/>
  <c r="H16" i="1" s="1"/>
  <c r="J29" i="16" s="1"/>
  <c r="H18" i="1"/>
  <c r="H13" i="1"/>
  <c r="I14" i="1"/>
  <c r="I16" i="1" s="1"/>
  <c r="K29" i="16" s="1"/>
  <c r="I18" i="1"/>
  <c r="I13" i="1"/>
  <c r="J14" i="1"/>
  <c r="J16" i="1" s="1"/>
  <c r="L29" i="16" s="1"/>
  <c r="J18" i="1"/>
  <c r="J13" i="1"/>
  <c r="K14" i="1"/>
  <c r="K16" i="1" s="1"/>
  <c r="M29" i="16" s="1"/>
  <c r="K18" i="1"/>
  <c r="K13" i="1"/>
  <c r="L14" i="1"/>
  <c r="L16" i="1" s="1"/>
  <c r="N29" i="16" s="1"/>
  <c r="L13" i="1"/>
  <c r="P29" i="16"/>
  <c r="Q29" i="16"/>
  <c r="R29" i="16"/>
  <c r="S29" i="16"/>
  <c r="T29" i="16"/>
  <c r="U29" i="16"/>
  <c r="V29" i="16"/>
  <c r="W29" i="16"/>
  <c r="X29" i="16"/>
  <c r="Y29" i="16"/>
  <c r="Z29" i="16"/>
  <c r="AA29" i="16"/>
  <c r="F6" i="6"/>
  <c r="D95" i="1" s="1"/>
  <c r="G6" i="6"/>
  <c r="E95" i="1" s="1"/>
  <c r="G5" i="6"/>
  <c r="E94" i="1" s="1"/>
  <c r="H6" i="6"/>
  <c r="H5" i="6" s="1"/>
  <c r="F94" i="1" s="1"/>
  <c r="I6" i="6"/>
  <c r="G95" i="1" s="1"/>
  <c r="I5" i="6"/>
  <c r="G94" i="1" s="1"/>
  <c r="J6" i="6"/>
  <c r="H95" i="1" s="1"/>
  <c r="K6" i="6"/>
  <c r="I95" i="1" s="1"/>
  <c r="K5" i="6"/>
  <c r="I94" i="1" s="1"/>
  <c r="L6" i="6"/>
  <c r="J95" i="1" s="1"/>
  <c r="M6" i="6"/>
  <c r="K95" i="1" s="1"/>
  <c r="M5" i="6"/>
  <c r="K94" i="1" s="1"/>
  <c r="N7" i="6"/>
  <c r="O7" i="6" s="1"/>
  <c r="N8" i="6"/>
  <c r="N9" i="6"/>
  <c r="O8" i="6"/>
  <c r="P8" i="6" s="1"/>
  <c r="Q8" i="6" s="1"/>
  <c r="R8" i="6" s="1"/>
  <c r="S8" i="6" s="1"/>
  <c r="T8" i="6" s="1"/>
  <c r="U8" i="6" s="1"/>
  <c r="V8" i="6" s="1"/>
  <c r="W8" i="6" s="1"/>
  <c r="X8" i="6" s="1"/>
  <c r="Y8" i="6" s="1"/>
  <c r="Z8" i="6" s="1"/>
  <c r="AA8" i="6" s="1"/>
  <c r="O9" i="6"/>
  <c r="P9" i="6" s="1"/>
  <c r="Q9" i="6" s="1"/>
  <c r="R9" i="6" s="1"/>
  <c r="S9" i="6" s="1"/>
  <c r="T9" i="6" s="1"/>
  <c r="U9" i="6" s="1"/>
  <c r="V9" i="6" s="1"/>
  <c r="W9" i="6"/>
  <c r="X9" i="6" s="1"/>
  <c r="Y9" i="6" s="1"/>
  <c r="Z9" i="6" s="1"/>
  <c r="AA9" i="6" s="1"/>
  <c r="E6" i="6"/>
  <c r="E47" i="6"/>
  <c r="E48" i="6"/>
  <c r="F48" i="6" s="1"/>
  <c r="G48" i="6" s="1"/>
  <c r="H48" i="6" s="1"/>
  <c r="I48" i="6" s="1"/>
  <c r="J48" i="6" s="1"/>
  <c r="K48" i="6" s="1"/>
  <c r="L48" i="6" s="1"/>
  <c r="M48" i="6" s="1"/>
  <c r="N48" i="6" s="1"/>
  <c r="O48" i="6" s="1"/>
  <c r="P48" i="6" s="1"/>
  <c r="Q48" i="6" s="1"/>
  <c r="R48" i="6" s="1"/>
  <c r="S48" i="6" s="1"/>
  <c r="T48" i="6" s="1"/>
  <c r="U48" i="6" s="1"/>
  <c r="V48" i="6" s="1"/>
  <c r="W48" i="6" s="1"/>
  <c r="X48" i="6" s="1"/>
  <c r="Y48" i="6" s="1"/>
  <c r="Z48" i="6" s="1"/>
  <c r="AA48" i="6" s="1"/>
  <c r="E45" i="6"/>
  <c r="E46" i="6"/>
  <c r="F46" i="6" s="1"/>
  <c r="G46" i="6" s="1"/>
  <c r="H46" i="6" s="1"/>
  <c r="I46" i="6" s="1"/>
  <c r="J46" i="6" s="1"/>
  <c r="K46" i="6" s="1"/>
  <c r="L46" i="6" s="1"/>
  <c r="M46" i="6" s="1"/>
  <c r="N46" i="6" s="1"/>
  <c r="O46" i="6" s="1"/>
  <c r="P46" i="6" s="1"/>
  <c r="Q46" i="6" s="1"/>
  <c r="R46" i="6" s="1"/>
  <c r="S46" i="6" s="1"/>
  <c r="T46" i="6" s="1"/>
  <c r="U46" i="6" s="1"/>
  <c r="V46" i="6" s="1"/>
  <c r="W46" i="6" s="1"/>
  <c r="X46" i="6" s="1"/>
  <c r="Y46" i="6" s="1"/>
  <c r="Z46" i="6" s="1"/>
  <c r="AA46" i="6" s="1"/>
  <c r="E43" i="6"/>
  <c r="E44" i="6"/>
  <c r="F44" i="6" s="1"/>
  <c r="G44" i="6" s="1"/>
  <c r="H44" i="6" s="1"/>
  <c r="I44" i="6" s="1"/>
  <c r="J44" i="6" s="1"/>
  <c r="K44" i="6" s="1"/>
  <c r="L44" i="6" s="1"/>
  <c r="M44" i="6" s="1"/>
  <c r="N44" i="6" s="1"/>
  <c r="O44" i="6" s="1"/>
  <c r="P44" i="6" s="1"/>
  <c r="Q44" i="6" s="1"/>
  <c r="R44" i="6" s="1"/>
  <c r="S44" i="6" s="1"/>
  <c r="T44" i="6" s="1"/>
  <c r="U44" i="6" s="1"/>
  <c r="V44" i="6" s="1"/>
  <c r="W44" i="6" s="1"/>
  <c r="X44" i="6" s="1"/>
  <c r="Y44" i="6" s="1"/>
  <c r="Z44" i="6" s="1"/>
  <c r="AA44" i="6" s="1"/>
  <c r="U66" i="1"/>
  <c r="D68" i="1"/>
  <c r="E68" i="1"/>
  <c r="F68" i="1"/>
  <c r="G68" i="1"/>
  <c r="H68" i="1"/>
  <c r="I68" i="1"/>
  <c r="J68" i="1"/>
  <c r="K68" i="1"/>
  <c r="C68" i="1"/>
  <c r="P5" i="16"/>
  <c r="Q5" i="16"/>
  <c r="R5" i="16"/>
  <c r="S5" i="16"/>
  <c r="T5" i="16"/>
  <c r="U5" i="16"/>
  <c r="V5" i="16"/>
  <c r="W5" i="16"/>
  <c r="X5" i="16"/>
  <c r="Y5" i="16"/>
  <c r="Z5" i="16"/>
  <c r="AA5" i="16"/>
  <c r="D54" i="1"/>
  <c r="E54" i="1"/>
  <c r="F54" i="1"/>
  <c r="G54" i="1"/>
  <c r="H54" i="1"/>
  <c r="I54" i="1"/>
  <c r="J54" i="1"/>
  <c r="K54" i="1"/>
  <c r="C54" i="1"/>
  <c r="P4" i="16"/>
  <c r="Q4" i="16"/>
  <c r="R4" i="16"/>
  <c r="S4" i="16"/>
  <c r="T4" i="16"/>
  <c r="U4" i="16"/>
  <c r="V4" i="16"/>
  <c r="W4" i="16"/>
  <c r="X4" i="16"/>
  <c r="Y4" i="16"/>
  <c r="Z4" i="16"/>
  <c r="AA4" i="16"/>
  <c r="D37" i="1"/>
  <c r="E37" i="1"/>
  <c r="F37" i="1"/>
  <c r="G37" i="1"/>
  <c r="H37" i="1"/>
  <c r="I37" i="1"/>
  <c r="J37" i="1"/>
  <c r="K37" i="1"/>
  <c r="C37" i="1"/>
  <c r="Q3" i="16"/>
  <c r="R3" i="16"/>
  <c r="S3" i="16"/>
  <c r="T3" i="16"/>
  <c r="U3" i="16"/>
  <c r="V3" i="16"/>
  <c r="W3" i="16"/>
  <c r="X3" i="16"/>
  <c r="Y3" i="16"/>
  <c r="Z3" i="16"/>
  <c r="AA3" i="16"/>
  <c r="P3" i="16"/>
  <c r="D8" i="1"/>
  <c r="D10" i="1"/>
  <c r="D6" i="1"/>
  <c r="D5" i="1"/>
  <c r="F3" i="16"/>
  <c r="E8" i="1"/>
  <c r="E10" i="1"/>
  <c r="E6" i="1"/>
  <c r="G3" i="16" s="1"/>
  <c r="E5" i="1"/>
  <c r="F8" i="1"/>
  <c r="F10" i="1"/>
  <c r="F6" i="1"/>
  <c r="H3" i="16" s="1"/>
  <c r="F5" i="1"/>
  <c r="G8" i="1"/>
  <c r="G10" i="1"/>
  <c r="G6" i="1"/>
  <c r="I3" i="16" s="1"/>
  <c r="G5" i="1"/>
  <c r="H8" i="1"/>
  <c r="H10" i="1"/>
  <c r="H6" i="1"/>
  <c r="J3" i="16" s="1"/>
  <c r="H5" i="1"/>
  <c r="I8" i="1"/>
  <c r="I10" i="1"/>
  <c r="I6" i="1"/>
  <c r="K3" i="16" s="1"/>
  <c r="I5" i="1"/>
  <c r="J8" i="1"/>
  <c r="J10" i="1"/>
  <c r="J6" i="1"/>
  <c r="L3" i="16" s="1"/>
  <c r="J5" i="1"/>
  <c r="K8" i="1"/>
  <c r="K10" i="1"/>
  <c r="K6" i="1"/>
  <c r="M3" i="16" s="1"/>
  <c r="K5" i="1"/>
  <c r="L8" i="1"/>
  <c r="L6" i="1"/>
  <c r="L5" i="1"/>
  <c r="M8" i="1"/>
  <c r="M6" i="1"/>
  <c r="M5" i="1"/>
  <c r="C8" i="1"/>
  <c r="C10" i="1"/>
  <c r="C6" i="1"/>
  <c r="E3" i="16" s="1"/>
  <c r="C5" i="1"/>
  <c r="F80" i="6"/>
  <c r="G80" i="6"/>
  <c r="E154" i="1" s="1"/>
  <c r="F81" i="6"/>
  <c r="G81" i="6" s="1"/>
  <c r="H81" i="6"/>
  <c r="I81" i="6" s="1"/>
  <c r="J81" i="6" s="1"/>
  <c r="K81" i="6" s="1"/>
  <c r="L81" i="6" s="1"/>
  <c r="M81" i="6" s="1"/>
  <c r="N81" i="6" s="1"/>
  <c r="O81" i="6" s="1"/>
  <c r="P81" i="6" s="1"/>
  <c r="Q81" i="6" s="1"/>
  <c r="R81" i="6" s="1"/>
  <c r="S81" i="6" s="1"/>
  <c r="T81" i="6" s="1"/>
  <c r="U81" i="6" s="1"/>
  <c r="V81" i="6" s="1"/>
  <c r="W81" i="6" s="1"/>
  <c r="X81" i="6" s="1"/>
  <c r="Y81" i="6" s="1"/>
  <c r="Z81" i="6" s="1"/>
  <c r="AA81" i="6" s="1"/>
  <c r="F83" i="6"/>
  <c r="G83" i="6"/>
  <c r="E150" i="1" s="1"/>
  <c r="H83" i="6"/>
  <c r="I83" i="6" s="1"/>
  <c r="J83" i="6"/>
  <c r="K83" i="6" s="1"/>
  <c r="F84" i="6"/>
  <c r="G84" i="6" s="1"/>
  <c r="H84" i="6"/>
  <c r="F150" i="1" s="1"/>
  <c r="F86" i="6"/>
  <c r="G86" i="6" s="1"/>
  <c r="H86" i="6" s="1"/>
  <c r="F87" i="6"/>
  <c r="G87" i="6" s="1"/>
  <c r="H87" i="6"/>
  <c r="I87" i="6" s="1"/>
  <c r="J87" i="6" s="1"/>
  <c r="K87" i="6" s="1"/>
  <c r="L87" i="6" s="1"/>
  <c r="M87" i="6" s="1"/>
  <c r="N87" i="6" s="1"/>
  <c r="O87" i="6" s="1"/>
  <c r="P87" i="6" s="1"/>
  <c r="Q87" i="6" s="1"/>
  <c r="R87" i="6" s="1"/>
  <c r="S87" i="6" s="1"/>
  <c r="T87" i="6" s="1"/>
  <c r="U87" i="6" s="1"/>
  <c r="V87" i="6" s="1"/>
  <c r="W87" i="6" s="1"/>
  <c r="X87" i="6" s="1"/>
  <c r="Y87" i="6" s="1"/>
  <c r="Z87" i="6" s="1"/>
  <c r="AA87" i="6" s="1"/>
  <c r="D15" i="1"/>
  <c r="F15" i="1"/>
  <c r="J15" i="1"/>
  <c r="K15" i="1"/>
  <c r="C15" i="1"/>
  <c r="D107" i="6"/>
  <c r="D109" i="6"/>
  <c r="D110" i="6"/>
  <c r="D112" i="6"/>
  <c r="D113" i="6"/>
  <c r="L101" i="1"/>
  <c r="M101" i="1"/>
  <c r="N101" i="1"/>
  <c r="O101" i="1"/>
  <c r="P101" i="1"/>
  <c r="Q101" i="1"/>
  <c r="R101" i="1"/>
  <c r="S101" i="1"/>
  <c r="T101" i="1"/>
  <c r="U101" i="1"/>
  <c r="V101" i="1"/>
  <c r="W101" i="1"/>
  <c r="X101" i="1"/>
  <c r="Y101" i="1"/>
  <c r="F1" i="16"/>
  <c r="G1" i="16" s="1"/>
  <c r="H1" i="16" s="1"/>
  <c r="I1" i="16" s="1"/>
  <c r="J1" i="16" s="1"/>
  <c r="K1" i="16" s="1"/>
  <c r="L1" i="16" s="1"/>
  <c r="M1" i="16" s="1"/>
  <c r="N1" i="16" s="1"/>
  <c r="O1" i="16" s="1"/>
  <c r="P1" i="16" s="1"/>
  <c r="Q1" i="16" s="1"/>
  <c r="R1" i="16" s="1"/>
  <c r="S1" i="16" s="1"/>
  <c r="T1" i="16" s="1"/>
  <c r="U1" i="16" s="1"/>
  <c r="V1" i="16" s="1"/>
  <c r="W1" i="16" s="1"/>
  <c r="X1" i="16" s="1"/>
  <c r="Y1" i="16" s="1"/>
  <c r="Z1" i="16" s="1"/>
  <c r="AA1" i="16" s="1"/>
  <c r="Y159" i="1"/>
  <c r="X159" i="1"/>
  <c r="W159" i="1"/>
  <c r="V159" i="1"/>
  <c r="U159" i="1"/>
  <c r="T159" i="1"/>
  <c r="S159" i="1"/>
  <c r="R159" i="1"/>
  <c r="Q159" i="1"/>
  <c r="P159" i="1"/>
  <c r="O159" i="1"/>
  <c r="N159" i="1"/>
  <c r="B25" i="6"/>
  <c r="B132" i="4"/>
  <c r="B130" i="4"/>
  <c r="W130" i="4" s="1"/>
  <c r="U72" i="1" s="1"/>
  <c r="D154" i="1"/>
  <c r="D150" i="1"/>
  <c r="D146" i="1"/>
  <c r="E146" i="1"/>
  <c r="H25" i="10"/>
  <c r="H26" i="10"/>
  <c r="D135" i="1"/>
  <c r="E135" i="1"/>
  <c r="F135" i="1"/>
  <c r="G135" i="1"/>
  <c r="H135" i="1"/>
  <c r="I135" i="1"/>
  <c r="J135" i="1"/>
  <c r="K135" i="1"/>
  <c r="C154" i="1"/>
  <c r="C150" i="1"/>
  <c r="C146" i="1"/>
  <c r="C135" i="1"/>
  <c r="V34"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61" i="12"/>
  <c r="V62" i="12"/>
  <c r="V63" i="12"/>
  <c r="V64" i="12"/>
  <c r="V65" i="12"/>
  <c r="V66" i="12"/>
  <c r="V67" i="12"/>
  <c r="V68" i="12"/>
  <c r="V69" i="12"/>
  <c r="V70" i="12"/>
  <c r="V71" i="12"/>
  <c r="V72" i="12"/>
  <c r="V73" i="12"/>
  <c r="V74" i="12"/>
  <c r="V75" i="12"/>
  <c r="V76" i="12"/>
  <c r="V77" i="12"/>
  <c r="V78" i="12"/>
  <c r="V79" i="12"/>
  <c r="V80" i="12"/>
  <c r="V81" i="12"/>
  <c r="V82" i="12"/>
  <c r="V83" i="12"/>
  <c r="V84" i="12"/>
  <c r="V85" i="12"/>
  <c r="V86" i="12"/>
  <c r="V87" i="12"/>
  <c r="V88" i="12"/>
  <c r="V89" i="12"/>
  <c r="V90" i="12"/>
  <c r="V91" i="12"/>
  <c r="V92" i="12"/>
  <c r="V93" i="12"/>
  <c r="V94" i="12"/>
  <c r="V95" i="12"/>
  <c r="V96" i="12"/>
  <c r="V97" i="12"/>
  <c r="V98" i="12"/>
  <c r="V99" i="12"/>
  <c r="V100" i="12"/>
  <c r="V101" i="12"/>
  <c r="V102" i="12"/>
  <c r="V103" i="12"/>
  <c r="V104" i="12"/>
  <c r="V105" i="12"/>
  <c r="V106" i="12"/>
  <c r="V107" i="12"/>
  <c r="V108" i="12"/>
  <c r="V109" i="12"/>
  <c r="V110" i="12"/>
  <c r="V111" i="12"/>
  <c r="V112" i="12"/>
  <c r="V113" i="12"/>
  <c r="V114" i="12"/>
  <c r="V115" i="12"/>
  <c r="V116" i="12"/>
  <c r="V117" i="12"/>
  <c r="V118" i="12"/>
  <c r="V119" i="12"/>
  <c r="V120" i="12"/>
  <c r="V121" i="12"/>
  <c r="V122" i="12"/>
  <c r="V123" i="12"/>
  <c r="V124" i="12"/>
  <c r="V125" i="12"/>
  <c r="V126" i="12"/>
  <c r="V127" i="12"/>
  <c r="V128" i="12"/>
  <c r="V129" i="12"/>
  <c r="V130" i="12"/>
  <c r="V131" i="12"/>
  <c r="V132" i="12"/>
  <c r="V133" i="12"/>
  <c r="V134" i="12"/>
  <c r="V135" i="12"/>
  <c r="V136" i="12"/>
  <c r="V137" i="12"/>
  <c r="V138" i="12"/>
  <c r="V139" i="12"/>
  <c r="V140" i="12"/>
  <c r="V141" i="12"/>
  <c r="V142" i="12"/>
  <c r="V143" i="12"/>
  <c r="V144" i="12"/>
  <c r="V145" i="12"/>
  <c r="V146" i="12"/>
  <c r="V147" i="12"/>
  <c r="V148" i="12"/>
  <c r="V149" i="12"/>
  <c r="V150" i="12"/>
  <c r="V151" i="12"/>
  <c r="V152" i="12"/>
  <c r="V153" i="12"/>
  <c r="V154" i="12"/>
  <c r="V155" i="12"/>
  <c r="V156" i="12"/>
  <c r="V157" i="12"/>
  <c r="V158" i="12"/>
  <c r="V159" i="12"/>
  <c r="V160" i="12"/>
  <c r="V161" i="12"/>
  <c r="V162" i="12"/>
  <c r="V163" i="12"/>
  <c r="V164" i="12"/>
  <c r="V165" i="12"/>
  <c r="V166" i="12"/>
  <c r="V167" i="12"/>
  <c r="V168" i="12"/>
  <c r="V169" i="12"/>
  <c r="V170" i="12"/>
  <c r="V171" i="12"/>
  <c r="V172" i="12"/>
  <c r="V173" i="12"/>
  <c r="V174" i="12"/>
  <c r="V175" i="12"/>
  <c r="V176" i="12"/>
  <c r="V177" i="12"/>
  <c r="V178" i="12"/>
  <c r="V179" i="12"/>
  <c r="V180" i="12"/>
  <c r="V181" i="12"/>
  <c r="V182" i="12"/>
  <c r="V183" i="12"/>
  <c r="V184" i="12"/>
  <c r="V185" i="12"/>
  <c r="V186" i="12"/>
  <c r="V187" i="12"/>
  <c r="V188" i="12"/>
  <c r="V189" i="12"/>
  <c r="V190" i="12"/>
  <c r="V191" i="12"/>
  <c r="V192" i="12"/>
  <c r="V193" i="12"/>
  <c r="V194" i="12"/>
  <c r="V195" i="12"/>
  <c r="V196" i="12"/>
  <c r="V197" i="12"/>
  <c r="V198" i="12"/>
  <c r="V199" i="12"/>
  <c r="V200" i="12"/>
  <c r="V201" i="12"/>
  <c r="V202" i="12"/>
  <c r="V203" i="12"/>
  <c r="V204" i="12"/>
  <c r="V205" i="12"/>
  <c r="V206" i="12"/>
  <c r="V207" i="12"/>
  <c r="V208" i="12"/>
  <c r="V209" i="12"/>
  <c r="V210" i="12"/>
  <c r="V211" i="12"/>
  <c r="V212" i="12"/>
  <c r="V213" i="12"/>
  <c r="V214" i="12"/>
  <c r="V215" i="12"/>
  <c r="V216" i="12"/>
  <c r="V217" i="12"/>
  <c r="V218" i="12"/>
  <c r="V219" i="12"/>
  <c r="V220" i="12"/>
  <c r="V221" i="12"/>
  <c r="V222" i="12"/>
  <c r="V223" i="12"/>
  <c r="V224" i="12"/>
  <c r="V225" i="12"/>
  <c r="V226" i="12"/>
  <c r="V227" i="12"/>
  <c r="V228" i="12"/>
  <c r="V229" i="12"/>
  <c r="V230" i="12"/>
  <c r="V231" i="12"/>
  <c r="V232" i="12"/>
  <c r="V233" i="12"/>
  <c r="V234" i="12"/>
  <c r="V235" i="12"/>
  <c r="V236" i="12"/>
  <c r="V237" i="12"/>
  <c r="V238" i="12"/>
  <c r="V239" i="12"/>
  <c r="V240" i="12"/>
  <c r="V241" i="12"/>
  <c r="V242" i="12"/>
  <c r="V243" i="12"/>
  <c r="V244" i="12"/>
  <c r="V245" i="12"/>
  <c r="V246" i="12"/>
  <c r="V247" i="12"/>
  <c r="V248" i="12"/>
  <c r="V249" i="12"/>
  <c r="V250" i="12"/>
  <c r="V251" i="12"/>
  <c r="V252" i="12"/>
  <c r="V253" i="12"/>
  <c r="V254" i="12"/>
  <c r="V255" i="12"/>
  <c r="V256" i="12"/>
  <c r="V257" i="12"/>
  <c r="V258" i="12"/>
  <c r="V259" i="12"/>
  <c r="V260" i="12"/>
  <c r="V261" i="12"/>
  <c r="V262" i="12"/>
  <c r="V263" i="12"/>
  <c r="V264" i="12"/>
  <c r="V265" i="12"/>
  <c r="V266" i="12"/>
  <c r="V267" i="12"/>
  <c r="V268" i="12"/>
  <c r="V269" i="12"/>
  <c r="V270" i="12"/>
  <c r="V271" i="12"/>
  <c r="V272" i="12"/>
  <c r="V273" i="12"/>
  <c r="V274" i="12"/>
  <c r="V275" i="12"/>
  <c r="V276" i="12"/>
  <c r="V277" i="12"/>
  <c r="V278" i="12"/>
  <c r="V279" i="12"/>
  <c r="V280" i="12"/>
  <c r="V281" i="12"/>
  <c r="V282" i="12"/>
  <c r="V283" i="12"/>
  <c r="V284" i="12"/>
  <c r="V285" i="12"/>
  <c r="V286" i="12"/>
  <c r="V287" i="12"/>
  <c r="V288" i="12"/>
  <c r="V289" i="12"/>
  <c r="V290" i="12"/>
  <c r="V291" i="12"/>
  <c r="V292" i="12"/>
  <c r="V293" i="12"/>
  <c r="V294" i="12"/>
  <c r="V295" i="12"/>
  <c r="V296" i="12"/>
  <c r="V297" i="12"/>
  <c r="V298" i="12"/>
  <c r="V299" i="12"/>
  <c r="V300" i="12"/>
  <c r="V301" i="12"/>
  <c r="V302" i="12"/>
  <c r="V303" i="12"/>
  <c r="V304" i="12"/>
  <c r="V305" i="12"/>
  <c r="V306" i="12"/>
  <c r="V307" i="12"/>
  <c r="V308" i="12"/>
  <c r="V309" i="12"/>
  <c r="V310" i="12"/>
  <c r="V311" i="12"/>
  <c r="V312" i="12"/>
  <c r="V313" i="12"/>
  <c r="V314" i="12"/>
  <c r="V315" i="12"/>
  <c r="V316" i="12"/>
  <c r="V317" i="12"/>
  <c r="V318" i="12"/>
  <c r="V319" i="12"/>
  <c r="V320" i="12"/>
  <c r="V321" i="12"/>
  <c r="V322" i="12"/>
  <c r="V323" i="12"/>
  <c r="V324" i="12"/>
  <c r="V325" i="12"/>
  <c r="V326" i="12"/>
  <c r="V327" i="12"/>
  <c r="V328" i="12"/>
  <c r="V329" i="12"/>
  <c r="V330" i="12"/>
  <c r="V331" i="12"/>
  <c r="V332" i="12"/>
  <c r="V333" i="12"/>
  <c r="V334" i="12"/>
  <c r="V335" i="12"/>
  <c r="V336" i="12"/>
  <c r="V337" i="12"/>
  <c r="V338" i="12"/>
  <c r="V339" i="12"/>
  <c r="V340" i="12"/>
  <c r="V341" i="12"/>
  <c r="V342" i="12"/>
  <c r="V343" i="12"/>
  <c r="V344" i="12"/>
  <c r="V345" i="12"/>
  <c r="V346" i="12"/>
  <c r="V347" i="12"/>
  <c r="V348" i="12"/>
  <c r="V349" i="12"/>
  <c r="V350" i="12"/>
  <c r="V351" i="12"/>
  <c r="V352" i="12"/>
  <c r="V353" i="12"/>
  <c r="V354" i="12"/>
  <c r="V355" i="12"/>
  <c r="V356" i="12"/>
  <c r="V357" i="12"/>
  <c r="V358" i="12"/>
  <c r="V359" i="12"/>
  <c r="V360" i="12"/>
  <c r="V361" i="12"/>
  <c r="V362" i="12"/>
  <c r="V363" i="12"/>
  <c r="V364" i="12"/>
  <c r="V365" i="12"/>
  <c r="V366" i="12"/>
  <c r="V367" i="12"/>
  <c r="V368" i="12"/>
  <c r="V369" i="12"/>
  <c r="V370" i="12"/>
  <c r="V371" i="12"/>
  <c r="V372" i="12"/>
  <c r="V373" i="12"/>
  <c r="V374" i="12"/>
  <c r="V375" i="12"/>
  <c r="V376" i="12"/>
  <c r="V377" i="12"/>
  <c r="V378" i="12"/>
  <c r="V379" i="12"/>
  <c r="V380" i="12"/>
  <c r="V381" i="12"/>
  <c r="V382" i="12"/>
  <c r="V383" i="12"/>
  <c r="V384" i="12"/>
  <c r="V385" i="12"/>
  <c r="V386" i="12"/>
  <c r="V387" i="12"/>
  <c r="V388" i="12"/>
  <c r="V389" i="12"/>
  <c r="V390" i="12"/>
  <c r="V391" i="12"/>
  <c r="V392" i="12"/>
  <c r="V393" i="12"/>
  <c r="V394" i="12"/>
  <c r="V395" i="12"/>
  <c r="V396" i="12"/>
  <c r="V397" i="12"/>
  <c r="V398" i="12"/>
  <c r="V399" i="12"/>
  <c r="V400" i="12"/>
  <c r="V401" i="12"/>
  <c r="V402" i="12"/>
  <c r="V403" i="12"/>
  <c r="V404" i="12"/>
  <c r="V405" i="12"/>
  <c r="V406" i="12"/>
  <c r="V407" i="12"/>
  <c r="V408" i="12"/>
  <c r="V409" i="12"/>
  <c r="V410" i="12"/>
  <c r="V411" i="12"/>
  <c r="V412" i="12"/>
  <c r="V413" i="12"/>
  <c r="V414" i="12"/>
  <c r="V415" i="12"/>
  <c r="V416" i="12"/>
  <c r="V417" i="12"/>
  <c r="V418" i="12"/>
  <c r="V419" i="12"/>
  <c r="V420" i="12"/>
  <c r="V421" i="12"/>
  <c r="V422" i="12"/>
  <c r="V423" i="12"/>
  <c r="V424" i="12"/>
  <c r="V425" i="12"/>
  <c r="V426" i="12"/>
  <c r="V427" i="12"/>
  <c r="V428" i="12"/>
  <c r="V429" i="12"/>
  <c r="V430" i="12"/>
  <c r="V431" i="12"/>
  <c r="V432" i="12"/>
  <c r="V433" i="12"/>
  <c r="V434" i="12"/>
  <c r="V435" i="12"/>
  <c r="V436" i="12"/>
  <c r="V437" i="12"/>
  <c r="V438" i="12"/>
  <c r="V439" i="12"/>
  <c r="V440" i="12"/>
  <c r="V441" i="12"/>
  <c r="V442" i="12"/>
  <c r="V443" i="12"/>
  <c r="V444" i="12"/>
  <c r="V445" i="12"/>
  <c r="V446" i="12"/>
  <c r="V447" i="12"/>
  <c r="V448" i="12"/>
  <c r="V449" i="12"/>
  <c r="V450" i="12"/>
  <c r="V451" i="12"/>
  <c r="V452" i="12"/>
  <c r="V453" i="12"/>
  <c r="V454" i="12"/>
  <c r="V455" i="12"/>
  <c r="V456" i="12"/>
  <c r="V457" i="12"/>
  <c r="V458" i="12"/>
  <c r="V459" i="12"/>
  <c r="V460" i="12"/>
  <c r="V461" i="12"/>
  <c r="V462" i="12"/>
  <c r="V463" i="12"/>
  <c r="V464" i="12"/>
  <c r="V465" i="12"/>
  <c r="V466" i="12"/>
  <c r="V467" i="12"/>
  <c r="V468" i="12"/>
  <c r="V469" i="12"/>
  <c r="V470" i="12"/>
  <c r="V471" i="12"/>
  <c r="V472" i="12"/>
  <c r="V473" i="12"/>
  <c r="V474" i="12"/>
  <c r="V475" i="12"/>
  <c r="V476" i="12"/>
  <c r="V477" i="12"/>
  <c r="V478" i="12"/>
  <c r="V479" i="12"/>
  <c r="V480" i="12"/>
  <c r="V481" i="12"/>
  <c r="V482" i="12"/>
  <c r="V483" i="12"/>
  <c r="V484" i="12"/>
  <c r="V485" i="12"/>
  <c r="V486" i="12"/>
  <c r="V487" i="12"/>
  <c r="V488" i="12"/>
  <c r="V489" i="12"/>
  <c r="V490" i="12"/>
  <c r="V491" i="12"/>
  <c r="V492" i="12"/>
  <c r="V493" i="12"/>
  <c r="V494" i="12"/>
  <c r="V495" i="12"/>
  <c r="V496" i="12"/>
  <c r="V497" i="12"/>
  <c r="V498" i="12"/>
  <c r="V499" i="12"/>
  <c r="V500" i="12"/>
  <c r="V501" i="12"/>
  <c r="V502" i="12"/>
  <c r="V503" i="12"/>
  <c r="V504" i="12"/>
  <c r="V505" i="12"/>
  <c r="V506" i="12"/>
  <c r="V507" i="12"/>
  <c r="V508" i="12"/>
  <c r="V509" i="12"/>
  <c r="V510" i="12"/>
  <c r="V511" i="12"/>
  <c r="V512" i="12"/>
  <c r="V513" i="12"/>
  <c r="V514" i="12"/>
  <c r="V515" i="12"/>
  <c r="V516" i="12"/>
  <c r="V517" i="12"/>
  <c r="V518" i="12"/>
  <c r="V519" i="12"/>
  <c r="V520" i="12"/>
  <c r="V521" i="12"/>
  <c r="V522" i="12"/>
  <c r="V523" i="12"/>
  <c r="V524" i="12"/>
  <c r="V525" i="12"/>
  <c r="V526" i="12"/>
  <c r="V527" i="12"/>
  <c r="V528" i="12"/>
  <c r="V529" i="12"/>
  <c r="V530" i="12"/>
  <c r="V531" i="12"/>
  <c r="V532" i="12"/>
  <c r="V533" i="12"/>
  <c r="V534" i="12"/>
  <c r="V535" i="12"/>
  <c r="V536" i="12"/>
  <c r="V537" i="12"/>
  <c r="V538" i="12"/>
  <c r="V539" i="12"/>
  <c r="V540" i="12"/>
  <c r="V541" i="12"/>
  <c r="V542" i="12"/>
  <c r="V543" i="12"/>
  <c r="V544" i="12"/>
  <c r="V545" i="12"/>
  <c r="V546" i="12"/>
  <c r="V547" i="12"/>
  <c r="V548" i="12"/>
  <c r="V549" i="12"/>
  <c r="V550" i="12"/>
  <c r="V551" i="12"/>
  <c r="V552" i="12"/>
  <c r="V553" i="12"/>
  <c r="V554" i="12"/>
  <c r="V555" i="12"/>
  <c r="V556" i="12"/>
  <c r="V557" i="12"/>
  <c r="V558" i="12"/>
  <c r="V559" i="12"/>
  <c r="V560" i="12"/>
  <c r="V561" i="12"/>
  <c r="V562" i="12"/>
  <c r="V563" i="12"/>
  <c r="V564" i="12"/>
  <c r="V565" i="12"/>
  <c r="V566" i="12"/>
  <c r="V567" i="12"/>
  <c r="V568" i="12"/>
  <c r="V569" i="12"/>
  <c r="V570" i="12"/>
  <c r="V571" i="12"/>
  <c r="V572" i="12"/>
  <c r="V573" i="12"/>
  <c r="V574" i="12"/>
  <c r="V575" i="12"/>
  <c r="V576" i="12"/>
  <c r="V577" i="12"/>
  <c r="V578" i="12"/>
  <c r="V579" i="12"/>
  <c r="V580" i="12"/>
  <c r="V581" i="12"/>
  <c r="V582" i="12"/>
  <c r="V583" i="12"/>
  <c r="V584" i="12"/>
  <c r="V585" i="12"/>
  <c r="V586" i="12"/>
  <c r="V587" i="12"/>
  <c r="V588" i="12"/>
  <c r="V589" i="12"/>
  <c r="V590" i="12"/>
  <c r="V591" i="12"/>
  <c r="V592" i="12"/>
  <c r="V593" i="12"/>
  <c r="V594" i="12"/>
  <c r="V595" i="12"/>
  <c r="V596" i="12"/>
  <c r="V597" i="12"/>
  <c r="V598" i="12"/>
  <c r="V599" i="12"/>
  <c r="V600" i="12"/>
  <c r="V601" i="12"/>
  <c r="V602" i="12"/>
  <c r="V603" i="12"/>
  <c r="V604" i="12"/>
  <c r="V605" i="12"/>
  <c r="V606" i="12"/>
  <c r="V607" i="12"/>
  <c r="V608" i="12"/>
  <c r="V609" i="12"/>
  <c r="V610" i="12"/>
  <c r="V611" i="12"/>
  <c r="V612" i="12"/>
  <c r="V613" i="12"/>
  <c r="V614" i="12"/>
  <c r="V615" i="12"/>
  <c r="V616" i="12"/>
  <c r="V617" i="12"/>
  <c r="V618" i="12"/>
  <c r="V619" i="12"/>
  <c r="V620" i="12"/>
  <c r="V621" i="12"/>
  <c r="V622" i="12"/>
  <c r="V623" i="12"/>
  <c r="V624" i="12"/>
  <c r="V625" i="12"/>
  <c r="V626" i="12"/>
  <c r="V627" i="12"/>
  <c r="V628" i="12"/>
  <c r="V629" i="12"/>
  <c r="V630" i="12"/>
  <c r="V631" i="12"/>
  <c r="V632" i="12"/>
  <c r="V633" i="12"/>
  <c r="V634" i="12"/>
  <c r="V635" i="12"/>
  <c r="V636" i="12"/>
  <c r="V637" i="12"/>
  <c r="V638" i="12"/>
  <c r="V639" i="12"/>
  <c r="V640" i="12"/>
  <c r="V641" i="12"/>
  <c r="V642" i="12"/>
  <c r="V643" i="12"/>
  <c r="V644" i="12"/>
  <c r="V645" i="12"/>
  <c r="V646" i="12"/>
  <c r="V647" i="12"/>
  <c r="V648" i="12"/>
  <c r="V649" i="12"/>
  <c r="V650" i="12"/>
  <c r="V651" i="12"/>
  <c r="V652" i="12"/>
  <c r="V653" i="12"/>
  <c r="V654" i="12"/>
  <c r="V655" i="12"/>
  <c r="V656" i="12"/>
  <c r="V657" i="12"/>
  <c r="V658" i="12"/>
  <c r="V659" i="12"/>
  <c r="V660" i="12"/>
  <c r="V5" i="12"/>
  <c r="V6" i="12"/>
  <c r="V7" i="12"/>
  <c r="V8" i="12"/>
  <c r="V9" i="12"/>
  <c r="V10" i="12"/>
  <c r="V11" i="12"/>
  <c r="V12" i="12"/>
  <c r="V13" i="12"/>
  <c r="V14" i="12"/>
  <c r="V15" i="12"/>
  <c r="V16" i="12"/>
  <c r="V17" i="12"/>
  <c r="V18" i="12"/>
  <c r="V19" i="12"/>
  <c r="V20" i="12"/>
  <c r="V21" i="12"/>
  <c r="V22" i="12"/>
  <c r="V23" i="12"/>
  <c r="V24" i="12"/>
  <c r="V25" i="12"/>
  <c r="V26" i="12"/>
  <c r="V27" i="12"/>
  <c r="V28" i="12"/>
  <c r="V29" i="12"/>
  <c r="V30" i="12"/>
  <c r="V31" i="12"/>
  <c r="V32" i="12"/>
  <c r="V33" i="12"/>
  <c r="V4" i="12"/>
  <c r="AA656" i="12"/>
  <c r="AA639" i="12"/>
  <c r="AA532" i="12"/>
  <c r="AA489" i="12"/>
  <c r="AA433" i="12"/>
  <c r="AA423" i="12"/>
  <c r="AA384" i="12"/>
  <c r="AA375" i="12"/>
  <c r="AA372" i="12"/>
  <c r="AA357" i="12"/>
  <c r="AA293" i="12"/>
  <c r="AA216" i="12"/>
  <c r="AA37" i="12"/>
  <c r="AA116" i="12"/>
  <c r="AA201" i="12"/>
  <c r="AA202" i="12"/>
  <c r="AA241" i="12"/>
  <c r="AA275" i="12"/>
  <c r="AA284" i="12"/>
  <c r="AA285" i="12"/>
  <c r="AA387" i="12"/>
  <c r="AA492" i="12"/>
  <c r="AA533" i="12"/>
  <c r="AA4" i="12"/>
  <c r="K133" i="4"/>
  <c r="I75" i="1" s="1"/>
  <c r="L133" i="4"/>
  <c r="J75" i="1" s="1"/>
  <c r="M133" i="4"/>
  <c r="K75" i="1" s="1"/>
  <c r="F111" i="4"/>
  <c r="G111" i="4" s="1"/>
  <c r="H5" i="10"/>
  <c r="H6" i="10"/>
  <c r="H7" i="10"/>
  <c r="H8" i="10"/>
  <c r="H9" i="10"/>
  <c r="H10" i="10"/>
  <c r="H15" i="10"/>
  <c r="H16" i="10"/>
  <c r="H18" i="10"/>
  <c r="H19" i="10"/>
  <c r="H20" i="10"/>
  <c r="H21" i="10"/>
  <c r="H22" i="10"/>
  <c r="H17" i="10"/>
  <c r="H23" i="10"/>
  <c r="H24" i="10"/>
  <c r="H27" i="10"/>
  <c r="H28" i="10"/>
  <c r="H29" i="10"/>
  <c r="H30" i="10"/>
  <c r="H31" i="10"/>
  <c r="H32" i="10"/>
  <c r="H33" i="10"/>
  <c r="H34" i="10"/>
  <c r="H35" i="10"/>
  <c r="H38" i="10"/>
  <c r="H39" i="10"/>
  <c r="H40" i="10"/>
  <c r="H41" i="10"/>
  <c r="H42" i="10"/>
  <c r="H43" i="10"/>
  <c r="D87" i="6"/>
  <c r="D86" i="6"/>
  <c r="D81" i="6"/>
  <c r="D83" i="6"/>
  <c r="D84" i="6"/>
  <c r="D104" i="6"/>
  <c r="D91" i="6"/>
  <c r="D78" i="6"/>
  <c r="D103" i="6"/>
  <c r="D90" i="6"/>
  <c r="D77" i="6"/>
  <c r="D106" i="6"/>
  <c r="D93" i="6"/>
  <c r="D80" i="6"/>
  <c r="F101" i="1"/>
  <c r="G101" i="1"/>
  <c r="H101" i="1"/>
  <c r="I101" i="1"/>
  <c r="J101" i="1"/>
  <c r="K101" i="1"/>
  <c r="E101" i="1"/>
  <c r="D101" i="1"/>
  <c r="C101" i="1"/>
  <c r="E169" i="15"/>
  <c r="E162" i="15"/>
  <c r="E161" i="15"/>
  <c r="E164" i="15"/>
  <c r="E148" i="15"/>
  <c r="E140" i="15"/>
  <c r="E127" i="15"/>
  <c r="E141" i="15"/>
  <c r="E102" i="15"/>
  <c r="E119" i="15"/>
  <c r="E118" i="15"/>
  <c r="E103" i="15"/>
  <c r="E120" i="15"/>
  <c r="E82" i="15"/>
  <c r="E81" i="15"/>
  <c r="E80" i="15"/>
  <c r="E77" i="15"/>
  <c r="E74" i="15"/>
  <c r="E68" i="15"/>
  <c r="E62" i="15"/>
  <c r="E60" i="15"/>
  <c r="E57" i="15"/>
  <c r="E50" i="15"/>
  <c r="E42" i="15"/>
  <c r="E31" i="15"/>
  <c r="E23" i="15"/>
  <c r="E84" i="15"/>
  <c r="E142" i="15"/>
  <c r="E83" i="15"/>
  <c r="F146" i="4"/>
  <c r="F147" i="4"/>
  <c r="F148" i="4"/>
  <c r="F149" i="4"/>
  <c r="F150" i="4"/>
  <c r="F151" i="4"/>
  <c r="F152" i="4"/>
  <c r="F153" i="4"/>
  <c r="F154" i="4"/>
  <c r="F155" i="4"/>
  <c r="F156" i="4"/>
  <c r="K146" i="4"/>
  <c r="K147" i="4"/>
  <c r="K148" i="4"/>
  <c r="K149" i="4"/>
  <c r="K150" i="4"/>
  <c r="K151" i="4"/>
  <c r="K152" i="4"/>
  <c r="K153" i="4"/>
  <c r="K154" i="4"/>
  <c r="K155" i="4"/>
  <c r="K156" i="4"/>
  <c r="P146" i="4"/>
  <c r="P147" i="4"/>
  <c r="P148" i="4"/>
  <c r="P149" i="4"/>
  <c r="P150" i="4"/>
  <c r="P151" i="4"/>
  <c r="P152" i="4"/>
  <c r="P153" i="4"/>
  <c r="P154" i="4"/>
  <c r="P155" i="4"/>
  <c r="P156" i="4"/>
  <c r="M112" i="4"/>
  <c r="K52" i="1" s="1"/>
  <c r="M113" i="4"/>
  <c r="E113" i="4" s="1"/>
  <c r="F113" i="4" s="1"/>
  <c r="X124" i="4"/>
  <c r="V65" i="1" s="1"/>
  <c r="X125" i="4"/>
  <c r="W132" i="4"/>
  <c r="U74" i="1" s="1"/>
  <c r="X126" i="4"/>
  <c r="E124" i="4"/>
  <c r="F124" i="4" s="1"/>
  <c r="E125" i="4"/>
  <c r="F125" i="4" s="1"/>
  <c r="E126" i="4"/>
  <c r="C67" i="1" s="1"/>
  <c r="C33" i="1"/>
  <c r="F10" i="6"/>
  <c r="D96" i="1"/>
  <c r="G10" i="6"/>
  <c r="E96" i="1" s="1"/>
  <c r="H10" i="6"/>
  <c r="F96" i="1"/>
  <c r="I10" i="6"/>
  <c r="G96" i="1" s="1"/>
  <c r="J10" i="6"/>
  <c r="H96" i="1"/>
  <c r="K10" i="6"/>
  <c r="I96" i="1" s="1"/>
  <c r="L10" i="6"/>
  <c r="J96" i="1"/>
  <c r="M10" i="6"/>
  <c r="K96" i="1" s="1"/>
  <c r="U82" i="1"/>
  <c r="E133" i="4"/>
  <c r="C75" i="1" s="1"/>
  <c r="F133" i="4"/>
  <c r="D75" i="1" s="1"/>
  <c r="G133" i="4"/>
  <c r="E75" i="1" s="1"/>
  <c r="H133" i="4"/>
  <c r="F75" i="1" s="1"/>
  <c r="I133" i="4"/>
  <c r="G75" i="1" s="1"/>
  <c r="J133" i="4"/>
  <c r="H75" i="1" s="1"/>
  <c r="E18" i="6"/>
  <c r="C82" i="1" s="1"/>
  <c r="E16" i="6"/>
  <c r="X18" i="6"/>
  <c r="V82" i="1" s="1"/>
  <c r="X16" i="6"/>
  <c r="Y16" i="6" s="1"/>
  <c r="Z16" i="6" s="1"/>
  <c r="AA16" i="6" s="1"/>
  <c r="C51" i="1"/>
  <c r="U65" i="1"/>
  <c r="W6" i="16" s="1"/>
  <c r="U67" i="1"/>
  <c r="V67" i="1"/>
  <c r="F16" i="6"/>
  <c r="G16" i="6" s="1"/>
  <c r="G23" i="6" s="1"/>
  <c r="E87" i="1" s="1"/>
  <c r="C80" i="1"/>
  <c r="Y18" i="6"/>
  <c r="D80" i="1"/>
  <c r="C65" i="1"/>
  <c r="C43" i="1"/>
  <c r="D17" i="1"/>
  <c r="E17" i="1"/>
  <c r="F17" i="1"/>
  <c r="G17" i="1"/>
  <c r="H17" i="1"/>
  <c r="I17" i="1"/>
  <c r="J17" i="1"/>
  <c r="K17" i="1"/>
  <c r="L17" i="1"/>
  <c r="M17" i="1"/>
  <c r="C17" i="1"/>
  <c r="D9" i="1"/>
  <c r="E9" i="1"/>
  <c r="F9" i="1"/>
  <c r="G9" i="1"/>
  <c r="H9" i="1"/>
  <c r="I9" i="1"/>
  <c r="J9" i="1"/>
  <c r="K9" i="1"/>
  <c r="L9" i="1"/>
  <c r="M9" i="1"/>
  <c r="D7" i="1"/>
  <c r="E7" i="1"/>
  <c r="F7" i="1"/>
  <c r="G7" i="1"/>
  <c r="H7" i="1"/>
  <c r="I7" i="1"/>
  <c r="J7" i="1"/>
  <c r="K7" i="1"/>
  <c r="L7" i="1"/>
  <c r="M7" i="1"/>
  <c r="C7" i="1"/>
  <c r="C9" i="1"/>
  <c r="F2" i="4"/>
  <c r="G2" i="4" s="1"/>
  <c r="H2" i="4" s="1"/>
  <c r="I2" i="4" s="1"/>
  <c r="J2" i="4" s="1"/>
  <c r="K2" i="4" s="1"/>
  <c r="L2" i="4" s="1"/>
  <c r="M2" i="4" s="1"/>
  <c r="N2" i="4" s="1"/>
  <c r="O2" i="4" s="1"/>
  <c r="P2" i="4" s="1"/>
  <c r="Q2" i="4" s="1"/>
  <c r="R2" i="4" s="1"/>
  <c r="S2" i="4" s="1"/>
  <c r="T2" i="4" s="1"/>
  <c r="U2" i="4" s="1"/>
  <c r="V2" i="4" s="1"/>
  <c r="W2" i="4" s="1"/>
  <c r="X2" i="4" s="1"/>
  <c r="Y2" i="4" s="1"/>
  <c r="Z2" i="4" s="1"/>
  <c r="AA2" i="4" s="1"/>
  <c r="D3" i="1"/>
  <c r="E3" i="1" s="1"/>
  <c r="F3" i="1" s="1"/>
  <c r="G3" i="1" s="1"/>
  <c r="H3" i="1" s="1"/>
  <c r="I3" i="1" s="1"/>
  <c r="J3" i="1" s="1"/>
  <c r="K3" i="1" s="1"/>
  <c r="L3" i="1" s="1"/>
  <c r="M3" i="1" s="1"/>
  <c r="N3" i="1" s="1"/>
  <c r="O3" i="1" s="1"/>
  <c r="P3" i="1" s="1"/>
  <c r="Q3" i="1" s="1"/>
  <c r="R3" i="1" s="1"/>
  <c r="S3" i="1" s="1"/>
  <c r="T3" i="1" s="1"/>
  <c r="U3" i="1" s="1"/>
  <c r="V3" i="1" s="1"/>
  <c r="W3" i="1" s="1"/>
  <c r="X3" i="1" s="1"/>
  <c r="Y3" i="1" s="1"/>
  <c r="Z18" i="6"/>
  <c r="AA18" i="6" s="1"/>
  <c r="Y82" i="1" s="1"/>
  <c r="W82" i="1"/>
  <c r="H16" i="6"/>
  <c r="X82" i="1"/>
  <c r="I16" i="6"/>
  <c r="J16" i="6" s="1"/>
  <c r="E14" i="16" l="1"/>
  <c r="Z14" i="16"/>
  <c r="V14" i="16"/>
  <c r="R14" i="16"/>
  <c r="N14" i="16"/>
  <c r="AA23" i="6"/>
  <c r="Y87" i="1" s="1"/>
  <c r="I86" i="6"/>
  <c r="F146" i="1"/>
  <c r="K16" i="6"/>
  <c r="F18" i="6"/>
  <c r="I84" i="6"/>
  <c r="H80" i="6"/>
  <c r="L83" i="6"/>
  <c r="R118" i="6"/>
  <c r="P143" i="1" s="1"/>
  <c r="Y16" i="16"/>
  <c r="X16" i="16"/>
  <c r="C95" i="1"/>
  <c r="E5" i="6"/>
  <c r="C94" i="1" s="1"/>
  <c r="P7" i="6"/>
  <c r="O6" i="6"/>
  <c r="P99" i="6"/>
  <c r="Q2" i="6"/>
  <c r="R2" i="6" s="1"/>
  <c r="S2" i="6" s="1"/>
  <c r="E10" i="6"/>
  <c r="C96" i="1" s="1"/>
  <c r="E17" i="16" s="1"/>
  <c r="J5" i="6"/>
  <c r="H94" i="1" s="1"/>
  <c r="F5" i="6"/>
  <c r="D94" i="1" s="1"/>
  <c r="Z17" i="6"/>
  <c r="G17" i="6"/>
  <c r="R99" i="6"/>
  <c r="F95" i="1"/>
  <c r="G50" i="6"/>
  <c r="K78" i="6"/>
  <c r="N6" i="6"/>
  <c r="L5" i="6"/>
  <c r="J94" i="1" s="1"/>
  <c r="X14" i="16"/>
  <c r="T14" i="16"/>
  <c r="P14" i="16"/>
  <c r="L14" i="16"/>
  <c r="J14" i="16"/>
  <c r="H14" i="16"/>
  <c r="D51" i="1"/>
  <c r="N3" i="16"/>
  <c r="M31" i="1"/>
  <c r="I31" i="1"/>
  <c r="E31" i="1"/>
  <c r="C44" i="1"/>
  <c r="K45" i="1"/>
  <c r="G45" i="1"/>
  <c r="K43" i="1"/>
  <c r="G43" i="1"/>
  <c r="K41" i="1"/>
  <c r="G41" i="1"/>
  <c r="G113" i="4"/>
  <c r="E53" i="1" s="1"/>
  <c r="D53" i="1"/>
  <c r="K53" i="1"/>
  <c r="E132" i="4"/>
  <c r="C74" i="1" s="1"/>
  <c r="N113" i="4"/>
  <c r="O3" i="16"/>
  <c r="E16" i="16"/>
  <c r="K17" i="16"/>
  <c r="G17" i="16"/>
  <c r="N99" i="6"/>
  <c r="H99" i="6"/>
  <c r="F14" i="16"/>
  <c r="K118" i="6"/>
  <c r="I143" i="1" s="1"/>
  <c r="H118" i="6"/>
  <c r="F143" i="1" s="1"/>
  <c r="N118" i="6"/>
  <c r="L143" i="1" s="1"/>
  <c r="E41" i="6"/>
  <c r="G15" i="1"/>
  <c r="L17" i="16"/>
  <c r="H17" i="16"/>
  <c r="E55" i="6"/>
  <c r="C115" i="1" s="1"/>
  <c r="E13" i="16" s="1"/>
  <c r="AA14" i="16"/>
  <c r="Y14" i="16"/>
  <c r="W14" i="16"/>
  <c r="U14" i="16"/>
  <c r="S14" i="16"/>
  <c r="Q14" i="16"/>
  <c r="O14" i="16"/>
  <c r="M14" i="16"/>
  <c r="K14" i="16"/>
  <c r="I14" i="16"/>
  <c r="O118" i="6"/>
  <c r="M143" i="1" s="1"/>
  <c r="L118" i="6"/>
  <c r="J143" i="1" s="1"/>
  <c r="I118" i="6"/>
  <c r="G143" i="1" s="1"/>
  <c r="W16" i="16"/>
  <c r="E118" i="6"/>
  <c r="C143" i="1" s="1"/>
  <c r="M17" i="16"/>
  <c r="I17" i="16"/>
  <c r="L99" i="6"/>
  <c r="S118" i="6"/>
  <c r="Q143" i="1" s="1"/>
  <c r="P118" i="6"/>
  <c r="N143" i="1" s="1"/>
  <c r="M118" i="6"/>
  <c r="K143" i="1" s="1"/>
  <c r="F118" i="6"/>
  <c r="D143" i="1" s="1"/>
  <c r="W32" i="16"/>
  <c r="J17" i="16"/>
  <c r="F17" i="16"/>
  <c r="E30" i="16"/>
  <c r="M30" i="16"/>
  <c r="I30" i="16"/>
  <c r="Q118" i="6"/>
  <c r="O143" i="1" s="1"/>
  <c r="J118" i="6"/>
  <c r="H143" i="1" s="1"/>
  <c r="G118" i="6"/>
  <c r="E143" i="1" s="1"/>
  <c r="E106" i="6"/>
  <c r="E23" i="6"/>
  <c r="C87" i="1" s="1"/>
  <c r="X23" i="6"/>
  <c r="V87" i="1" s="1"/>
  <c r="G24" i="6"/>
  <c r="E88" i="1" s="1"/>
  <c r="E24" i="6"/>
  <c r="C88" i="1" s="1"/>
  <c r="Z24" i="6"/>
  <c r="X88" i="1" s="1"/>
  <c r="X24" i="6"/>
  <c r="V88" i="1" s="1"/>
  <c r="K23" i="6"/>
  <c r="I87" i="1" s="1"/>
  <c r="E113" i="6"/>
  <c r="G99" i="6"/>
  <c r="K99" i="6"/>
  <c r="O99" i="6"/>
  <c r="I99" i="6"/>
  <c r="M99" i="6"/>
  <c r="Q99" i="6"/>
  <c r="E97" i="6"/>
  <c r="Z23" i="6"/>
  <c r="X87" i="1" s="1"/>
  <c r="Y23" i="6"/>
  <c r="W87" i="1" s="1"/>
  <c r="J23" i="6"/>
  <c r="H87" i="1" s="1"/>
  <c r="H23" i="6"/>
  <c r="F87" i="1" s="1"/>
  <c r="F99" i="6"/>
  <c r="I23" i="6"/>
  <c r="G87" i="1" s="1"/>
  <c r="F23" i="6"/>
  <c r="D87" i="1" s="1"/>
  <c r="F96" i="6"/>
  <c r="E104" i="6"/>
  <c r="G93" i="6"/>
  <c r="H93" i="6"/>
  <c r="I93" i="6"/>
  <c r="I106" i="6"/>
  <c r="J106" i="6"/>
  <c r="L106" i="6"/>
  <c r="S93" i="6"/>
  <c r="E93" i="6"/>
  <c r="F93" i="6"/>
  <c r="F106" i="6"/>
  <c r="J93" i="6"/>
  <c r="K106" i="6"/>
  <c r="L93" i="6"/>
  <c r="K93" i="6"/>
  <c r="M106" i="6"/>
  <c r="N106" i="6"/>
  <c r="O106" i="6"/>
  <c r="P106" i="6"/>
  <c r="Q106" i="6"/>
  <c r="R106" i="6"/>
  <c r="G106" i="6"/>
  <c r="H106" i="6"/>
  <c r="M93" i="6"/>
  <c r="N93" i="6"/>
  <c r="O93" i="6"/>
  <c r="P93" i="6"/>
  <c r="Q93" i="6"/>
  <c r="R93" i="6"/>
  <c r="S106" i="6"/>
  <c r="M94" i="6"/>
  <c r="N94" i="6"/>
  <c r="O94" i="6"/>
  <c r="P94" i="6"/>
  <c r="Q94" i="6"/>
  <c r="R94" i="6"/>
  <c r="G94" i="6"/>
  <c r="H94" i="6"/>
  <c r="I94" i="6"/>
  <c r="S94" i="6"/>
  <c r="E94" i="6"/>
  <c r="J94" i="6"/>
  <c r="L94" i="6"/>
  <c r="F94" i="6"/>
  <c r="K94" i="6"/>
  <c r="F77" i="6"/>
  <c r="F90" i="6"/>
  <c r="D138" i="1" s="1"/>
  <c r="F19" i="16" s="1"/>
  <c r="F103" i="6"/>
  <c r="D139" i="1" s="1"/>
  <c r="G77" i="6"/>
  <c r="J90" i="6"/>
  <c r="K77" i="6"/>
  <c r="K103" i="6"/>
  <c r="I139" i="1" s="1"/>
  <c r="M90" i="6"/>
  <c r="S77" i="6"/>
  <c r="G90" i="6"/>
  <c r="L77" i="6"/>
  <c r="M103" i="6"/>
  <c r="N90" i="6"/>
  <c r="N103" i="6"/>
  <c r="L139" i="1" s="1"/>
  <c r="O90" i="6"/>
  <c r="O103" i="6"/>
  <c r="M139" i="1" s="1"/>
  <c r="P90" i="6"/>
  <c r="P103" i="6"/>
  <c r="Q90" i="6"/>
  <c r="Q103" i="6"/>
  <c r="O139" i="1" s="1"/>
  <c r="R90" i="6"/>
  <c r="P138" i="1" s="1"/>
  <c r="R19" i="16" s="1"/>
  <c r="R103" i="6"/>
  <c r="P139" i="1" s="1"/>
  <c r="S90" i="6"/>
  <c r="Q138" i="1" s="1"/>
  <c r="S19" i="16" s="1"/>
  <c r="E77" i="6"/>
  <c r="G103" i="6"/>
  <c r="E139" i="1" s="1"/>
  <c r="H77" i="6"/>
  <c r="H103" i="6"/>
  <c r="I77" i="6"/>
  <c r="K90" i="6"/>
  <c r="I138" i="1" s="1"/>
  <c r="K19" i="16" s="1"/>
  <c r="S103" i="6"/>
  <c r="Q139" i="1" s="1"/>
  <c r="E90" i="6"/>
  <c r="C138" i="1" s="1"/>
  <c r="E19" i="16" s="1"/>
  <c r="E103" i="6"/>
  <c r="C139" i="1" s="1"/>
  <c r="H90" i="6"/>
  <c r="F138" i="1" s="1"/>
  <c r="H19" i="16" s="1"/>
  <c r="I90" i="6"/>
  <c r="I103" i="6"/>
  <c r="G139" i="1" s="1"/>
  <c r="J77" i="6"/>
  <c r="J103" i="6"/>
  <c r="H139" i="1" s="1"/>
  <c r="L90" i="6"/>
  <c r="J138" i="1" s="1"/>
  <c r="L19" i="16" s="1"/>
  <c r="L103" i="6"/>
  <c r="M77" i="6"/>
  <c r="N77" i="6"/>
  <c r="O77" i="6"/>
  <c r="P77" i="6"/>
  <c r="Q77" i="6"/>
  <c r="R77" i="6"/>
  <c r="K96" i="6"/>
  <c r="M96" i="6"/>
  <c r="N96" i="6"/>
  <c r="O96" i="6"/>
  <c r="P96" i="6"/>
  <c r="Q96" i="6"/>
  <c r="R96" i="6"/>
  <c r="G96" i="6"/>
  <c r="H96" i="6"/>
  <c r="I96" i="6"/>
  <c r="S96" i="6"/>
  <c r="E96" i="6"/>
  <c r="C151" i="1" s="1"/>
  <c r="E22" i="16" s="1"/>
  <c r="J96" i="6"/>
  <c r="L96" i="6"/>
  <c r="G100" i="6"/>
  <c r="E147" i="1" s="1"/>
  <c r="G21" i="16" s="1"/>
  <c r="M100" i="6"/>
  <c r="K147" i="1" s="1"/>
  <c r="M21" i="16" s="1"/>
  <c r="N100" i="6"/>
  <c r="L147" i="1" s="1"/>
  <c r="N21" i="16" s="1"/>
  <c r="O100" i="6"/>
  <c r="M147" i="1" s="1"/>
  <c r="O21" i="16" s="1"/>
  <c r="P100" i="6"/>
  <c r="N147" i="1" s="1"/>
  <c r="P21" i="16" s="1"/>
  <c r="Q100" i="6"/>
  <c r="O147" i="1" s="1"/>
  <c r="Q21" i="16" s="1"/>
  <c r="R100" i="6"/>
  <c r="H100" i="6"/>
  <c r="F147" i="1" s="1"/>
  <c r="H21" i="16" s="1"/>
  <c r="I100" i="6"/>
  <c r="G147" i="1" s="1"/>
  <c r="I21" i="16" s="1"/>
  <c r="S100" i="6"/>
  <c r="E100" i="6"/>
  <c r="J100" i="6"/>
  <c r="H147" i="1" s="1"/>
  <c r="J21" i="16" s="1"/>
  <c r="L100" i="6"/>
  <c r="J147" i="1" s="1"/>
  <c r="L21" i="16" s="1"/>
  <c r="F100" i="6"/>
  <c r="D147" i="1" s="1"/>
  <c r="F21" i="16" s="1"/>
  <c r="K100" i="6"/>
  <c r="I147" i="1" s="1"/>
  <c r="K21" i="16" s="1"/>
  <c r="J97" i="6"/>
  <c r="L97" i="6"/>
  <c r="K97" i="6"/>
  <c r="M97" i="6"/>
  <c r="N97" i="6"/>
  <c r="O97" i="6"/>
  <c r="P97" i="6"/>
  <c r="Q97" i="6"/>
  <c r="R97" i="6"/>
  <c r="F97" i="6"/>
  <c r="D151" i="1" s="1"/>
  <c r="F22" i="16" s="1"/>
  <c r="H97" i="6"/>
  <c r="I97" i="6"/>
  <c r="S97" i="6"/>
  <c r="F91" i="6"/>
  <c r="D142" i="1" s="1"/>
  <c r="F104" i="6"/>
  <c r="D144" i="1" s="1"/>
  <c r="F20" i="16" s="1"/>
  <c r="J104" i="6"/>
  <c r="H144" i="1" s="1"/>
  <c r="K104" i="6"/>
  <c r="I144" i="1" s="1"/>
  <c r="M91" i="6"/>
  <c r="K142" i="1" s="1"/>
  <c r="N91" i="6"/>
  <c r="L142" i="1" s="1"/>
  <c r="O91" i="6"/>
  <c r="M142" i="1" s="1"/>
  <c r="P91" i="6"/>
  <c r="N142" i="1" s="1"/>
  <c r="Q91" i="6"/>
  <c r="O142" i="1" s="1"/>
  <c r="R91" i="6"/>
  <c r="P142" i="1" s="1"/>
  <c r="G91" i="6"/>
  <c r="E142" i="1" s="1"/>
  <c r="N104" i="6"/>
  <c r="L144" i="1" s="1"/>
  <c r="O104" i="6"/>
  <c r="M144" i="1" s="1"/>
  <c r="P104" i="6"/>
  <c r="N144" i="1" s="1"/>
  <c r="Q104" i="6"/>
  <c r="O144" i="1" s="1"/>
  <c r="R104" i="6"/>
  <c r="P144" i="1" s="1"/>
  <c r="S91" i="6"/>
  <c r="Q142" i="1" s="1"/>
  <c r="E91" i="6"/>
  <c r="C142" i="1" s="1"/>
  <c r="H91" i="6"/>
  <c r="F142" i="1" s="1"/>
  <c r="I91" i="6"/>
  <c r="G142" i="1" s="1"/>
  <c r="K91" i="6"/>
  <c r="I142" i="1" s="1"/>
  <c r="L91" i="6"/>
  <c r="J142" i="1" s="1"/>
  <c r="M104" i="6"/>
  <c r="K144" i="1" s="1"/>
  <c r="E42" i="6"/>
  <c r="E40" i="6" s="1"/>
  <c r="G104" i="6"/>
  <c r="E144" i="1" s="1"/>
  <c r="G20" i="16" s="1"/>
  <c r="H104" i="6"/>
  <c r="F144" i="1" s="1"/>
  <c r="H20" i="16" s="1"/>
  <c r="I104" i="6"/>
  <c r="G144" i="1" s="1"/>
  <c r="I20" i="16" s="1"/>
  <c r="J91" i="6"/>
  <c r="H142" i="1" s="1"/>
  <c r="L104" i="6"/>
  <c r="J144" i="1" s="1"/>
  <c r="S104" i="6"/>
  <c r="Q144" i="1" s="1"/>
  <c r="G97" i="6"/>
  <c r="I15" i="1"/>
  <c r="M15" i="1"/>
  <c r="E15" i="1"/>
  <c r="X130" i="4"/>
  <c r="V72" i="1" s="1"/>
  <c r="L15" i="1"/>
  <c r="H15" i="1"/>
  <c r="C31" i="1"/>
  <c r="E4" i="16" s="1"/>
  <c r="F126" i="4"/>
  <c r="F132" i="4" s="1"/>
  <c r="D74" i="1" s="1"/>
  <c r="X132" i="4"/>
  <c r="V74" i="1" s="1"/>
  <c r="B119" i="4"/>
  <c r="C53" i="1"/>
  <c r="Y124" i="4"/>
  <c r="C34" i="1"/>
  <c r="J31" i="1"/>
  <c r="F31" i="1"/>
  <c r="J45" i="1"/>
  <c r="F45" i="1"/>
  <c r="J43" i="1"/>
  <c r="F43" i="1"/>
  <c r="J41" i="1"/>
  <c r="F41" i="1"/>
  <c r="D67" i="1"/>
  <c r="G126" i="4"/>
  <c r="D65" i="1"/>
  <c r="G124" i="4"/>
  <c r="F130" i="4"/>
  <c r="D72" i="1" s="1"/>
  <c r="D66" i="1"/>
  <c r="G125" i="4"/>
  <c r="F131" i="4"/>
  <c r="D73" i="1" s="1"/>
  <c r="V66" i="1"/>
  <c r="X6" i="16" s="1"/>
  <c r="X131" i="4"/>
  <c r="V73" i="1" s="1"/>
  <c r="Y125" i="4"/>
  <c r="B118" i="4"/>
  <c r="B47" i="16"/>
  <c r="E51" i="1"/>
  <c r="H111" i="4"/>
  <c r="W65" i="1"/>
  <c r="Z124" i="4"/>
  <c r="H113" i="4"/>
  <c r="N112" i="4"/>
  <c r="E112" i="4"/>
  <c r="C66" i="1"/>
  <c r="E6" i="16" s="1"/>
  <c r="C32" i="1"/>
  <c r="K31" i="1"/>
  <c r="G31" i="1"/>
  <c r="C45" i="1"/>
  <c r="L45" i="1"/>
  <c r="H45" i="1"/>
  <c r="D45" i="1"/>
  <c r="L43" i="1"/>
  <c r="H43" i="1"/>
  <c r="D43" i="1"/>
  <c r="L41" i="1"/>
  <c r="H41" i="1"/>
  <c r="D41" i="1"/>
  <c r="L31" i="1"/>
  <c r="H31" i="1"/>
  <c r="D31" i="1"/>
  <c r="M45" i="1"/>
  <c r="I45" i="1"/>
  <c r="E45" i="1"/>
  <c r="M43" i="1"/>
  <c r="I43" i="1"/>
  <c r="E43" i="1"/>
  <c r="M41" i="1"/>
  <c r="I41" i="1"/>
  <c r="E41" i="1"/>
  <c r="E130" i="4"/>
  <c r="C72" i="1" s="1"/>
  <c r="Y126" i="4"/>
  <c r="C42" i="1"/>
  <c r="E131" i="4"/>
  <c r="C73" i="1" s="1"/>
  <c r="K35" i="1"/>
  <c r="K36" i="1"/>
  <c r="G35" i="1"/>
  <c r="G36" i="1"/>
  <c r="K33" i="1"/>
  <c r="K34" i="1"/>
  <c r="G33" i="1"/>
  <c r="G34" i="1"/>
  <c r="C35" i="1"/>
  <c r="C36" i="1"/>
  <c r="L35" i="1"/>
  <c r="L36" i="1"/>
  <c r="H35" i="1"/>
  <c r="H36" i="1"/>
  <c r="D35" i="1"/>
  <c r="D36" i="1"/>
  <c r="L33" i="1"/>
  <c r="L34" i="1"/>
  <c r="H33" i="1"/>
  <c r="H34" i="1"/>
  <c r="D33" i="1"/>
  <c r="D34" i="1"/>
  <c r="M35" i="1"/>
  <c r="M36" i="1"/>
  <c r="I35" i="1"/>
  <c r="I36" i="1"/>
  <c r="E35" i="1"/>
  <c r="E36" i="1"/>
  <c r="M33" i="1"/>
  <c r="M34" i="1"/>
  <c r="I33" i="1"/>
  <c r="I34" i="1"/>
  <c r="E33" i="1"/>
  <c r="G4" i="16" s="1"/>
  <c r="E34" i="1"/>
  <c r="Y130" i="4"/>
  <c r="W72" i="1" s="1"/>
  <c r="J35" i="1"/>
  <c r="J36" i="1"/>
  <c r="F35" i="1"/>
  <c r="F36" i="1"/>
  <c r="J33" i="1"/>
  <c r="J34" i="1"/>
  <c r="F33" i="1"/>
  <c r="F34" i="1"/>
  <c r="M32" i="1"/>
  <c r="L32" i="1"/>
  <c r="K32" i="1"/>
  <c r="J32" i="1"/>
  <c r="I32" i="1"/>
  <c r="H32" i="1"/>
  <c r="G32" i="1"/>
  <c r="F32" i="1"/>
  <c r="E32" i="1"/>
  <c r="D32" i="1"/>
  <c r="C46" i="1"/>
  <c r="M46" i="1"/>
  <c r="L46" i="1"/>
  <c r="K46" i="1"/>
  <c r="J46" i="1"/>
  <c r="I46" i="1"/>
  <c r="H46" i="1"/>
  <c r="G46" i="1"/>
  <c r="F46" i="1"/>
  <c r="E46" i="1"/>
  <c r="D46" i="1"/>
  <c r="M44" i="1"/>
  <c r="L44" i="1"/>
  <c r="K44" i="1"/>
  <c r="J44" i="1"/>
  <c r="I44" i="1"/>
  <c r="H44" i="1"/>
  <c r="G44" i="1"/>
  <c r="F44" i="1"/>
  <c r="E44" i="1"/>
  <c r="D44" i="1"/>
  <c r="M42" i="1"/>
  <c r="L42" i="1"/>
  <c r="K42" i="1"/>
  <c r="J42" i="1"/>
  <c r="I42" i="1"/>
  <c r="H42" i="1"/>
  <c r="G42" i="1"/>
  <c r="F42" i="1"/>
  <c r="E42" i="1"/>
  <c r="D42" i="1"/>
  <c r="Z25" i="6"/>
  <c r="X89" i="1" s="1"/>
  <c r="G112" i="6"/>
  <c r="I112" i="6"/>
  <c r="F112" i="6"/>
  <c r="H112" i="6"/>
  <c r="K112" i="6"/>
  <c r="Q112" i="6"/>
  <c r="R112" i="6"/>
  <c r="S112" i="6"/>
  <c r="J112" i="6"/>
  <c r="L112" i="6"/>
  <c r="M112" i="6"/>
  <c r="N112" i="6"/>
  <c r="O112" i="6"/>
  <c r="P112" i="6"/>
  <c r="E112" i="6"/>
  <c r="C148" i="1" s="1"/>
  <c r="C108" i="1"/>
  <c r="F45" i="6"/>
  <c r="X25" i="6"/>
  <c r="V89" i="1" s="1"/>
  <c r="E25" i="6"/>
  <c r="C89" i="1" s="1"/>
  <c r="Y25" i="6"/>
  <c r="W89" i="1" s="1"/>
  <c r="W25" i="6"/>
  <c r="U89" i="1" s="1"/>
  <c r="F25" i="6"/>
  <c r="D89" i="1" s="1"/>
  <c r="AA25" i="6"/>
  <c r="Y89" i="1" s="1"/>
  <c r="H109" i="6"/>
  <c r="G109" i="6"/>
  <c r="I109" i="6"/>
  <c r="F109" i="6"/>
  <c r="L109" i="6"/>
  <c r="M109" i="6"/>
  <c r="J109" i="6"/>
  <c r="N109" i="6"/>
  <c r="O109" i="6"/>
  <c r="P109" i="6"/>
  <c r="K109" i="6"/>
  <c r="Q109" i="6"/>
  <c r="R109" i="6"/>
  <c r="S109" i="6"/>
  <c r="E109" i="6"/>
  <c r="J113" i="6"/>
  <c r="G113" i="6"/>
  <c r="F113" i="6"/>
  <c r="H113" i="6"/>
  <c r="N113" i="6"/>
  <c r="O113" i="6"/>
  <c r="P113" i="6"/>
  <c r="K113" i="6"/>
  <c r="Q113" i="6"/>
  <c r="I113" i="6"/>
  <c r="R113" i="6"/>
  <c r="S113" i="6"/>
  <c r="L113" i="6"/>
  <c r="M113" i="6"/>
  <c r="J107" i="6"/>
  <c r="G107" i="6"/>
  <c r="E156" i="1" s="1"/>
  <c r="F107" i="6"/>
  <c r="D156" i="1" s="1"/>
  <c r="K107" i="6"/>
  <c r="I156" i="1" s="1"/>
  <c r="H107" i="6"/>
  <c r="F156" i="1" s="1"/>
  <c r="N107" i="6"/>
  <c r="O107" i="6"/>
  <c r="P107" i="6"/>
  <c r="N156" i="1" s="1"/>
  <c r="I107" i="6"/>
  <c r="G156" i="1" s="1"/>
  <c r="Q107" i="6"/>
  <c r="R107" i="6"/>
  <c r="P156" i="1" s="1"/>
  <c r="S107" i="6"/>
  <c r="Q156" i="1" s="1"/>
  <c r="L107" i="6"/>
  <c r="J156" i="1" s="1"/>
  <c r="M107" i="6"/>
  <c r="K156" i="1" s="1"/>
  <c r="C107" i="1"/>
  <c r="F47" i="6"/>
  <c r="C144" i="1"/>
  <c r="E20" i="16" s="1"/>
  <c r="F110" i="6"/>
  <c r="H110" i="6"/>
  <c r="J110" i="6"/>
  <c r="G110" i="6"/>
  <c r="I110" i="6"/>
  <c r="I102" i="6" s="1"/>
  <c r="G134" i="1" s="1"/>
  <c r="R110" i="6"/>
  <c r="R102" i="6" s="1"/>
  <c r="P134" i="1" s="1"/>
  <c r="S110" i="6"/>
  <c r="E110" i="6"/>
  <c r="L110" i="6"/>
  <c r="M110" i="6"/>
  <c r="N110" i="6"/>
  <c r="O110" i="6"/>
  <c r="P110" i="6"/>
  <c r="K110" i="6"/>
  <c r="K102" i="6" s="1"/>
  <c r="I134" i="1" s="1"/>
  <c r="Q110" i="6"/>
  <c r="C109" i="1"/>
  <c r="F43" i="6"/>
  <c r="C105" i="1"/>
  <c r="F41" i="6"/>
  <c r="E107" i="6"/>
  <c r="C156" i="1" s="1"/>
  <c r="O138" i="1"/>
  <c r="Q19" i="16" s="1"/>
  <c r="N139" i="1"/>
  <c r="N138" i="1"/>
  <c r="P19" i="16" s="1"/>
  <c r="M138" i="1"/>
  <c r="O19" i="16" s="1"/>
  <c r="L89" i="6"/>
  <c r="J133" i="1" s="1"/>
  <c r="L138" i="1"/>
  <c r="N19" i="16" s="1"/>
  <c r="K139" i="1"/>
  <c r="J139" i="1"/>
  <c r="J89" i="6"/>
  <c r="H133" i="1" s="1"/>
  <c r="H138" i="1"/>
  <c r="J19" i="16" s="1"/>
  <c r="K89" i="6"/>
  <c r="I133" i="1" s="1"/>
  <c r="F55" i="6"/>
  <c r="F24" i="6"/>
  <c r="D88" i="1" s="1"/>
  <c r="F139" i="1"/>
  <c r="G102" i="6"/>
  <c r="E134" i="1" s="1"/>
  <c r="F89" i="6"/>
  <c r="D133" i="1" s="1"/>
  <c r="Y24" i="6"/>
  <c r="W88" i="1" s="1"/>
  <c r="W24" i="6"/>
  <c r="U88" i="1" s="1"/>
  <c r="K24" i="1"/>
  <c r="M23" i="1"/>
  <c r="E23" i="1"/>
  <c r="C23" i="1"/>
  <c r="I24" i="1"/>
  <c r="G24" i="1"/>
  <c r="L24" i="1"/>
  <c r="H24" i="1"/>
  <c r="D24" i="1"/>
  <c r="J23" i="1"/>
  <c r="F23" i="1"/>
  <c r="F102" i="6" l="1"/>
  <c r="D134" i="1" s="1"/>
  <c r="D161" i="1" s="1"/>
  <c r="E12" i="16"/>
  <c r="H102" i="6"/>
  <c r="F134" i="1" s="1"/>
  <c r="P102" i="6"/>
  <c r="N134" i="1" s="1"/>
  <c r="N161" i="1" s="1"/>
  <c r="S102" i="6"/>
  <c r="Q134" i="1" s="1"/>
  <c r="I161" i="1"/>
  <c r="P161" i="1"/>
  <c r="D160" i="1"/>
  <c r="J160" i="1"/>
  <c r="G161" i="1"/>
  <c r="E161" i="1"/>
  <c r="I160" i="1"/>
  <c r="Q161" i="1"/>
  <c r="F161" i="1"/>
  <c r="E111" i="1"/>
  <c r="H50" i="6"/>
  <c r="AA17" i="6"/>
  <c r="X81" i="1"/>
  <c r="Z16" i="16" s="1"/>
  <c r="S99" i="6"/>
  <c r="Q147" i="1" s="1"/>
  <c r="S21" i="16" s="1"/>
  <c r="T2" i="6"/>
  <c r="G146" i="1"/>
  <c r="J86" i="6"/>
  <c r="I80" i="6"/>
  <c r="F154" i="1"/>
  <c r="L95" i="1"/>
  <c r="N5" i="6"/>
  <c r="L94" i="1" s="1"/>
  <c r="N10" i="6"/>
  <c r="L96" i="1" s="1"/>
  <c r="N17" i="16" s="1"/>
  <c r="M95" i="1"/>
  <c r="O5" i="6"/>
  <c r="M94" i="1" s="1"/>
  <c r="O10" i="6"/>
  <c r="M96" i="1" s="1"/>
  <c r="O17" i="16" s="1"/>
  <c r="J84" i="6"/>
  <c r="G150" i="1"/>
  <c r="L16" i="6"/>
  <c r="L78" i="6"/>
  <c r="I141" i="1"/>
  <c r="K20" i="16" s="1"/>
  <c r="E81" i="1"/>
  <c r="H17" i="6"/>
  <c r="Q7" i="6"/>
  <c r="P6" i="6"/>
  <c r="M83" i="6"/>
  <c r="D82" i="1"/>
  <c r="F16" i="16" s="1"/>
  <c r="G18" i="6"/>
  <c r="B117" i="4"/>
  <c r="G117" i="4" s="1"/>
  <c r="E58" i="1" s="1"/>
  <c r="E32" i="16"/>
  <c r="E118" i="4"/>
  <c r="C59" i="1" s="1"/>
  <c r="H30" i="16"/>
  <c r="F6" i="16"/>
  <c r="L30" i="16"/>
  <c r="O113" i="4"/>
  <c r="M53" i="1" s="1"/>
  <c r="L53" i="1"/>
  <c r="G30" i="16"/>
  <c r="F30" i="16"/>
  <c r="K30" i="16"/>
  <c r="F4" i="16"/>
  <c r="J30" i="16"/>
  <c r="X32" i="16"/>
  <c r="L102" i="6"/>
  <c r="J134" i="1" s="1"/>
  <c r="J161" i="1" s="1"/>
  <c r="O30" i="16"/>
  <c r="N30" i="16"/>
  <c r="F32" i="16"/>
  <c r="H4" i="16"/>
  <c r="J20" i="16"/>
  <c r="E89" i="6"/>
  <c r="C133" i="1" s="1"/>
  <c r="C160" i="1" s="1"/>
  <c r="C147" i="1"/>
  <c r="E21" i="16" s="1"/>
  <c r="E151" i="1"/>
  <c r="G22" i="16" s="1"/>
  <c r="N151" i="1"/>
  <c r="P22" i="16" s="1"/>
  <c r="P137" i="1"/>
  <c r="L137" i="1"/>
  <c r="Q89" i="6"/>
  <c r="O133" i="1" s="1"/>
  <c r="O160" i="1" s="1"/>
  <c r="O89" i="6"/>
  <c r="M133" i="1" s="1"/>
  <c r="M160" i="1" s="1"/>
  <c r="J137" i="1"/>
  <c r="M89" i="6"/>
  <c r="K133" i="1" s="1"/>
  <c r="K138" i="1"/>
  <c r="M19" i="16" s="1"/>
  <c r="E137" i="1"/>
  <c r="G76" i="6"/>
  <c r="E132" i="1" s="1"/>
  <c r="M155" i="1"/>
  <c r="O23" i="16" s="1"/>
  <c r="Q155" i="1"/>
  <c r="S23" i="16" s="1"/>
  <c r="G155" i="1"/>
  <c r="I23" i="16" s="1"/>
  <c r="C106" i="1"/>
  <c r="C110" i="1" s="1"/>
  <c r="E11" i="16" s="1"/>
  <c r="F42" i="6"/>
  <c r="J151" i="1"/>
  <c r="L22" i="16" s="1"/>
  <c r="Q151" i="1"/>
  <c r="S22" i="16" s="1"/>
  <c r="M151" i="1"/>
  <c r="O22" i="16" s="1"/>
  <c r="O137" i="1"/>
  <c r="K137" i="1"/>
  <c r="H137" i="1"/>
  <c r="G137" i="1"/>
  <c r="I76" i="6"/>
  <c r="G132" i="1" s="1"/>
  <c r="C137" i="1"/>
  <c r="E76" i="6"/>
  <c r="C132" i="1" s="1"/>
  <c r="G89" i="6"/>
  <c r="E133" i="1" s="1"/>
  <c r="E138" i="1"/>
  <c r="G19" i="16" s="1"/>
  <c r="P155" i="1"/>
  <c r="R23" i="16" s="1"/>
  <c r="L155" i="1"/>
  <c r="N23" i="16" s="1"/>
  <c r="J155" i="1"/>
  <c r="L23" i="16" s="1"/>
  <c r="D155" i="1"/>
  <c r="F23" i="16" s="1"/>
  <c r="H89" i="6"/>
  <c r="F133" i="1" s="1"/>
  <c r="F160" i="1" s="1"/>
  <c r="F155" i="1"/>
  <c r="H23" i="16" s="1"/>
  <c r="R89" i="6"/>
  <c r="P133" i="1" s="1"/>
  <c r="P160" i="1" s="1"/>
  <c r="P147" i="1"/>
  <c r="R21" i="16" s="1"/>
  <c r="H151" i="1"/>
  <c r="J22" i="16" s="1"/>
  <c r="G151" i="1"/>
  <c r="I22" i="16" s="1"/>
  <c r="P151" i="1"/>
  <c r="R22" i="16" s="1"/>
  <c r="L151" i="1"/>
  <c r="N22" i="16" s="1"/>
  <c r="I151" i="1"/>
  <c r="K22" i="16" s="1"/>
  <c r="N137" i="1"/>
  <c r="P89" i="6"/>
  <c r="N133" i="1" s="1"/>
  <c r="N160" i="1" s="1"/>
  <c r="N89" i="6"/>
  <c r="L133" i="1" s="1"/>
  <c r="L160" i="1" s="1"/>
  <c r="I137" i="1"/>
  <c r="O155" i="1"/>
  <c r="Q23" i="16" s="1"/>
  <c r="K155" i="1"/>
  <c r="M23" i="16" s="1"/>
  <c r="I155" i="1"/>
  <c r="K23" i="16" s="1"/>
  <c r="C155" i="1"/>
  <c r="E23" i="16" s="1"/>
  <c r="E155" i="1"/>
  <c r="G23" i="16" s="1"/>
  <c r="F151" i="1"/>
  <c r="H22" i="16" s="1"/>
  <c r="O151" i="1"/>
  <c r="Q22" i="16" s="1"/>
  <c r="K151" i="1"/>
  <c r="M22" i="16" s="1"/>
  <c r="M137" i="1"/>
  <c r="G138" i="1"/>
  <c r="I19" i="16" s="1"/>
  <c r="I89" i="6"/>
  <c r="G133" i="1" s="1"/>
  <c r="F137" i="1"/>
  <c r="H76" i="6"/>
  <c r="F132" i="1" s="1"/>
  <c r="Q137" i="1"/>
  <c r="D137" i="1"/>
  <c r="F76" i="6"/>
  <c r="D132" i="1" s="1"/>
  <c r="N155" i="1"/>
  <c r="P23" i="16" s="1"/>
  <c r="H155" i="1"/>
  <c r="J23" i="16" s="1"/>
  <c r="I4" i="16"/>
  <c r="N118" i="4"/>
  <c r="L59" i="1" s="1"/>
  <c r="O119" i="4"/>
  <c r="M60" i="1" s="1"/>
  <c r="G119" i="4"/>
  <c r="E60" i="1" s="1"/>
  <c r="H119" i="4"/>
  <c r="F60" i="1" s="1"/>
  <c r="N119" i="4"/>
  <c r="L60" i="1" s="1"/>
  <c r="M118" i="4"/>
  <c r="K59" i="1" s="1"/>
  <c r="O112" i="4"/>
  <c r="L52" i="1"/>
  <c r="Z130" i="4"/>
  <c r="X72" i="1" s="1"/>
  <c r="X65" i="1"/>
  <c r="AA124" i="4"/>
  <c r="G130" i="4"/>
  <c r="E72" i="1" s="1"/>
  <c r="E65" i="1"/>
  <c r="H124" i="4"/>
  <c r="F119" i="4"/>
  <c r="D60" i="1" s="1"/>
  <c r="M119" i="4"/>
  <c r="K60" i="1" s="1"/>
  <c r="E119" i="4"/>
  <c r="C60" i="1" s="1"/>
  <c r="Y131" i="4"/>
  <c r="W73" i="1" s="1"/>
  <c r="Z125" i="4"/>
  <c r="W66" i="1"/>
  <c r="G131" i="4"/>
  <c r="E73" i="1" s="1"/>
  <c r="E66" i="1"/>
  <c r="H125" i="4"/>
  <c r="I113" i="4"/>
  <c r="F53" i="1"/>
  <c r="F51" i="1"/>
  <c r="I111" i="4"/>
  <c r="H126" i="4"/>
  <c r="G132" i="4"/>
  <c r="E74" i="1" s="1"/>
  <c r="E67" i="1"/>
  <c r="Z126" i="4"/>
  <c r="Y132" i="4"/>
  <c r="W74" i="1" s="1"/>
  <c r="W67" i="1"/>
  <c r="F112" i="4"/>
  <c r="F118" i="4" s="1"/>
  <c r="D59" i="1" s="1"/>
  <c r="C52" i="1"/>
  <c r="E5" i="16" s="1"/>
  <c r="E7" i="16" s="1"/>
  <c r="O102" i="6"/>
  <c r="M134" i="1" s="1"/>
  <c r="M161" i="1" s="1"/>
  <c r="M156" i="1"/>
  <c r="O152" i="1"/>
  <c r="H152" i="1"/>
  <c r="K152" i="1"/>
  <c r="E152" i="1"/>
  <c r="O148" i="1"/>
  <c r="G148" i="1"/>
  <c r="N102" i="6"/>
  <c r="L134" i="1" s="1"/>
  <c r="L161" i="1" s="1"/>
  <c r="L156" i="1"/>
  <c r="Q152" i="1"/>
  <c r="I152" i="1"/>
  <c r="N152" i="1"/>
  <c r="J152" i="1"/>
  <c r="F152" i="1"/>
  <c r="D108" i="1"/>
  <c r="G45" i="6"/>
  <c r="N148" i="1"/>
  <c r="K148" i="1"/>
  <c r="Q148" i="1"/>
  <c r="I148" i="1"/>
  <c r="E148" i="1"/>
  <c r="D109" i="1"/>
  <c r="G43" i="6"/>
  <c r="H160" i="1"/>
  <c r="M102" i="6"/>
  <c r="K134" i="1" s="1"/>
  <c r="K161" i="1" s="1"/>
  <c r="Q102" i="6"/>
  <c r="O134" i="1" s="1"/>
  <c r="O161" i="1" s="1"/>
  <c r="O156" i="1"/>
  <c r="J102" i="6"/>
  <c r="H134" i="1" s="1"/>
  <c r="H161" i="1" s="1"/>
  <c r="H156" i="1"/>
  <c r="P152" i="1"/>
  <c r="M152" i="1"/>
  <c r="D152" i="1"/>
  <c r="M148" i="1"/>
  <c r="J148" i="1"/>
  <c r="P148" i="1"/>
  <c r="F148" i="1"/>
  <c r="D115" i="1"/>
  <c r="F13" i="16" s="1"/>
  <c r="F12" i="16" s="1"/>
  <c r="G55" i="6"/>
  <c r="D105" i="1"/>
  <c r="G41" i="6"/>
  <c r="F40" i="6"/>
  <c r="E102" i="6"/>
  <c r="C134" i="1" s="1"/>
  <c r="C161" i="1" s="1"/>
  <c r="D107" i="1"/>
  <c r="G47" i="6"/>
  <c r="C152" i="1"/>
  <c r="L152" i="1"/>
  <c r="G152" i="1"/>
  <c r="L148" i="1"/>
  <c r="H148" i="1"/>
  <c r="D148" i="1"/>
  <c r="F18" i="16" l="1"/>
  <c r="F117" i="4"/>
  <c r="D58" i="1" s="1"/>
  <c r="E117" i="4"/>
  <c r="C58" i="1" s="1"/>
  <c r="H117" i="4"/>
  <c r="F58" i="1" s="1"/>
  <c r="Y6" i="16"/>
  <c r="F159" i="1"/>
  <c r="E18" i="16"/>
  <c r="E24" i="16" s="1"/>
  <c r="E39" i="16" s="1"/>
  <c r="F81" i="1"/>
  <c r="I17" i="6"/>
  <c r="H24" i="6"/>
  <c r="F88" i="1" s="1"/>
  <c r="K84" i="6"/>
  <c r="H150" i="1"/>
  <c r="Y81" i="1"/>
  <c r="AA16" i="16" s="1"/>
  <c r="AA24" i="6"/>
  <c r="Y88" i="1" s="1"/>
  <c r="N83" i="6"/>
  <c r="M16" i="6"/>
  <c r="L23" i="6"/>
  <c r="J87" i="1" s="1"/>
  <c r="J80" i="6"/>
  <c r="G154" i="1"/>
  <c r="U2" i="6"/>
  <c r="T93" i="6"/>
  <c r="T94" i="6"/>
  <c r="T77" i="6"/>
  <c r="T103" i="6"/>
  <c r="T97" i="6"/>
  <c r="T104" i="6"/>
  <c r="R144" i="1" s="1"/>
  <c r="T112" i="6"/>
  <c r="T107" i="6"/>
  <c r="T110" i="6"/>
  <c r="T106" i="6"/>
  <c r="T90" i="6"/>
  <c r="T100" i="6"/>
  <c r="T91" i="6"/>
  <c r="R142" i="1" s="1"/>
  <c r="T109" i="6"/>
  <c r="T113" i="6"/>
  <c r="T99" i="6"/>
  <c r="T118" i="6"/>
  <c r="R143" i="1" s="1"/>
  <c r="T96" i="6"/>
  <c r="R151" i="1" s="1"/>
  <c r="T22" i="16" s="1"/>
  <c r="F111" i="1"/>
  <c r="I50" i="6"/>
  <c r="E82" i="1"/>
  <c r="G16" i="16" s="1"/>
  <c r="H18" i="6"/>
  <c r="G25" i="6"/>
  <c r="E89" i="1" s="1"/>
  <c r="N95" i="1"/>
  <c r="P5" i="6"/>
  <c r="N94" i="1" s="1"/>
  <c r="P10" i="6"/>
  <c r="N96" i="1" s="1"/>
  <c r="P17" i="16" s="1"/>
  <c r="S89" i="6"/>
  <c r="Q133" i="1" s="1"/>
  <c r="Q160" i="1" s="1"/>
  <c r="G159" i="1"/>
  <c r="E159" i="1"/>
  <c r="R7" i="6"/>
  <c r="Q6" i="6"/>
  <c r="M78" i="6"/>
  <c r="J141" i="1"/>
  <c r="L20" i="16" s="1"/>
  <c r="H146" i="1"/>
  <c r="K86" i="6"/>
  <c r="E31" i="16"/>
  <c r="E33" i="16" s="1"/>
  <c r="Y32" i="16"/>
  <c r="G32" i="16"/>
  <c r="G6" i="16"/>
  <c r="F31" i="16"/>
  <c r="F33" i="16" s="1"/>
  <c r="K18" i="16"/>
  <c r="J18" i="16"/>
  <c r="C159" i="1"/>
  <c r="D159" i="1"/>
  <c r="G160" i="1"/>
  <c r="I18" i="16" s="1"/>
  <c r="H18" i="16"/>
  <c r="D106" i="1"/>
  <c r="D110" i="1" s="1"/>
  <c r="F11" i="16" s="1"/>
  <c r="G42" i="6"/>
  <c r="E160" i="1"/>
  <c r="G18" i="16" s="1"/>
  <c r="K160" i="1"/>
  <c r="J4" i="16"/>
  <c r="Z132" i="4"/>
  <c r="X74" i="1" s="1"/>
  <c r="AA126" i="4"/>
  <c r="X67" i="1"/>
  <c r="D52" i="1"/>
  <c r="F5" i="16" s="1"/>
  <c r="F7" i="16" s="1"/>
  <c r="G112" i="4"/>
  <c r="I124" i="4"/>
  <c r="F65" i="1"/>
  <c r="H130" i="4"/>
  <c r="F72" i="1" s="1"/>
  <c r="Y65" i="1"/>
  <c r="AA130" i="4"/>
  <c r="Y72" i="1" s="1"/>
  <c r="M52" i="1"/>
  <c r="O118" i="4"/>
  <c r="M59" i="1" s="1"/>
  <c r="H132" i="4"/>
  <c r="F74" i="1" s="1"/>
  <c r="F67" i="1"/>
  <c r="I126" i="4"/>
  <c r="I119" i="4"/>
  <c r="G60" i="1" s="1"/>
  <c r="J113" i="4"/>
  <c r="G53" i="1"/>
  <c r="J111" i="4"/>
  <c r="I117" i="4"/>
  <c r="G58" i="1" s="1"/>
  <c r="G51" i="1"/>
  <c r="F66" i="1"/>
  <c r="H131" i="4"/>
  <c r="F73" i="1" s="1"/>
  <c r="I125" i="4"/>
  <c r="Z131" i="4"/>
  <c r="X73" i="1" s="1"/>
  <c r="AA125" i="4"/>
  <c r="X66" i="1"/>
  <c r="Z6" i="16" s="1"/>
  <c r="E107" i="1"/>
  <c r="H47" i="6"/>
  <c r="E105" i="1"/>
  <c r="G40" i="6"/>
  <c r="H41" i="6"/>
  <c r="E115" i="1"/>
  <c r="G13" i="16" s="1"/>
  <c r="G12" i="16" s="1"/>
  <c r="H55" i="6"/>
  <c r="E109" i="1"/>
  <c r="H43" i="6"/>
  <c r="E108" i="1"/>
  <c r="H45" i="6"/>
  <c r="F24" i="16" l="1"/>
  <c r="F39" i="16" s="1"/>
  <c r="R155" i="1"/>
  <c r="T23" i="16" s="1"/>
  <c r="L18" i="16"/>
  <c r="L86" i="6"/>
  <c r="I146" i="1"/>
  <c r="Q5" i="6"/>
  <c r="O94" i="1" s="1"/>
  <c r="O95" i="1"/>
  <c r="Q10" i="6"/>
  <c r="O96" i="1" s="1"/>
  <c r="Q17" i="16" s="1"/>
  <c r="G111" i="1"/>
  <c r="J50" i="6"/>
  <c r="R147" i="1"/>
  <c r="T21" i="16" s="1"/>
  <c r="R156" i="1"/>
  <c r="R139" i="1"/>
  <c r="T102" i="6"/>
  <c r="R134" i="1" s="1"/>
  <c r="V2" i="6"/>
  <c r="U118" i="6"/>
  <c r="S143" i="1" s="1"/>
  <c r="U99" i="6"/>
  <c r="U100" i="6"/>
  <c r="U112" i="6"/>
  <c r="U110" i="6"/>
  <c r="U106" i="6"/>
  <c r="U93" i="6"/>
  <c r="U103" i="6"/>
  <c r="U90" i="6"/>
  <c r="U97" i="6"/>
  <c r="U113" i="6"/>
  <c r="U94" i="6"/>
  <c r="U77" i="6"/>
  <c r="U96" i="6"/>
  <c r="U104" i="6"/>
  <c r="S144" i="1" s="1"/>
  <c r="U91" i="6"/>
  <c r="S142" i="1" s="1"/>
  <c r="U109" i="6"/>
  <c r="S152" i="1" s="1"/>
  <c r="U107" i="6"/>
  <c r="S156" i="1" s="1"/>
  <c r="N78" i="6"/>
  <c r="K141" i="1"/>
  <c r="M20" i="16" s="1"/>
  <c r="M18" i="16" s="1"/>
  <c r="L84" i="6"/>
  <c r="I150" i="1"/>
  <c r="S7" i="6"/>
  <c r="R6" i="6"/>
  <c r="R138" i="1"/>
  <c r="T19" i="16" s="1"/>
  <c r="T89" i="6"/>
  <c r="R133" i="1" s="1"/>
  <c r="R148" i="1"/>
  <c r="R137" i="1"/>
  <c r="N16" i="6"/>
  <c r="M23" i="6"/>
  <c r="K87" i="1" s="1"/>
  <c r="J17" i="6"/>
  <c r="G81" i="1"/>
  <c r="I24" i="6"/>
  <c r="G88" i="1" s="1"/>
  <c r="I18" i="6"/>
  <c r="F82" i="1"/>
  <c r="H16" i="16" s="1"/>
  <c r="H25" i="6"/>
  <c r="F89" i="1" s="1"/>
  <c r="R152" i="1"/>
  <c r="K80" i="6"/>
  <c r="H154" i="1"/>
  <c r="J76" i="6"/>
  <c r="H132" i="1" s="1"/>
  <c r="H159" i="1" s="1"/>
  <c r="O83" i="6"/>
  <c r="Z32" i="16"/>
  <c r="H32" i="16"/>
  <c r="H6" i="16"/>
  <c r="E38" i="16"/>
  <c r="E106" i="1"/>
  <c r="E110" i="1" s="1"/>
  <c r="G11" i="16" s="1"/>
  <c r="G24" i="16" s="1"/>
  <c r="H42" i="6"/>
  <c r="H40" i="6" s="1"/>
  <c r="K4" i="16"/>
  <c r="J125" i="4"/>
  <c r="I131" i="4"/>
  <c r="G73" i="1" s="1"/>
  <c r="G66" i="1"/>
  <c r="H112" i="4"/>
  <c r="E52" i="1"/>
  <c r="G5" i="16" s="1"/>
  <c r="G7" i="16" s="1"/>
  <c r="G118" i="4"/>
  <c r="E59" i="1" s="1"/>
  <c r="G31" i="16" s="1"/>
  <c r="G33" i="16" s="1"/>
  <c r="K111" i="4"/>
  <c r="H51" i="1"/>
  <c r="J117" i="4"/>
  <c r="H58" i="1" s="1"/>
  <c r="I132" i="4"/>
  <c r="G74" i="1" s="1"/>
  <c r="J126" i="4"/>
  <c r="G67" i="1"/>
  <c r="AA131" i="4"/>
  <c r="Y73" i="1" s="1"/>
  <c r="Y66" i="1"/>
  <c r="J124" i="4"/>
  <c r="I130" i="4"/>
  <c r="G72" i="1" s="1"/>
  <c r="G65" i="1"/>
  <c r="K113" i="4"/>
  <c r="H53" i="1"/>
  <c r="J119" i="4"/>
  <c r="H60" i="1" s="1"/>
  <c r="AA132" i="4"/>
  <c r="Y74" i="1" s="1"/>
  <c r="AA32" i="16" s="1"/>
  <c r="Y67" i="1"/>
  <c r="AA6" i="16" s="1"/>
  <c r="F115" i="1"/>
  <c r="H13" i="16" s="1"/>
  <c r="H12" i="16" s="1"/>
  <c r="I55" i="6"/>
  <c r="F107" i="1"/>
  <c r="I47" i="6"/>
  <c r="F109" i="1"/>
  <c r="I43" i="6"/>
  <c r="F105" i="1"/>
  <c r="I41" i="6"/>
  <c r="F108" i="1"/>
  <c r="I45" i="6"/>
  <c r="F38" i="16" l="1"/>
  <c r="S151" i="1"/>
  <c r="U22" i="16" s="1"/>
  <c r="S148" i="1"/>
  <c r="S139" i="1"/>
  <c r="U102" i="6"/>
  <c r="S134" i="1" s="1"/>
  <c r="V99" i="6"/>
  <c r="W2" i="6"/>
  <c r="V96" i="6"/>
  <c r="V112" i="6"/>
  <c r="V107" i="6"/>
  <c r="V94" i="6"/>
  <c r="V97" i="6"/>
  <c r="V104" i="6"/>
  <c r="T144" i="1" s="1"/>
  <c r="V113" i="6"/>
  <c r="V118" i="6"/>
  <c r="T143" i="1" s="1"/>
  <c r="V106" i="6"/>
  <c r="T156" i="1" s="1"/>
  <c r="V93" i="6"/>
  <c r="V90" i="6"/>
  <c r="V103" i="6"/>
  <c r="V109" i="6"/>
  <c r="T152" i="1" s="1"/>
  <c r="V110" i="6"/>
  <c r="V77" i="6"/>
  <c r="V100" i="6"/>
  <c r="T147" i="1" s="1"/>
  <c r="V21" i="16" s="1"/>
  <c r="V91" i="6"/>
  <c r="T142" i="1" s="1"/>
  <c r="R5" i="6"/>
  <c r="P94" i="1" s="1"/>
  <c r="P95" i="1"/>
  <c r="R10" i="6"/>
  <c r="P96" i="1" s="1"/>
  <c r="R17" i="16" s="1"/>
  <c r="S155" i="1"/>
  <c r="U23" i="16" s="1"/>
  <c r="S147" i="1"/>
  <c r="U21" i="16" s="1"/>
  <c r="R161" i="1"/>
  <c r="H111" i="1"/>
  <c r="K50" i="6"/>
  <c r="P83" i="6"/>
  <c r="H81" i="1"/>
  <c r="J24" i="6"/>
  <c r="H88" i="1" s="1"/>
  <c r="K17" i="6"/>
  <c r="M84" i="6"/>
  <c r="J150" i="1"/>
  <c r="L141" i="1"/>
  <c r="N20" i="16" s="1"/>
  <c r="N18" i="16" s="1"/>
  <c r="O78" i="6"/>
  <c r="N23" i="6"/>
  <c r="L87" i="1" s="1"/>
  <c r="O16" i="6"/>
  <c r="T7" i="6"/>
  <c r="S6" i="6"/>
  <c r="L80" i="6"/>
  <c r="I154" i="1"/>
  <c r="K76" i="6"/>
  <c r="I132" i="1" s="1"/>
  <c r="I159" i="1" s="1"/>
  <c r="J18" i="6"/>
  <c r="G82" i="1"/>
  <c r="I16" i="16" s="1"/>
  <c r="I25" i="6"/>
  <c r="G89" i="1" s="1"/>
  <c r="R160" i="1"/>
  <c r="S137" i="1"/>
  <c r="S138" i="1"/>
  <c r="U19" i="16" s="1"/>
  <c r="U89" i="6"/>
  <c r="S133" i="1" s="1"/>
  <c r="M86" i="6"/>
  <c r="J146" i="1"/>
  <c r="I32" i="16"/>
  <c r="I6" i="16"/>
  <c r="F106" i="1"/>
  <c r="F110" i="1" s="1"/>
  <c r="H11" i="16" s="1"/>
  <c r="H24" i="16" s="1"/>
  <c r="I42" i="6"/>
  <c r="I40" i="6" s="1"/>
  <c r="L4" i="16"/>
  <c r="F52" i="1"/>
  <c r="H5" i="16" s="1"/>
  <c r="H7" i="16" s="1"/>
  <c r="I112" i="4"/>
  <c r="H118" i="4"/>
  <c r="F59" i="1" s="1"/>
  <c r="H31" i="16" s="1"/>
  <c r="H33" i="16" s="1"/>
  <c r="L113" i="4"/>
  <c r="K119" i="4"/>
  <c r="I60" i="1" s="1"/>
  <c r="I53" i="1"/>
  <c r="J130" i="4"/>
  <c r="H72" i="1" s="1"/>
  <c r="K124" i="4"/>
  <c r="H65" i="1"/>
  <c r="K126" i="4"/>
  <c r="H67" i="1"/>
  <c r="J132" i="4"/>
  <c r="H74" i="1" s="1"/>
  <c r="I51" i="1"/>
  <c r="L111" i="4"/>
  <c r="K117" i="4"/>
  <c r="I58" i="1" s="1"/>
  <c r="H66" i="1"/>
  <c r="K125" i="4"/>
  <c r="J131" i="4"/>
  <c r="H73" i="1" s="1"/>
  <c r="G108" i="1"/>
  <c r="J45" i="6"/>
  <c r="G115" i="1"/>
  <c r="I13" i="16" s="1"/>
  <c r="I12" i="16" s="1"/>
  <c r="J55" i="6"/>
  <c r="G105" i="1"/>
  <c r="J41" i="6"/>
  <c r="G107" i="1"/>
  <c r="J47" i="6"/>
  <c r="G39" i="16"/>
  <c r="G38" i="16"/>
  <c r="G109" i="1"/>
  <c r="J43" i="6"/>
  <c r="S161" i="1" l="1"/>
  <c r="X2" i="6"/>
  <c r="W103" i="6"/>
  <c r="W100" i="6"/>
  <c r="W104" i="6"/>
  <c r="U144" i="1" s="1"/>
  <c r="W77" i="6"/>
  <c r="W96" i="6"/>
  <c r="W112" i="6"/>
  <c r="W107" i="6"/>
  <c r="W99" i="6"/>
  <c r="W118" i="6"/>
  <c r="U143" i="1" s="1"/>
  <c r="W94" i="6"/>
  <c r="W97" i="6"/>
  <c r="W113" i="6"/>
  <c r="W110" i="6"/>
  <c r="W106" i="6"/>
  <c r="W93" i="6"/>
  <c r="U155" i="1" s="1"/>
  <c r="W23" i="16" s="1"/>
  <c r="W90" i="6"/>
  <c r="W91" i="6"/>
  <c r="U142" i="1" s="1"/>
  <c r="W109" i="6"/>
  <c r="U152" i="1" s="1"/>
  <c r="P16" i="6"/>
  <c r="O23" i="6"/>
  <c r="M87" i="1" s="1"/>
  <c r="P78" i="6"/>
  <c r="M141" i="1"/>
  <c r="O20" i="16" s="1"/>
  <c r="O18" i="16" s="1"/>
  <c r="Q83" i="6"/>
  <c r="T137" i="1"/>
  <c r="T138" i="1"/>
  <c r="V19" i="16" s="1"/>
  <c r="V89" i="6"/>
  <c r="T133" i="1" s="1"/>
  <c r="T139" i="1"/>
  <c r="V102" i="6"/>
  <c r="T134" i="1" s="1"/>
  <c r="K146" i="1"/>
  <c r="N86" i="6"/>
  <c r="M80" i="6"/>
  <c r="J154" i="1"/>
  <c r="L76" i="6"/>
  <c r="J132" i="1" s="1"/>
  <c r="J159" i="1" s="1"/>
  <c r="I81" i="1"/>
  <c r="L17" i="6"/>
  <c r="K24" i="6"/>
  <c r="I88" i="1" s="1"/>
  <c r="T155" i="1"/>
  <c r="V23" i="16" s="1"/>
  <c r="T148" i="1"/>
  <c r="U7" i="6"/>
  <c r="T6" i="6"/>
  <c r="N84" i="6"/>
  <c r="K150" i="1"/>
  <c r="S160" i="1"/>
  <c r="K18" i="6"/>
  <c r="H82" i="1"/>
  <c r="J16" i="16" s="1"/>
  <c r="J25" i="6"/>
  <c r="H89" i="1" s="1"/>
  <c r="S5" i="6"/>
  <c r="Q94" i="1" s="1"/>
  <c r="Q95" i="1"/>
  <c r="S10" i="6"/>
  <c r="Q96" i="1" s="1"/>
  <c r="S17" i="16" s="1"/>
  <c r="L50" i="6"/>
  <c r="I111" i="1"/>
  <c r="T151" i="1"/>
  <c r="V22" i="16" s="1"/>
  <c r="J6" i="16"/>
  <c r="J32" i="16"/>
  <c r="J42" i="6"/>
  <c r="J40" i="6" s="1"/>
  <c r="G106" i="1"/>
  <c r="G110" i="1" s="1"/>
  <c r="I11" i="16" s="1"/>
  <c r="I24" i="16" s="1"/>
  <c r="M4" i="16"/>
  <c r="J51" i="1"/>
  <c r="M111" i="4"/>
  <c r="L117" i="4"/>
  <c r="J58" i="1" s="1"/>
  <c r="L126" i="4"/>
  <c r="K132" i="4"/>
  <c r="I74" i="1" s="1"/>
  <c r="I67" i="1"/>
  <c r="J112" i="4"/>
  <c r="G52" i="1"/>
  <c r="I5" i="16" s="1"/>
  <c r="I7" i="16" s="1"/>
  <c r="I118" i="4"/>
  <c r="G59" i="1" s="1"/>
  <c r="I31" i="16" s="1"/>
  <c r="I33" i="16" s="1"/>
  <c r="K131" i="4"/>
  <c r="I73" i="1" s="1"/>
  <c r="I66" i="1"/>
  <c r="L125" i="4"/>
  <c r="K130" i="4"/>
  <c r="I72" i="1" s="1"/>
  <c r="L124" i="4"/>
  <c r="I65" i="1"/>
  <c r="J53" i="1"/>
  <c r="L119" i="4"/>
  <c r="J60" i="1" s="1"/>
  <c r="H39" i="16"/>
  <c r="H38" i="16"/>
  <c r="H108" i="1"/>
  <c r="K45" i="6"/>
  <c r="H109" i="1"/>
  <c r="K43" i="6"/>
  <c r="H107" i="1"/>
  <c r="K47" i="6"/>
  <c r="H115" i="1"/>
  <c r="J13" i="16" s="1"/>
  <c r="J12" i="16" s="1"/>
  <c r="K55" i="6"/>
  <c r="H105" i="1"/>
  <c r="K41" i="6"/>
  <c r="T160" i="1" l="1"/>
  <c r="I38" i="16"/>
  <c r="U156" i="1"/>
  <c r="U148" i="1"/>
  <c r="U147" i="1"/>
  <c r="W21" i="16" s="1"/>
  <c r="K154" i="1"/>
  <c r="N80" i="6"/>
  <c r="M76" i="6"/>
  <c r="K132" i="1" s="1"/>
  <c r="K159" i="1" s="1"/>
  <c r="L18" i="6"/>
  <c r="I82" i="1"/>
  <c r="K16" i="16" s="1"/>
  <c r="K25" i="6"/>
  <c r="I89" i="1" s="1"/>
  <c r="R95" i="1"/>
  <c r="T5" i="6"/>
  <c r="R94" i="1" s="1"/>
  <c r="T10" i="6"/>
  <c r="R96" i="1" s="1"/>
  <c r="T17" i="16" s="1"/>
  <c r="O86" i="6"/>
  <c r="L146" i="1"/>
  <c r="N141" i="1"/>
  <c r="P20" i="16" s="1"/>
  <c r="P18" i="16" s="1"/>
  <c r="Q78" i="6"/>
  <c r="U151" i="1"/>
  <c r="W22" i="16" s="1"/>
  <c r="U139" i="1"/>
  <c r="W102" i="6"/>
  <c r="U134" i="1" s="1"/>
  <c r="O84" i="6"/>
  <c r="L150" i="1"/>
  <c r="V7" i="6"/>
  <c r="U6" i="6"/>
  <c r="R83" i="6"/>
  <c r="M50" i="6"/>
  <c r="K111" i="1" s="1"/>
  <c r="J111" i="1"/>
  <c r="M17" i="6"/>
  <c r="J81" i="1"/>
  <c r="L24" i="6"/>
  <c r="J88" i="1" s="1"/>
  <c r="T161" i="1"/>
  <c r="Q16" i="6"/>
  <c r="P23" i="6"/>
  <c r="N87" i="1" s="1"/>
  <c r="U138" i="1"/>
  <c r="W19" i="16" s="1"/>
  <c r="W89" i="6"/>
  <c r="U133" i="1" s="1"/>
  <c r="U137" i="1"/>
  <c r="Y2" i="6"/>
  <c r="X106" i="6"/>
  <c r="X93" i="6"/>
  <c r="X91" i="6"/>
  <c r="V142" i="1" s="1"/>
  <c r="X109" i="6"/>
  <c r="X110" i="6"/>
  <c r="X90" i="6"/>
  <c r="X100" i="6"/>
  <c r="X104" i="6"/>
  <c r="V144" i="1" s="1"/>
  <c r="X77" i="6"/>
  <c r="X103" i="6"/>
  <c r="V139" i="1" s="1"/>
  <c r="X96" i="6"/>
  <c r="X112" i="6"/>
  <c r="X107" i="6"/>
  <c r="V156" i="1" s="1"/>
  <c r="X99" i="6"/>
  <c r="X118" i="6"/>
  <c r="V143" i="1" s="1"/>
  <c r="X94" i="6"/>
  <c r="X97" i="6"/>
  <c r="X113" i="6"/>
  <c r="K6" i="16"/>
  <c r="K32" i="16"/>
  <c r="H106" i="1"/>
  <c r="H110" i="1" s="1"/>
  <c r="J11" i="16" s="1"/>
  <c r="J24" i="16" s="1"/>
  <c r="K42" i="6"/>
  <c r="O4" i="16"/>
  <c r="N4" i="16"/>
  <c r="H52" i="1"/>
  <c r="J5" i="16" s="1"/>
  <c r="J7" i="16" s="1"/>
  <c r="K112" i="4"/>
  <c r="J118" i="4"/>
  <c r="H59" i="1" s="1"/>
  <c r="J31" i="16" s="1"/>
  <c r="J33" i="16" s="1"/>
  <c r="N111" i="4"/>
  <c r="K51" i="1"/>
  <c r="M5" i="16" s="1"/>
  <c r="M117" i="4"/>
  <c r="K58" i="1" s="1"/>
  <c r="M31" i="16" s="1"/>
  <c r="M124" i="4"/>
  <c r="J65" i="1"/>
  <c r="L130" i="4"/>
  <c r="J72" i="1" s="1"/>
  <c r="J66" i="1"/>
  <c r="L131" i="4"/>
  <c r="J73" i="1" s="1"/>
  <c r="M125" i="4"/>
  <c r="L132" i="4"/>
  <c r="J74" i="1" s="1"/>
  <c r="M126" i="4"/>
  <c r="J67" i="1"/>
  <c r="I39" i="16"/>
  <c r="I115" i="1"/>
  <c r="K13" i="16" s="1"/>
  <c r="K12" i="16" s="1"/>
  <c r="L55" i="6"/>
  <c r="I109" i="1"/>
  <c r="L43" i="6"/>
  <c r="I105" i="1"/>
  <c r="L41" i="6"/>
  <c r="I107" i="1"/>
  <c r="L47" i="6"/>
  <c r="I108" i="1"/>
  <c r="L45" i="6"/>
  <c r="V155" i="1" l="1"/>
  <c r="X23" i="16" s="1"/>
  <c r="V138" i="1"/>
  <c r="X19" i="16" s="1"/>
  <c r="X89" i="6"/>
  <c r="V133" i="1" s="1"/>
  <c r="V137" i="1"/>
  <c r="X102" i="6"/>
  <c r="V134" i="1" s="1"/>
  <c r="V161" i="1" s="1"/>
  <c r="U160" i="1"/>
  <c r="R16" i="6"/>
  <c r="Q23" i="6"/>
  <c r="O87" i="1" s="1"/>
  <c r="N17" i="6"/>
  <c r="K81" i="1"/>
  <c r="M24" i="6"/>
  <c r="K88" i="1" s="1"/>
  <c r="S83" i="6"/>
  <c r="W7" i="6"/>
  <c r="V6" i="6"/>
  <c r="M18" i="6"/>
  <c r="L25" i="6"/>
  <c r="J89" i="1" s="1"/>
  <c r="J82" i="1"/>
  <c r="L16" i="16" s="1"/>
  <c r="V148" i="1"/>
  <c r="V152" i="1"/>
  <c r="Z2" i="6"/>
  <c r="Y99" i="6"/>
  <c r="Y106" i="6"/>
  <c r="Y100" i="6"/>
  <c r="Y91" i="6"/>
  <c r="W142" i="1" s="1"/>
  <c r="Y112" i="6"/>
  <c r="Y107" i="6"/>
  <c r="Y93" i="6"/>
  <c r="Y97" i="6"/>
  <c r="Y104" i="6"/>
  <c r="W144" i="1" s="1"/>
  <c r="Y113" i="6"/>
  <c r="Y118" i="6"/>
  <c r="W143" i="1" s="1"/>
  <c r="Y94" i="6"/>
  <c r="Y103" i="6"/>
  <c r="Y77" i="6"/>
  <c r="Y90" i="6"/>
  <c r="Y96" i="6"/>
  <c r="W151" i="1" s="1"/>
  <c r="Y22" i="16" s="1"/>
  <c r="Y109" i="6"/>
  <c r="Y110" i="6"/>
  <c r="P84" i="6"/>
  <c r="M150" i="1"/>
  <c r="M146" i="1"/>
  <c r="P86" i="6"/>
  <c r="V151" i="1"/>
  <c r="X22" i="16" s="1"/>
  <c r="V147" i="1"/>
  <c r="X21" i="16" s="1"/>
  <c r="U5" i="6"/>
  <c r="S94" i="1" s="1"/>
  <c r="S95" i="1"/>
  <c r="U10" i="6"/>
  <c r="S96" i="1" s="1"/>
  <c r="U17" i="16" s="1"/>
  <c r="U161" i="1"/>
  <c r="O141" i="1"/>
  <c r="Q20" i="16" s="1"/>
  <c r="Q18" i="16" s="1"/>
  <c r="R78" i="6"/>
  <c r="O80" i="6"/>
  <c r="L154" i="1"/>
  <c r="N76" i="6"/>
  <c r="L132" i="1" s="1"/>
  <c r="L159" i="1" s="1"/>
  <c r="L6" i="16"/>
  <c r="L32" i="16"/>
  <c r="I106" i="1"/>
  <c r="I110" i="1" s="1"/>
  <c r="K11" i="16" s="1"/>
  <c r="K24" i="16" s="1"/>
  <c r="L42" i="6"/>
  <c r="L40" i="6" s="1"/>
  <c r="K40" i="6"/>
  <c r="M132" i="4"/>
  <c r="K74" i="1" s="1"/>
  <c r="N126" i="4"/>
  <c r="K67" i="1"/>
  <c r="N124" i="4"/>
  <c r="M130" i="4"/>
  <c r="K72" i="1" s="1"/>
  <c r="K65" i="1"/>
  <c r="N125" i="4"/>
  <c r="M131" i="4"/>
  <c r="K73" i="1" s="1"/>
  <c r="K66" i="1"/>
  <c r="L112" i="4"/>
  <c r="I52" i="1"/>
  <c r="K5" i="16" s="1"/>
  <c r="K7" i="16" s="1"/>
  <c r="K118" i="4"/>
  <c r="I59" i="1" s="1"/>
  <c r="K31" i="16" s="1"/>
  <c r="K33" i="16" s="1"/>
  <c r="O111" i="4"/>
  <c r="L51" i="1"/>
  <c r="N5" i="16" s="1"/>
  <c r="N117" i="4"/>
  <c r="L58" i="1" s="1"/>
  <c r="N31" i="16" s="1"/>
  <c r="J38" i="16"/>
  <c r="J39" i="16"/>
  <c r="J115" i="1"/>
  <c r="L13" i="16" s="1"/>
  <c r="L12" i="16" s="1"/>
  <c r="M55" i="6"/>
  <c r="J108" i="1"/>
  <c r="M45" i="6"/>
  <c r="J105" i="1"/>
  <c r="M41" i="6"/>
  <c r="J109" i="1"/>
  <c r="M43" i="6"/>
  <c r="J107" i="1"/>
  <c r="M47" i="6"/>
  <c r="M32" i="16" l="1"/>
  <c r="M33" i="16" s="1"/>
  <c r="Z99" i="6"/>
  <c r="AA2" i="6"/>
  <c r="Z93" i="6"/>
  <c r="Z90" i="6"/>
  <c r="Z103" i="6"/>
  <c r="X139" i="1" s="1"/>
  <c r="Z77" i="6"/>
  <c r="Z109" i="6"/>
  <c r="Z107" i="6"/>
  <c r="Z110" i="6"/>
  <c r="Z118" i="6"/>
  <c r="X143" i="1" s="1"/>
  <c r="Z97" i="6"/>
  <c r="Z112" i="6"/>
  <c r="Z96" i="6"/>
  <c r="Z100" i="6"/>
  <c r="Z91" i="6"/>
  <c r="X142" i="1" s="1"/>
  <c r="Z104" i="6"/>
  <c r="X144" i="1" s="1"/>
  <c r="Z113" i="6"/>
  <c r="Z106" i="6"/>
  <c r="Z94" i="6"/>
  <c r="W6" i="6"/>
  <c r="X7" i="6"/>
  <c r="Q84" i="6"/>
  <c r="N150" i="1"/>
  <c r="W138" i="1"/>
  <c r="Y19" i="16" s="1"/>
  <c r="Y89" i="6"/>
  <c r="W133" i="1" s="1"/>
  <c r="W155" i="1"/>
  <c r="Y23" i="16" s="1"/>
  <c r="W147" i="1"/>
  <c r="Y21" i="16" s="1"/>
  <c r="T83" i="6"/>
  <c r="S16" i="6"/>
  <c r="R23" i="6"/>
  <c r="P87" i="1" s="1"/>
  <c r="P80" i="6"/>
  <c r="M154" i="1"/>
  <c r="O76" i="6"/>
  <c r="M132" i="1" s="1"/>
  <c r="M159" i="1" s="1"/>
  <c r="W156" i="1"/>
  <c r="K82" i="1"/>
  <c r="M16" i="16" s="1"/>
  <c r="N18" i="6"/>
  <c r="M25" i="6"/>
  <c r="K89" i="1" s="1"/>
  <c r="L81" i="1"/>
  <c r="O17" i="6"/>
  <c r="N24" i="6"/>
  <c r="L88" i="1" s="1"/>
  <c r="V160" i="1"/>
  <c r="S78" i="6"/>
  <c r="P141" i="1"/>
  <c r="R20" i="16" s="1"/>
  <c r="R18" i="16" s="1"/>
  <c r="N146" i="1"/>
  <c r="Q86" i="6"/>
  <c r="W137" i="1"/>
  <c r="W152" i="1"/>
  <c r="W139" i="1"/>
  <c r="Y102" i="6"/>
  <c r="W134" i="1" s="1"/>
  <c r="W148" i="1"/>
  <c r="T95" i="1"/>
  <c r="V5" i="6"/>
  <c r="T94" i="1" s="1"/>
  <c r="V10" i="6"/>
  <c r="T96" i="1" s="1"/>
  <c r="V17" i="16" s="1"/>
  <c r="M6" i="16"/>
  <c r="M7" i="16" s="1"/>
  <c r="M42" i="6"/>
  <c r="J106" i="1"/>
  <c r="J110" i="1" s="1"/>
  <c r="L11" i="16" s="1"/>
  <c r="L24" i="16" s="1"/>
  <c r="J52" i="1"/>
  <c r="L5" i="16" s="1"/>
  <c r="L7" i="16" s="1"/>
  <c r="L118" i="4"/>
  <c r="J59" i="1" s="1"/>
  <c r="L31" i="16" s="1"/>
  <c r="L33" i="16" s="1"/>
  <c r="L66" i="1"/>
  <c r="O125" i="4"/>
  <c r="N131" i="4"/>
  <c r="L73" i="1" s="1"/>
  <c r="L65" i="1"/>
  <c r="O124" i="4"/>
  <c r="N130" i="4"/>
  <c r="L72" i="1" s="1"/>
  <c r="M51" i="1"/>
  <c r="O5" i="16" s="1"/>
  <c r="O117" i="4"/>
  <c r="M58" i="1" s="1"/>
  <c r="O31" i="16" s="1"/>
  <c r="O126" i="4"/>
  <c r="L67" i="1"/>
  <c r="N132" i="4"/>
  <c r="L74" i="1" s="1"/>
  <c r="K105" i="1"/>
  <c r="M40" i="6"/>
  <c r="N41" i="6"/>
  <c r="N55" i="6"/>
  <c r="K115" i="1"/>
  <c r="M13" i="16" s="1"/>
  <c r="M12" i="16" s="1"/>
  <c r="K109" i="1"/>
  <c r="N43" i="6"/>
  <c r="K39" i="16"/>
  <c r="K38" i="16"/>
  <c r="K108" i="1"/>
  <c r="N45" i="6"/>
  <c r="K107" i="1"/>
  <c r="N47" i="6"/>
  <c r="X147" i="1" l="1"/>
  <c r="Z21" i="16" s="1"/>
  <c r="X152" i="1"/>
  <c r="W161" i="1"/>
  <c r="W160" i="1"/>
  <c r="O18" i="6"/>
  <c r="L82" i="1"/>
  <c r="N16" i="16" s="1"/>
  <c r="N25" i="6"/>
  <c r="L89" i="1" s="1"/>
  <c r="R84" i="6"/>
  <c r="O150" i="1"/>
  <c r="O146" i="1"/>
  <c r="R86" i="6"/>
  <c r="Q141" i="1"/>
  <c r="S20" i="16" s="1"/>
  <c r="S18" i="16" s="1"/>
  <c r="T78" i="6"/>
  <c r="P17" i="6"/>
  <c r="M81" i="1"/>
  <c r="O24" i="6"/>
  <c r="M88" i="1" s="1"/>
  <c r="N154" i="1"/>
  <c r="Q80" i="6"/>
  <c r="P76" i="6"/>
  <c r="N132" i="1" s="1"/>
  <c r="U83" i="6"/>
  <c r="X137" i="1"/>
  <c r="AA94" i="6"/>
  <c r="AA103" i="6"/>
  <c r="AA99" i="6"/>
  <c r="AA93" i="6"/>
  <c r="AA77" i="6"/>
  <c r="AA90" i="6"/>
  <c r="AA109" i="6"/>
  <c r="AA107" i="6"/>
  <c r="AA104" i="6"/>
  <c r="Y144" i="1" s="1"/>
  <c r="AA97" i="6"/>
  <c r="AA100" i="6"/>
  <c r="Y147" i="1" s="1"/>
  <c r="AA21" i="16" s="1"/>
  <c r="AA110" i="6"/>
  <c r="AA118" i="6"/>
  <c r="Y143" i="1" s="1"/>
  <c r="AA106" i="6"/>
  <c r="AA96" i="6"/>
  <c r="Y151" i="1" s="1"/>
  <c r="AA22" i="16" s="1"/>
  <c r="AA91" i="6"/>
  <c r="Y142" i="1" s="1"/>
  <c r="AA112" i="6"/>
  <c r="AA113" i="6"/>
  <c r="Y7" i="6"/>
  <c r="X6" i="6"/>
  <c r="S23" i="6"/>
  <c r="Q87" i="1" s="1"/>
  <c r="T16" i="6"/>
  <c r="U95" i="1"/>
  <c r="W5" i="6"/>
  <c r="U94" i="1" s="1"/>
  <c r="W10" i="6"/>
  <c r="U96" i="1" s="1"/>
  <c r="W17" i="16" s="1"/>
  <c r="X148" i="1"/>
  <c r="X156" i="1"/>
  <c r="X138" i="1"/>
  <c r="Z19" i="16" s="1"/>
  <c r="Z89" i="6"/>
  <c r="X133" i="1" s="1"/>
  <c r="X155" i="1"/>
  <c r="Z23" i="16" s="1"/>
  <c r="X151" i="1"/>
  <c r="Z22" i="16" s="1"/>
  <c r="Z102" i="6"/>
  <c r="X134" i="1" s="1"/>
  <c r="X161" i="1" s="1"/>
  <c r="N32" i="16"/>
  <c r="N33" i="16" s="1"/>
  <c r="N6" i="16"/>
  <c r="N7" i="16" s="1"/>
  <c r="N42" i="6"/>
  <c r="N40" i="6" s="1"/>
  <c r="K106" i="1"/>
  <c r="K110" i="1" s="1"/>
  <c r="M11" i="16" s="1"/>
  <c r="M24" i="16" s="1"/>
  <c r="P126" i="4"/>
  <c r="O132" i="4"/>
  <c r="M74" i="1" s="1"/>
  <c r="M67" i="1"/>
  <c r="P124" i="4"/>
  <c r="O130" i="4"/>
  <c r="M72" i="1" s="1"/>
  <c r="M65" i="1"/>
  <c r="O131" i="4"/>
  <c r="M73" i="1" s="1"/>
  <c r="M66" i="1"/>
  <c r="P125" i="4"/>
  <c r="L107" i="1"/>
  <c r="O47" i="6"/>
  <c r="L108" i="1"/>
  <c r="O45" i="6"/>
  <c r="L38" i="16"/>
  <c r="L39" i="16"/>
  <c r="L115" i="1"/>
  <c r="N13" i="16" s="1"/>
  <c r="N12" i="16" s="1"/>
  <c r="O55" i="6"/>
  <c r="L109" i="1"/>
  <c r="O43" i="6"/>
  <c r="L105" i="1"/>
  <c r="O41" i="6"/>
  <c r="Y152" i="1" l="1"/>
  <c r="O154" i="1"/>
  <c r="R80" i="6"/>
  <c r="Q76" i="6"/>
  <c r="O132" i="1" s="1"/>
  <c r="N81" i="1"/>
  <c r="Q17" i="6"/>
  <c r="P24" i="6"/>
  <c r="N88" i="1" s="1"/>
  <c r="S86" i="6"/>
  <c r="P146" i="1"/>
  <c r="Y138" i="1"/>
  <c r="AA19" i="16" s="1"/>
  <c r="AA89" i="6"/>
  <c r="Y133" i="1" s="1"/>
  <c r="Y139" i="1"/>
  <c r="AA102" i="6"/>
  <c r="Y134" i="1" s="1"/>
  <c r="V95" i="1"/>
  <c r="X5" i="6"/>
  <c r="V94" i="1" s="1"/>
  <c r="X10" i="6"/>
  <c r="V96" i="1" s="1"/>
  <c r="X17" i="16" s="1"/>
  <c r="X160" i="1"/>
  <c r="Y6" i="6"/>
  <c r="Z7" i="6"/>
  <c r="Y148" i="1"/>
  <c r="Y137" i="1"/>
  <c r="V83" i="6"/>
  <c r="R141" i="1"/>
  <c r="T20" i="16" s="1"/>
  <c r="T18" i="16" s="1"/>
  <c r="U78" i="6"/>
  <c r="U16" i="6"/>
  <c r="T23" i="6"/>
  <c r="R87" i="1" s="1"/>
  <c r="Y156" i="1"/>
  <c r="Y155" i="1"/>
  <c r="AA23" i="16" s="1"/>
  <c r="S84" i="6"/>
  <c r="P150" i="1"/>
  <c r="M82" i="1"/>
  <c r="O16" i="16" s="1"/>
  <c r="P18" i="6"/>
  <c r="O25" i="6"/>
  <c r="M89" i="1" s="1"/>
  <c r="O6" i="16"/>
  <c r="O7" i="16" s="1"/>
  <c r="O8" i="16" s="1"/>
  <c r="P7" i="16" s="1"/>
  <c r="Q7" i="16" s="1"/>
  <c r="R7" i="16" s="1"/>
  <c r="S7" i="16" s="1"/>
  <c r="T7" i="16" s="1"/>
  <c r="U7" i="16" s="1"/>
  <c r="V7" i="16" s="1"/>
  <c r="W7" i="16" s="1"/>
  <c r="X7" i="16" s="1"/>
  <c r="Y7" i="16" s="1"/>
  <c r="Z7" i="16" s="1"/>
  <c r="AA7" i="16" s="1"/>
  <c r="O32" i="16"/>
  <c r="O33" i="16" s="1"/>
  <c r="O42" i="6"/>
  <c r="O40" i="6" s="1"/>
  <c r="L106" i="1"/>
  <c r="L110" i="1" s="1"/>
  <c r="N11" i="16" s="1"/>
  <c r="N24" i="16" s="1"/>
  <c r="N38" i="16" s="1"/>
  <c r="Q124" i="4"/>
  <c r="N65" i="1"/>
  <c r="P130" i="4"/>
  <c r="N72" i="1" s="1"/>
  <c r="N66" i="1"/>
  <c r="P131" i="4"/>
  <c r="N73" i="1" s="1"/>
  <c r="Q125" i="4"/>
  <c r="P132" i="4"/>
  <c r="N74" i="1" s="1"/>
  <c r="N67" i="1"/>
  <c r="Q126" i="4"/>
  <c r="M109" i="1"/>
  <c r="P43" i="6"/>
  <c r="M107" i="1"/>
  <c r="P47" i="6"/>
  <c r="M105" i="1"/>
  <c r="P41" i="6"/>
  <c r="P55" i="6"/>
  <c r="M115" i="1"/>
  <c r="O13" i="16" s="1"/>
  <c r="O12" i="16" s="1"/>
  <c r="M108" i="1"/>
  <c r="P45" i="6"/>
  <c r="M39" i="16"/>
  <c r="M38" i="16"/>
  <c r="O34" i="16" l="1"/>
  <c r="P33" i="16" s="1"/>
  <c r="Y160" i="1"/>
  <c r="S141" i="1"/>
  <c r="U20" i="16" s="1"/>
  <c r="U18" i="16" s="1"/>
  <c r="V78" i="6"/>
  <c r="W95" i="1"/>
  <c r="Y5" i="6"/>
  <c r="W94" i="1" s="1"/>
  <c r="Y10" i="6"/>
  <c r="W96" i="1" s="1"/>
  <c r="Y17" i="16" s="1"/>
  <c r="O81" i="1"/>
  <c r="R17" i="6"/>
  <c r="Q24" i="6"/>
  <c r="O88" i="1" s="1"/>
  <c r="Y161" i="1"/>
  <c r="Q18" i="6"/>
  <c r="N82" i="1"/>
  <c r="P16" i="16" s="1"/>
  <c r="P25" i="6"/>
  <c r="N89" i="1" s="1"/>
  <c r="V16" i="6"/>
  <c r="U23" i="6"/>
  <c r="S87" i="1" s="1"/>
  <c r="T84" i="6"/>
  <c r="Q150" i="1"/>
  <c r="W83" i="6"/>
  <c r="AA7" i="6"/>
  <c r="AA6" i="6" s="1"/>
  <c r="Z6" i="6"/>
  <c r="Q146" i="1"/>
  <c r="T86" i="6"/>
  <c r="S80" i="6"/>
  <c r="P154" i="1"/>
  <c r="R76" i="6"/>
  <c r="P132" i="1" s="1"/>
  <c r="P32" i="16"/>
  <c r="P6" i="16"/>
  <c r="P42" i="6"/>
  <c r="P40" i="6" s="1"/>
  <c r="M106" i="1"/>
  <c r="M110" i="1" s="1"/>
  <c r="O11" i="16" s="1"/>
  <c r="O24" i="16" s="1"/>
  <c r="Q130" i="4"/>
  <c r="O72" i="1" s="1"/>
  <c r="R124" i="4"/>
  <c r="O65" i="1"/>
  <c r="Q131" i="4"/>
  <c r="O73" i="1" s="1"/>
  <c r="R125" i="4"/>
  <c r="O66" i="1"/>
  <c r="R126" i="4"/>
  <c r="Q132" i="4"/>
  <c r="O74" i="1" s="1"/>
  <c r="O67" i="1"/>
  <c r="N39" i="16"/>
  <c r="N115" i="1"/>
  <c r="P13" i="16" s="1"/>
  <c r="P12" i="16" s="1"/>
  <c r="Q55" i="6"/>
  <c r="N107" i="1"/>
  <c r="Q47" i="6"/>
  <c r="N108" i="1"/>
  <c r="Q45" i="6"/>
  <c r="N105" i="1"/>
  <c r="Q41" i="6"/>
  <c r="N109" i="1"/>
  <c r="Q43" i="6"/>
  <c r="Q33" i="16" l="1"/>
  <c r="Q32" i="16"/>
  <c r="AA5" i="6"/>
  <c r="Y94" i="1" s="1"/>
  <c r="Y95" i="1"/>
  <c r="AA10" i="6"/>
  <c r="Y96" i="1" s="1"/>
  <c r="AA17" i="16" s="1"/>
  <c r="U84" i="6"/>
  <c r="R150" i="1"/>
  <c r="T141" i="1"/>
  <c r="V20" i="16" s="1"/>
  <c r="V18" i="16" s="1"/>
  <c r="W78" i="6"/>
  <c r="U86" i="6"/>
  <c r="R146" i="1"/>
  <c r="X83" i="6"/>
  <c r="S17" i="6"/>
  <c r="P81" i="1"/>
  <c r="R24" i="6"/>
  <c r="P88" i="1" s="1"/>
  <c r="O82" i="1"/>
  <c r="Q16" i="16" s="1"/>
  <c r="R18" i="6"/>
  <c r="Q25" i="6"/>
  <c r="O89" i="1" s="1"/>
  <c r="Q154" i="1"/>
  <c r="T80" i="6"/>
  <c r="S76" i="6"/>
  <c r="Q132" i="1" s="1"/>
  <c r="X95" i="1"/>
  <c r="Z10" i="6"/>
  <c r="X96" i="1" s="1"/>
  <c r="Z17" i="16" s="1"/>
  <c r="Z5" i="6"/>
  <c r="X94" i="1" s="1"/>
  <c r="V23" i="6"/>
  <c r="T87" i="1" s="1"/>
  <c r="Q6" i="16"/>
  <c r="N106" i="1"/>
  <c r="N110" i="1" s="1"/>
  <c r="P11" i="16" s="1"/>
  <c r="P24" i="16" s="1"/>
  <c r="Q42" i="6"/>
  <c r="Q40" i="6" s="1"/>
  <c r="S124" i="4"/>
  <c r="R130" i="4"/>
  <c r="P72" i="1" s="1"/>
  <c r="P65" i="1"/>
  <c r="R132" i="4"/>
  <c r="P74" i="1" s="1"/>
  <c r="S126" i="4"/>
  <c r="P67" i="1"/>
  <c r="R131" i="4"/>
  <c r="P73" i="1" s="1"/>
  <c r="S125" i="4"/>
  <c r="P66" i="1"/>
  <c r="O39" i="16"/>
  <c r="O38" i="16"/>
  <c r="O105" i="1"/>
  <c r="R41" i="6"/>
  <c r="O108" i="1"/>
  <c r="R45" i="6"/>
  <c r="O107" i="1"/>
  <c r="R47" i="6"/>
  <c r="R55" i="6"/>
  <c r="O115" i="1"/>
  <c r="Q13" i="16" s="1"/>
  <c r="Q12" i="16" s="1"/>
  <c r="O109" i="1"/>
  <c r="R43" i="6"/>
  <c r="R33" i="16" l="1"/>
  <c r="R154" i="1"/>
  <c r="U80" i="6"/>
  <c r="T76" i="6"/>
  <c r="R132" i="1" s="1"/>
  <c r="Y83" i="6"/>
  <c r="V84" i="6"/>
  <c r="S150" i="1"/>
  <c r="X78" i="6"/>
  <c r="U141" i="1"/>
  <c r="W20" i="16" s="1"/>
  <c r="W18" i="16" s="1"/>
  <c r="P82" i="1"/>
  <c r="R16" i="16" s="1"/>
  <c r="S18" i="6"/>
  <c r="R25" i="6"/>
  <c r="P89" i="1" s="1"/>
  <c r="Q81" i="1"/>
  <c r="T17" i="6"/>
  <c r="S24" i="6"/>
  <c r="Q88" i="1" s="1"/>
  <c r="S146" i="1"/>
  <c r="V86" i="6"/>
  <c r="R6" i="16"/>
  <c r="R32" i="16"/>
  <c r="O106" i="1"/>
  <c r="O110" i="1" s="1"/>
  <c r="Q11" i="16" s="1"/>
  <c r="Q24" i="16" s="1"/>
  <c r="R42" i="6"/>
  <c r="S132" i="4"/>
  <c r="Q74" i="1" s="1"/>
  <c r="T126" i="4"/>
  <c r="Q67" i="1"/>
  <c r="S131" i="4"/>
  <c r="Q73" i="1" s="1"/>
  <c r="Q66" i="1"/>
  <c r="T125" i="4"/>
  <c r="S130" i="4"/>
  <c r="Q72" i="1" s="1"/>
  <c r="T124" i="4"/>
  <c r="Q65" i="1"/>
  <c r="P115" i="1"/>
  <c r="R13" i="16" s="1"/>
  <c r="R12" i="16" s="1"/>
  <c r="S55" i="6"/>
  <c r="P109" i="1"/>
  <c r="S43" i="6"/>
  <c r="P107" i="1"/>
  <c r="S47" i="6"/>
  <c r="P38" i="16"/>
  <c r="P39" i="16"/>
  <c r="P108" i="1"/>
  <c r="S45" i="6"/>
  <c r="P105" i="1"/>
  <c r="S41" i="6"/>
  <c r="R40" i="6"/>
  <c r="S33" i="16" l="1"/>
  <c r="S6" i="16"/>
  <c r="R81" i="1"/>
  <c r="U17" i="6"/>
  <c r="T24" i="6"/>
  <c r="R88" i="1" s="1"/>
  <c r="W86" i="6"/>
  <c r="T146" i="1"/>
  <c r="W84" i="6"/>
  <c r="T150" i="1"/>
  <c r="S154" i="1"/>
  <c r="V80" i="6"/>
  <c r="U76" i="6"/>
  <c r="S132" i="1" s="1"/>
  <c r="Q82" i="1"/>
  <c r="S16" i="16" s="1"/>
  <c r="T18" i="6"/>
  <c r="S25" i="6"/>
  <c r="Q89" i="1" s="1"/>
  <c r="V141" i="1"/>
  <c r="X20" i="16" s="1"/>
  <c r="X18" i="16" s="1"/>
  <c r="Y78" i="6"/>
  <c r="Z83" i="6"/>
  <c r="S32" i="16"/>
  <c r="P106" i="1"/>
  <c r="P110" i="1" s="1"/>
  <c r="R11" i="16" s="1"/>
  <c r="R24" i="16" s="1"/>
  <c r="R38" i="16" s="1"/>
  <c r="S42" i="6"/>
  <c r="U124" i="4"/>
  <c r="R65" i="1"/>
  <c r="T130" i="4"/>
  <c r="R72" i="1" s="1"/>
  <c r="R66" i="1"/>
  <c r="T131" i="4"/>
  <c r="R73" i="1" s="1"/>
  <c r="U125" i="4"/>
  <c r="T132" i="4"/>
  <c r="R74" i="1" s="1"/>
  <c r="U126" i="4"/>
  <c r="R67" i="1"/>
  <c r="Q109" i="1"/>
  <c r="T43" i="6"/>
  <c r="T55" i="6"/>
  <c r="Q115" i="1"/>
  <c r="S13" i="16" s="1"/>
  <c r="S12" i="16" s="1"/>
  <c r="Q108" i="1"/>
  <c r="T45" i="6"/>
  <c r="Q105" i="1"/>
  <c r="S40" i="6"/>
  <c r="T41" i="6"/>
  <c r="Q107" i="1"/>
  <c r="T47" i="6"/>
  <c r="Q39" i="16"/>
  <c r="Q38" i="16"/>
  <c r="T33" i="16" l="1"/>
  <c r="T6" i="16"/>
  <c r="Z78" i="6"/>
  <c r="W141" i="1"/>
  <c r="Y20" i="16" s="1"/>
  <c r="Y18" i="16" s="1"/>
  <c r="AA83" i="6"/>
  <c r="X84" i="6"/>
  <c r="U150" i="1"/>
  <c r="V17" i="6"/>
  <c r="S81" i="1"/>
  <c r="U24" i="6"/>
  <c r="S88" i="1" s="1"/>
  <c r="W80" i="6"/>
  <c r="T154" i="1"/>
  <c r="V76" i="6"/>
  <c r="T132" i="1" s="1"/>
  <c r="R82" i="1"/>
  <c r="T16" i="16" s="1"/>
  <c r="U18" i="6"/>
  <c r="T25" i="6"/>
  <c r="R89" i="1" s="1"/>
  <c r="U146" i="1"/>
  <c r="X86" i="6"/>
  <c r="T32" i="16"/>
  <c r="Q106" i="1"/>
  <c r="Q110" i="1" s="1"/>
  <c r="S11" i="16" s="1"/>
  <c r="S24" i="16" s="1"/>
  <c r="T42" i="6"/>
  <c r="U131" i="4"/>
  <c r="S73" i="1" s="1"/>
  <c r="V125" i="4"/>
  <c r="S66" i="1"/>
  <c r="U130" i="4"/>
  <c r="S72" i="1" s="1"/>
  <c r="V124" i="4"/>
  <c r="S65" i="1"/>
  <c r="V126" i="4"/>
  <c r="S67" i="1"/>
  <c r="U132" i="4"/>
  <c r="S74" i="1" s="1"/>
  <c r="R39" i="16"/>
  <c r="R115" i="1"/>
  <c r="T13" i="16" s="1"/>
  <c r="T12" i="16" s="1"/>
  <c r="U55" i="6"/>
  <c r="R108" i="1"/>
  <c r="U45" i="6"/>
  <c r="R109" i="1"/>
  <c r="U43" i="6"/>
  <c r="R107" i="1"/>
  <c r="U47" i="6"/>
  <c r="R105" i="1"/>
  <c r="U41" i="6"/>
  <c r="T40" i="6"/>
  <c r="U33" i="16" l="1"/>
  <c r="V146" i="1"/>
  <c r="Y86" i="6"/>
  <c r="T81" i="1"/>
  <c r="V24" i="6"/>
  <c r="T88" i="1" s="1"/>
  <c r="V18" i="6"/>
  <c r="S82" i="1"/>
  <c r="U16" i="16" s="1"/>
  <c r="U25" i="6"/>
  <c r="S89" i="1" s="1"/>
  <c r="U154" i="1"/>
  <c r="X80" i="6"/>
  <c r="W76" i="6"/>
  <c r="U132" i="1" s="1"/>
  <c r="Y84" i="6"/>
  <c r="V150" i="1"/>
  <c r="X141" i="1"/>
  <c r="Z20" i="16" s="1"/>
  <c r="Z18" i="16" s="1"/>
  <c r="AA78" i="6"/>
  <c r="U32" i="16"/>
  <c r="U6" i="16"/>
  <c r="R106" i="1"/>
  <c r="R110" i="1" s="1"/>
  <c r="T11" i="16" s="1"/>
  <c r="T24" i="16" s="1"/>
  <c r="U42" i="6"/>
  <c r="V132" i="4"/>
  <c r="T74" i="1" s="1"/>
  <c r="T67" i="1"/>
  <c r="V131" i="4"/>
  <c r="T73" i="1" s="1"/>
  <c r="T66" i="1"/>
  <c r="V130" i="4"/>
  <c r="T72" i="1" s="1"/>
  <c r="T65" i="1"/>
  <c r="S115" i="1"/>
  <c r="U13" i="16" s="1"/>
  <c r="U12" i="16" s="1"/>
  <c r="V55" i="6"/>
  <c r="S108" i="1"/>
  <c r="V45" i="6"/>
  <c r="S39" i="16"/>
  <c r="S38" i="16"/>
  <c r="S107" i="1"/>
  <c r="V47" i="6"/>
  <c r="S109" i="1"/>
  <c r="V43" i="6"/>
  <c r="S105" i="1"/>
  <c r="U40" i="6"/>
  <c r="V41" i="6"/>
  <c r="V33" i="16" l="1"/>
  <c r="Y80" i="6"/>
  <c r="V154" i="1"/>
  <c r="X76" i="6"/>
  <c r="V132" i="1" s="1"/>
  <c r="T82" i="1"/>
  <c r="V16" i="16" s="1"/>
  <c r="V25" i="6"/>
  <c r="T89" i="1" s="1"/>
  <c r="W146" i="1"/>
  <c r="Z86" i="6"/>
  <c r="Z84" i="6"/>
  <c r="W150" i="1"/>
  <c r="Y141" i="1"/>
  <c r="AA20" i="16" s="1"/>
  <c r="AA18" i="16" s="1"/>
  <c r="V6" i="16"/>
  <c r="V32" i="16"/>
  <c r="S106" i="1"/>
  <c r="S110" i="1" s="1"/>
  <c r="U11" i="16" s="1"/>
  <c r="U24" i="16" s="1"/>
  <c r="U38" i="16" s="1"/>
  <c r="V42" i="6"/>
  <c r="V40" i="6" s="1"/>
  <c r="T115" i="1"/>
  <c r="V13" i="16" s="1"/>
  <c r="V12" i="16" s="1"/>
  <c r="W55" i="6"/>
  <c r="T109" i="1"/>
  <c r="W43" i="6"/>
  <c r="T105" i="1"/>
  <c r="W41" i="6"/>
  <c r="T107" i="1"/>
  <c r="W47" i="6"/>
  <c r="T38" i="16"/>
  <c r="T39" i="16"/>
  <c r="T108" i="1"/>
  <c r="W45" i="6"/>
  <c r="W33" i="16" l="1"/>
  <c r="AA86" i="6"/>
  <c r="Y146" i="1" s="1"/>
  <c r="X146" i="1"/>
  <c r="W154" i="1"/>
  <c r="Z80" i="6"/>
  <c r="Y76" i="6"/>
  <c r="W132" i="1" s="1"/>
  <c r="AA84" i="6"/>
  <c r="Y150" i="1" s="1"/>
  <c r="X150" i="1"/>
  <c r="W42" i="6"/>
  <c r="T106" i="1"/>
  <c r="T110" i="1" s="1"/>
  <c r="V11" i="16" s="1"/>
  <c r="V24" i="16" s="1"/>
  <c r="U39" i="16"/>
  <c r="U105" i="1"/>
  <c r="W40" i="6"/>
  <c r="X41" i="6"/>
  <c r="U109" i="1"/>
  <c r="X43" i="6"/>
  <c r="U108" i="1"/>
  <c r="X45" i="6"/>
  <c r="U107" i="1"/>
  <c r="X47" i="6"/>
  <c r="U115" i="1"/>
  <c r="W13" i="16" s="1"/>
  <c r="W12" i="16" s="1"/>
  <c r="X55" i="6"/>
  <c r="X33" i="16" l="1"/>
  <c r="AA80" i="6"/>
  <c r="X154" i="1"/>
  <c r="Z76" i="6"/>
  <c r="X132" i="1" s="1"/>
  <c r="U106" i="1"/>
  <c r="U110" i="1" s="1"/>
  <c r="W11" i="16" s="1"/>
  <c r="W24" i="16" s="1"/>
  <c r="X42" i="6"/>
  <c r="V38" i="16"/>
  <c r="V39" i="16"/>
  <c r="V107" i="1"/>
  <c r="Y47" i="6"/>
  <c r="V109" i="1"/>
  <c r="Y43" i="6"/>
  <c r="V115" i="1"/>
  <c r="X13" i="16" s="1"/>
  <c r="X12" i="16" s="1"/>
  <c r="Y55" i="6"/>
  <c r="V108" i="1"/>
  <c r="Y45" i="6"/>
  <c r="V105" i="1"/>
  <c r="Y41" i="6"/>
  <c r="X40" i="6"/>
  <c r="Y33" i="16" l="1"/>
  <c r="Y154" i="1"/>
  <c r="AA76" i="6"/>
  <c r="Y132" i="1" s="1"/>
  <c r="V106" i="1"/>
  <c r="V110" i="1" s="1"/>
  <c r="X11" i="16" s="1"/>
  <c r="X24" i="16" s="1"/>
  <c r="Y42" i="6"/>
  <c r="W107" i="1"/>
  <c r="Z47" i="6"/>
  <c r="W38" i="16"/>
  <c r="W39" i="16"/>
  <c r="W105" i="1"/>
  <c r="Y40" i="6"/>
  <c r="Z41" i="6"/>
  <c r="W109" i="1"/>
  <c r="Z43" i="6"/>
  <c r="W108" i="1"/>
  <c r="Z45" i="6"/>
  <c r="W115" i="1"/>
  <c r="Y13" i="16" s="1"/>
  <c r="Y12" i="16" s="1"/>
  <c r="Z55" i="6"/>
  <c r="Z33" i="16" l="1"/>
  <c r="W106" i="1"/>
  <c r="Z42" i="6"/>
  <c r="X115" i="1"/>
  <c r="Z13" i="16" s="1"/>
  <c r="Z12" i="16" s="1"/>
  <c r="AA55" i="6"/>
  <c r="Y115" i="1" s="1"/>
  <c r="AA13" i="16" s="1"/>
  <c r="AA12" i="16" s="1"/>
  <c r="X109" i="1"/>
  <c r="AA43" i="6"/>
  <c r="Y109" i="1" s="1"/>
  <c r="X39" i="16"/>
  <c r="X38" i="16"/>
  <c r="X107" i="1"/>
  <c r="AA47" i="6"/>
  <c r="Y107" i="1" s="1"/>
  <c r="X105" i="1"/>
  <c r="AA41" i="6"/>
  <c r="Z40" i="6"/>
  <c r="X108" i="1"/>
  <c r="AA45" i="6"/>
  <c r="Y108" i="1" s="1"/>
  <c r="W110" i="1"/>
  <c r="Y11" i="16" s="1"/>
  <c r="Y24" i="16" s="1"/>
  <c r="AA33" i="16" l="1"/>
  <c r="AA42" i="6"/>
  <c r="Y106" i="1" s="1"/>
  <c r="X106" i="1"/>
  <c r="X110" i="1"/>
  <c r="Z11" i="16" s="1"/>
  <c r="Z24" i="16" s="1"/>
  <c r="Z38" i="16" s="1"/>
  <c r="Y39" i="16"/>
  <c r="Y38" i="16"/>
  <c r="Y105" i="1"/>
  <c r="Y110" i="1" s="1"/>
  <c r="AA11" i="16" s="1"/>
  <c r="AA24" i="16" s="1"/>
  <c r="AA40" i="6"/>
  <c r="Z39" i="16" l="1"/>
  <c r="AA38" i="16"/>
  <c r="AA39" i="16"/>
</calcChain>
</file>

<file path=xl/comments1.xml><?xml version="1.0" encoding="utf-8"?>
<comments xmlns="http://schemas.openxmlformats.org/spreadsheetml/2006/main">
  <authors>
    <author>Guest</author>
    <author>Ketabi, Noushin</author>
    <author>Young, Patrick</author>
  </authors>
  <commentList>
    <comment ref="P7" authorId="0">
      <text>
        <r>
          <rPr>
            <b/>
            <sz val="9"/>
            <color indexed="81"/>
            <rFont val="Calibri"/>
            <family val="2"/>
          </rPr>
          <t xml:space="preserve">The values from 2023 onward extrapolate using same average annual growth rate of years 2012-2022.
</t>
        </r>
      </text>
    </comment>
    <comment ref="O8" authorId="0">
      <text>
        <r>
          <rPr>
            <b/>
            <sz val="9"/>
            <color indexed="81"/>
            <rFont val="Calibri"/>
            <family val="2"/>
          </rPr>
          <t>Average annual growth rate of years 2012-2022</t>
        </r>
      </text>
    </comment>
    <comment ref="D23" authorId="1">
      <text>
        <r>
          <rPr>
            <b/>
            <sz val="9"/>
            <color indexed="81"/>
            <rFont val="Tahoma"/>
            <family val="2"/>
          </rPr>
          <t xml:space="preserve">Ketabi, Noushin: </t>
        </r>
        <r>
          <rPr>
            <sz val="9"/>
            <color indexed="81"/>
            <rFont val="Tahoma"/>
            <family val="2"/>
          </rPr>
          <t xml:space="preserve">Refers to non-OTC dispatchable, QFs, geoth, bio, others
</t>
        </r>
      </text>
    </comment>
    <comment ref="P33" authorId="0">
      <text>
        <r>
          <rPr>
            <b/>
            <sz val="9"/>
            <color indexed="81"/>
            <rFont val="Calibri"/>
            <family val="2"/>
          </rPr>
          <t xml:space="preserve">The values from 2023 onward extrapolate using same average annual growth rate of years 2012-2022.
</t>
        </r>
      </text>
    </comment>
    <comment ref="O34" authorId="0">
      <text>
        <r>
          <rPr>
            <b/>
            <sz val="9"/>
            <color indexed="81"/>
            <rFont val="Calibri"/>
            <family val="2"/>
          </rPr>
          <t>Average annual growth rate of years 2012-2022</t>
        </r>
      </text>
    </comment>
    <comment ref="B56" authorId="2">
      <text>
        <r>
          <rPr>
            <b/>
            <sz val="9"/>
            <color indexed="81"/>
            <rFont val="Tahoma"/>
            <family val="2"/>
          </rPr>
          <t>Young, Patrick:</t>
        </r>
        <r>
          <rPr>
            <sz val="9"/>
            <color indexed="81"/>
            <rFont val="Tahoma"/>
            <family val="2"/>
          </rPr>
          <t xml:space="preserve">
Formula for conditional formatting years post 2020. This formula cannot be embedded directly into the conditional format rule so it must be evaluated here first before being used by the rule.</t>
        </r>
      </text>
    </comment>
  </commentList>
</comments>
</file>

<file path=xl/comments2.xml><?xml version="1.0" encoding="utf-8"?>
<comments xmlns="http://schemas.openxmlformats.org/spreadsheetml/2006/main">
  <authors>
    <author>ggrotta</author>
  </authors>
  <commentList>
    <comment ref="R3" authorId="0">
      <text>
        <r>
          <rPr>
            <sz val="8"/>
            <color indexed="81"/>
            <rFont val="Tahoma"/>
            <family val="2"/>
          </rPr>
          <t xml:space="preserve">
Provided pursuant to CAISO Tariff 40.4.6.1.,  CAISO Tariff Appendix U, Appendix S, and Appendix Y.  Partial Deliverable MW is the maximum that may be submitted on either an RA Plan or Supply Plan.</t>
        </r>
      </text>
    </comment>
    <comment ref="E29" authorId="0">
      <text>
        <r>
          <rPr>
            <b/>
            <sz val="9"/>
            <color indexed="81"/>
            <rFont val="Tahoma"/>
            <family val="2"/>
          </rPr>
          <t>ggrotta:</t>
        </r>
        <r>
          <rPr>
            <sz val="9"/>
            <color indexed="81"/>
            <rFont val="Tahoma"/>
            <family val="2"/>
          </rPr>
          <t xml:space="preserve">
reduced from 34 to 33 due to Pmax</t>
        </r>
      </text>
    </comment>
    <comment ref="H216" authorId="0">
      <text>
        <r>
          <rPr>
            <b/>
            <sz val="8"/>
            <color indexed="81"/>
            <rFont val="Tahoma"/>
            <family val="2"/>
          </rPr>
          <t>ggrotta:</t>
        </r>
        <r>
          <rPr>
            <sz val="8"/>
            <color indexed="81"/>
            <rFont val="Tahoma"/>
            <family val="2"/>
          </rPr>
          <t xml:space="preserve">
reduced from 1.65 as it exceeded Pmax = 1.6</t>
        </r>
      </text>
    </comment>
    <comment ref="F240" authorId="0">
      <text>
        <r>
          <rPr>
            <b/>
            <sz val="8"/>
            <color indexed="81"/>
            <rFont val="Tahoma"/>
            <family val="2"/>
          </rPr>
          <t>ggrotta:</t>
        </r>
        <r>
          <rPr>
            <sz val="8"/>
            <color indexed="81"/>
            <rFont val="Tahoma"/>
            <family val="2"/>
          </rPr>
          <t xml:space="preserve">
reduced from 1.02 to .4 due to Pmax</t>
        </r>
      </text>
    </comment>
    <comment ref="G240" authorId="0">
      <text>
        <r>
          <rPr>
            <b/>
            <sz val="8"/>
            <color indexed="81"/>
            <rFont val="Tahoma"/>
            <family val="2"/>
          </rPr>
          <t>ggrotta:</t>
        </r>
        <r>
          <rPr>
            <sz val="8"/>
            <color indexed="81"/>
            <rFont val="Tahoma"/>
            <family val="2"/>
          </rPr>
          <t xml:space="preserve">
reduced from .89 to .4 due to Pmax</t>
        </r>
      </text>
    </comment>
    <comment ref="H240" authorId="0">
      <text>
        <r>
          <rPr>
            <b/>
            <sz val="8"/>
            <color indexed="81"/>
            <rFont val="Tahoma"/>
            <family val="2"/>
          </rPr>
          <t>ggrotta:</t>
        </r>
        <r>
          <rPr>
            <sz val="8"/>
            <color indexed="81"/>
            <rFont val="Tahoma"/>
            <family val="2"/>
          </rPr>
          <t xml:space="preserve">
reduced from .91 to .4 due to Pmax</t>
        </r>
      </text>
    </comment>
    <comment ref="I240" authorId="0">
      <text>
        <r>
          <rPr>
            <b/>
            <sz val="8"/>
            <color indexed="81"/>
            <rFont val="Tahoma"/>
            <family val="2"/>
          </rPr>
          <t>ggrotta:</t>
        </r>
        <r>
          <rPr>
            <sz val="8"/>
            <color indexed="81"/>
            <rFont val="Tahoma"/>
            <family val="2"/>
          </rPr>
          <t xml:space="preserve">
reduced from .75 to .4 due to Pmax</t>
        </r>
      </text>
    </comment>
    <comment ref="J240" authorId="0">
      <text>
        <r>
          <rPr>
            <b/>
            <sz val="8"/>
            <color indexed="81"/>
            <rFont val="Tahoma"/>
            <family val="2"/>
          </rPr>
          <t>ggrotta:</t>
        </r>
        <r>
          <rPr>
            <sz val="8"/>
            <color indexed="81"/>
            <rFont val="Tahoma"/>
            <family val="2"/>
          </rPr>
          <t xml:space="preserve">
reduced from .97 to .4 due to Pmax</t>
        </r>
      </text>
    </comment>
    <comment ref="L327" authorId="0">
      <text>
        <r>
          <rPr>
            <b/>
            <sz val="8"/>
            <color indexed="81"/>
            <rFont val="Tahoma"/>
            <family val="2"/>
          </rPr>
          <t>ggrotta:</t>
        </r>
        <r>
          <rPr>
            <sz val="8"/>
            <color indexed="81"/>
            <rFont val="Tahoma"/>
            <family val="2"/>
          </rPr>
          <t xml:space="preserve">
reduced from 175.70 to 175 due to Pmax</t>
        </r>
      </text>
    </comment>
    <comment ref="F406" authorId="0">
      <text>
        <r>
          <rPr>
            <b/>
            <sz val="8"/>
            <color indexed="81"/>
            <rFont val="Tahoma"/>
            <family val="2"/>
          </rPr>
          <t>ggrotta:</t>
        </r>
        <r>
          <rPr>
            <sz val="8"/>
            <color indexed="81"/>
            <rFont val="Tahoma"/>
            <family val="2"/>
          </rPr>
          <t xml:space="preserve">
reduced from 3.58 to 3 due to Pmax</t>
        </r>
      </text>
    </comment>
    <comment ref="G406" authorId="0">
      <text>
        <r>
          <rPr>
            <b/>
            <sz val="8"/>
            <color indexed="81"/>
            <rFont val="Tahoma"/>
            <family val="2"/>
          </rPr>
          <t>ggrotta:</t>
        </r>
        <r>
          <rPr>
            <sz val="8"/>
            <color indexed="81"/>
            <rFont val="Tahoma"/>
            <family val="2"/>
          </rPr>
          <t xml:space="preserve">
reduced from 3.56 to 3 due to Pmax</t>
        </r>
      </text>
    </comment>
    <comment ref="J406" authorId="0">
      <text>
        <r>
          <rPr>
            <b/>
            <sz val="8"/>
            <color indexed="81"/>
            <rFont val="Tahoma"/>
            <family val="2"/>
          </rPr>
          <t>ggrotta:</t>
        </r>
        <r>
          <rPr>
            <sz val="8"/>
            <color indexed="81"/>
            <rFont val="Tahoma"/>
            <family val="2"/>
          </rPr>
          <t xml:space="preserve">
reduced from 3.53 to 3 due to Pmax</t>
        </r>
      </text>
    </comment>
    <comment ref="K406" authorId="0">
      <text>
        <r>
          <rPr>
            <b/>
            <sz val="8"/>
            <color indexed="81"/>
            <rFont val="Tahoma"/>
            <family val="2"/>
          </rPr>
          <t>ggrotta:</t>
        </r>
        <r>
          <rPr>
            <sz val="8"/>
            <color indexed="81"/>
            <rFont val="Tahoma"/>
            <family val="2"/>
          </rPr>
          <t xml:space="preserve">
reduced from 3.59
 to 3 due to Pmax</t>
        </r>
      </text>
    </comment>
    <comment ref="L406" authorId="0">
      <text>
        <r>
          <rPr>
            <b/>
            <sz val="8"/>
            <color indexed="81"/>
            <rFont val="Tahoma"/>
            <family val="2"/>
          </rPr>
          <t>ggrotta:</t>
        </r>
        <r>
          <rPr>
            <sz val="8"/>
            <color indexed="81"/>
            <rFont val="Tahoma"/>
            <family val="2"/>
          </rPr>
          <t xml:space="preserve">
reduced from 3.34 to 3 due to Pmax</t>
        </r>
      </text>
    </comment>
    <comment ref="N406" authorId="0">
      <text>
        <r>
          <rPr>
            <b/>
            <sz val="8"/>
            <color indexed="81"/>
            <rFont val="Tahoma"/>
            <family val="2"/>
          </rPr>
          <t>ggrotta:</t>
        </r>
        <r>
          <rPr>
            <sz val="8"/>
            <color indexed="81"/>
            <rFont val="Tahoma"/>
            <family val="2"/>
          </rPr>
          <t xml:space="preserve">
reduced from 3.03 to 3 due to Pmax</t>
        </r>
      </text>
    </comment>
    <comment ref="O406" authorId="0">
      <text>
        <r>
          <rPr>
            <b/>
            <sz val="8"/>
            <color indexed="81"/>
            <rFont val="Tahoma"/>
            <family val="2"/>
          </rPr>
          <t>ggrotta:</t>
        </r>
        <r>
          <rPr>
            <sz val="8"/>
            <color indexed="81"/>
            <rFont val="Tahoma"/>
            <family val="2"/>
          </rPr>
          <t xml:space="preserve">
reduced from 3.05 to 3 due to Pmax</t>
        </r>
      </text>
    </comment>
    <comment ref="P406" authorId="0">
      <text>
        <r>
          <rPr>
            <b/>
            <sz val="8"/>
            <color indexed="81"/>
            <rFont val="Tahoma"/>
            <family val="2"/>
          </rPr>
          <t>ggrotta:</t>
        </r>
        <r>
          <rPr>
            <sz val="8"/>
            <color indexed="81"/>
            <rFont val="Tahoma"/>
            <family val="2"/>
          </rPr>
          <t xml:space="preserve">
reduced from 3.69 to 3 due to Pmax</t>
        </r>
      </text>
    </comment>
    <comment ref="Q406" authorId="0">
      <text>
        <r>
          <rPr>
            <b/>
            <sz val="8"/>
            <color indexed="81"/>
            <rFont val="Tahoma"/>
            <family val="2"/>
          </rPr>
          <t>ggrotta:</t>
        </r>
        <r>
          <rPr>
            <sz val="8"/>
            <color indexed="81"/>
            <rFont val="Tahoma"/>
            <family val="2"/>
          </rPr>
          <t xml:space="preserve">
reduced from 3.77 to 3 due to Pmax</t>
        </r>
      </text>
    </comment>
    <comment ref="K497" authorId="0">
      <text>
        <r>
          <rPr>
            <b/>
            <sz val="8"/>
            <color indexed="81"/>
            <rFont val="Tahoma"/>
            <family val="2"/>
          </rPr>
          <t>ggrotta:</t>
        </r>
        <r>
          <rPr>
            <sz val="8"/>
            <color indexed="81"/>
            <rFont val="Tahoma"/>
            <family val="2"/>
          </rPr>
          <t xml:space="preserve">
reduced from 19.53
 to 19.5 due to Pmax</t>
        </r>
      </text>
    </comment>
    <comment ref="F644" authorId="0">
      <text>
        <r>
          <rPr>
            <b/>
            <sz val="8"/>
            <color indexed="81"/>
            <rFont val="Tahoma"/>
            <family val="2"/>
          </rPr>
          <t>ggrotta:</t>
        </r>
        <r>
          <rPr>
            <sz val="8"/>
            <color indexed="81"/>
            <rFont val="Tahoma"/>
            <family val="2"/>
          </rPr>
          <t xml:space="preserve">
reduced from 78 
 to 76 due to Pmax</t>
        </r>
      </text>
    </comment>
    <comment ref="I644" authorId="0">
      <text>
        <r>
          <rPr>
            <b/>
            <sz val="8"/>
            <color indexed="81"/>
            <rFont val="Tahoma"/>
            <family val="2"/>
          </rPr>
          <t>ggrotta:</t>
        </r>
        <r>
          <rPr>
            <sz val="8"/>
            <color indexed="81"/>
            <rFont val="Tahoma"/>
            <family val="2"/>
          </rPr>
          <t xml:space="preserve">
reduced from 78 
 to 76 due to Pmax</t>
        </r>
      </text>
    </comment>
    <comment ref="J644" authorId="0">
      <text>
        <r>
          <rPr>
            <b/>
            <sz val="8"/>
            <color indexed="81"/>
            <rFont val="Tahoma"/>
            <family val="2"/>
          </rPr>
          <t>ggrotta:</t>
        </r>
        <r>
          <rPr>
            <sz val="8"/>
            <color indexed="81"/>
            <rFont val="Tahoma"/>
            <family val="2"/>
          </rPr>
          <t xml:space="preserve">
reduced from 78 
 to 76 due to Pmax</t>
        </r>
      </text>
    </comment>
    <comment ref="K644" authorId="0">
      <text>
        <r>
          <rPr>
            <b/>
            <sz val="8"/>
            <color indexed="81"/>
            <rFont val="Tahoma"/>
            <family val="2"/>
          </rPr>
          <t>ggrotta:</t>
        </r>
        <r>
          <rPr>
            <sz val="8"/>
            <color indexed="81"/>
            <rFont val="Tahoma"/>
            <family val="2"/>
          </rPr>
          <t xml:space="preserve">
reduced from 78 
 to 76 due to Pmax</t>
        </r>
      </text>
    </comment>
    <comment ref="M644" authorId="0">
      <text>
        <r>
          <rPr>
            <b/>
            <sz val="8"/>
            <color indexed="81"/>
            <rFont val="Tahoma"/>
            <family val="2"/>
          </rPr>
          <t>ggrotta:</t>
        </r>
        <r>
          <rPr>
            <sz val="8"/>
            <color indexed="81"/>
            <rFont val="Tahoma"/>
            <family val="2"/>
          </rPr>
          <t xml:space="preserve">
reduced from 78 
 to 76 due to Pmax</t>
        </r>
      </text>
    </comment>
    <comment ref="N644" authorId="0">
      <text>
        <r>
          <rPr>
            <b/>
            <sz val="8"/>
            <color indexed="81"/>
            <rFont val="Tahoma"/>
            <family val="2"/>
          </rPr>
          <t>ggrotta:</t>
        </r>
        <r>
          <rPr>
            <sz val="8"/>
            <color indexed="81"/>
            <rFont val="Tahoma"/>
            <family val="2"/>
          </rPr>
          <t xml:space="preserve">
reduced from 78 
 to 76 due to Pmax</t>
        </r>
      </text>
    </comment>
    <comment ref="O644" authorId="0">
      <text>
        <r>
          <rPr>
            <b/>
            <sz val="8"/>
            <color indexed="81"/>
            <rFont val="Tahoma"/>
            <family val="2"/>
          </rPr>
          <t>ggrotta:</t>
        </r>
        <r>
          <rPr>
            <sz val="8"/>
            <color indexed="81"/>
            <rFont val="Tahoma"/>
            <family val="2"/>
          </rPr>
          <t xml:space="preserve">
reduced from 78 
 to 76 due to Pmax</t>
        </r>
      </text>
    </comment>
  </commentList>
</comments>
</file>

<file path=xl/comments3.xml><?xml version="1.0" encoding="utf-8"?>
<comments xmlns="http://schemas.openxmlformats.org/spreadsheetml/2006/main">
  <authors>
    <author>ckavalec</author>
  </authors>
  <commentList>
    <comment ref="D17"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20" authorId="0">
      <text>
        <r>
          <rPr>
            <b/>
            <sz val="10"/>
            <color indexed="81"/>
            <rFont val="Tahoma"/>
            <family val="2"/>
          </rPr>
          <t>ckavalec:</t>
        </r>
        <r>
          <rPr>
            <sz val="10"/>
            <color indexed="81"/>
            <rFont val="Tahoma"/>
            <family val="2"/>
          </rPr>
          <t xml:space="preserve">
Not included in incremental uncommitted savings total</t>
        </r>
      </text>
    </comment>
    <comment ref="D36"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39" authorId="0">
      <text>
        <r>
          <rPr>
            <b/>
            <sz val="10"/>
            <color indexed="81"/>
            <rFont val="Tahoma"/>
            <family val="2"/>
          </rPr>
          <t>ckavalec:</t>
        </r>
        <r>
          <rPr>
            <sz val="10"/>
            <color indexed="81"/>
            <rFont val="Tahoma"/>
            <family val="2"/>
          </rPr>
          <t xml:space="preserve">
Not included in incremental uncommitted savings total</t>
        </r>
      </text>
    </comment>
    <comment ref="D55"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58" authorId="0">
      <text>
        <r>
          <rPr>
            <b/>
            <sz val="10"/>
            <color indexed="81"/>
            <rFont val="Tahoma"/>
            <family val="2"/>
          </rPr>
          <t>ckavalec:</t>
        </r>
        <r>
          <rPr>
            <sz val="10"/>
            <color indexed="81"/>
            <rFont val="Tahoma"/>
            <family val="2"/>
          </rPr>
          <t xml:space="preserve">
Not included in incremental uncommitted savings total</t>
        </r>
      </text>
    </comment>
    <comment ref="D74"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77" authorId="0">
      <text>
        <r>
          <rPr>
            <b/>
            <sz val="10"/>
            <color indexed="81"/>
            <rFont val="Tahoma"/>
            <family val="2"/>
          </rPr>
          <t>ckavalec:</t>
        </r>
        <r>
          <rPr>
            <sz val="10"/>
            <color indexed="81"/>
            <rFont val="Tahoma"/>
            <family val="2"/>
          </rPr>
          <t xml:space="preserve">
Not included in incremental uncommitted savings total</t>
        </r>
      </text>
    </comment>
    <comment ref="D93"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96" authorId="0">
      <text>
        <r>
          <rPr>
            <b/>
            <sz val="10"/>
            <color indexed="81"/>
            <rFont val="Tahoma"/>
            <family val="2"/>
          </rPr>
          <t>ckavalec:</t>
        </r>
        <r>
          <rPr>
            <sz val="10"/>
            <color indexed="81"/>
            <rFont val="Tahoma"/>
            <family val="2"/>
          </rPr>
          <t xml:space="preserve">
Not included in incremental uncommitted savings total</t>
        </r>
      </text>
    </comment>
    <comment ref="D112"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115" authorId="0">
      <text>
        <r>
          <rPr>
            <b/>
            <sz val="10"/>
            <color indexed="81"/>
            <rFont val="Tahoma"/>
            <family val="2"/>
          </rPr>
          <t>ckavalec:</t>
        </r>
        <r>
          <rPr>
            <sz val="10"/>
            <color indexed="81"/>
            <rFont val="Tahoma"/>
            <family val="2"/>
          </rPr>
          <t xml:space="preserve">
Not included in incremental uncommitted savings total</t>
        </r>
      </text>
    </comment>
    <comment ref="D131"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134" authorId="0">
      <text>
        <r>
          <rPr>
            <b/>
            <sz val="10"/>
            <color indexed="81"/>
            <rFont val="Tahoma"/>
            <family val="2"/>
          </rPr>
          <t>ckavalec:</t>
        </r>
        <r>
          <rPr>
            <sz val="10"/>
            <color indexed="81"/>
            <rFont val="Tahoma"/>
            <family val="2"/>
          </rPr>
          <t xml:space="preserve">
Not included in incremental uncommitted savings total</t>
        </r>
      </text>
    </comment>
    <comment ref="D150"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153" authorId="0">
      <text>
        <r>
          <rPr>
            <b/>
            <sz val="10"/>
            <color indexed="81"/>
            <rFont val="Tahoma"/>
            <family val="2"/>
          </rPr>
          <t>ckavalec:</t>
        </r>
        <r>
          <rPr>
            <sz val="10"/>
            <color indexed="81"/>
            <rFont val="Tahoma"/>
            <family val="2"/>
          </rPr>
          <t xml:space="preserve">
Not included in incremental uncommitted savings total</t>
        </r>
      </text>
    </comment>
    <comment ref="D172"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175" authorId="0">
      <text>
        <r>
          <rPr>
            <b/>
            <sz val="10"/>
            <color indexed="81"/>
            <rFont val="Tahoma"/>
            <family val="2"/>
          </rPr>
          <t>ckavalec:</t>
        </r>
        <r>
          <rPr>
            <sz val="10"/>
            <color indexed="81"/>
            <rFont val="Tahoma"/>
            <family val="2"/>
          </rPr>
          <t xml:space="preserve">
Not included in incremental uncommitted savings total</t>
        </r>
      </text>
    </comment>
    <comment ref="D191"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194" authorId="0">
      <text>
        <r>
          <rPr>
            <b/>
            <sz val="10"/>
            <color indexed="81"/>
            <rFont val="Tahoma"/>
            <family val="2"/>
          </rPr>
          <t>ckavalec:</t>
        </r>
        <r>
          <rPr>
            <sz val="10"/>
            <color indexed="81"/>
            <rFont val="Tahoma"/>
            <family val="2"/>
          </rPr>
          <t xml:space="preserve">
Not included in incremental uncommitted savings total</t>
        </r>
      </text>
    </comment>
    <comment ref="D210"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213" authorId="0">
      <text>
        <r>
          <rPr>
            <b/>
            <sz val="10"/>
            <color indexed="81"/>
            <rFont val="Tahoma"/>
            <family val="2"/>
          </rPr>
          <t>ckavalec:</t>
        </r>
        <r>
          <rPr>
            <sz val="10"/>
            <color indexed="81"/>
            <rFont val="Tahoma"/>
            <family val="2"/>
          </rPr>
          <t xml:space="preserve">
Not included in incremental uncommitted savings total</t>
        </r>
      </text>
    </comment>
    <comment ref="D229"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232" authorId="0">
      <text>
        <r>
          <rPr>
            <b/>
            <sz val="10"/>
            <color indexed="81"/>
            <rFont val="Tahoma"/>
            <family val="2"/>
          </rPr>
          <t>ckavalec:</t>
        </r>
        <r>
          <rPr>
            <sz val="10"/>
            <color indexed="81"/>
            <rFont val="Tahoma"/>
            <family val="2"/>
          </rPr>
          <t xml:space="preserve">
Not included in incremental uncommitted savings total</t>
        </r>
      </text>
    </comment>
    <comment ref="D248"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251" authorId="0">
      <text>
        <r>
          <rPr>
            <b/>
            <sz val="10"/>
            <color indexed="81"/>
            <rFont val="Tahoma"/>
            <family val="2"/>
          </rPr>
          <t>ckavalec:</t>
        </r>
        <r>
          <rPr>
            <sz val="10"/>
            <color indexed="81"/>
            <rFont val="Tahoma"/>
            <family val="2"/>
          </rPr>
          <t xml:space="preserve">
Not included in incremental uncommitted savings total</t>
        </r>
      </text>
    </comment>
    <comment ref="D267"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270" authorId="0">
      <text>
        <r>
          <rPr>
            <b/>
            <sz val="10"/>
            <color indexed="81"/>
            <rFont val="Tahoma"/>
            <family val="2"/>
          </rPr>
          <t>ckavalec:</t>
        </r>
        <r>
          <rPr>
            <sz val="10"/>
            <color indexed="81"/>
            <rFont val="Tahoma"/>
            <family val="2"/>
          </rPr>
          <t xml:space="preserve">
Not included in incremental uncommitted savings total</t>
        </r>
      </text>
    </comment>
    <comment ref="D286"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289" authorId="0">
      <text>
        <r>
          <rPr>
            <b/>
            <sz val="10"/>
            <color indexed="81"/>
            <rFont val="Tahoma"/>
            <family val="2"/>
          </rPr>
          <t>ckavalec:</t>
        </r>
        <r>
          <rPr>
            <sz val="10"/>
            <color indexed="81"/>
            <rFont val="Tahoma"/>
            <family val="2"/>
          </rPr>
          <t xml:space="preserve">
Not included in incremental uncommitted savings total</t>
        </r>
      </text>
    </comment>
    <comment ref="D305"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308" authorId="0">
      <text>
        <r>
          <rPr>
            <b/>
            <sz val="10"/>
            <color indexed="81"/>
            <rFont val="Tahoma"/>
            <family val="2"/>
          </rPr>
          <t>ckavalec:</t>
        </r>
        <r>
          <rPr>
            <sz val="10"/>
            <color indexed="81"/>
            <rFont val="Tahoma"/>
            <family val="2"/>
          </rPr>
          <t xml:space="preserve">
Not included in incremental uncommitted savings total</t>
        </r>
      </text>
    </comment>
    <comment ref="D327"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330" authorId="0">
      <text>
        <r>
          <rPr>
            <b/>
            <sz val="10"/>
            <color indexed="81"/>
            <rFont val="Tahoma"/>
            <family val="2"/>
          </rPr>
          <t>ckavalec:</t>
        </r>
        <r>
          <rPr>
            <sz val="10"/>
            <color indexed="81"/>
            <rFont val="Tahoma"/>
            <family val="2"/>
          </rPr>
          <t xml:space="preserve">
Not included in incremental uncommitted savings total</t>
        </r>
      </text>
    </comment>
    <comment ref="D346"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349" authorId="0">
      <text>
        <r>
          <rPr>
            <b/>
            <sz val="10"/>
            <color indexed="81"/>
            <rFont val="Tahoma"/>
            <family val="2"/>
          </rPr>
          <t>ckavalec:</t>
        </r>
        <r>
          <rPr>
            <sz val="10"/>
            <color indexed="81"/>
            <rFont val="Tahoma"/>
            <family val="2"/>
          </rPr>
          <t xml:space="preserve">
Not included in incremental uncommitted savings total</t>
        </r>
      </text>
    </comment>
    <comment ref="D365"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368" authorId="0">
      <text>
        <r>
          <rPr>
            <b/>
            <sz val="10"/>
            <color indexed="81"/>
            <rFont val="Tahoma"/>
            <family val="2"/>
          </rPr>
          <t>ckavalec:</t>
        </r>
        <r>
          <rPr>
            <sz val="10"/>
            <color indexed="81"/>
            <rFont val="Tahoma"/>
            <family val="2"/>
          </rPr>
          <t xml:space="preserve">
Not included in incremental uncommitted savings total</t>
        </r>
      </text>
    </comment>
    <comment ref="D384"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387" authorId="0">
      <text>
        <r>
          <rPr>
            <b/>
            <sz val="10"/>
            <color indexed="81"/>
            <rFont val="Tahoma"/>
            <family val="2"/>
          </rPr>
          <t>ckavalec:</t>
        </r>
        <r>
          <rPr>
            <sz val="10"/>
            <color indexed="81"/>
            <rFont val="Tahoma"/>
            <family val="2"/>
          </rPr>
          <t xml:space="preserve">
Not included in incremental uncommitted savings total</t>
        </r>
      </text>
    </comment>
    <comment ref="D403"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406" authorId="0">
      <text>
        <r>
          <rPr>
            <b/>
            <sz val="10"/>
            <color indexed="81"/>
            <rFont val="Tahoma"/>
            <family val="2"/>
          </rPr>
          <t>ckavalec:</t>
        </r>
        <r>
          <rPr>
            <sz val="10"/>
            <color indexed="81"/>
            <rFont val="Tahoma"/>
            <family val="2"/>
          </rPr>
          <t xml:space="preserve">
Not included in incremental uncommitted savings total</t>
        </r>
      </text>
    </comment>
    <comment ref="D422"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425" authorId="0">
      <text>
        <r>
          <rPr>
            <b/>
            <sz val="10"/>
            <color indexed="81"/>
            <rFont val="Tahoma"/>
            <family val="2"/>
          </rPr>
          <t>ckavalec:</t>
        </r>
        <r>
          <rPr>
            <sz val="10"/>
            <color indexed="81"/>
            <rFont val="Tahoma"/>
            <family val="2"/>
          </rPr>
          <t xml:space="preserve">
Not included in incremental uncommitted savings total</t>
        </r>
      </text>
    </comment>
    <comment ref="D441"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444" authorId="0">
      <text>
        <r>
          <rPr>
            <b/>
            <sz val="10"/>
            <color indexed="81"/>
            <rFont val="Tahoma"/>
            <family val="2"/>
          </rPr>
          <t>ckavalec:</t>
        </r>
        <r>
          <rPr>
            <sz val="10"/>
            <color indexed="81"/>
            <rFont val="Tahoma"/>
            <family val="2"/>
          </rPr>
          <t xml:space="preserve">
Not included in incremental uncommitted savings total</t>
        </r>
      </text>
    </comment>
    <comment ref="D460"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463" authorId="0">
      <text>
        <r>
          <rPr>
            <b/>
            <sz val="10"/>
            <color indexed="81"/>
            <rFont val="Tahoma"/>
            <family val="2"/>
          </rPr>
          <t>ckavalec:</t>
        </r>
        <r>
          <rPr>
            <sz val="10"/>
            <color indexed="81"/>
            <rFont val="Tahoma"/>
            <family val="2"/>
          </rPr>
          <t xml:space="preserve">
Not included in incremental uncommitted savings total</t>
        </r>
      </text>
    </comment>
  </commentList>
</comments>
</file>

<file path=xl/sharedStrings.xml><?xml version="1.0" encoding="utf-8"?>
<sst xmlns="http://schemas.openxmlformats.org/spreadsheetml/2006/main" count="26545" uniqueCount="4968">
  <si>
    <t>Low</t>
  </si>
  <si>
    <t>High</t>
  </si>
  <si>
    <t>http://www.energy.ca.gov/2012_energypolicy/documents/demand-forecast/low_case/</t>
  </si>
  <si>
    <t>Notes:</t>
  </si>
  <si>
    <t>Load (MW)</t>
  </si>
  <si>
    <t>Load (GWh)</t>
  </si>
  <si>
    <t>PG&amp;E</t>
  </si>
  <si>
    <t>SCE</t>
  </si>
  <si>
    <t>SDG&amp;E</t>
  </si>
  <si>
    <t>Mid</t>
  </si>
  <si>
    <t>http://www.energy.ca.gov/2012_energypolicy/documents/demand-forecast/mid_case/</t>
  </si>
  <si>
    <t>Mid (1-in-5)</t>
  </si>
  <si>
    <t>Mid (1-in-10)</t>
  </si>
  <si>
    <t>http://www.energy.ca.gov/2012_energypolicy/documents/demand-forecast/high_case/</t>
  </si>
  <si>
    <t>2010 LTPP</t>
  </si>
  <si>
    <t>2009 IEPR</t>
  </si>
  <si>
    <t>http://www.energy.ca.gov/2009_energypolicy/documents/index.html#121609IEPR</t>
  </si>
  <si>
    <t>Nat. Occ</t>
  </si>
  <si>
    <t>Inc EE (MW)</t>
  </si>
  <si>
    <t>Inc EE (GWh)</t>
  </si>
  <si>
    <t>Inc D-CHP (MW)</t>
  </si>
  <si>
    <t>Inc D-CHP (GWh)</t>
  </si>
  <si>
    <t>Inc Small PV (MW)</t>
  </si>
  <si>
    <t>Incremental Small PV (MW)</t>
  </si>
  <si>
    <t>Imports</t>
  </si>
  <si>
    <t>Inc S-CHP (MW)</t>
  </si>
  <si>
    <t>Inc S-CHP (GWh)</t>
  </si>
  <si>
    <t>Resource Retirements (MW NQC)</t>
  </si>
  <si>
    <t>Base</t>
  </si>
  <si>
    <t>OTC</t>
  </si>
  <si>
    <t>Nuclear</t>
  </si>
  <si>
    <t>Event-Based DR (MW)</t>
  </si>
  <si>
    <t>Master CAISO Control Area Generating Capability List</t>
  </si>
  <si>
    <t>Key to Color Coding Used In Table Below</t>
  </si>
  <si>
    <t>Revised to reflect known CAISO Control Area generating resource information as of:</t>
  </si>
  <si>
    <t>TEXT</t>
  </si>
  <si>
    <t>Physical unit which is scheduled individually</t>
  </si>
  <si>
    <t>Aggregated Scheduling Unit composed of multiple physical units</t>
  </si>
  <si>
    <t>Physical unit which is part of the preceding Aggregated Unit</t>
  </si>
  <si>
    <t>Participating Unit</t>
  </si>
  <si>
    <t>No</t>
  </si>
  <si>
    <t>CNTRVL_6_UNIT</t>
  </si>
  <si>
    <t>CENTERVILLE</t>
  </si>
  <si>
    <t>PGAE</t>
  </si>
  <si>
    <t>HYDRO</t>
  </si>
  <si>
    <t>WATER</t>
  </si>
  <si>
    <t>NP15</t>
  </si>
  <si>
    <t>PGE3</t>
  </si>
  <si>
    <t>A</t>
  </si>
  <si>
    <t>Yes</t>
  </si>
  <si>
    <t>BNNIEN_7_ALTAPH</t>
  </si>
  <si>
    <t>ALTA PH (AGGREGATE)</t>
  </si>
  <si>
    <t>Bear River</t>
  </si>
  <si>
    <t>Alta Unit 1</t>
  </si>
  <si>
    <t>Alta Unit 2</t>
  </si>
  <si>
    <t>PADUA_2_ONTARO</t>
  </si>
  <si>
    <t>ONTARIO/SIERRA HYDRO PROJECT (AGGREGATE)</t>
  </si>
  <si>
    <t>SP15</t>
  </si>
  <si>
    <t>SCE1</t>
  </si>
  <si>
    <t>Included in MAMMTH_2_EHYDRO telemetry value</t>
  </si>
  <si>
    <t>Ontario PH 1 Unit 1</t>
  </si>
  <si>
    <t>Ontario PH 1 Unit 2</t>
  </si>
  <si>
    <t>Ontario PH 1 Unit 3</t>
  </si>
  <si>
    <t>Mill Creek PH 2 Unit 3</t>
  </si>
  <si>
    <t>MONLTH_6_BOREL</t>
  </si>
  <si>
    <t>BOREL HYDRO PLANT (AGGREGATE)</t>
  </si>
  <si>
    <t>Borel Unit 1</t>
  </si>
  <si>
    <t>Borel Unit 2</t>
  </si>
  <si>
    <t>ETIWND_2_FONTNA</t>
  </si>
  <si>
    <t>FONTANA/LYTLE CREEK HYDRO (AGGREGATE)</t>
  </si>
  <si>
    <t>Lytle Creek Unit 1</t>
  </si>
  <si>
    <t>KILARC_2_UNIT 1</t>
  </si>
  <si>
    <t>KILARC</t>
  </si>
  <si>
    <t>Mill Creek PH 2 Unit 1</t>
  </si>
  <si>
    <t>Non-Operational</t>
  </si>
  <si>
    <t>Mill Creek PH 3 Unit 4</t>
  </si>
  <si>
    <t>Mill Creek PH 3 Unit 5</t>
  </si>
  <si>
    <t>BISHOP_1_UNITS</t>
  </si>
  <si>
    <t>BISHOP CREEK PLANTS 3 &amp; 4 (AGGREGATE)</t>
  </si>
  <si>
    <t>Bishop Creek Plant 4 Unit 1</t>
  </si>
  <si>
    <t>Bishop Creek Plant 4 Unit 2</t>
  </si>
  <si>
    <t>Bishop Creek Plant 4 Unit 3</t>
  </si>
  <si>
    <t>CLRKRD_6_LIMESD</t>
  </si>
  <si>
    <t>LIME SADDLE</t>
  </si>
  <si>
    <t>West Branch Feather River</t>
  </si>
  <si>
    <t>Bishop Creek Plant 4 Unit 4</t>
  </si>
  <si>
    <t>CLRKRD_6_COALCN</t>
  </si>
  <si>
    <t>COAL CANYON</t>
  </si>
  <si>
    <t>COWCRK_2_UNIT</t>
  </si>
  <si>
    <t>COW CREEK</t>
  </si>
  <si>
    <t>KERRGN_1_UNIT 1</t>
  </si>
  <si>
    <t>KERN RIVER PH 1 (AGGREGATE)</t>
  </si>
  <si>
    <t>Kern River PH 1 Unit 1</t>
  </si>
  <si>
    <t>VESTAL_2_KERN</t>
  </si>
  <si>
    <t>KERN RIVER PH 3 (AGGREGATE)</t>
  </si>
  <si>
    <t>VESTAL_6_KERNU1</t>
  </si>
  <si>
    <t>Kern River PH 3 Unit 1</t>
  </si>
  <si>
    <t>BISHOP_1_ALAMO</t>
  </si>
  <si>
    <t>BISHOP CREEK PLANTS 2, 5 &amp; 6 (AGGREGATE)</t>
  </si>
  <si>
    <t>Bishop Creek Plant 2 Unit 1</t>
  </si>
  <si>
    <t>Bishop Creek Plant 2 Unit 2</t>
  </si>
  <si>
    <t>DEERCR_6_UNIT 1</t>
  </si>
  <si>
    <t>DEER CREEK</t>
  </si>
  <si>
    <t>Bishop Creek Plant 4 Unit 5</t>
  </si>
  <si>
    <t>SPRGVL_2_TULESC</t>
  </si>
  <si>
    <t>TULE PH (SCE)</t>
  </si>
  <si>
    <t>Non-Participating</t>
  </si>
  <si>
    <t>SPRGVL_2_QF</t>
  </si>
  <si>
    <t>SPRINGVILLE AREA LUMPED UNITS</t>
  </si>
  <si>
    <t>VARIOUS</t>
  </si>
  <si>
    <t>POTTER_6_UNITS</t>
  </si>
  <si>
    <t>POTTER VALLEY PH (AGGREGATE)</t>
  </si>
  <si>
    <t>Russian River</t>
  </si>
  <si>
    <t>POTTER_6_UNIT 2</t>
  </si>
  <si>
    <t>Potter Valley Unit 2</t>
  </si>
  <si>
    <t>WISHON_6_UNITS</t>
  </si>
  <si>
    <t>WISHON/SAN JOAQUIN 1-A (AGGREGATE)</t>
  </si>
  <si>
    <t>San Joaquin River</t>
  </si>
  <si>
    <t>CRNEVL_6_SJQN 1</t>
  </si>
  <si>
    <t>San Joaquin 1-A</t>
  </si>
  <si>
    <t>WISHON_6_UNIT 1</t>
  </si>
  <si>
    <t>Wishon Unit 1</t>
  </si>
  <si>
    <t>WISHON_6_UNIT 2</t>
  </si>
  <si>
    <t>Wishon Unit 2</t>
  </si>
  <si>
    <t>WISHON_6_UNIT 3</t>
  </si>
  <si>
    <t>Wishon Unit 3</t>
  </si>
  <si>
    <t>WISHON_6_UNIT 4</t>
  </si>
  <si>
    <t>Wishon Unit 4</t>
  </si>
  <si>
    <t>Bishop Creek Plant 2 Unit 3</t>
  </si>
  <si>
    <t>CONTRL_1_LUNDY</t>
  </si>
  <si>
    <t>LUNDY HYDRO PLANT (AGGREGATE)</t>
  </si>
  <si>
    <t>Included in BISHOP_1_UNITS telemetry value</t>
  </si>
  <si>
    <t>Lundy Hydro Unit 1</t>
  </si>
  <si>
    <t>Lundy Hydro Unit 2</t>
  </si>
  <si>
    <t>BIGCRK_2_EXESWD</t>
  </si>
  <si>
    <t>BIG CREEK HYDRO PROJECT PSP</t>
  </si>
  <si>
    <t>BGCRK1_7_UNIT 1</t>
  </si>
  <si>
    <t>Big Creek PH 1 Unit 1</t>
  </si>
  <si>
    <t>BGCRK1_7_UNIT 2</t>
  </si>
  <si>
    <t>Big Creek PH 1 Unit 2</t>
  </si>
  <si>
    <t>BGCRK2_7_UNIT 3</t>
  </si>
  <si>
    <t>Big Creek PH 2 Unit 3</t>
  </si>
  <si>
    <t>Bishop Creek Plant 6 Unit 1</t>
  </si>
  <si>
    <t>Bishop Creek Plant 3 Unit 1</t>
  </si>
  <si>
    <t>Bishop Creek Plant 3 Unit 2</t>
  </si>
  <si>
    <t>Bishop Creek Plant 3 Unit 3</t>
  </si>
  <si>
    <t>DRUM_7_PL1X2</t>
  </si>
  <si>
    <t>DRUM PH 1 UNIT 1 &amp; 2 (AGGREGATE)</t>
  </si>
  <si>
    <t>South Yuba</t>
  </si>
  <si>
    <t>DRUM_7_UNIT 1</t>
  </si>
  <si>
    <t>Drum PH 1 Unit 1</t>
  </si>
  <si>
    <t>DRUM_7_UNIT 2</t>
  </si>
  <si>
    <t>Drum PH 1 Unit 2</t>
  </si>
  <si>
    <t>RECTOR_2_KAWEAH</t>
  </si>
  <si>
    <t>KAWEAH HYDRO PROJECT (AGGREGATE)</t>
  </si>
  <si>
    <t>Kaweah PH 3 Unit 1</t>
  </si>
  <si>
    <t>Kaweah PH 3 Unit 2</t>
  </si>
  <si>
    <t>BGCRK2_7_UNIT 4</t>
  </si>
  <si>
    <t>Big Creek PH 2 Unit 4</t>
  </si>
  <si>
    <t>SPRGVL_2_TULE</t>
  </si>
  <si>
    <t>TULE PH (PG&amp;E)</t>
  </si>
  <si>
    <t>OLIVENHAIN MUNICIPAL WATER DISTRICT</t>
  </si>
  <si>
    <t>SDGE</t>
  </si>
  <si>
    <t>SDG1</t>
  </si>
  <si>
    <t>HALSEY_6_UNIT</t>
  </si>
  <si>
    <t>Halsey PH</t>
  </si>
  <si>
    <t>CONTRL_1_RUSHCK</t>
  </si>
  <si>
    <t>RUSH CREEK PLANT (AGGREGATE)</t>
  </si>
  <si>
    <t>Rush Creek Unit 1</t>
  </si>
  <si>
    <t>Fontana Unit 1</t>
  </si>
  <si>
    <t>Fontana Unit 2</t>
  </si>
  <si>
    <t>POTTER_6_UNIT 3</t>
  </si>
  <si>
    <t>Potter Valley Unit 3</t>
  </si>
  <si>
    <t>Rush Creek Unit 2</t>
  </si>
  <si>
    <t>CRNEVL_6_SJQN 2</t>
  </si>
  <si>
    <t>San Joaquin PH 2</t>
  </si>
  <si>
    <t>WISE_1_UNIT 1</t>
  </si>
  <si>
    <t>Wise Unit 1</t>
  </si>
  <si>
    <t>PGE1</t>
  </si>
  <si>
    <t>Bishop Creek Plant 5 Unit 2</t>
  </si>
  <si>
    <t>CRNEVL_6_CRNVA</t>
  </si>
  <si>
    <t>CRANE VALLEY</t>
  </si>
  <si>
    <t>KERKH1_7_UNIT 1</t>
  </si>
  <si>
    <t>Kerckhoff PH 1 Unit #1</t>
  </si>
  <si>
    <t>KERKH1_7_UNIT 2</t>
  </si>
  <si>
    <t>Kerckhoff PH 1 Unit #2</t>
  </si>
  <si>
    <t>KERKH1_7_UNIT 3</t>
  </si>
  <si>
    <t>Kerckhoff PH 1 Unit #3</t>
  </si>
  <si>
    <t>BGCRK2_7_UNIT 5</t>
  </si>
  <si>
    <t>Big Creek PH 2 Unit 5</t>
  </si>
  <si>
    <t>BGCRK8_7_UNIT 1</t>
  </si>
  <si>
    <t>Big Creek PH 8 Unit 1</t>
  </si>
  <si>
    <t>CARBOU_7_PL2X3</t>
  </si>
  <si>
    <t>CARIBOU UNITS 2 &amp; 3 (AGGREGATE)</t>
  </si>
  <si>
    <t>NF Feather River</t>
  </si>
  <si>
    <t>CARBOU_7_UNIT 2</t>
  </si>
  <si>
    <t>Caribou PH 1 Unit 2</t>
  </si>
  <si>
    <t>CARBOU_7_UNIT 1</t>
  </si>
  <si>
    <t>Caribou PH 1 Unit 1</t>
  </si>
  <si>
    <t>HMLTBR_6_UNITS</t>
  </si>
  <si>
    <t>HAMILTON BRANCH PH (Aggregate)</t>
  </si>
  <si>
    <t>HMLTBR_6_UNIT 1</t>
  </si>
  <si>
    <t>HAMILTON BRANCH UNIT 1</t>
  </si>
  <si>
    <t>HMLTBR_6_UNIT 2</t>
  </si>
  <si>
    <t>HAMILTON BRANCH UNIT 2</t>
  </si>
  <si>
    <t>HATCR1_7_UNIT</t>
  </si>
  <si>
    <t>HAT CREEK 1</t>
  </si>
  <si>
    <t>Pit River</t>
  </si>
  <si>
    <t>HATCR2_7_UNIT</t>
  </si>
  <si>
    <t>HAT CREEK 2</t>
  </si>
  <si>
    <t>KRNCNY_6_UNIT</t>
  </si>
  <si>
    <t>KERN CANYON</t>
  </si>
  <si>
    <t>ZP26</t>
  </si>
  <si>
    <t>PGE4</t>
  </si>
  <si>
    <t>Kern River PH 1 Unit 2</t>
  </si>
  <si>
    <t>Kern River PH 1 Unit 3</t>
  </si>
  <si>
    <t>Kern River PH 1 Unit 4</t>
  </si>
  <si>
    <t>VESTAL_6_KERNU2</t>
  </si>
  <si>
    <t>Kern River PH 3 Unit 2</t>
  </si>
  <si>
    <t>SPRGAP_1_UNIT 1</t>
  </si>
  <si>
    <t>Spring Gap Unit 1</t>
  </si>
  <si>
    <t>DRUM_7_PL3X4</t>
  </si>
  <si>
    <t>DRUM PH 1 UNIT 3 &amp; 4 (AGGREGATE)</t>
  </si>
  <si>
    <t>DRUM_7_UNIT 3</t>
  </si>
  <si>
    <t>Drum PH 1 Unit 3</t>
  </si>
  <si>
    <t>Sierra Unit 1</t>
  </si>
  <si>
    <t>Sierra Unit 2</t>
  </si>
  <si>
    <t>PIT1_7_UNIT 1</t>
  </si>
  <si>
    <t>Pit PH 1 Unit 1</t>
  </si>
  <si>
    <t>PIT1_7_UNIT 2</t>
  </si>
  <si>
    <t>Pit PH 1 Unit 2</t>
  </si>
  <si>
    <t>BGCRK1_7_UNIT 3</t>
  </si>
  <si>
    <t>Big Creek PH 1 Unit 3</t>
  </si>
  <si>
    <t>BGCRK3_7_UNIT 1</t>
  </si>
  <si>
    <t>Big Creek PH 3 Unit 1</t>
  </si>
  <si>
    <t>BGCRK3_7_UNIT 2</t>
  </si>
  <si>
    <t>Big Creek PH 3 Unit 2</t>
  </si>
  <si>
    <t>BGCRK3_7_UNIT 3</t>
  </si>
  <si>
    <t>Big Creek PH 3 Unit 3</t>
  </si>
  <si>
    <t>CRNEVL_6_SJQN 3</t>
  </si>
  <si>
    <t>San Joaquin PH 3</t>
  </si>
  <si>
    <t>CARBOU_7_UNIT 3</t>
  </si>
  <si>
    <t>Caribou PH 1 Unit 3</t>
  </si>
  <si>
    <t>CONTRL_1_POOLE</t>
  </si>
  <si>
    <t>Poole Unit 1</t>
  </si>
  <si>
    <t>BGCRK1_7_UNIT 4</t>
  </si>
  <si>
    <t>Big Creek PH 1 Unit 4</t>
  </si>
  <si>
    <t>BGCRK2_7_UNIT 6</t>
  </si>
  <si>
    <t>Big Creek PH 2 Unit 6</t>
  </si>
  <si>
    <t>PIT3_7_PL1X3</t>
  </si>
  <si>
    <t>PIT PH 3 (AGGREGATE)</t>
  </si>
  <si>
    <t>PIT3_7_UNIT 1</t>
  </si>
  <si>
    <t>Pit PH 3 Unit 1</t>
  </si>
  <si>
    <t>PIT3_7_UNIT 2</t>
  </si>
  <si>
    <t>Pit PH 3 Unit 2</t>
  </si>
  <si>
    <t>PIT3_7_UNIT 3</t>
  </si>
  <si>
    <t>Pit PH 3 Unit 3</t>
  </si>
  <si>
    <t>ETIWND_2_QF</t>
  </si>
  <si>
    <t>ETIWANDA AREA LUMPED UNITS</t>
  </si>
  <si>
    <t>NATURAL GAS</t>
  </si>
  <si>
    <t>BALCHS_7_UNIT 1</t>
  </si>
  <si>
    <t>Balch 1</t>
  </si>
  <si>
    <t>Kings River</t>
  </si>
  <si>
    <t>BGCRK2_7_UNIT 1</t>
  </si>
  <si>
    <t>Big Creek PH 2 Unit 1</t>
  </si>
  <si>
    <t>BGCRK2_7_UNIT 2</t>
  </si>
  <si>
    <t>Big Creek PH 2 Unit 2</t>
  </si>
  <si>
    <t>BUCKCK_7_PL1X2</t>
  </si>
  <si>
    <t>BUCKS CREEK PH (AGGREGATE)</t>
  </si>
  <si>
    <t>BUCKCK_7_UNIT 1</t>
  </si>
  <si>
    <t>Bucks Creek Unit #1</t>
  </si>
  <si>
    <t>BUCKCK_7_UNIT 2</t>
  </si>
  <si>
    <t>Bucks Creek Unit #2</t>
  </si>
  <si>
    <t>DRUM_7_UNIT 4</t>
  </si>
  <si>
    <t>Drum PH 1 Unit 4</t>
  </si>
  <si>
    <t>SPAULD_6_UNIT 3</t>
  </si>
  <si>
    <t>Spaulding Unit 3</t>
  </si>
  <si>
    <t>BGCRK8_7_UNIT 2</t>
  </si>
  <si>
    <t>Big Creek PH 8 Unit 2</t>
  </si>
  <si>
    <t>Kaweah PH 2 Unit 2</t>
  </si>
  <si>
    <t>RECTOR_2_KAWH 1</t>
  </si>
  <si>
    <t>Kaweah PH 1 Unit 1</t>
  </si>
  <si>
    <t>SPAULD_6_UNIT12</t>
  </si>
  <si>
    <t>SPAULDING UNITS 1 &amp; 2 (AGGREGATE)</t>
  </si>
  <si>
    <t>SPAULD_6_UNIT 1</t>
  </si>
  <si>
    <t>Spaulding Unit 1</t>
  </si>
  <si>
    <t>SPAULD_6_UNIT 2</t>
  </si>
  <si>
    <t>Spaulding Unit 2</t>
  </si>
  <si>
    <t>MERCFL_6_UNIT</t>
  </si>
  <si>
    <t>Merced Falls</t>
  </si>
  <si>
    <t>PARDEB_6_UNITS</t>
  </si>
  <si>
    <t>PARDEE POWER HOUSE (AGGREGATE)</t>
  </si>
  <si>
    <t>EBMUD</t>
  </si>
  <si>
    <t>Mokelumne River</t>
  </si>
  <si>
    <t>PARDEB_2_UNIT 1</t>
  </si>
  <si>
    <t>Pardee Unit 1</t>
  </si>
  <si>
    <t>PARDEB_2_UNIT 2</t>
  </si>
  <si>
    <t>Pardee Unit 2</t>
  </si>
  <si>
    <t>PARDEB_2_UNIT 3</t>
  </si>
  <si>
    <t>Pardee Unit 3</t>
  </si>
  <si>
    <t>SALTSP_7_UNITS</t>
  </si>
  <si>
    <t>SALT SPRINGS PH (AGGREGATE)</t>
  </si>
  <si>
    <t>SALTSP_7_UNIT 1</t>
  </si>
  <si>
    <t>Salt Springs Unit 1</t>
  </si>
  <si>
    <t>TIGRCK_7_UNITS</t>
  </si>
  <si>
    <t>TIGER CREEK PH (AGGREGATE)</t>
  </si>
  <si>
    <t>TIGRCK_7_UNIT 1</t>
  </si>
  <si>
    <t>Tiger Creek Unit 1</t>
  </si>
  <si>
    <t>TIGRCK_7_UNIT 2</t>
  </si>
  <si>
    <t>Tiger Creek Unit 2</t>
  </si>
  <si>
    <t>Borel Unit 3</t>
  </si>
  <si>
    <t>Muni</t>
  </si>
  <si>
    <t>VERNON ENGINE 1</t>
  </si>
  <si>
    <t>Vernon Muni Light Dept.</t>
  </si>
  <si>
    <t>PEAKER</t>
  </si>
  <si>
    <t>RECIPROCATING ENGINE</t>
  </si>
  <si>
    <t>DIESEL / OIL</t>
  </si>
  <si>
    <t>VRN1</t>
  </si>
  <si>
    <t>Only used as part of City of Vernons Emergency Energy Procedure.</t>
  </si>
  <si>
    <t>VERNON ENGINE 2</t>
  </si>
  <si>
    <t>Only used as part of City of Vernon's Emergency Energy Procedure.</t>
  </si>
  <si>
    <t>VERNON ENGINE 4</t>
  </si>
  <si>
    <t>VERNON ENGINE 5</t>
  </si>
  <si>
    <t>POTTER_6_UNIT 1</t>
  </si>
  <si>
    <t>Potter Valley Unit 1</t>
  </si>
  <si>
    <t>PHOENX_1_UNIT</t>
  </si>
  <si>
    <t>PHOENIX PH</t>
  </si>
  <si>
    <t>Tuolemne River</t>
  </si>
  <si>
    <t>ANGELS POWERHOUSE</t>
  </si>
  <si>
    <t>UTICA POWER AUTHORITY</t>
  </si>
  <si>
    <t>Included in FROGTN aggregate 3/1/2007</t>
  </si>
  <si>
    <t>Stanislaus River</t>
  </si>
  <si>
    <t>NAROW1_2_UNIT</t>
  </si>
  <si>
    <t>Narrows PH 1 Unit</t>
  </si>
  <si>
    <t>Bishop Creek Plant 5 Unit 1</t>
  </si>
  <si>
    <t>DUTCH1_7_UNIT 1</t>
  </si>
  <si>
    <t>Dutch Flat PH 1 Unit 1</t>
  </si>
  <si>
    <t>PIT5_7_PL1X2</t>
  </si>
  <si>
    <t>PIT PH 5 UNITS 1 &amp; 2 (AGGREGATE)</t>
  </si>
  <si>
    <t>PIT5_7_UNIT 1</t>
  </si>
  <si>
    <t>Pit PH 5 Unit 1</t>
  </si>
  <si>
    <t>PIT5_7_UNIT 2</t>
  </si>
  <si>
    <t>Pit PH 5 Unit 2</t>
  </si>
  <si>
    <t>PIT5_7_PL3X4</t>
  </si>
  <si>
    <t>PIT PH 5 UNITS 3 &amp; 4 (AGGREGATE)</t>
  </si>
  <si>
    <t>PIT5_7_UNIT 3</t>
  </si>
  <si>
    <t>Pit PH 5 Unit 3</t>
  </si>
  <si>
    <t>PIT5_7_UNIT 4</t>
  </si>
  <si>
    <t>Pit PH 5 Unit 4</t>
  </si>
  <si>
    <t>Santa Ana PH 3 Unit 1</t>
  </si>
  <si>
    <t>BGCRK3_7_UNIT 4</t>
  </si>
  <si>
    <t>Big Creek PH 3 Unit 4</t>
  </si>
  <si>
    <t>ELECTR_7_PL1X3</t>
  </si>
  <si>
    <t>ELECTRA PH (AGGREGATE)</t>
  </si>
  <si>
    <t>ELECTR_7_UNIT 1</t>
  </si>
  <si>
    <t>Electra Unit 1</t>
  </si>
  <si>
    <t>ELECTR_7_UNIT 2</t>
  </si>
  <si>
    <t>Electra Unit 2</t>
  </si>
  <si>
    <t>ELECTR_7_UNIT 3</t>
  </si>
  <si>
    <t>Electra Unit 3</t>
  </si>
  <si>
    <t>WESTPT_2_UNIT</t>
  </si>
  <si>
    <t>West Point PH</t>
  </si>
  <si>
    <t>CRESTA_7_PL1X2</t>
  </si>
  <si>
    <t>CRESTA PH (AGGREGATE)</t>
  </si>
  <si>
    <t>CRESTA_7_UNIT 1</t>
  </si>
  <si>
    <t>Cresta Unit #1</t>
  </si>
  <si>
    <t>AZUSA_2_HYDRO</t>
  </si>
  <si>
    <t>AZUSA HYDRO</t>
  </si>
  <si>
    <t>PASADENA</t>
  </si>
  <si>
    <t>CRESTA_7_UNIT 2</t>
  </si>
  <si>
    <t>Cresta Unit #2</t>
  </si>
  <si>
    <t>RCKCRK_7_UNIT 1</t>
  </si>
  <si>
    <t>Rock Creek Unit 1</t>
  </si>
  <si>
    <t>RCKCRK_7_UNIT 2</t>
  </si>
  <si>
    <t>Rock Creek Unit 2</t>
  </si>
  <si>
    <t>BGCRK4_7_UNIT 1</t>
  </si>
  <si>
    <t>Big Creek PH 4 Unit 1</t>
  </si>
  <si>
    <t>BGCRK4_7_UNIT 2</t>
  </si>
  <si>
    <t>Big Creek PH 4 Unit 2</t>
  </si>
  <si>
    <t>SALTSP_7_UNIT 2</t>
  </si>
  <si>
    <t>Salt Springs Unit 2</t>
  </si>
  <si>
    <t>ENCINA_7_EA1</t>
  </si>
  <si>
    <t>Encina Unit 1</t>
  </si>
  <si>
    <t>Cabrillo Power I, LLC</t>
  </si>
  <si>
    <t>THERMAL</t>
  </si>
  <si>
    <t>STEAM</t>
  </si>
  <si>
    <t>REDOND_7_UNIT 5</t>
  </si>
  <si>
    <t>Redondo Unit 5</t>
  </si>
  <si>
    <t>AES</t>
  </si>
  <si>
    <t>MURPHYS POWERHOUSE</t>
  </si>
  <si>
    <t>VICTOR_1_QF</t>
  </si>
  <si>
    <t>VICTOR AREA LUMPED UNITS</t>
  </si>
  <si>
    <t>PIT4_7_PL1X2</t>
  </si>
  <si>
    <t>PIT PH 4 (AGGREGATE)</t>
  </si>
  <si>
    <t>PIT4_7_UNIT 1</t>
  </si>
  <si>
    <t>Pit PH 4 Unit 1</t>
  </si>
  <si>
    <t>PIT4_7_UNIT 2</t>
  </si>
  <si>
    <t>Pit PH 4 Unit 2</t>
  </si>
  <si>
    <t>ALAMIT_7_UNIT 1</t>
  </si>
  <si>
    <t>Alamitos 1</t>
  </si>
  <si>
    <t>BGCRK1_7_PORTAL</t>
  </si>
  <si>
    <t>Big Creek - Portal Unit</t>
  </si>
  <si>
    <t>ENCINA_7_EA2</t>
  </si>
  <si>
    <t>Encina Unit 2</t>
  </si>
  <si>
    <t>ALAMIT_7_UNIT 2</t>
  </si>
  <si>
    <t>Alamitos 2</t>
  </si>
  <si>
    <t>BEARDS_7_UNIT 1</t>
  </si>
  <si>
    <t>Beardsley PH</t>
  </si>
  <si>
    <t>TRI-DAM PROJECT</t>
  </si>
  <si>
    <t>DONNLS_7_UNIT</t>
  </si>
  <si>
    <t>Donnels Unit #1</t>
  </si>
  <si>
    <t>REDOND_7_UNIT 6</t>
  </si>
  <si>
    <t>Redondo Unit 6</t>
  </si>
  <si>
    <t>BALCHS_7_UNIT 2</t>
  </si>
  <si>
    <t>Balch 2</t>
  </si>
  <si>
    <t>BALCHS_7_UNIT 3</t>
  </si>
  <si>
    <t>Balch 3</t>
  </si>
  <si>
    <t>BUTTVL_7_UNIT 1</t>
  </si>
  <si>
    <t>Butt Valley PH</t>
  </si>
  <si>
    <t>CARBOU_7_PL4X5</t>
  </si>
  <si>
    <t>CARIBOU UNITS 4 &amp; 5 (AGGREGATE)</t>
  </si>
  <si>
    <t>CARBOU_7_UNIT 4</t>
  </si>
  <si>
    <t>Caribou PH 2 Unit 4</t>
  </si>
  <si>
    <t>CARBOU_7_UNIT 5</t>
  </si>
  <si>
    <t>Caribou PH 2 Unit 5</t>
  </si>
  <si>
    <t>ENCINA_7_EA3</t>
  </si>
  <si>
    <t>Encina Unit 3</t>
  </si>
  <si>
    <t>HAASPH_7_PL1X2</t>
  </si>
  <si>
    <t>HAAS PH (AGGREGATE)</t>
  </si>
  <si>
    <t>HAASPH_7_UNIT 1</t>
  </si>
  <si>
    <t>Haas PH Unit 1</t>
  </si>
  <si>
    <t>HAASPH_7_UNIT 2</t>
  </si>
  <si>
    <t>Haas PH Unit 2</t>
  </si>
  <si>
    <t>POEPH_7_UNIT 1</t>
  </si>
  <si>
    <t>Poe PH Unit 1</t>
  </si>
  <si>
    <t>POEPH_7_UNIT 2</t>
  </si>
  <si>
    <t>Poe PH Unit 2</t>
  </si>
  <si>
    <t>TULLCK_7_UNITS</t>
  </si>
  <si>
    <t>TULLOCH PH (AGGREGATE)</t>
  </si>
  <si>
    <t>TULLCK_7_UNIT 1</t>
  </si>
  <si>
    <t>TULLOCH Unit 1</t>
  </si>
  <si>
    <t>TULLCK_7_UNIT 2</t>
  </si>
  <si>
    <t>TULLOCH Unit 2</t>
  </si>
  <si>
    <t>MNDALY_7_UNIT 1</t>
  </si>
  <si>
    <t>Mandalay 1</t>
  </si>
  <si>
    <t>RRI Energy Mandalay, Inc.</t>
  </si>
  <si>
    <t>MNDALY_7_UNIT 2</t>
  </si>
  <si>
    <t>Mandalay 2</t>
  </si>
  <si>
    <t>MAMMTH_7_UNIT 1</t>
  </si>
  <si>
    <t>Big Creek - Mammoth Pool Unit 1</t>
  </si>
  <si>
    <t>MAMMTH_7_UNIT 2</t>
  </si>
  <si>
    <t>Big Creek - Mammoth Pool Unit 2</t>
  </si>
  <si>
    <t>PITTSP_7_UNIT 5</t>
  </si>
  <si>
    <t>Pittsburg Unit 5</t>
  </si>
  <si>
    <t>Mirant</t>
  </si>
  <si>
    <t>INTKEP_2_HOLM 1</t>
  </si>
  <si>
    <t>Holm Unit 1</t>
  </si>
  <si>
    <t>CCSF</t>
  </si>
  <si>
    <t>INTKEP_2_HOLM 2</t>
  </si>
  <si>
    <t>Holm Unit 2</t>
  </si>
  <si>
    <t>ALAMIT_7_UNIT 3</t>
  </si>
  <si>
    <t>Alamitos 3</t>
  </si>
  <si>
    <t>CWATER_7_UNIT 1</t>
  </si>
  <si>
    <t>Coolwater Unit 1</t>
  </si>
  <si>
    <t>RRI Energy Coolwater, Inc.</t>
  </si>
  <si>
    <t>PITTSP_7_UNIT 6</t>
  </si>
  <si>
    <t>Pittsburg Unit 6</t>
  </si>
  <si>
    <t>ALAMIT_7_UNIT 4</t>
  </si>
  <si>
    <t>Alamitos 4</t>
  </si>
  <si>
    <t>KINGRV_7_UNIT 1</t>
  </si>
  <si>
    <t>Kings River Unit 1</t>
  </si>
  <si>
    <t>MORBAY_7_UNIT 3</t>
  </si>
  <si>
    <t>Morro Bay Unit 3</t>
  </si>
  <si>
    <t>Dynegy Morro Bay, LLC</t>
  </si>
  <si>
    <t>DSABLA_7_UNIT</t>
  </si>
  <si>
    <t>DE SABLA</t>
  </si>
  <si>
    <t>Butte Creek</t>
  </si>
  <si>
    <t>FORBST_7_UNIT 1</t>
  </si>
  <si>
    <t>Forbestown PH</t>
  </si>
  <si>
    <t>OWID</t>
  </si>
  <si>
    <t>SF Feather River</t>
  </si>
  <si>
    <t>KELYRG_6_UNIT</t>
  </si>
  <si>
    <t>Kelly Ridge PH</t>
  </si>
  <si>
    <t>MORBAY_7_UNIT 4</t>
  </si>
  <si>
    <t>Morro Bay Unit 4</t>
  </si>
  <si>
    <t>Ontario PH 2 Unit 1</t>
  </si>
  <si>
    <t>STANIS_7_UNIT 1</t>
  </si>
  <si>
    <t>Stanislaus Unit 1</t>
  </si>
  <si>
    <t>WDLEAF_7_UNIT 1</t>
  </si>
  <si>
    <t>Woodleaf PH</t>
  </si>
  <si>
    <t>COCOPP_7_UNIT 6</t>
  </si>
  <si>
    <t>Contra Costa PP Unit #6</t>
  </si>
  <si>
    <t>COCOPP_7_UNIT 7</t>
  </si>
  <si>
    <t>Contra Costa PP Unit #7</t>
  </si>
  <si>
    <t>CWATER_7_UNIT 2</t>
  </si>
  <si>
    <t>Coolwater Unit 2</t>
  </si>
  <si>
    <t>ELSEGN_7_UNIT 3</t>
  </si>
  <si>
    <t>El Segundo 3</t>
  </si>
  <si>
    <t>DYNEGY</t>
  </si>
  <si>
    <t>LEWSTN_7_UNIT 1</t>
  </si>
  <si>
    <t>Lewiston</t>
  </si>
  <si>
    <t>USBR</t>
  </si>
  <si>
    <t>BRDWAY_7_UNIT 3</t>
  </si>
  <si>
    <t>Broadway 3</t>
  </si>
  <si>
    <t>PAS</t>
  </si>
  <si>
    <t>PAS1</t>
  </si>
  <si>
    <t>PLACVL_1_CHILIB</t>
  </si>
  <si>
    <t>CHILI BAR</t>
  </si>
  <si>
    <t>CHICPK_7_UNIT 1</t>
  </si>
  <si>
    <t>Chicago Park PH</t>
  </si>
  <si>
    <t>NID</t>
  </si>
  <si>
    <t>DRUM_7_UNIT 5</t>
  </si>
  <si>
    <t>Drum PH 2 Unit 5</t>
  </si>
  <si>
    <t>DUTCH2_7_UNIT 1</t>
  </si>
  <si>
    <t>Dutch Flat PH 2 Unit 1</t>
  </si>
  <si>
    <t>ELSEGN_7_UNIT 4</t>
  </si>
  <si>
    <t>El Segundo 4</t>
  </si>
  <si>
    <t>BLACK_7_UNIT 2</t>
  </si>
  <si>
    <t>James B. Black 2</t>
  </si>
  <si>
    <t>PIT6_7_UNIT 1</t>
  </si>
  <si>
    <t>Pit PH 6 Unit 1</t>
  </si>
  <si>
    <t>PIT6_7_UNIT 2</t>
  </si>
  <si>
    <t>Pit PH 6 Unit 2</t>
  </si>
  <si>
    <t>PIT7_7_UNIT 1</t>
  </si>
  <si>
    <t>Pit PH 7 Unit 1</t>
  </si>
  <si>
    <t>PIT7_7_UNIT 2</t>
  </si>
  <si>
    <t>Pit PH 7 Unit 2</t>
  </si>
  <si>
    <t>ALAMIT_7_UNIT 6</t>
  </si>
  <si>
    <t>Alamitos 6</t>
  </si>
  <si>
    <t>FMEADO_7_UNIT</t>
  </si>
  <si>
    <t>French Meadows PH</t>
  </si>
  <si>
    <t>PCWA</t>
  </si>
  <si>
    <t>American River</t>
  </si>
  <si>
    <t>BLACK_7_UNIT 1</t>
  </si>
  <si>
    <t>James B. Black 1</t>
  </si>
  <si>
    <t>MDFKRL_2_PROJCT</t>
  </si>
  <si>
    <t>MIDDLE FORK-RALSTON PROJECT (AGGREGATE)</t>
  </si>
  <si>
    <t>MIDFRK_7_UNIT 1</t>
  </si>
  <si>
    <t>Middle Fork 1</t>
  </si>
  <si>
    <t>MIDFRK_7_UNIT 2</t>
  </si>
  <si>
    <t>Middle Fork 2</t>
  </si>
  <si>
    <t>RALSTN_7_UNIT 1</t>
  </si>
  <si>
    <t>Ralston PH</t>
  </si>
  <si>
    <t>OXBOW_6_DRUM</t>
  </si>
  <si>
    <t>Oxbow PH</t>
  </si>
  <si>
    <t>EXCHEC_7_UNIT 1</t>
  </si>
  <si>
    <t>Exchequer</t>
  </si>
  <si>
    <t>Merced Irrigation District</t>
  </si>
  <si>
    <t>Merced River</t>
  </si>
  <si>
    <t>MCSWAN_6_UNITS</t>
  </si>
  <si>
    <t>Mc SWAIN</t>
  </si>
  <si>
    <t>MOSSLD_7_UNIT 6</t>
  </si>
  <si>
    <t>Moss Landing 6</t>
  </si>
  <si>
    <t>Dynegy Moss Landing, LLC</t>
  </si>
  <si>
    <t>REDOND_7_UNIT 7</t>
  </si>
  <si>
    <t>Redondo Unit 7</t>
  </si>
  <si>
    <t>REDOND_7_UNIT 8</t>
  </si>
  <si>
    <t>Redondo Unit 8</t>
  </si>
  <si>
    <t>SLUISP_2_UNITS</t>
  </si>
  <si>
    <t>SAN LUIS (GIANELLI) P-G PLANT (AGGREGATE)</t>
  </si>
  <si>
    <t>CDWR</t>
  </si>
  <si>
    <t>PUMPED STORAGE</t>
  </si>
  <si>
    <t>SLUISP_2_UNIT 1</t>
  </si>
  <si>
    <t>San Luis P-G Unit 1</t>
  </si>
  <si>
    <t>SLUISP_2_UNIT 2</t>
  </si>
  <si>
    <t>San Luis P-G Unit 2</t>
  </si>
  <si>
    <t>SLUISP_2_UNIT 3</t>
  </si>
  <si>
    <t>San Luis P-G Unit 3</t>
  </si>
  <si>
    <t>SLUISP_2_UNIT 4</t>
  </si>
  <si>
    <t>San Luis P-G Unit 4</t>
  </si>
  <si>
    <t>SLUISP_2_UNIT 5</t>
  </si>
  <si>
    <t>San Luis P-G Unit 5</t>
  </si>
  <si>
    <t>SLUISP_2_UNIT 6</t>
  </si>
  <si>
    <t>San Luis P-G Unit 6</t>
  </si>
  <si>
    <t>SLUISP_2_UNIT 7</t>
  </si>
  <si>
    <t>San Luis P-G Unit 7</t>
  </si>
  <si>
    <t>SLUISP_2_UNIT 8</t>
  </si>
  <si>
    <t>San Luis P-G Unit 8</t>
  </si>
  <si>
    <t>INTKEP_2_KIRKW1</t>
  </si>
  <si>
    <t>Kirkwood Unit 1</t>
  </si>
  <si>
    <t>INTKEP_2_KIRKW2</t>
  </si>
  <si>
    <t>Kirkwood Unit 2</t>
  </si>
  <si>
    <t>ONLLPP_6_UNITS</t>
  </si>
  <si>
    <t>ONEILL P-G PLANT (AGGREGATE)</t>
  </si>
  <si>
    <t>ONLLPP_6_UNIT 1</t>
  </si>
  <si>
    <t>ONeill Pump-Generator Plant Unit 1</t>
  </si>
  <si>
    <t>ONLLPP_6_UNIT 2</t>
  </si>
  <si>
    <t>ONeill Pump-Generator Plant Unit 2</t>
  </si>
  <si>
    <t>ONLLPP_6_UNIT 3</t>
  </si>
  <si>
    <t>ONeill Pump-Generator Plant Unit 3</t>
  </si>
  <si>
    <t>ONLLPP_6_UNIT 4</t>
  </si>
  <si>
    <t>ONeill Pump-Generator Plant Unit 4</t>
  </si>
  <si>
    <t>ONLLPP_6_UNIT 5</t>
  </si>
  <si>
    <t>ONeill Pump-Generator Plant Unit 5</t>
  </si>
  <si>
    <t>ONLLPP_6_UNIT 6</t>
  </si>
  <si>
    <t>ONeill Pump-Generator Plant Unit 6</t>
  </si>
  <si>
    <t>ELCAJN_7_GT1</t>
  </si>
  <si>
    <t>El Cajon GT</t>
  </si>
  <si>
    <t>Cabrillo Power II, LLC</t>
  </si>
  <si>
    <t>COMBUSTION TURBINE</t>
  </si>
  <si>
    <t>ENCINA_7_GT1</t>
  </si>
  <si>
    <t>Encina GT 1</t>
  </si>
  <si>
    <t>HYTTHM_2_UNITS</t>
  </si>
  <si>
    <t>HYATT-THERMALITO P-G PROJECT (AGGREGATE)</t>
  </si>
  <si>
    <t>HYATT_2_UNIT 1</t>
  </si>
  <si>
    <t>Edward Hyatt Gen Unit 1</t>
  </si>
  <si>
    <t>HYATT_2_UNIT 2</t>
  </si>
  <si>
    <t>Edward Hyatt P-G Unit 2</t>
  </si>
  <si>
    <t>HYATT_2_UNIT 3</t>
  </si>
  <si>
    <t>Edward Hyatt Gen Unit 3</t>
  </si>
  <si>
    <t>HYATT_2_UNIT 4</t>
  </si>
  <si>
    <t>Edward Hyatt P-G Unit 4</t>
  </si>
  <si>
    <t>HYATT_2_UNIT 5</t>
  </si>
  <si>
    <t>Edward Hyatt Gen Unit 5</t>
  </si>
  <si>
    <t>HYATT_2_UNIT 6</t>
  </si>
  <si>
    <t>Edward Hyatt P-G Unit 6</t>
  </si>
  <si>
    <t>THERMA_2_UNIT 1</t>
  </si>
  <si>
    <t>Thermalito Gen Unit 1</t>
  </si>
  <si>
    <t>THERMA_2_UNIT 2</t>
  </si>
  <si>
    <t>Thermalito P-G Unit 2</t>
  </si>
  <si>
    <t>THERMA_2_UNIT 3</t>
  </si>
  <si>
    <t>Thermalito P-G Unit 3</t>
  </si>
  <si>
    <t>THERMA_2_UNIT 4</t>
  </si>
  <si>
    <t>Thermalito P-G Unit 4</t>
  </si>
  <si>
    <t>MOSSLD_7_UNIT 7</t>
  </si>
  <si>
    <t>Moss Landing 7</t>
  </si>
  <si>
    <t>BELDEN_7_UNIT 1</t>
  </si>
  <si>
    <t>Belden PH</t>
  </si>
  <si>
    <t>COLGAT_7_UNIT 1</t>
  </si>
  <si>
    <t>Colgate PH Unit 1</t>
  </si>
  <si>
    <t>North Yuba River</t>
  </si>
  <si>
    <t>COLGAT_7_UNIT 2</t>
  </si>
  <si>
    <t>Colgate PH Unit 2</t>
  </si>
  <si>
    <t>KEARNY_7_KY2</t>
  </si>
  <si>
    <t>KEARNY KY2 (AGGREGATE)</t>
  </si>
  <si>
    <t>KEARNY_7_KY2A</t>
  </si>
  <si>
    <t>Kearny KY2A</t>
  </si>
  <si>
    <t>KEARNY_7_KY2B</t>
  </si>
  <si>
    <t>Kearny KY2B</t>
  </si>
  <si>
    <t>KEARNY_7_KY2C</t>
  </si>
  <si>
    <t>Kearny KY2C</t>
  </si>
  <si>
    <t>KEARNY_7_KY2D</t>
  </si>
  <si>
    <t>Kearny KY2D</t>
  </si>
  <si>
    <t>KEARNY_7_KY3</t>
  </si>
  <si>
    <t>KEARNY KY3 (AGGREGATE)</t>
  </si>
  <si>
    <t>KEARNY_7_KY3A</t>
  </si>
  <si>
    <t>Kearny KY3A</t>
  </si>
  <si>
    <t>KEARNY_7_KY3B</t>
  </si>
  <si>
    <t>Kearny KY3B</t>
  </si>
  <si>
    <t>KEARNY_7_KY3C</t>
  </si>
  <si>
    <t>Kearny KY3C</t>
  </si>
  <si>
    <t>KEARNY_7_KY3D</t>
  </si>
  <si>
    <t>Kearny KY3D</t>
  </si>
  <si>
    <t>NAROW2_2_UNIT</t>
  </si>
  <si>
    <t>NARROWS PH 2 UNIT</t>
  </si>
  <si>
    <t>YCWA</t>
  </si>
  <si>
    <t>MOCCPH_7_UNIT 1</t>
  </si>
  <si>
    <t>Moccasin Unit 1</t>
  </si>
  <si>
    <t>MOCCPH_7_UNIT 2</t>
  </si>
  <si>
    <t>Moccasin Unit 2</t>
  </si>
  <si>
    <t>GYS5X6_7_UNITS</t>
  </si>
  <si>
    <t>GEYSERS UNITS 5 &amp; 6 (AGGREGATE)</t>
  </si>
  <si>
    <t>CALPINE</t>
  </si>
  <si>
    <t>GEOTHERMAL</t>
  </si>
  <si>
    <t>GYS5X6_7_UNIT 5</t>
  </si>
  <si>
    <t>Geysers Unit 5</t>
  </si>
  <si>
    <t>GYS5X6_7_UNIT 6</t>
  </si>
  <si>
    <t>Geysers Unit 6</t>
  </si>
  <si>
    <t>ORMOND_7_UNIT 1</t>
  </si>
  <si>
    <t>Ormond Beach Unit 1</t>
  </si>
  <si>
    <t>RRI Energy Ormond Beach, Inc.</t>
  </si>
  <si>
    <t>ORMOND_7_UNIT 2</t>
  </si>
  <si>
    <t>Ormond Beach Unit 2</t>
  </si>
  <si>
    <t>DVLCYN_1_UNITS</t>
  </si>
  <si>
    <t>DEVIL CANYON (AGGREGATE)</t>
  </si>
  <si>
    <t>DVLCYN_1_UNIT 1</t>
  </si>
  <si>
    <t>Devil Canyon Unit 1</t>
  </si>
  <si>
    <t>GYS7X8_7_UNITS</t>
  </si>
  <si>
    <t>GEYSERS UNITS 7 &amp; 8 (AGGREGATE)</t>
  </si>
  <si>
    <t>GYS7X8_7_UNIT 7</t>
  </si>
  <si>
    <t>Geysers Unit 7</t>
  </si>
  <si>
    <t>GYS7X8_7_UNIT 8</t>
  </si>
  <si>
    <t>Geysers Unit 8</t>
  </si>
  <si>
    <t>KEARNY_7_KY1</t>
  </si>
  <si>
    <t>Kearny 1</t>
  </si>
  <si>
    <t>MRGT_7_UNITS</t>
  </si>
  <si>
    <t>MIRAMAR GT PLANT (AGGREGATE)</t>
  </si>
  <si>
    <t>MRGT_7_MR1A</t>
  </si>
  <si>
    <t>Miramar GT 1A</t>
  </si>
  <si>
    <t>MRGT_7_MR1B</t>
  </si>
  <si>
    <t>Miramar GT 1B</t>
  </si>
  <si>
    <t>PITTSP_7_UNIT 7</t>
  </si>
  <si>
    <t>Pittsburg Unit 7</t>
  </si>
  <si>
    <t>ENCINA_7_EA4</t>
  </si>
  <si>
    <t>Encina Unit 4</t>
  </si>
  <si>
    <t>MONTPH_7_UNITS</t>
  </si>
  <si>
    <t>MONTICELLO PH (Aggregate)</t>
  </si>
  <si>
    <t>Solano Irrigation District</t>
  </si>
  <si>
    <t>MONTPH_7_UNIT 1</t>
  </si>
  <si>
    <t>MONTICELLO Unit 1</t>
  </si>
  <si>
    <t>GEYS11_7_UNIT11</t>
  </si>
  <si>
    <t>Geysers Unit 11</t>
  </si>
  <si>
    <t>MONTPH_7_UNIT 2</t>
  </si>
  <si>
    <t>MONTICELLO Unit 2</t>
  </si>
  <si>
    <t>DVLCYN_1_UNIT 2</t>
  </si>
  <si>
    <t>Devil Canyon Unit 2</t>
  </si>
  <si>
    <t>GLNARM_7_UNIT 1</t>
  </si>
  <si>
    <t>Glen Arm Power Plant 1</t>
  </si>
  <si>
    <t>City of Pasadena</t>
  </si>
  <si>
    <t>GLNARM_7_UNIT 2</t>
  </si>
  <si>
    <t>Glen Arm Power Plant 2</t>
  </si>
  <si>
    <t>CHEVMN_2_UNIT 1</t>
  </si>
  <si>
    <t>CHEVRON U.S.A. UNIT 1</t>
  </si>
  <si>
    <t>COGENERATION</t>
  </si>
  <si>
    <t>LGHTHP_6_QF</t>
  </si>
  <si>
    <t>LITHEHIPE AREA LUMPED UNITS</t>
  </si>
  <si>
    <t>MOORPK_6_QF</t>
  </si>
  <si>
    <t>MOORE PARK AREA LUMPED UNITS</t>
  </si>
  <si>
    <t>STAUFF_1_UNIT</t>
  </si>
  <si>
    <t>RHODIA INC. (RHONE-POULENC)</t>
  </si>
  <si>
    <t>01C108</t>
  </si>
  <si>
    <t>CWATER_7_UNIT 3</t>
  </si>
  <si>
    <t>COOLWATER UNIT 3 (AGGREGATE)</t>
  </si>
  <si>
    <t xml:space="preserve">RRI Energy Coolwater, Inc. </t>
  </si>
  <si>
    <t>COMBINED CYCLE</t>
  </si>
  <si>
    <t>CWATER_7_CT31</t>
  </si>
  <si>
    <t>Coolwater CTG 31</t>
  </si>
  <si>
    <t>CWATER_7_CT32</t>
  </si>
  <si>
    <t>Coolwater CTG 32</t>
  </si>
  <si>
    <t>CWATER_7_ST30</t>
  </si>
  <si>
    <t>Coolwater STG 30</t>
  </si>
  <si>
    <t>HEAT RECOVERY</t>
  </si>
  <si>
    <t>CWATER_7_UNIT 4</t>
  </si>
  <si>
    <t>COOLWATER UNIT 4 (AGGREGATE)</t>
  </si>
  <si>
    <t>CWATER_7_CT41</t>
  </si>
  <si>
    <t>Coolwater CTG 41</t>
  </si>
  <si>
    <t>CWATER_7_CT42</t>
  </si>
  <si>
    <t>Coolwater CTG 42</t>
  </si>
  <si>
    <t>CWATER_7_ST40</t>
  </si>
  <si>
    <t>Coolwater STG 40</t>
  </si>
  <si>
    <t>ENCINA_7_EA5</t>
  </si>
  <si>
    <t>Encina Unit 5</t>
  </si>
  <si>
    <t>MONTPH_7_UNIT 3</t>
  </si>
  <si>
    <t>MONTICELLO Unit 3</t>
  </si>
  <si>
    <t>OAK C_7_UNIT 1</t>
  </si>
  <si>
    <t>Oakland GT #1</t>
  </si>
  <si>
    <t>Dynegy Oakland LLC</t>
  </si>
  <si>
    <t>ISO management recommended, and the Board accepted, extending a contract to the Dynegy Oakland generating units through 2012, for 165 MW.</t>
  </si>
  <si>
    <t>OAK C_7_UNIT 2</t>
  </si>
  <si>
    <t>Oakland GT #2</t>
  </si>
  <si>
    <t>Tested at 58.77MW. NDC is based on RMR contract.ISO management recommended, and the Board accepted, extending a contract to the Dynegy Oakland generating units through 2012, for 165 MW.</t>
  </si>
  <si>
    <t>OAK C_7_UNIT 3</t>
  </si>
  <si>
    <t>Oakland GT #3</t>
  </si>
  <si>
    <t>Tested at 57.74MW. NDC is based on RMR contract.ISO management recommended, and the Board accepted, extending a contract to the Dynegy Oakland generating units through 2012, for 165 MW.</t>
  </si>
  <si>
    <t>COLEMN_2_UNIT</t>
  </si>
  <si>
    <t>COLEMAN</t>
  </si>
  <si>
    <t>Battle Creek</t>
  </si>
  <si>
    <t>GEYS12_7_UNIT12</t>
  </si>
  <si>
    <t>Geysers Unit 12</t>
  </si>
  <si>
    <t>INSKIP_2_UNIT</t>
  </si>
  <si>
    <t>INSKIP</t>
  </si>
  <si>
    <t>SOUTH_2_UNIT</t>
  </si>
  <si>
    <t>SOUTH PH</t>
  </si>
  <si>
    <t>OLINDA_2_COYCRK</t>
  </si>
  <si>
    <t>MWD Coyote Creek Hydroelectric Recovery Plant</t>
  </si>
  <si>
    <t>MWD</t>
  </si>
  <si>
    <t>SEARLS_7_WESTEN</t>
  </si>
  <si>
    <t>SEARLES VALLEY MINERALS OPERATIONS, INC. (WESTEN)</t>
  </si>
  <si>
    <t>BGCRK3_7_UNIT 5</t>
  </si>
  <si>
    <t>Big Creek PH 3 Unit 5</t>
  </si>
  <si>
    <t>GEYS13_7_UNIT13</t>
  </si>
  <si>
    <t>Geysers Unit 13</t>
  </si>
  <si>
    <t>GEYS14_7_UNIT14</t>
  </si>
  <si>
    <t>Geysers Unit 14</t>
  </si>
  <si>
    <t>MIRLOM_7_MWDLKM</t>
  </si>
  <si>
    <t>LAKE MATHEWS HYDRO RECOVERY PLANT</t>
  </si>
  <si>
    <t>Metropolitan Water District</t>
  </si>
  <si>
    <t>Became PG on 1/1/2005. Formerly part of MESA_6_MWDPH1 aggregate scheduling resource.</t>
  </si>
  <si>
    <t>ROLLIN_6_UNIT</t>
  </si>
  <si>
    <t>Rollins PH</t>
  </si>
  <si>
    <t>VOLTA_2_UNIT 1</t>
  </si>
  <si>
    <t>VOLTA UNIT 1</t>
  </si>
  <si>
    <t>MSSION_2_QF</t>
  </si>
  <si>
    <t>MISSION AREA LUMPED UNITS</t>
  </si>
  <si>
    <t>LOMA LINDA UNIVERSITY #1</t>
  </si>
  <si>
    <t>SAUGUS_6_MWDFTH</t>
  </si>
  <si>
    <t>FOOTHILL HYDRO RECOVERY PLANT</t>
  </si>
  <si>
    <t>Metropolitan Water Districe</t>
  </si>
  <si>
    <t>PADUA_6_MWDSDM</t>
  </si>
  <si>
    <t>SAN DIMAS HYDRO RECOVERY PLANT</t>
  </si>
  <si>
    <t>CSCCOG_1_UNIT 1</t>
  </si>
  <si>
    <t>SANTA CLARA COGEN</t>
  </si>
  <si>
    <t>SVP (Santa Clara)</t>
  </si>
  <si>
    <t>CSC1</t>
  </si>
  <si>
    <t>VOLTA_2_UNIT 2</t>
  </si>
  <si>
    <t>VOLTA UNIT 2</t>
  </si>
  <si>
    <t>VILLPK_6_MWDYOR</t>
  </si>
  <si>
    <t>YORBA LINDA HYDRO RECOVERY PLANT</t>
  </si>
  <si>
    <t>L.P. REINHARD</t>
  </si>
  <si>
    <t>01W129</t>
  </si>
  <si>
    <t>WIND</t>
  </si>
  <si>
    <t>CRESSY_1_PARKER</t>
  </si>
  <si>
    <t>MERCED IRRIGATION DIST. (PARKER)</t>
  </si>
  <si>
    <t>25H185</t>
  </si>
  <si>
    <t>SPSUSN_6_UNIT</t>
  </si>
  <si>
    <t>SIERRA PACIFIC INDUSTRIES (SUSANVILLE)</t>
  </si>
  <si>
    <t>10C009</t>
  </si>
  <si>
    <t>BIOMASS</t>
  </si>
  <si>
    <t>WOOD WASTE</t>
  </si>
  <si>
    <t>LMD1</t>
  </si>
  <si>
    <t>Aggregated in LASSEN_6_UNITS effective 12/1/2005</t>
  </si>
  <si>
    <t>HINSON_6_CARBGN</t>
  </si>
  <si>
    <t>BP WEST COAST PRODUCTS ( FORMERLY ARCO WILMINGTON CALCINER)</t>
  </si>
  <si>
    <t>BP West Coast Products</t>
  </si>
  <si>
    <t>GEYS17_7_UNIT17</t>
  </si>
  <si>
    <t>Geysers Unit 17</t>
  </si>
  <si>
    <t>LACIEN_2_VENICE</t>
  </si>
  <si>
    <t>MWD Venice Hydroelectric Recovery Plant</t>
  </si>
  <si>
    <t>Operating as a participating unit as of 11/1/2008. Previously a QF unit (LACIEN_2_QF).</t>
  </si>
  <si>
    <t>WARNE_2_UNIT</t>
  </si>
  <si>
    <t>WARNE PH (AGGREGATE)</t>
  </si>
  <si>
    <t>WARNE_2_UNIT 1</t>
  </si>
  <si>
    <t>Warne Unit 1</t>
  </si>
  <si>
    <t>ANTLPE_2_QF</t>
  </si>
  <si>
    <t>ANTELOPE VALLEY AREA LUMPED UNITS</t>
  </si>
  <si>
    <t>CONTRL_1_QF</t>
  </si>
  <si>
    <t>CONTROL AREA LUMPED UNITS</t>
  </si>
  <si>
    <t>CTNWDP_1_QF</t>
  </si>
  <si>
    <t>COTTONWOOD AREA (BURNEY) LUMPED QF UNITS</t>
  </si>
  <si>
    <t>TESLA_1_QF</t>
  </si>
  <si>
    <t>TESLA AREA LUMPED QF UNITS</t>
  </si>
  <si>
    <t>CITY OF OXNARD</t>
  </si>
  <si>
    <t>VLYHOM_7_SSJID</t>
  </si>
  <si>
    <t>SOUTH SAN JOAQUIN ID (WOODWARD)</t>
  </si>
  <si>
    <t>16H097</t>
  </si>
  <si>
    <t>HI HEAD HYDRO, INCORPORATED</t>
  </si>
  <si>
    <t>VOLTA_7_BAILEY</t>
  </si>
  <si>
    <t>BAILEY CREEK RANCH</t>
  </si>
  <si>
    <t>13H119</t>
  </si>
  <si>
    <t>Included in VOLTA QF aggregation 3/1/2007</t>
  </si>
  <si>
    <t>MOGUL ENERGY CORPORATION</t>
  </si>
  <si>
    <t>ROBERT W. LEE</t>
  </si>
  <si>
    <t>13H127</t>
  </si>
  <si>
    <t>formerly part of CTNWDP_1_QF prior to 3/15/2007</t>
  </si>
  <si>
    <t>CHEVCD_6_UNIT</t>
  </si>
  <si>
    <t>CHEVRON USA (TAFT/CADET)</t>
  </si>
  <si>
    <t>25C002</t>
  </si>
  <si>
    <t>DONALD R. CHENOWETH</t>
  </si>
  <si>
    <t>01W119</t>
  </si>
  <si>
    <t>JACKSON VALLEY IRRIGATION DIST</t>
  </si>
  <si>
    <t>16H095</t>
  </si>
  <si>
    <t>CALLEGUAS MWD-UNIT 1 (CONEJO)</t>
  </si>
  <si>
    <t>CHEVCY_1_UNIT</t>
  </si>
  <si>
    <t>CHEVRON USA (CYMRIC)</t>
  </si>
  <si>
    <t>25C003</t>
  </si>
  <si>
    <t>Michaes W. Stephens</t>
  </si>
  <si>
    <t>06W090</t>
  </si>
  <si>
    <t>LANGERWERF DAIRY</t>
  </si>
  <si>
    <t>10P058</t>
  </si>
  <si>
    <t>HAT CREEK HEREFORD RANCH</t>
  </si>
  <si>
    <t>13H123</t>
  </si>
  <si>
    <t>BOXCAR I POWER PURCHASE CONTRACT TRUST</t>
  </si>
  <si>
    <t>WINDSONG WIND PARK</t>
  </si>
  <si>
    <t>CAMCHE_1_PL1X3</t>
  </si>
  <si>
    <t>CAMANCHE PH (AGGREGATE)</t>
  </si>
  <si>
    <t>CAMCHE_1_UNIT 1</t>
  </si>
  <si>
    <t>Camanche Unit 1</t>
  </si>
  <si>
    <t>CAMCHE_1_UNIT 2</t>
  </si>
  <si>
    <t>Camanche Unit 2</t>
  </si>
  <si>
    <t>CAMCHE_1_UNIT 3</t>
  </si>
  <si>
    <t>Camanche Unit 3</t>
  </si>
  <si>
    <t>UNCHEM_1_UNIT</t>
  </si>
  <si>
    <t>CONTRA COSTA CARBON PLANT</t>
  </si>
  <si>
    <t>ConocoPhillips Co. (formerly Tosco)</t>
  </si>
  <si>
    <t>PETROLEUM COKE</t>
  </si>
  <si>
    <t>SMUDGO_7_UNIT 1</t>
  </si>
  <si>
    <t>Calpine Geothermal (formerly a SMUD unit)</t>
  </si>
  <si>
    <t>NCPA_7_GP1UN1</t>
  </si>
  <si>
    <t>Geothermal Plant 1 Unit 1</t>
  </si>
  <si>
    <t>NCPA</t>
  </si>
  <si>
    <t>NCPA_7_GP1UN2</t>
  </si>
  <si>
    <t>Geothermal Plant 1 Unit 2</t>
  </si>
  <si>
    <t>GEYS18_7_UNIT18</t>
  </si>
  <si>
    <t>Geysers Unit 18</t>
  </si>
  <si>
    <t>KERKH2_7_UNIT 1</t>
  </si>
  <si>
    <t>Kerckhoff PH 2 Unit #1</t>
  </si>
  <si>
    <t>VALLEY_5_PERRIS</t>
  </si>
  <si>
    <t>MWD Perris Hydroelectric Recovery Plant</t>
  </si>
  <si>
    <t>SONGS_7_UNIT 2</t>
  </si>
  <si>
    <t>SONGS UNIT 2</t>
  </si>
  <si>
    <t>SCE / SDGE</t>
  </si>
  <si>
    <t>NUCLEAR</t>
  </si>
  <si>
    <t>URANIUM</t>
  </si>
  <si>
    <t>SLYCRK_1_UNIT 1</t>
  </si>
  <si>
    <t>Sly Creek PH</t>
  </si>
  <si>
    <t>WARNE_2_UNIT 2</t>
  </si>
  <si>
    <t>Warne Unit 2</t>
  </si>
  <si>
    <t>FAYETT_1_UNIT</t>
  </si>
  <si>
    <t>ARCADIAN RENEWABLE POWER CORP. - highly inactive</t>
  </si>
  <si>
    <t>16W020</t>
  </si>
  <si>
    <t>MCARTH_6_BIGVAL</t>
  </si>
  <si>
    <t>BIG VALLEY LUMBER COMPANY</t>
  </si>
  <si>
    <t>13C010</t>
  </si>
  <si>
    <t>Res ID changed from BIGVAL_6_UNIT 9/1/2005</t>
  </si>
  <si>
    <t>SAMPSN_6_KELCO1</t>
  </si>
  <si>
    <t>CP - KELCO</t>
  </si>
  <si>
    <t>CURIS_1_QF</t>
  </si>
  <si>
    <t>CURIS AREA LUMPED QF UNITS</t>
  </si>
  <si>
    <t>DEVERS_1_QF</t>
  </si>
  <si>
    <t>DEVERS AREA LUMPED UNITS</t>
  </si>
  <si>
    <t xml:space="preserve">~99% Wind (based on Nameplate Ratings of children units) </t>
  </si>
  <si>
    <t>FULTON_1_QF</t>
  </si>
  <si>
    <t>FULTON AREA LUMPED QF UNITS</t>
  </si>
  <si>
    <t>MESAS_2_QF</t>
  </si>
  <si>
    <t>MESA SOUTH AREA LUMPED UNITS</t>
  </si>
  <si>
    <t>LANDFILL GAS</t>
  </si>
  <si>
    <t>CHILDRENS HOSPITAL</t>
  </si>
  <si>
    <t>GENSEE_6_QUALCM</t>
  </si>
  <si>
    <t>QUALCOMM, INC.</t>
  </si>
  <si>
    <t>No export to grid. No telemetry. No metering.</t>
  </si>
  <si>
    <t>SEAWST_6_LAPOS</t>
  </si>
  <si>
    <t>SEA WEST ENERGY (AGGREGATE)</t>
  </si>
  <si>
    <t>Sea West Energy (01W006H)</t>
  </si>
  <si>
    <t>TBLMTN_6_QF</t>
  </si>
  <si>
    <t>TABLE MOUNTAIN AREA LUMPED QF UNITS</t>
  </si>
  <si>
    <t>VACADX_1_QF</t>
  </si>
  <si>
    <t>VACAVILLE-DIXON AREA LUMPED QF UNITS</t>
  </si>
  <si>
    <t>VISTA_6_QF</t>
  </si>
  <si>
    <t>VISTA AREA LUMPED UNITS</t>
  </si>
  <si>
    <t>BLHVN_7_MENLOP</t>
  </si>
  <si>
    <t>GAS RECOVERY SYS. (MENLO PARK)</t>
  </si>
  <si>
    <t>02P014</t>
  </si>
  <si>
    <t>SPQUIN_6_SRPCQU</t>
  </si>
  <si>
    <t>SIERRA PACIFIC INDUSTRIES (QUINCY)</t>
  </si>
  <si>
    <t>10C018</t>
  </si>
  <si>
    <t>ROYAL FARMS</t>
  </si>
  <si>
    <t>SEA WEST ENERGY - ALTECH</t>
  </si>
  <si>
    <t>01W011</t>
  </si>
  <si>
    <t>SEA WEST ENERGY - CWES</t>
  </si>
  <si>
    <t>01W007</t>
  </si>
  <si>
    <t>SEA WEST ENERGY - SEAWEST</t>
  </si>
  <si>
    <t>01W006</t>
  </si>
  <si>
    <t>SEA WEST ENERGY - TAXVEST</t>
  </si>
  <si>
    <t>01W015</t>
  </si>
  <si>
    <t>SEA WEST ENERGY - VIKING</t>
  </si>
  <si>
    <t>01W014</t>
  </si>
  <si>
    <t>SEA WEST ENERGY - WESTERN</t>
  </si>
  <si>
    <t>01W012</t>
  </si>
  <si>
    <t>Mud Creek Hydro</t>
  </si>
  <si>
    <t>10H060</t>
  </si>
  <si>
    <t>COTTLE_2_FRNKNH</t>
  </si>
  <si>
    <t>SOUTH SAN JOAQUIN ID (FRANKENHEIMER)</t>
  </si>
  <si>
    <t>16H094</t>
  </si>
  <si>
    <t>SAN GORGONIO WIND FARMS, INC. (WW I)</t>
  </si>
  <si>
    <t>SEARLS_7_ARGUS</t>
  </si>
  <si>
    <t>SEARLES VALLEY MINERALS OPERATIONS, INC. (ARGUS)</t>
  </si>
  <si>
    <t>COAL</t>
  </si>
  <si>
    <t>MEGA HYDRO (GOOSE VALLEY RANCH)</t>
  </si>
  <si>
    <t>13H122</t>
  </si>
  <si>
    <t>LOWGAP_7_MATHEW</t>
  </si>
  <si>
    <t>HUMBOLDT BAY MWD</t>
  </si>
  <si>
    <t>19H051</t>
  </si>
  <si>
    <t>Included in LOWGAP QF aggregation 3/1/2007</t>
  </si>
  <si>
    <t>SMPAND_7_UNIT</t>
  </si>
  <si>
    <t>WHEELABRATOR LASSEN INC.</t>
  </si>
  <si>
    <t>13C082</t>
  </si>
  <si>
    <t>FMEADO_6_HELLHL</t>
  </si>
  <si>
    <t>PLACER COUNTY WATER AGENCY (HELL HOLE)</t>
  </si>
  <si>
    <t>15H059</t>
  </si>
  <si>
    <t>Formerly part of RIOOSO_1_QF aggregation</t>
  </si>
  <si>
    <t>MOBGEN_6_UNIT 1</t>
  </si>
  <si>
    <t>MOBIL OIL CORPORATION #1</t>
  </si>
  <si>
    <t>No export to grid.</t>
  </si>
  <si>
    <t>CITY OF PALM SPRINGS (SEWER PLANT)</t>
  </si>
  <si>
    <t>DIGESTER GAS</t>
  </si>
  <si>
    <t>RUGRAW INC. (DIGGER CREEK RANCH)</t>
  </si>
  <si>
    <t>13H132</t>
  </si>
  <si>
    <t>HENWOOD ASSOC.-UNIT 1 (MILLNER CREEK)</t>
  </si>
  <si>
    <t>EJM MCFADDEN FARM</t>
  </si>
  <si>
    <t>04H062</t>
  </si>
  <si>
    <t>SAN BERNARDINO MWD (UNIT 1, SITE 1720)</t>
  </si>
  <si>
    <t>DESERT POWER COMPANY</t>
  </si>
  <si>
    <t>FAIRFIELD POWER PLANT</t>
  </si>
  <si>
    <t>25H193</t>
  </si>
  <si>
    <t>INDVLY_1_UNITS</t>
  </si>
  <si>
    <t>INDIAN VALLEY HYDRO</t>
  </si>
  <si>
    <t>04H061</t>
  </si>
  <si>
    <t>TEHACHAPI CUMMINGS/COUNTY WATER DISTRICT</t>
  </si>
  <si>
    <t>STEVE &amp; BONNIE TETRICK</t>
  </si>
  <si>
    <t>13H130</t>
  </si>
  <si>
    <t>LOFTON RANCH</t>
  </si>
  <si>
    <t>13H120</t>
  </si>
  <si>
    <t>L.A. COUNTY SANITATION DIST. CSD 2610</t>
  </si>
  <si>
    <t>MIDWD_7_CORAMB</t>
  </si>
  <si>
    <t>Coram Brodie Wind Project</t>
  </si>
  <si>
    <t>Coram Energy, LLC</t>
  </si>
  <si>
    <t>ZEPHYR PARK LTD</t>
  </si>
  <si>
    <t>Formerly QFID 6029</t>
  </si>
  <si>
    <t>CLRMTK_1_QF</t>
  </si>
  <si>
    <t>CLAIRMONT AREA LUMPED QF UNITS</t>
  </si>
  <si>
    <t>Steven Spellenberg Hydro</t>
  </si>
  <si>
    <t>19H049</t>
  </si>
  <si>
    <t>WNDMAS_2_UNIT 1</t>
  </si>
  <si>
    <t>BUENA VISTA ENERGY, LLC</t>
  </si>
  <si>
    <t>Buena Vista Energy, LLC (formerly QFID 01W001)</t>
  </si>
  <si>
    <t>CSTRVL_7_MRWMD</t>
  </si>
  <si>
    <t>MONTEREY REGIONAL WASTE MGMT DIST.</t>
  </si>
  <si>
    <t>18P059</t>
  </si>
  <si>
    <t>SEWAGE GAS</t>
  </si>
  <si>
    <t>Aggregated under CSTRVL_7_QFUNTS 6/1/2006</t>
  </si>
  <si>
    <t>RIDGETOP ENERGY LLC (I)</t>
  </si>
  <si>
    <t>HELMPG_7_UNIT 1</t>
  </si>
  <si>
    <t>Helms PGP Unit 1</t>
  </si>
  <si>
    <t>HELMPG_7_UNIT 2</t>
  </si>
  <si>
    <t>Helms PGP Unit 2</t>
  </si>
  <si>
    <t>HELMPG_7_UNIT 3</t>
  </si>
  <si>
    <t>Helms PGP Unit 3</t>
  </si>
  <si>
    <t>CENTER_2_RHONDO</t>
  </si>
  <si>
    <t>MWD Rio Hondo Hydroelectric Recovery Plant</t>
  </si>
  <si>
    <t>PINFLT_7_UNITS</t>
  </si>
  <si>
    <t>PINE FLAT PH (AGGREGATE)</t>
  </si>
  <si>
    <t>PINFLT_7_UNIT 1</t>
  </si>
  <si>
    <t>Pine Flat Unit 1</t>
  </si>
  <si>
    <t xml:space="preserve">PINFLT_7_UNIT 2 </t>
  </si>
  <si>
    <t>Pine Flat Unit 2</t>
  </si>
  <si>
    <t>PINFLT_7_UNIT 3</t>
  </si>
  <si>
    <t>Pine Flat Unit 3</t>
  </si>
  <si>
    <t>SONGS_7_UNIT 3</t>
  </si>
  <si>
    <t>SONGS UNIT 3</t>
  </si>
  <si>
    <t>FLOWD1_6_ALTPP1</t>
  </si>
  <si>
    <t>ALTAMONT POWER LLC (PARTNERS 1)</t>
  </si>
  <si>
    <t>01W009</t>
  </si>
  <si>
    <t>Heublein Wines -- highly inactive</t>
  </si>
  <si>
    <t>25C172</t>
  </si>
  <si>
    <t>Formerly part of CURIS_1_QF before 3/15/2007</t>
  </si>
  <si>
    <t>ENCINA POLLUTION CONTROL</t>
  </si>
  <si>
    <t>IBMCTL_1_UNIT 1</t>
  </si>
  <si>
    <t>IBM COTTLE</t>
  </si>
  <si>
    <t>Emergency back-up source.</t>
  </si>
  <si>
    <t>NRG ENERGY CENTER SAN DIEGO</t>
  </si>
  <si>
    <t>TRW PLANT</t>
  </si>
  <si>
    <t>SALK INSTITUTE</t>
  </si>
  <si>
    <t>GROSSMONT HOSPITAL</t>
  </si>
  <si>
    <t>OLINDA_2_QF</t>
  </si>
  <si>
    <t>OLINDA AREA LUMPED UNITS</t>
  </si>
  <si>
    <t>PADUA_6_QF</t>
  </si>
  <si>
    <t>PADUA AREA LUMPED UNITS</t>
  </si>
  <si>
    <t>RECTOR_2_QF</t>
  </si>
  <si>
    <t>RECTOR AREA LUMPED UNITS</t>
  </si>
  <si>
    <t>KAWEAH DELTA DISTRICT HOSPITAL</t>
  </si>
  <si>
    <t>RIOOSO_1_QF</t>
  </si>
  <si>
    <t>RIO OSO AREA LUMPED QF UNITS</t>
  </si>
  <si>
    <t>AGGREGATION</t>
  </si>
  <si>
    <t>GALE_1_SEGS1</t>
  </si>
  <si>
    <t>SUNRAY ENERGY, INC. - SEGS 1</t>
  </si>
  <si>
    <t>SOLAR</t>
  </si>
  <si>
    <t>SUN</t>
  </si>
  <si>
    <t>WLLWCR_6_CEDRFL</t>
  </si>
  <si>
    <t>SHAMROCK UTILITIES (CEDAR FLAT)</t>
  </si>
  <si>
    <t>19H048</t>
  </si>
  <si>
    <t>LEWSTN_7_WEBRFL</t>
  </si>
  <si>
    <t>PAN PACIFIC (WEBER FLAT)</t>
  </si>
  <si>
    <t>13H128</t>
  </si>
  <si>
    <t>HICKS_7_GUADLP</t>
  </si>
  <si>
    <t>GAS RECOVERY SYS. (GUADALUPE)</t>
  </si>
  <si>
    <t>08P006</t>
  </si>
  <si>
    <t>JAMES B. PETER</t>
  </si>
  <si>
    <t>10H059</t>
  </si>
  <si>
    <t>ENRON WIND SYSTEMS, LLC (VICTORY GARDEN I)</t>
  </si>
  <si>
    <t>SANTFG_7_UNITS</t>
  </si>
  <si>
    <t>GEYSERS POWER COMPANY, LLC. (Aggregate)</t>
  </si>
  <si>
    <t>04G057</t>
  </si>
  <si>
    <t>SANTFG_7_UNIT 1</t>
  </si>
  <si>
    <t>GEYSERS POWER COMPANY, LLC. UNIT 1</t>
  </si>
  <si>
    <t>SANTFG_7_UNIT 2</t>
  </si>
  <si>
    <t>GEYSERS POWER COMPANY, LLC. UNIT 2</t>
  </si>
  <si>
    <t>CEDRCK_6_UNIT</t>
  </si>
  <si>
    <t>WATER WHEEL RANCH (MCMILLAN HYDRO)</t>
  </si>
  <si>
    <t>13H124</t>
  </si>
  <si>
    <t>Formerly part of CTNWDP_1_QF aggregation</t>
  </si>
  <si>
    <t>COLPIN_6_COLLNS</t>
  </si>
  <si>
    <t>COLLINS PINE CO.</t>
  </si>
  <si>
    <t>10C003</t>
  </si>
  <si>
    <t>NID/COMBIE SOUTH</t>
  </si>
  <si>
    <t>15H054</t>
  </si>
  <si>
    <t>Added to HIGGNS QF aggregation 3/1/2007. Formerly part of RIOOSO_1_QF aggregation.</t>
  </si>
  <si>
    <t>CHEVRON, USA, INCORPORATED #1</t>
  </si>
  <si>
    <t>Self-gen. No export to grid.</t>
  </si>
  <si>
    <t>HOLGAT_1_BORAX</t>
  </si>
  <si>
    <t>U.S. BORAX AND CHEMICAL CORP. (#1)</t>
  </si>
  <si>
    <t>SO.CALIFORNIA SUNBELT DEVLP, INC. (MOJAVE)</t>
  </si>
  <si>
    <t>BROWNS VALLEY IRRIGATION DIST.</t>
  </si>
  <si>
    <t>12H054</t>
  </si>
  <si>
    <t>NAPA_2_UNIT</t>
  </si>
  <si>
    <t>NAPA STATE HOSPITAL</t>
  </si>
  <si>
    <t>04C054</t>
  </si>
  <si>
    <t>MNTAGU_7_NEWBYI</t>
  </si>
  <si>
    <t>GAS RECOVERY SYS. (NEWBY ISLAND 2)</t>
  </si>
  <si>
    <t>08P004</t>
  </si>
  <si>
    <t>SUISUN_7_CTYFAI</t>
  </si>
  <si>
    <t>CITY OF FAIRFIELD</t>
  </si>
  <si>
    <t>06C061</t>
  </si>
  <si>
    <t>Formerly Res ID CTYFAI_1_UNITS</t>
  </si>
  <si>
    <t>MTNPWR_7_BURNEY</t>
  </si>
  <si>
    <t>OGDEN POWER PACIFIC, INC. (BURNEY)</t>
  </si>
  <si>
    <t>13P118</t>
  </si>
  <si>
    <t>ENRON WIND SYSTEMS, LLC (VICTORY GARDEN II)</t>
  </si>
  <si>
    <t>FELLOW_1_TENNCO</t>
  </si>
  <si>
    <t>AERA ENERGY LLC. (Oxford)</t>
  </si>
  <si>
    <t>25C180</t>
  </si>
  <si>
    <t>Aggregated under FELLOW_7_QFUNTS 6/1/2006</t>
  </si>
  <si>
    <t>PAPER PAK PRODUCTS,INCORPORATED</t>
  </si>
  <si>
    <t>CALLEGUAS MWD UNIT 2 (EAST PORTAL)</t>
  </si>
  <si>
    <t>MTNLAS_6_UNIT</t>
  </si>
  <si>
    <t>OGDEN POWER PACIFIC, INC. (MT. LASSEN)</t>
  </si>
  <si>
    <t>10P001</t>
  </si>
  <si>
    <t>WALNUT VALLEY WATER DISTRICT (#1)</t>
  </si>
  <si>
    <t>WALNUT VALLEY WATER DISTRICT (#2)</t>
  </si>
  <si>
    <t>BREA POWER PARTNERS L. P.</t>
  </si>
  <si>
    <t>ONTARIO COGENERATION</t>
  </si>
  <si>
    <t>SEGS_1_SEGS2</t>
  </si>
  <si>
    <t>SUNRAY ENERGY, INC. - SEGS 2</t>
  </si>
  <si>
    <t>CAMERON RIDGE LLC (III)</t>
  </si>
  <si>
    <t>MAMMOTH PACIFIC L.P.</t>
  </si>
  <si>
    <t>Connects to Casa Diablo sub.</t>
  </si>
  <si>
    <t>HENWOOD ASSOCIATES</t>
  </si>
  <si>
    <t>15H002</t>
  </si>
  <si>
    <t>ENRON WIND SYSTEMS, LLC (VICTORY GARDEN III)</t>
  </si>
  <si>
    <t>CABAZON POWER PARTNERS, LLC</t>
  </si>
  <si>
    <t>WINDPOWER PARTNERS 1993 L.P.</t>
  </si>
  <si>
    <t>NID/SCOTTS FLAT</t>
  </si>
  <si>
    <t>15H001</t>
  </si>
  <si>
    <t>GENERATING RESOURCE RECOVERY PARTNERS LP</t>
  </si>
  <si>
    <t>MARKHM_1_CATLST</t>
  </si>
  <si>
    <t>SAN JOSE COGEN</t>
  </si>
  <si>
    <t>08C030</t>
  </si>
  <si>
    <t>BURGESS, NORMAN ROSS</t>
  </si>
  <si>
    <t>19H004</t>
  </si>
  <si>
    <t>Added to FTSWRD aggregation 3/1/2007. Formerly part of FULTON_1_QF aggregation.</t>
  </si>
  <si>
    <t>OILDAL_1_UNIT 1</t>
  </si>
  <si>
    <t>OILDALE ENERGY LLC</t>
  </si>
  <si>
    <t>25C170</t>
  </si>
  <si>
    <t>CALWIND RESOURCES, INC.</t>
  </si>
  <si>
    <t>KERNRG_1_UNITS</t>
  </si>
  <si>
    <t>AERA ENERGY (SOUTH BELRIDGE &amp; LOST HILLS)</t>
  </si>
  <si>
    <t>AERA ENERGY LLC</t>
  </si>
  <si>
    <t>SOUTH BELRIDGE UNIT 2</t>
  </si>
  <si>
    <t>SOUTH BELRIDGE UNIT A</t>
  </si>
  <si>
    <t>SOUTH BELRIDGE UNIT B</t>
  </si>
  <si>
    <t>LOST HILLS UNIT 1</t>
  </si>
  <si>
    <t>LOST HILLS UNIT 2</t>
  </si>
  <si>
    <t>LOST HILLS UNIT 3</t>
  </si>
  <si>
    <t>SOUTH BELRIDGE UNIT 1</t>
  </si>
  <si>
    <t>RICHMN_7_BAYENV</t>
  </si>
  <si>
    <t>BAY EVIRONMENTAL MANAGEMENT</t>
  </si>
  <si>
    <t>Bay Environmental Mgt. (formerly 01P070)</t>
  </si>
  <si>
    <t>CAMPFW_7_FARWST</t>
  </si>
  <si>
    <t>Camp Far West</t>
  </si>
  <si>
    <t>SMUD</t>
  </si>
  <si>
    <t>DIABLO_7_UNIT 1</t>
  </si>
  <si>
    <t>Diablo Canyon Unit 1</t>
  </si>
  <si>
    <t>NCPA_7_GP2UN3</t>
  </si>
  <si>
    <t>Geothermal Plant 2 Unit 3</t>
  </si>
  <si>
    <t>GEYS16_7_UNIT16</t>
  </si>
  <si>
    <t>Geysers Unit 16</t>
  </si>
  <si>
    <t>GEYS20_7_UNIT20</t>
  </si>
  <si>
    <t>Geysers Unit 20</t>
  </si>
  <si>
    <t>PLSNTG_7_LNCLND</t>
  </si>
  <si>
    <t>LINCOLN LANDFILL POWER PLANT</t>
  </si>
  <si>
    <t>Energy 2001, Inc.</t>
  </si>
  <si>
    <t>Repowered &amp; returned to commercial operation 9/10/2004</t>
  </si>
  <si>
    <t>VALLEY_5_REDMTN</t>
  </si>
  <si>
    <t>MWD Red Mountain Hydroelectric Recovery Plant</t>
  </si>
  <si>
    <t>VILLPK_2_VALLYV</t>
  </si>
  <si>
    <t>MWD Valley View Hydroelectric Recovery Plant</t>
  </si>
  <si>
    <t>BUCKCK_7_OAKFLT</t>
  </si>
  <si>
    <t>OAK FLAT PH</t>
  </si>
  <si>
    <t>North Fork Feather River</t>
  </si>
  <si>
    <t>CBRLLO_6_PLSTP1</t>
  </si>
  <si>
    <t>POINT LOMA WASTEWATER TREATMENT PLANT</t>
  </si>
  <si>
    <t>City of San Diego (Formerly QFID 464)</t>
  </si>
  <si>
    <t>POINT LOMA WASTEWATER PERP HYDRO</t>
  </si>
  <si>
    <t>City of San Diego</t>
  </si>
  <si>
    <t>POINT LOMA WASTEWATER UNIT 1</t>
  </si>
  <si>
    <t>POINT LOMA WASTEWATER UNIT 2</t>
  </si>
  <si>
    <t>POINT LOMA WASTEWATER UNIT 3</t>
  </si>
  <si>
    <t>VESTAL_6_WDFIRE</t>
  </si>
  <si>
    <t>SIERRA POWER CORPORATION</t>
  </si>
  <si>
    <t>Sierra Power Corp.</t>
  </si>
  <si>
    <t>FLOWD2_2_UNIT 1</t>
  </si>
  <si>
    <t>ALTAMONT POWER (AGGREGATE)</t>
  </si>
  <si>
    <t>16W010, 16W015, 16W016, 16W017</t>
  </si>
  <si>
    <t>BORDEN_2_QF</t>
  </si>
  <si>
    <t>BORDEN AREA LUMPED QF UNITS</t>
  </si>
  <si>
    <t>Madera ID</t>
  </si>
  <si>
    <t>IGNACO_1_QF</t>
  </si>
  <si>
    <t>IGNACIO AREA LUMPED QF UNITS</t>
  </si>
  <si>
    <t>ALVARADO HYDRO FACILITY</t>
  </si>
  <si>
    <t>MIRAMAR HYDRO FACILITY</t>
  </si>
  <si>
    <t>SAN FRANCISCO PEAK HYDRO PLANT</t>
  </si>
  <si>
    <t>MOSSLD_1_QF</t>
  </si>
  <si>
    <t>MOSS LANDING AREA (SANTA CRUZ) LUMPED QF UNITS</t>
  </si>
  <si>
    <t>WASTE GAS</t>
  </si>
  <si>
    <t>UPLAND UNIFIED SCHOOL DISTTRICT</t>
  </si>
  <si>
    <t>SOLDAD_1_SLDPRS</t>
  </si>
  <si>
    <t>SOLEDAD PRISON COGEN</t>
  </si>
  <si>
    <t>California State Prison System</t>
  </si>
  <si>
    <t>VINCNT_2_QF</t>
  </si>
  <si>
    <t>VINCENT AREA LUMPED UNITS</t>
  </si>
  <si>
    <t>NAWP, INC. (EAST WINDS PROJECT)</t>
  </si>
  <si>
    <t>SECTION 20 PPC TRUST (PHOENIX ENERGY)</t>
  </si>
  <si>
    <t>WIND FARM MANAGEMENT INC.</t>
  </si>
  <si>
    <t>ENERGY DEVELOPMENT &amp; CONST. CORP (KAREN)</t>
  </si>
  <si>
    <t>SHAMROCK UTLIITIES (CLOVER LEAF)</t>
  </si>
  <si>
    <t>13H012</t>
  </si>
  <si>
    <t>STOREY_7_MDRCHW</t>
  </si>
  <si>
    <t>MADERA-CHOWCHILLA WATER AND POWER AUTHORITY</t>
  </si>
  <si>
    <t>25H036</t>
  </si>
  <si>
    <t>VICTOR RODRIGUEZ</t>
  </si>
  <si>
    <t>SO.CALIFORNIA SUNBELT DEVLP, INC. (EDOM HILL)</t>
  </si>
  <si>
    <t>LFC 51_2_UNIT 1</t>
  </si>
  <si>
    <t>PATTERSON PASS WIND FARM LLC</t>
  </si>
  <si>
    <t>16W028</t>
  </si>
  <si>
    <t>KATHLEEN AUSTIN DBA GANSNER PWR. &amp; WTR.</t>
  </si>
  <si>
    <t>10H007</t>
  </si>
  <si>
    <t>Altamont Power LLC (5-4)</t>
  </si>
  <si>
    <t>16W016</t>
  </si>
  <si>
    <t>ALTMID_2_UNIT 1</t>
  </si>
  <si>
    <t>ALTAMONT MIDWAY LTD.</t>
  </si>
  <si>
    <t>16W009</t>
  </si>
  <si>
    <t>FRIANT_6_UNITS</t>
  </si>
  <si>
    <t>FRIANT DAM</t>
  </si>
  <si>
    <t>25H037</t>
  </si>
  <si>
    <t>SECTION 7 TRUST (WHITEWATER II)</t>
  </si>
  <si>
    <t>OMAR_2_UNIT 1</t>
  </si>
  <si>
    <t>KERN RIVER COGENERATION CO. (OMAR HILL) UNIT 1</t>
  </si>
  <si>
    <t>Kern River Cogeneration Company</t>
  </si>
  <si>
    <t>12/17/2009 KRCC will switch from being scheduled as an aggregate resource</t>
  </si>
  <si>
    <t>OMAR_2_UNIT 2</t>
  </si>
  <si>
    <t>KERN RIVER COGENERATION CO. (OMAR HILL) UNIT 2</t>
  </si>
  <si>
    <t>OMAR_2_UNIT 3</t>
  </si>
  <si>
    <t>KERN RIVER COGENERATION CO. (OMAR HILL) UNIT 3</t>
  </si>
  <si>
    <t>OMAR_2_UNIT 4</t>
  </si>
  <si>
    <t>KERN RIVER COGENERATION CO. (OMAR HILL) UNIT 4</t>
  </si>
  <si>
    <t>ARCO_6_UCPPET</t>
  </si>
  <si>
    <t>BP AMOCO (Formerly ARCO PETROLEUM PRODUCTS)</t>
  </si>
  <si>
    <t>WINDRIDGE,INCORPORATED (WILLOW WIND)</t>
  </si>
  <si>
    <t>WINAMD_6_UNIT 1</t>
  </si>
  <si>
    <t>WINEAGLE DEVELOPERS 1</t>
  </si>
  <si>
    <t>10G011</t>
  </si>
  <si>
    <t>SUTTERS MILL</t>
  </si>
  <si>
    <t>13H006</t>
  </si>
  <si>
    <t>Formerly part of TBLMTN_1_QF prior to 3/15/2007</t>
  </si>
  <si>
    <t>CITY OF SANTA ANA</t>
  </si>
  <si>
    <t>GLENDORA HIGH SCHOOL (U.S.D.)</t>
  </si>
  <si>
    <t>SIMMAX ENERGY, LLOC (ST. ERNE SANITARIUM)</t>
  </si>
  <si>
    <t>SOUTH SUTTER WATER</t>
  </si>
  <si>
    <t>12H004</t>
  </si>
  <si>
    <t>CITY OF VALLEJO (CUNNINGHAM POOL)</t>
  </si>
  <si>
    <t>04C130</t>
  </si>
  <si>
    <t>TIN INC. dba TEMPLE-INLAND</t>
  </si>
  <si>
    <t>HILAND_7_YOLOWD</t>
  </si>
  <si>
    <t>YOLO COUNTY FLOOD &amp; WCD</t>
  </si>
  <si>
    <t>04H002</t>
  </si>
  <si>
    <t>ENRON WIND SYSTEMS, LLC &amp; H&amp;S (VICTORY GARDEN IV)</t>
  </si>
  <si>
    <t>ZOND WINDSYSTEMS PARTNERS, SERIES 85-A</t>
  </si>
  <si>
    <t>CHINO_6_SMPPAP</t>
  </si>
  <si>
    <t>RIPON COGENERATION, INC.</t>
  </si>
  <si>
    <t>BULLRD_7_SAGNES</t>
  </si>
  <si>
    <t>SAINT AGNES MED. CTR</t>
  </si>
  <si>
    <t>25C178</t>
  </si>
  <si>
    <t>SAN GORGONIO WESTWINDS II, LLC</t>
  </si>
  <si>
    <t>Covanta Power Pacific (STOCKTON)</t>
  </si>
  <si>
    <t>16P001</t>
  </si>
  <si>
    <t>SECTION 22 TRUST (SAN JACINTO)</t>
  </si>
  <si>
    <t>PAINTED HILLS WIND DEVELOPERS</t>
  </si>
  <si>
    <t>CORAM ENERGY GROUP, LTD.</t>
  </si>
  <si>
    <t>SECTION 16-29 TRUST (ALTECH III)</t>
  </si>
  <si>
    <t>DIFWIND PARTNERS, LIMITED</t>
  </si>
  <si>
    <t>EAGLE HYDRO</t>
  </si>
  <si>
    <t>15H012</t>
  </si>
  <si>
    <t>SWISS AMERICA</t>
  </si>
  <si>
    <t>15H069</t>
  </si>
  <si>
    <t>BOXCAR II POWER PURCHASE CONTRACT TRUST</t>
  </si>
  <si>
    <t>WINDPOWER PARTNERS, 1993, L.P. (WHITE WATER)</t>
  </si>
  <si>
    <t>HIWAY_7_ACANYN</t>
  </si>
  <si>
    <t>GAS RECOVERY SYS. (AMERICAN CYN)</t>
  </si>
  <si>
    <t>04P010</t>
  </si>
  <si>
    <t>ZOND_6_UNIT</t>
  </si>
  <si>
    <t>Santa Clara Wind Project</t>
  </si>
  <si>
    <t>Seawest Power Resources, LLC (formerly QFID 01W017)</t>
  </si>
  <si>
    <t>Converted to Participating unit on 8/26/2006.</t>
  </si>
  <si>
    <t>CAMERON RIDGE LLC (IV)</t>
  </si>
  <si>
    <t>CERRITOS COLLEGE</t>
  </si>
  <si>
    <t>EUI MANAGEMENT PH, INCORPORATED</t>
  </si>
  <si>
    <t>WESTWIND TRUST</t>
  </si>
  <si>
    <t>SOUTH BELRIDGE UNIT 3</t>
  </si>
  <si>
    <t>SOUTH BELRIDGE UNIT C</t>
  </si>
  <si>
    <t>ALMEGT_1_UNIT 1</t>
  </si>
  <si>
    <t>Alameda GT Unit 1</t>
  </si>
  <si>
    <t>ALMEGT_1_UNIT 2</t>
  </si>
  <si>
    <t>Alameda GT Unit 2</t>
  </si>
  <si>
    <t>ALAMO_6_UNIT</t>
  </si>
  <si>
    <t>Alamo R (CDWR)</t>
  </si>
  <si>
    <t>BIGCRK_7_DAM7</t>
  </si>
  <si>
    <t>Big Creek Dam 7 Fishwater Generator</t>
  </si>
  <si>
    <t>DIABLO_7_UNIT 2</t>
  </si>
  <si>
    <t>Diablo Canyon Unit 2</t>
  </si>
  <si>
    <t>NCPA_7_GP2UN4</t>
  </si>
  <si>
    <t>Geothermal Plant 2 Unit 4</t>
  </si>
  <si>
    <t>CSCGNR_1_UNIT 2</t>
  </si>
  <si>
    <t>Gianera GT 2</t>
  </si>
  <si>
    <t>LODI25_2_UNIT 1</t>
  </si>
  <si>
    <t>Lodi GT</t>
  </si>
  <si>
    <t>NWCSTL_7_UNIT 1</t>
  </si>
  <si>
    <t>Newcastle PH</t>
  </si>
  <si>
    <t>ELKCRK_6_STONYG</t>
  </si>
  <si>
    <t>STONEY GORGE PH (AGGREGATE)</t>
  </si>
  <si>
    <t>Stoney Gorge Unit 1</t>
  </si>
  <si>
    <t>Stoney Gorge Unit 2</t>
  </si>
  <si>
    <t>TOADTW_6_UNIT</t>
  </si>
  <si>
    <t>TOADTOWN PH</t>
  </si>
  <si>
    <t>WISE_1_UNIT 2</t>
  </si>
  <si>
    <t>Wise Unit 2</t>
  </si>
  <si>
    <t>TANHIL_6_SOLART</t>
  </si>
  <si>
    <t>BERRY PETROLEUM COGEN 18</t>
  </si>
  <si>
    <t>25C151A</t>
  </si>
  <si>
    <t>UNVRSY_1_UNIT 1</t>
  </si>
  <si>
    <t>BERRY PETROLEUM COGEN 38</t>
  </si>
  <si>
    <t>25C099A</t>
  </si>
  <si>
    <t>EAGLRK_2_QF</t>
  </si>
  <si>
    <t>EPISCOPAL HOME</t>
  </si>
  <si>
    <t>FRITO_1_LAY</t>
  </si>
  <si>
    <t>FRITO LAY COGEN</t>
  </si>
  <si>
    <t>25C063</t>
  </si>
  <si>
    <t>GOLETA_2_QF</t>
  </si>
  <si>
    <t>GOLETA AREA LUMPED UNITS</t>
  </si>
  <si>
    <t>GREEN RIDGE POWER LLC (110 MW)</t>
  </si>
  <si>
    <t>01W004</t>
  </si>
  <si>
    <t>Portions of this facility scheduled under LASPOS_6_USWIND, USWPJR_2_UNITS, USWND2_1_UNITS, USWND4_2_UNITS &amp; USWND1_2_UNITS</t>
  </si>
  <si>
    <t>USWPFK_6_FRICK</t>
  </si>
  <si>
    <t>GREEN RIDGE POWER LLC-FRICK (Aggregate)</t>
  </si>
  <si>
    <t>WALNUT_6_HILLGEN</t>
  </si>
  <si>
    <t>L.A. COUNTY SANITATION DISTRICT #2 (PUENTE HILLS B)</t>
  </si>
  <si>
    <t>KRAMER_1_SEGS37</t>
  </si>
  <si>
    <t>LUZ SOLAR PARTNERS 3-7 AGGREGATE</t>
  </si>
  <si>
    <t>KRAMER_2_SEGS89</t>
  </si>
  <si>
    <t>LUZ SOLAR PARTNERS 8-9 AGGREGATE</t>
  </si>
  <si>
    <t>PALOMAR MEDICAL CENTER</t>
  </si>
  <si>
    <t>SPBURN_2_UNIT 1</t>
  </si>
  <si>
    <t>SIERRA PACIFIC INDUSTRIES (BURNEY)</t>
  </si>
  <si>
    <t>13C049</t>
  </si>
  <si>
    <t>KRNOIL_7_TEXEXP</t>
  </si>
  <si>
    <t>TEXACO EXPLORATION AND PRODUCTION (AGGREGATE)</t>
  </si>
  <si>
    <t>Texaco Exploration and Production</t>
  </si>
  <si>
    <t>formerly Res ID TENACO_6_KERN</t>
  </si>
  <si>
    <t>TXNMID_1_UNIT 2</t>
  </si>
  <si>
    <t>Texaco North Midway Cogeneration Plant</t>
  </si>
  <si>
    <t>YMCA MISSION VALLEY</t>
  </si>
  <si>
    <t>JVENTR_2_QFUNTS</t>
  </si>
  <si>
    <t>TRES VAQUEROS AREA LUMPED UNITS</t>
  </si>
  <si>
    <t>Tres Vaqueros Wind Farms, LLC.</t>
  </si>
  <si>
    <t>01W094</t>
  </si>
  <si>
    <t>NORTHWIND ENERGY</t>
  </si>
  <si>
    <t>01W095</t>
  </si>
  <si>
    <t>STANFORD ENERGY GROUP</t>
  </si>
  <si>
    <t>01C089</t>
  </si>
  <si>
    <t>TOM BENNINGHOVEN</t>
  </si>
  <si>
    <t>19H055</t>
  </si>
  <si>
    <t>Formerly part of HUMBSB_1_QF prior to 3/15/2007</t>
  </si>
  <si>
    <t>TKOPWR_2_UNIT</t>
  </si>
  <si>
    <t>TKO POWER (SOUTH BEAR CREEK)</t>
  </si>
  <si>
    <t>13H040</t>
  </si>
  <si>
    <t>CHEVCO_6_UNIT 1</t>
  </si>
  <si>
    <t>CHEVRON USA (COALINGA)</t>
  </si>
  <si>
    <t>25C055</t>
  </si>
  <si>
    <t>ENRON WIND SYSTEMS, LLC (NORTHWIND I)</t>
  </si>
  <si>
    <t>PADUA_7_SDIMAS</t>
  </si>
  <si>
    <t>SAN DIMAS WASH HYDRO</t>
  </si>
  <si>
    <t>SAN GABRIEL VALLEY MWD (formerly QFID 4011)</t>
  </si>
  <si>
    <t>Became Participating Generator on 9/29/2006</t>
  </si>
  <si>
    <t>AMERICAN ENERGY, INC. (SAN LUIS BYPASS)</t>
  </si>
  <si>
    <t>25H039</t>
  </si>
  <si>
    <t>AMERICAN ENERGY, INC. (WOLFSEN BYPASS)</t>
  </si>
  <si>
    <t>25H038</t>
  </si>
  <si>
    <t>OAK CREEK ENERGY SYSTEMS, INC - PH II</t>
  </si>
  <si>
    <t>CHARCOAL RAVINE</t>
  </si>
  <si>
    <t>15H068</t>
  </si>
  <si>
    <t>SCHAADS HYDRO</t>
  </si>
  <si>
    <t>16H030</t>
  </si>
  <si>
    <t>CLOVER_2_UNIT</t>
  </si>
  <si>
    <t>MEGA HYDRO #1 (CLOVER CREEK)</t>
  </si>
  <si>
    <t>13H125</t>
  </si>
  <si>
    <t>ROCK CREEK WATER DISTRICT</t>
  </si>
  <si>
    <t>16H033</t>
  </si>
  <si>
    <t>SNCLRA_6_WILLMT</t>
  </si>
  <si>
    <t>WEYERHAEUSER COMPANY (Formerly WILLIAMETTE INDUSTRIES)</t>
  </si>
  <si>
    <t>PACLUM_6_UNIT</t>
  </si>
  <si>
    <t>PACIFIC LUMBER CO.</t>
  </si>
  <si>
    <t>19C010</t>
  </si>
  <si>
    <t>MADERA CANAL Station 1923</t>
  </si>
  <si>
    <t>25H042</t>
  </si>
  <si>
    <t>MADERA CANAL Stations 1174 &amp; 84</t>
  </si>
  <si>
    <t>25H040</t>
  </si>
  <si>
    <t>DESERT WATER AGENCY (WHITE WATER)</t>
  </si>
  <si>
    <t>NHOGAN_6_UNITS</t>
  </si>
  <si>
    <t>HOGAN PH (AGGREGATE)</t>
  </si>
  <si>
    <t>Calaveras City Water District (16H008)</t>
  </si>
  <si>
    <t>MID1</t>
  </si>
  <si>
    <t>NHOGAN_6_UNIT 1</t>
  </si>
  <si>
    <t>Hogan Unit 1</t>
  </si>
  <si>
    <t>Calaveras City Water District</t>
  </si>
  <si>
    <t>NHOGAN_6_UNIT 2</t>
  </si>
  <si>
    <t>Hogan Unit 2</t>
  </si>
  <si>
    <t>CALAVERAS YUBA HYDRO #1</t>
  </si>
  <si>
    <t>16H092</t>
  </si>
  <si>
    <t>CALAVERAS YUBA HYDRO #2</t>
  </si>
  <si>
    <t>16H177</t>
  </si>
  <si>
    <t>CALAVERAS YUBA HYDRO #3</t>
  </si>
  <si>
    <t>16H178</t>
  </si>
  <si>
    <t>MADERA CANAL STATION 1302</t>
  </si>
  <si>
    <t>25H041</t>
  </si>
  <si>
    <t>CTV POWER PURCHASE CONTRACT TRUST</t>
  </si>
  <si>
    <t>PLACVL_1_RCKCRE</t>
  </si>
  <si>
    <t>ROCK CREEK L.P.</t>
  </si>
  <si>
    <t>06H011</t>
  </si>
  <si>
    <t>RICHARD MOSS</t>
  </si>
  <si>
    <t>GOLETA WATER DISTRICT</t>
  </si>
  <si>
    <t>SNDBAR_7_UNIT 1</t>
  </si>
  <si>
    <t>Sand Bar Hydro</t>
  </si>
  <si>
    <t>TRIDAM AUTHORITY (16H003)</t>
  </si>
  <si>
    <t>LASSEN STATION HYDRO</t>
  </si>
  <si>
    <t>10H002</t>
  </si>
  <si>
    <t>SPI LI_2_UNIT 1</t>
  </si>
  <si>
    <t>SIERRA PACIFIC INDUSTRIES (LINCOLN)</t>
  </si>
  <si>
    <t>12C008</t>
  </si>
  <si>
    <t>Replacement generator paralleled 2/14/2004</t>
  </si>
  <si>
    <t>ULTPCH_1_UNIT 1</t>
  </si>
  <si>
    <t>OGDEN POWER PACIFIC, INC. (CHINESE STATION)</t>
  </si>
  <si>
    <t>16P002</t>
  </si>
  <si>
    <t>RANCHO SIMI REC AND PARK DIST PROJECT #2</t>
  </si>
  <si>
    <t>CRIMSON RESOURCE MANAGEMENT</t>
  </si>
  <si>
    <t>Texaco Exploration and Production Inc (Fee A)</t>
  </si>
  <si>
    <t>25C130</t>
  </si>
  <si>
    <t>CHAFFEY U.S.D./ONTARIO HIGH SCHOOL</t>
  </si>
  <si>
    <t>CALLEGUAS MWD-UNIT 3 (SANTA ROSA)</t>
  </si>
  <si>
    <t>RANCHO SIMI REC AND PARK DIST PROJECT #1</t>
  </si>
  <si>
    <t>Satellite Senior Homes</t>
  </si>
  <si>
    <t>01C199</t>
  </si>
  <si>
    <t>BOWMN_6_UNIT</t>
  </si>
  <si>
    <t>NEVADA POWER AUTHORITY (BOWMAN)</t>
  </si>
  <si>
    <t>15H015</t>
  </si>
  <si>
    <t>UNTDQF_7_UNITS</t>
  </si>
  <si>
    <t>UNITED AIRLINES (COGEN)</t>
  </si>
  <si>
    <t>02C001</t>
  </si>
  <si>
    <t>PGE2</t>
  </si>
  <si>
    <t>FAIRHV_6_UNIT</t>
  </si>
  <si>
    <t>FAIRHAVEN POWER CO.</t>
  </si>
  <si>
    <t>19P005</t>
  </si>
  <si>
    <t>YUBA COUNTY WATER AGENCY</t>
  </si>
  <si>
    <t>12H006</t>
  </si>
  <si>
    <t>DIFWIND FARMS LIMITED V</t>
  </si>
  <si>
    <t>COVANTA POWER PACIFIC (SANTA CLARA)</t>
  </si>
  <si>
    <t>08P008</t>
  </si>
  <si>
    <t>Added to MLPTAS QF aggregation 3/1/2007. Formerly part of MNTVIS_1_QF aggregation.</t>
  </si>
  <si>
    <t>SPIAND_1_UNIT</t>
  </si>
  <si>
    <t>SIERRA PACIFIC INDUSTRIES (ANDERSON)</t>
  </si>
  <si>
    <t>13P163EO1</t>
  </si>
  <si>
    <t>Has its own PGA with the CAISO, effective 4/1/2011.</t>
  </si>
  <si>
    <t>COMMERCE REFUSE TO ENERGY/CITY OF COM.</t>
  </si>
  <si>
    <t>ARBUCKLE MOUNTAIN HYDRO</t>
  </si>
  <si>
    <t>13H008</t>
  </si>
  <si>
    <t>MEGA RENEWABLES (ROARING CRK)</t>
  </si>
  <si>
    <t>13H014</t>
  </si>
  <si>
    <t>ZOND WINDSYSTEMS PARTNERS, SERIES 85-B</t>
  </si>
  <si>
    <t>TEHACHAPI POWER PURCHASE CONTRACT TRUST</t>
  </si>
  <si>
    <t>LUZ SOLAR PARTNERS LTD. 3</t>
  </si>
  <si>
    <t>AMERICAN ENERGY, INC. (FULLERTON HYDRO)</t>
  </si>
  <si>
    <t>BANK OF YORK WESTERN TRUST CO. (WINTEC/KENETECH)</t>
  </si>
  <si>
    <t>LUZ SOLAR PARTNERS LTD. 4</t>
  </si>
  <si>
    <t>GRSCRK_6_BGCKWW</t>
  </si>
  <si>
    <t>BIG CREEK WATER WORKS</t>
  </si>
  <si>
    <t>Big Creek Water Works, LTD.</t>
  </si>
  <si>
    <t>EASTWD_7_UNIT</t>
  </si>
  <si>
    <t>EASTWOOD PUMP-GEN</t>
  </si>
  <si>
    <t>GOLETA_6_GAVOTA</t>
  </si>
  <si>
    <t>GAVIOTA OIL HEATING FACILITY</t>
  </si>
  <si>
    <t>POINT ARGUELLO PIPELINE COMPANY</t>
  </si>
  <si>
    <t>GAVIOTA OIL HEATING UNIT 1</t>
  </si>
  <si>
    <t>GAVIOTA OIL HEATING UNIT 2</t>
  </si>
  <si>
    <t>GAVIOTA OIL HEATING UNIT 3</t>
  </si>
  <si>
    <t>GAVIOTA OIL HEATING UNIT 4</t>
  </si>
  <si>
    <t>GAVIOTA OIL HEATING UNIT 5</t>
  </si>
  <si>
    <t>GILROY_1_UNIT</t>
  </si>
  <si>
    <t>GILROY COGEN</t>
  </si>
  <si>
    <t>08C002</t>
  </si>
  <si>
    <t>Converted to Participating Generator 11/1/2002</t>
  </si>
  <si>
    <t>GILROY_1_CT1</t>
  </si>
  <si>
    <t>GILROY COGEN - UNIT 1</t>
  </si>
  <si>
    <t>CALPINE GILROY COGEN, L.P.</t>
  </si>
  <si>
    <t>GILROY_1_ST2</t>
  </si>
  <si>
    <t>GILROY COGEN - UNIT 2</t>
  </si>
  <si>
    <t>CSCGNR_1_UNIT 1</t>
  </si>
  <si>
    <t>Gianera GT 1</t>
  </si>
  <si>
    <t>MIRLOM_2_CORONA</t>
  </si>
  <si>
    <t>MWD Corona Hydroelectric Recovery Plant</t>
  </si>
  <si>
    <t>MIRLOM_2_TEMESC</t>
  </si>
  <si>
    <t>MWD Temescal Hydroelectric Recovery Plant</t>
  </si>
  <si>
    <t>Altamont Power LLC (4-4)</t>
  </si>
  <si>
    <t>16W015</t>
  </si>
  <si>
    <t>Altamont Powre LLC (6-4)</t>
  </si>
  <si>
    <t>16W017</t>
  </si>
  <si>
    <t>CENTER_2_QF</t>
  </si>
  <si>
    <t>CENTER AREA LUMPED UNITS</t>
  </si>
  <si>
    <t>CHEVMN_2_UNIT 2</t>
  </si>
  <si>
    <t>CHEVRON U.S.A. UNIT 2</t>
  </si>
  <si>
    <t>CHINO_2_QF</t>
  </si>
  <si>
    <t>CHINO AREA LUMPED UNITS</t>
  </si>
  <si>
    <t>CO. SAN. DIST #32 OF L.A. CO. (VALENCIA)</t>
  </si>
  <si>
    <t>USWND4_2_UNITS</t>
  </si>
  <si>
    <t>GREEN RIDGE POWER LLC-RALPH (Aggregate)</t>
  </si>
  <si>
    <t xml:space="preserve">Wind &amp; biogas aggregate, ~95% Wind (based on Nameplate Ratings of children units) </t>
  </si>
  <si>
    <t>JAKVAL_2_IONE</t>
  </si>
  <si>
    <t>JACKSON VALLEY ENERGY PTNRS (IONE)</t>
  </si>
  <si>
    <t>16C004</t>
  </si>
  <si>
    <t>BADGER FILTRATION PLANT</t>
  </si>
  <si>
    <t>MISSIX_1_QF</t>
  </si>
  <si>
    <t>MISSIX AREA (SAB FRABCUSCI) LUMPED QF UNITS</t>
  </si>
  <si>
    <t>ECC_7_NARDAC</t>
  </si>
  <si>
    <t>NAVY REG. DATA AUTOMATION CENTER (NARDAC)</t>
  </si>
  <si>
    <t>Does not export to grid</t>
  </si>
  <si>
    <t>OTAY_6_UNITB1</t>
  </si>
  <si>
    <t>OTAY LANDFILL UNITS (Aggregate)</t>
  </si>
  <si>
    <t>153 &amp; 154</t>
  </si>
  <si>
    <t>OTAY LANDFILL 1</t>
  </si>
  <si>
    <t>RHONDO_2_QF</t>
  </si>
  <si>
    <t>RHONDO AREA LUMPED UNITS</t>
  </si>
  <si>
    <t>SNCLRA_6_QF</t>
  </si>
  <si>
    <t>SANTA CLARA AREA LUMPED UNITS</t>
  </si>
  <si>
    <t>SAUGUS_6_QF</t>
  </si>
  <si>
    <t>SAUGUS AREA LUMPED UNITS</t>
  </si>
  <si>
    <t>SYCAMR_2_UNIT 1</t>
  </si>
  <si>
    <t>SYCAMORE COGENERATION COMPANY UNIT 1</t>
  </si>
  <si>
    <t>SYCAMR_2_UNIT 2</t>
  </si>
  <si>
    <t>SYCAMORE COGENERATION COMPANY UNIT 2</t>
  </si>
  <si>
    <t>SYCAMR_2_UNIT 3</t>
  </si>
  <si>
    <t>SYCAMORE COGENERATION COMPANY UNIT 3</t>
  </si>
  <si>
    <t>SYCAMR_2_UNIT 4</t>
  </si>
  <si>
    <t>SYCAMORE COGENERATION COMPANY UNIT 4</t>
  </si>
  <si>
    <t>HANSON AGGREGATES WRP, INC.</t>
  </si>
  <si>
    <t>INTKEP_2_KIRKW3</t>
  </si>
  <si>
    <t>Kirkwood Unit 3</t>
  </si>
  <si>
    <t>MOCCASIN LOW HEAD</t>
  </si>
  <si>
    <t>COVERD_2_QFUNTS</t>
  </si>
  <si>
    <t>COVE ROAD AREA LUMPED UNITS</t>
  </si>
  <si>
    <t>MEGA RENEWABLES (HATCHET CRK)</t>
  </si>
  <si>
    <t>13H015</t>
  </si>
  <si>
    <t>GREEN RIDGE POWER LLC (23.8 MW)</t>
  </si>
  <si>
    <t>16W011</t>
  </si>
  <si>
    <t>VANGUARD ENERGY SYSTEMS</t>
  </si>
  <si>
    <t>TIDWTR_2_UNITS</t>
  </si>
  <si>
    <t>MARTINEZ COGEN LIMITED PARTNERSHIP (Aggregate)</t>
  </si>
  <si>
    <t>01C044</t>
  </si>
  <si>
    <t>TIDWTR_2_UNIT 1</t>
  </si>
  <si>
    <t>MARTINEZ COGEN LIMITED PARTNERSHIP</t>
  </si>
  <si>
    <t>TIDWTR_2_UNIT 2</t>
  </si>
  <si>
    <t>TIDWTR_2_UNIT 3</t>
  </si>
  <si>
    <t>Texaco Exploration and Production Inc (Fee C)</t>
  </si>
  <si>
    <t>25C168</t>
  </si>
  <si>
    <t>EL DORADO (MONTGOMERY CK)</t>
  </si>
  <si>
    <t>13H001</t>
  </si>
  <si>
    <t>SRINTL_6_UNIT</t>
  </si>
  <si>
    <t>SRI INTERNATIONAL</t>
  </si>
  <si>
    <t>02C041</t>
  </si>
  <si>
    <t>WINDPOWER PARTNERS 1993, L.P. (RIVERVIEW)</t>
  </si>
  <si>
    <t>ROYAL FARMS #2</t>
  </si>
  <si>
    <t>SHARP RANCH</t>
  </si>
  <si>
    <t>GREEN RIDGE POWER LLC (70 MW)</t>
  </si>
  <si>
    <t>01W035</t>
  </si>
  <si>
    <t>Portions of this facility scheduled under USWPJR_2_UNITS, USWND2_1_UNITS, USWND4_2_UNITS &amp; USWND1_2_UNITS</t>
  </si>
  <si>
    <t>THREE VALLEYS MWD (FULTON ROAD)</t>
  </si>
  <si>
    <t>THREE VALLEYS MWD (WILLIAMS)</t>
  </si>
  <si>
    <t>THREE VALLEYS MWD (MIRAMAR)</t>
  </si>
  <si>
    <t>JOHN NEERHOUT JR.</t>
  </si>
  <si>
    <t>04H134</t>
  </si>
  <si>
    <t>COUNTY OF TULARE, DETENTION FACILITY (BOB WILEY)</t>
  </si>
  <si>
    <t>GRZZLY_1_BERKLY</t>
  </si>
  <si>
    <t>PE - BERKELEY, INC.</t>
  </si>
  <si>
    <t>01C084</t>
  </si>
  <si>
    <t>UNOCAL_1_UNITS</t>
  </si>
  <si>
    <t>TOSCO - RODEO PLANT (Aggregate)</t>
  </si>
  <si>
    <t>TOSCO</t>
  </si>
  <si>
    <t>UNOCAL_1_UNIT 1</t>
  </si>
  <si>
    <t>TOSCO - RODEO PLANT Unit 1</t>
  </si>
  <si>
    <t>01C061</t>
  </si>
  <si>
    <t>UNOCAL_1_UNIT 2</t>
  </si>
  <si>
    <t>TOSCO - RODEO PLANT Unit 2</t>
  </si>
  <si>
    <t>UNOCAL_1_UNIT 3</t>
  </si>
  <si>
    <t>TOSCO - RODEO PLANT Unit 3</t>
  </si>
  <si>
    <t>CALIFORNIA STATE UNIV. LONG BEACH (POOL)</t>
  </si>
  <si>
    <t>UNIVERSITY OF SAN FRANCISCO</t>
  </si>
  <si>
    <t>02C003</t>
  </si>
  <si>
    <t>UNITED WATER CONSERVATION DISTRICT</t>
  </si>
  <si>
    <t>CONEJO VALLEY U.S.D. (NEWBURY PK HI SCH)</t>
  </si>
  <si>
    <t>ZOND SYSTEMS, INC. (MONOLITH X)</t>
  </si>
  <si>
    <t>CAMROSA COUNTY WATER DISTRICT</t>
  </si>
  <si>
    <t>ZOND SYSTEMS, INC. (MONOLITH XI)</t>
  </si>
  <si>
    <t>ZOND SYSTEMS, INC. (MONOLITH XIII)</t>
  </si>
  <si>
    <t>ZOND SYSTEMS, INC. (MONOLITH XII)</t>
  </si>
  <si>
    <t>CALGEN_1_UNITS</t>
  </si>
  <si>
    <t>COSO FINANCE PARTNERS (NAVY I) (Aggregate)</t>
  </si>
  <si>
    <t>COSO FINANCE PARTNERS UNIT 1</t>
  </si>
  <si>
    <t>COSO FINANCE PARTNERS UNIT 2</t>
  </si>
  <si>
    <t>COSO FINANCE PARTNERS UNIT 3</t>
  </si>
  <si>
    <t>MONTEREY CTY WATER RES AGENCY</t>
  </si>
  <si>
    <t>18H034</t>
  </si>
  <si>
    <t>Added to OILFLD QF aggregation 3/1/2007. Formerly part of MOSSLD_1_QF aggregation.</t>
  </si>
  <si>
    <t>PIT5_7_QFUNTS</t>
  </si>
  <si>
    <t>PIT5 AREA LUMPED UNITS</t>
  </si>
  <si>
    <t>MEGA RENEWABLES (SILVER SPRINGS)</t>
  </si>
  <si>
    <t>13H036</t>
  </si>
  <si>
    <t>COUNTY OF SANTA CRUZ ( WATER ST. JAIL)</t>
  </si>
  <si>
    <t>08C071</t>
  </si>
  <si>
    <t>Formerly part of MOSSLD_1_QF prior to 3/15/2007</t>
  </si>
  <si>
    <t>CAL POLY UNIVERSITY, POMONA</t>
  </si>
  <si>
    <t>ARDEN WOOD BENEVOLENT ASSOC.</t>
  </si>
  <si>
    <t>02C047</t>
  </si>
  <si>
    <t>WHEELABRATOR NORWALK ENERGY COMPANY INC.</t>
  </si>
  <si>
    <t>LUZ SOLAR PARTNERS LTD. 5</t>
  </si>
  <si>
    <t>Far West Power Co.</t>
  </si>
  <si>
    <t>04H011</t>
  </si>
  <si>
    <t>SAN GABRIEL HYDRO PARTNERSHIP</t>
  </si>
  <si>
    <t>WSENGY_1_UNIT 1</t>
  </si>
  <si>
    <t>WHEELABRATOR SHASTA</t>
  </si>
  <si>
    <t>13P045</t>
  </si>
  <si>
    <t>SYCAMR_2_UNITS</t>
  </si>
  <si>
    <t>SYCAMORE COGENERATION AGGREGATE</t>
  </si>
  <si>
    <t>ARCOGN_2_UNITS</t>
  </si>
  <si>
    <t>WATSON COGENERATION COMPANY</t>
  </si>
  <si>
    <t>ARCOGN_2_UNIT 1</t>
  </si>
  <si>
    <t>WATSON COGENERATION UNIT 1</t>
  </si>
  <si>
    <t>ARCOGN_2_UNIT 2</t>
  </si>
  <si>
    <t>WATSON COGENERATION UNIT 2</t>
  </si>
  <si>
    <t>ARCOGN_2_UNIT 3</t>
  </si>
  <si>
    <t>WATSON COGENERATION UNIT 3</t>
  </si>
  <si>
    <t>ARCOGN_2_UNIT 4</t>
  </si>
  <si>
    <t>WATSON COGENERATION UNIT 4</t>
  </si>
  <si>
    <t>ARCOGN_2_UNIT 5</t>
  </si>
  <si>
    <t>WATSON COGENERATION UNIT 5</t>
  </si>
  <si>
    <t>ARCOGN_2_UNIT 6</t>
  </si>
  <si>
    <t>WATSON COGENERATION UNIT 6</t>
  </si>
  <si>
    <t>HANFORD JOINT UNION HIGH SCHOOL DISTRICT</t>
  </si>
  <si>
    <t>CONEJO VALLEY U. S. D. (THOUSAND OAKS)</t>
  </si>
  <si>
    <t>BRDGVL_7_BAKER</t>
  </si>
  <si>
    <t>BAKER STATION ASSOCIATES L.P.</t>
  </si>
  <si>
    <t>19H002</t>
  </si>
  <si>
    <t>Former Res ID was WEABKR_7_UNIT</t>
  </si>
  <si>
    <t>CHINO_6_CIMGEN</t>
  </si>
  <si>
    <t>O.L.S. ENERGY COMPANY- CHINO-MENS INST.</t>
  </si>
  <si>
    <t>O.L.S. ENERGY - CAMARILLO STATE HOSPITAL</t>
  </si>
  <si>
    <t>QUAKER CITY PLATING</t>
  </si>
  <si>
    <t>CHEVMN_2_UNITS</t>
  </si>
  <si>
    <t>CHEVRON U.S.A. UNITS (Aggregate)</t>
  </si>
  <si>
    <t>BLCKBT_2_STONEY</t>
  </si>
  <si>
    <t>BLACK BUTTE DAM</t>
  </si>
  <si>
    <t>HARBGN_7_UNIT 1</t>
  </si>
  <si>
    <t>Harbor Cogen Unit 1</t>
  </si>
  <si>
    <t>Harbor Cogen</t>
  </si>
  <si>
    <t>RIDGETOP ENERGY LLC (II)</t>
  </si>
  <si>
    <t>HINSON_6_SERRGN</t>
  </si>
  <si>
    <t>CITY OF LONG BEACH</t>
  </si>
  <si>
    <t>GREEN RIDGE POWER LLC (100 MW - A)</t>
  </si>
  <si>
    <t>01W146A</t>
  </si>
  <si>
    <t>Portions of this facility scheduled under LASPOS_6_USWIND, USWND2_1_UNITS, USWND4_2_UNITS &amp; USWND1_2_UNITS</t>
  </si>
  <si>
    <t>USWND2_1_UNITS</t>
  </si>
  <si>
    <t>GREEN RIDGE POWER LLC-PATTERSON (Aggregate)</t>
  </si>
  <si>
    <t>GREEN RIDGE POWER LLC (100 MW - D)</t>
  </si>
  <si>
    <t>01W146D</t>
  </si>
  <si>
    <t>Portions of this facility scheduled under USWND2_1_UNITS, USWND4_2_UNITS &amp; USWND1_2_UNITS</t>
  </si>
  <si>
    <t>USWND1_2_UNITS</t>
  </si>
  <si>
    <t>GREEN RIDGE POWER LLC-WALKER (Aggregate)</t>
  </si>
  <si>
    <t>LAFRES_6_QF</t>
  </si>
  <si>
    <t>LAFRESA AREA LUMPED UNITS</t>
  </si>
  <si>
    <t>KYCORA_7_UNIT 1</t>
  </si>
  <si>
    <t>KYOCERA INTERNATIONAL, INC.</t>
  </si>
  <si>
    <t>Added into MSSION_2_QF aggregation effective 9/1/2005. Exports very little to grid.</t>
  </si>
  <si>
    <t>POMERADO HOSPITAL</t>
  </si>
  <si>
    <t>SAN BERNARDINO U.H.S. - S. BERN. HI SCHOOL</t>
  </si>
  <si>
    <t>SAN BERNARDINO UNIF. SCH. DIST - CAJON H S</t>
  </si>
  <si>
    <t>CHILLS_1_SYCLFL</t>
  </si>
  <si>
    <t>SYCAMORE LANDFILL</t>
  </si>
  <si>
    <t>SIERRA ENERGY COMPANY</t>
  </si>
  <si>
    <t>15H055</t>
  </si>
  <si>
    <t>DESERT WATER AGENCY (SNOW CREEK)</t>
  </si>
  <si>
    <t>HAYWARD AREA REC &amp; PARK DIST.</t>
  </si>
  <si>
    <t>01C201</t>
  </si>
  <si>
    <t>CARDCG_1_UNITS</t>
  </si>
  <si>
    <t>CARDINAL COGEN</t>
  </si>
  <si>
    <t>08C003</t>
  </si>
  <si>
    <t>LOWGAP_7_SULPHR</t>
  </si>
  <si>
    <t>MILL &amp; SULPHUR CREEK (NORTH COAST)</t>
  </si>
  <si>
    <t>19H006</t>
  </si>
  <si>
    <t>STOKCG_1_UNIT 1</t>
  </si>
  <si>
    <t>STOCKTON COGEN CO.</t>
  </si>
  <si>
    <t>16C036</t>
  </si>
  <si>
    <t>GREEN RIDGE POWER LLC (5.9 MW)</t>
  </si>
  <si>
    <t>01W018</t>
  </si>
  <si>
    <t>1080 CHESTNUT CORP.</t>
  </si>
  <si>
    <t>02C048</t>
  </si>
  <si>
    <t>NID/COMBIE NORTH</t>
  </si>
  <si>
    <t>15H013</t>
  </si>
  <si>
    <t>Formerly part of RIOOSO_1_QF prior to 3/15/2007</t>
  </si>
  <si>
    <t>GREEN RIDGE POWER LLC (70 MW - A)</t>
  </si>
  <si>
    <t>06W146A</t>
  </si>
  <si>
    <t>Portions of this facility scheduled under USWPJR_2_UNITS &amp; USWND2_1_UNITS</t>
  </si>
  <si>
    <t>GREEN RIDGE POWER LLC (30 MW)</t>
  </si>
  <si>
    <t>01W144</t>
  </si>
  <si>
    <t>GREEN RIDGE POWER LLC (100 MW - B)</t>
  </si>
  <si>
    <t>01W146B</t>
  </si>
  <si>
    <t>SMPRIP_1_SMPSON</t>
  </si>
  <si>
    <t>16C034</t>
  </si>
  <si>
    <t>COGENIC ENERGY SYSTEMS (CAL LUTHERAN)</t>
  </si>
  <si>
    <t>CLARKE &amp; RUSH MECHANICAL (WHITTIER COLLEGE)</t>
  </si>
  <si>
    <t>L.A. COUNTY SAN. DIST #C-2850</t>
  </si>
  <si>
    <t>MIRLOM_6_DELGEN</t>
  </si>
  <si>
    <t>CORONA ENERGY PARTNERS, LTD.</t>
  </si>
  <si>
    <t>SIMMAX ENERGY (HOLIDAY INN)</t>
  </si>
  <si>
    <t>CHEVCO_6_UNIT 2</t>
  </si>
  <si>
    <t>AERA ENERGY LLC. (Coalinga)</t>
  </si>
  <si>
    <t>25C249</t>
  </si>
  <si>
    <t>DISCOV_1_CHEVRN</t>
  </si>
  <si>
    <t>CHEVRON USA (EASTRIDGE)</t>
  </si>
  <si>
    <t>25C248</t>
  </si>
  <si>
    <t>CONTRL_1_OXBOW</t>
  </si>
  <si>
    <t>CAITHNESS DIXIE VALLEY, LLC</t>
  </si>
  <si>
    <t>Located in Nevada, but feeds into SCEs Control Station.</t>
  </si>
  <si>
    <t>INTTRB_6_UNIT</t>
  </si>
  <si>
    <t>INTERNATIONAL TURBINE RESEARCH</t>
  </si>
  <si>
    <t>25W105</t>
  </si>
  <si>
    <t>FELLOW_7_MIDSUN</t>
  </si>
  <si>
    <t>AERA ENERGY LLC. (N. MIDWAY SUNSET)</t>
  </si>
  <si>
    <t>25C258</t>
  </si>
  <si>
    <t>BASSETT UNIFIED SCHOOL DIST (BASSETT HS)</t>
  </si>
  <si>
    <t>CAL TRON PLATING</t>
  </si>
  <si>
    <t>RHODIA, INC.</t>
  </si>
  <si>
    <t>SAUGUS_6_PTCHGN</t>
  </si>
  <si>
    <t>COUNTY OF LOS ANGELES (PITCHESS HONOR RANCH)</t>
  </si>
  <si>
    <t>CLAREMONT TENNIS CLUB</t>
  </si>
  <si>
    <t>ULTPFR_1_UNIT 1</t>
  </si>
  <si>
    <t>RIO BRAVO FRESNO (aka ULTRAPOWER)</t>
  </si>
  <si>
    <t>25P026</t>
  </si>
  <si>
    <t>MONTEREY REGIONAL WATER</t>
  </si>
  <si>
    <t>18C001</t>
  </si>
  <si>
    <t>Included in CSTRVL_7_QFUNTS aggregation 3/1/2007. Formerly in MOSSLD_1_QF aggregation.</t>
  </si>
  <si>
    <t>BEARCN_2_UNIT 2</t>
  </si>
  <si>
    <t>CALPINE GEYSERS CO. (Bear Canyon) (KW #2)</t>
  </si>
  <si>
    <t>04G016</t>
  </si>
  <si>
    <t>Included in BEARCN aggregate 3/1/2007</t>
  </si>
  <si>
    <t>FELLOW_1_SHELLW</t>
  </si>
  <si>
    <t>NUEVO ENERGY COMPANY (DOME)</t>
  </si>
  <si>
    <t>25C293</t>
  </si>
  <si>
    <t>BEARCN_2_UNIT 1</t>
  </si>
  <si>
    <t>CALPINE GEYSERS CO. (Bear Canyon) (KW #1)</t>
  </si>
  <si>
    <t>04G012</t>
  </si>
  <si>
    <t>STNRES_1_UNIT</t>
  </si>
  <si>
    <t>STANISLAUS WASTE ENERGY CO.</t>
  </si>
  <si>
    <t>16P052</t>
  </si>
  <si>
    <t>MUNICIPAL WASTE</t>
  </si>
  <si>
    <t>WINAMD_6_UNIT 2</t>
  </si>
  <si>
    <t>AMEDEE GEOTHERMAL VENTURE 1</t>
  </si>
  <si>
    <t>10G012</t>
  </si>
  <si>
    <t>RIDGEWOOD POWER (LAKE ARROWHEAD HILTON)</t>
  </si>
  <si>
    <t>DEEP SPRINGS COLLEGE</t>
  </si>
  <si>
    <t>LANDFILL GENERATING PTNRS. I</t>
  </si>
  <si>
    <t>08P021</t>
  </si>
  <si>
    <t>Added to PSWEET QF aggregation 3/1/2007. Formerly part of MOSSLD_1_QF aggregation.</t>
  </si>
  <si>
    <t>SANTA CLARA VALLEY WATER DIST.</t>
  </si>
  <si>
    <t>08H013</t>
  </si>
  <si>
    <t>BLM_2_UNITS</t>
  </si>
  <si>
    <t>COSO ENERGY DEVELOPERS (BLM) (Aggregate)</t>
  </si>
  <si>
    <t>BLM E_2_UNIT 7</t>
  </si>
  <si>
    <t>COSO ENERGY DEVELOPERS (BLM) EAST 7</t>
  </si>
  <si>
    <t xml:space="preserve">BLM E_2_UNIT 8 </t>
  </si>
  <si>
    <t>COSO ENERGY DEVELOPERS (BLM) EAST 8</t>
  </si>
  <si>
    <t xml:space="preserve">BLM W_2_UNIT 9 </t>
  </si>
  <si>
    <t>COSO ENERGY DEVELOPERS (BLM) WEST 9</t>
  </si>
  <si>
    <t>MALCHQ_7_UNIT 1</t>
  </si>
  <si>
    <t>MALACHA HYDRO L.P.</t>
  </si>
  <si>
    <t>13H047</t>
  </si>
  <si>
    <t>WDFRDF_2_UNITS</t>
  </si>
  <si>
    <t>CALPINE GEYSERS CO. L. P. (West Ford Flat)</t>
  </si>
  <si>
    <t>04G025</t>
  </si>
  <si>
    <t>PIT5_7_NELSON</t>
  </si>
  <si>
    <t>NELSON CREEK POWER INC.</t>
  </si>
  <si>
    <t>13H042</t>
  </si>
  <si>
    <t>GYSRVL_7_WSPRNG</t>
  </si>
  <si>
    <t>Warm Springs</t>
  </si>
  <si>
    <t>Sonoma County Water Agency (04H009)</t>
  </si>
  <si>
    <t>LUZ SOLAR PARTNERS LTD. 6</t>
  </si>
  <si>
    <t>LUZ SOLAR PARTNERS LTD. 7</t>
  </si>
  <si>
    <t>SANTGO_6_COYOTE</t>
  </si>
  <si>
    <t>Coyote Canyon</t>
  </si>
  <si>
    <t>Gas Recovery Systems, Inc.</t>
  </si>
  <si>
    <t>CSCHYD_2_UNIT 2</t>
  </si>
  <si>
    <t>Highline Hydro</t>
  </si>
  <si>
    <t>PTLOMA_6_NTCCGN</t>
  </si>
  <si>
    <t>AEI MCRD STEAM TURBINE</t>
  </si>
  <si>
    <t>DIVSON_6_NSQF</t>
  </si>
  <si>
    <t>DIVISON NAVAL STATION COGEN</t>
  </si>
  <si>
    <t>NIMTG_6_NIQF</t>
  </si>
  <si>
    <t>NORTH ISLAND COGENERATION</t>
  </si>
  <si>
    <t>NIMTG_6_NICOGN</t>
  </si>
  <si>
    <t>NORTH ISLAND STEAM TURBINE</t>
  </si>
  <si>
    <t>PTLOMA_6_NTCQF</t>
  </si>
  <si>
    <t>NTC/MCRD COGENERATION</t>
  </si>
  <si>
    <t>SBERDO_2_QF</t>
  </si>
  <si>
    <t>SAN BERNARDINO AREA LUMPED UNITS</t>
  </si>
  <si>
    <t>SMRCOS_6_UNIT 1</t>
  </si>
  <si>
    <t>SAN MARCOS LANDFILL</t>
  </si>
  <si>
    <t>MSSION_6_UNTRIB</t>
  </si>
  <si>
    <t>UNION-TRIBUNE PUBLISHING COMPANY</t>
  </si>
  <si>
    <t>VESTAL_6_QF</t>
  </si>
  <si>
    <t>VESTAL AREA LUMPED UNITS</t>
  </si>
  <si>
    <t>DESERT WIND III PWR PURCH CONTRACT TRUST</t>
  </si>
  <si>
    <t>KERNFT_1_UNITS</t>
  </si>
  <si>
    <t>KERN FRONT LIMITED</t>
  </si>
  <si>
    <t>25C188</t>
  </si>
  <si>
    <t>GRNLF1_1_UNITS</t>
  </si>
  <si>
    <t>GREENLEAF UNIT #1 (Aggregate)</t>
  </si>
  <si>
    <t>12C020</t>
  </si>
  <si>
    <t>GREENLEAF #1 GENERATOR 1</t>
  </si>
  <si>
    <t>GREENLEAF #1 GENERATOR 2</t>
  </si>
  <si>
    <t>JOHN E. HOWARD (MONTECITO)</t>
  </si>
  <si>
    <t>ARCADIA U.S.D. - ARCADIA HIGH SCHOOL</t>
  </si>
  <si>
    <t>OMNI METAL FINISHING</t>
  </si>
  <si>
    <t>VEDDER_1_SEKERN</t>
  </si>
  <si>
    <t>TEXACO EXPLORATION &amp; PRODUCTION INC. (SE KERN)</t>
  </si>
  <si>
    <t>25C246</t>
  </si>
  <si>
    <t>KANAKA_1_UNIT</t>
  </si>
  <si>
    <t>STS HYDROPOWER LTD. (KANAKA)</t>
  </si>
  <si>
    <t>12H007</t>
  </si>
  <si>
    <t>SIERRA_1_UNITS</t>
  </si>
  <si>
    <t>HIGH SIERRA LIMITED</t>
  </si>
  <si>
    <t>25C242</t>
  </si>
  <si>
    <t>BASICE_2_UNITS</t>
  </si>
  <si>
    <t>CALPINE AMERICAN I COGEN (Aggregate)</t>
  </si>
  <si>
    <t>18C006</t>
  </si>
  <si>
    <t>Calpine King City Cogen</t>
  </si>
  <si>
    <t>BASICE_2_UNIT 1</t>
  </si>
  <si>
    <t>CALPINE AMERICAN I COGEN Unit 1</t>
  </si>
  <si>
    <t>BASICE_2_UNIT 2</t>
  </si>
  <si>
    <t>CALPINE AMERICAN I COGEN Unit 2</t>
  </si>
  <si>
    <t>DOUBLC_1_UNITS</t>
  </si>
  <si>
    <t>DOUBLE "C" LIMITED</t>
  </si>
  <si>
    <t>25C241</t>
  </si>
  <si>
    <t>MIDSET_1_UNIT 1</t>
  </si>
  <si>
    <t>MIDSET COGEN. CO.</t>
  </si>
  <si>
    <t>25C123</t>
  </si>
  <si>
    <t>WADHAM_6_UNIT</t>
  </si>
  <si>
    <t>WADHAM ENERGY LTD. PART.</t>
  </si>
  <si>
    <t>12P018</t>
  </si>
  <si>
    <t>MTNPOS_1_UNIT</t>
  </si>
  <si>
    <t>MT. POSO COGENERATION CO.</t>
  </si>
  <si>
    <t>25C018</t>
  </si>
  <si>
    <t>HAYPRS_6_QFUNTS</t>
  </si>
  <si>
    <t>HAYPRESS HYDROELECTRIC (Aggregate)</t>
  </si>
  <si>
    <t>HAYPRESS HYDROELECTRIC, INC. (LWR)</t>
  </si>
  <si>
    <t>15H005</t>
  </si>
  <si>
    <t>HAYPRESS HYDROELECTRIC, INC. (MDL)</t>
  </si>
  <si>
    <t>15H006</t>
  </si>
  <si>
    <t>FIVE BEARS HYDROELECTRIC</t>
  </si>
  <si>
    <t>10H010</t>
  </si>
  <si>
    <t>BIO-ENERGY PART.</t>
  </si>
  <si>
    <t>01P219</t>
  </si>
  <si>
    <t>RIOBRV_6_UNIT 1</t>
  </si>
  <si>
    <t>KERN HYDRO (OLCESE) (aka RIO BRAVO HYDRO)</t>
  </si>
  <si>
    <t>25H073</t>
  </si>
  <si>
    <t>ADLIN_1_UNIT 2</t>
  </si>
  <si>
    <t>GEOTHERMAL ENERGY PARTNERS 2</t>
  </si>
  <si>
    <t>04G019</t>
  </si>
  <si>
    <t>Included in ADLIN aggregate 3/1/2007</t>
  </si>
  <si>
    <t>ULTRCK_2_UNIT</t>
  </si>
  <si>
    <t>RIO BRAVO ROCKLIN</t>
  </si>
  <si>
    <t>15P028</t>
  </si>
  <si>
    <t>HATLOS_6_LSCRK</t>
  </si>
  <si>
    <t>Lost Creek 1 &amp; 2 Hydro Conversion</t>
  </si>
  <si>
    <t>Snow Mountain Hydro, LLC.</t>
  </si>
  <si>
    <t>Conversion from HATLOS_6_QFUNITS on 1/1/2010.</t>
  </si>
  <si>
    <t>HATLOS_6_QFUNTS</t>
  </si>
  <si>
    <t>HAT CREEK AREA LUMPED UNITS</t>
  </si>
  <si>
    <t>ADLIN_1_UNIT 1</t>
  </si>
  <si>
    <t>GEOTHERMAL ENERGY PARTNERS 1</t>
  </si>
  <si>
    <t>04G018</t>
  </si>
  <si>
    <t>SMARQF_1_UNIT 1</t>
  </si>
  <si>
    <t>SANTA MARIA COGEN</t>
  </si>
  <si>
    <t>Wellhead Power (Formerly QFID 18C026)</t>
  </si>
  <si>
    <t>MENBIO_6_UNIT</t>
  </si>
  <si>
    <t>MENDOTA BIOMASS POWER</t>
  </si>
  <si>
    <t>25C013</t>
  </si>
  <si>
    <t>AGRICULTURAL WASTE</t>
  </si>
  <si>
    <t>HONEYL_6_UNIT</t>
  </si>
  <si>
    <t>Honey Lake Power</t>
  </si>
  <si>
    <t>10P005</t>
  </si>
  <si>
    <t>BIOMAS_1_UNIT 1</t>
  </si>
  <si>
    <t>WOODLAND BIOMASS</t>
  </si>
  <si>
    <t>WOODLAND BIOMASS POWER, LLC</t>
  </si>
  <si>
    <t>AZUSA UNIFIED SCHOOL DISTRICT</t>
  </si>
  <si>
    <t>ULTOGL_1_POSO</t>
  </si>
  <si>
    <t>RIO BRAVO POSO (Formerly Ultrapower - Ogle)</t>
  </si>
  <si>
    <t>25C076</t>
  </si>
  <si>
    <t>CITY OF MILPITAS</t>
  </si>
  <si>
    <t>08C097</t>
  </si>
  <si>
    <t>Formerly part of NEWARK_1_QF prior to 3/15/2007</t>
  </si>
  <si>
    <t>GRNLF2_1_UNIT</t>
  </si>
  <si>
    <t>GREENLEAF UNIT #2</t>
  </si>
  <si>
    <t>12C021</t>
  </si>
  <si>
    <t>BURNYF_2_UNIT 1</t>
  </si>
  <si>
    <t>BURNEY FOREST PRODUCTS</t>
  </si>
  <si>
    <t>13C038</t>
  </si>
  <si>
    <t>RIMROCK ROAD APPARTMENTS, LLC</t>
  </si>
  <si>
    <t>DESERT WINDS I PPC TRUST</t>
  </si>
  <si>
    <t>VESTAL_6_ULTRGN</t>
  </si>
  <si>
    <t>RIO BRAVO JASMIN</t>
  </si>
  <si>
    <t>STOCKTON WASTE WATER TREATMENT PLANT</t>
  </si>
  <si>
    <t>City of Stocton</t>
  </si>
  <si>
    <t>Self-Gen. No export to grid.</t>
  </si>
  <si>
    <t>DANIEL M. BATES, ET AL.</t>
  </si>
  <si>
    <t>DEXZEL_1_UNIT</t>
  </si>
  <si>
    <t>DAI / OILDALE , INC. (Dexzel 1)</t>
  </si>
  <si>
    <t>25C138</t>
  </si>
  <si>
    <t>LOWER TULE RIVER IRRIGATION DIST.</t>
  </si>
  <si>
    <t>SUNSET_2_UNITS</t>
  </si>
  <si>
    <t>MIDWAY-SUNSET COGEN. CO.</t>
  </si>
  <si>
    <t>Midway-Sunset Cogen. (25C321)</t>
  </si>
  <si>
    <t>SUNSET_2_UNIT A</t>
  </si>
  <si>
    <t>MIDWAY-SUNSET COGEN CT UNIT A</t>
  </si>
  <si>
    <t>SUNSET_2_UNIT B</t>
  </si>
  <si>
    <t>MIDWAY-SUNSET COGEN CT UNIT B</t>
  </si>
  <si>
    <t>SUNSET_2_UNIT C</t>
  </si>
  <si>
    <t>MIDWAY-SUNSET COGEN CT UNIT C</t>
  </si>
  <si>
    <t>OROVIL_6_UNIT</t>
  </si>
  <si>
    <t>OROVILLE COGEN</t>
  </si>
  <si>
    <t>12C019</t>
  </si>
  <si>
    <t>LGHTHP_6_ICEGEN</t>
  </si>
  <si>
    <t>CARSON COGENERATION COMPANY</t>
  </si>
  <si>
    <t>GWFPW2_1_UNIT 1</t>
  </si>
  <si>
    <t>GWF POWER SYSTEMS INC. #2</t>
  </si>
  <si>
    <t>01P086</t>
  </si>
  <si>
    <t>NAVYII_2_UNITS</t>
  </si>
  <si>
    <t>COSO POWER DEVELOPERS (NAVY II) (Aggregate)</t>
  </si>
  <si>
    <t>NAVYII_2_UNIT 4</t>
  </si>
  <si>
    <t>COSO POWER DEVELOPERS UNIT 4</t>
  </si>
  <si>
    <t>NAVYII_2_UNIT 5</t>
  </si>
  <si>
    <t>COSO POWER DEVELOPERS UNIT 5</t>
  </si>
  <si>
    <t>NAVYII_2_UNIT 6</t>
  </si>
  <si>
    <t>COSO POWER DEVELOPERS UNIT 6</t>
  </si>
  <si>
    <t>KEKAWK_6_UNIT</t>
  </si>
  <si>
    <t>STS HYDROPOWER LTD. (KEKAWAKA)</t>
  </si>
  <si>
    <t>13H039</t>
  </si>
  <si>
    <t>LUZ SOLAR PARTNERS LTD. 8</t>
  </si>
  <si>
    <t>ANAHM_7_CT</t>
  </si>
  <si>
    <t>Anaheim CT</t>
  </si>
  <si>
    <t>City of Anaheim</t>
  </si>
  <si>
    <t>ANA1</t>
  </si>
  <si>
    <t>TENGEN_6_UNIT 2</t>
  </si>
  <si>
    <t>BERRY PETROLEUM CO. (PLACERITA UNIT 2)</t>
  </si>
  <si>
    <t>Berry Petroleum Co. (Formerly 2207)</t>
  </si>
  <si>
    <t>PANDOL_6_UNIT</t>
  </si>
  <si>
    <t>DELANO ENERGY COMPANY INC.</t>
  </si>
  <si>
    <t>DELANO ENERGY</t>
  </si>
  <si>
    <t>PANDOL_6_UNIT 1</t>
  </si>
  <si>
    <t>DELANO ENERGY COMPANY INC. (UNIT 1)</t>
  </si>
  <si>
    <t>AGRICO_7_UNIT 2</t>
  </si>
  <si>
    <t>Fresno Cogen STG Unit 2</t>
  </si>
  <si>
    <t>Fresno Cogen Partners</t>
  </si>
  <si>
    <t>SANJOA_1_UNIT 1</t>
  </si>
  <si>
    <t>SAN JOAQUIN COGEN, LLC</t>
  </si>
  <si>
    <t>Centennial Power, Inc. (Formerly QFID 25C057)</t>
  </si>
  <si>
    <t>SPICER_1_UNITS</t>
  </si>
  <si>
    <t>SPICER PH (AGGREGATE)</t>
  </si>
  <si>
    <t>Run-of-River Facility</t>
  </si>
  <si>
    <t>SPICER_1_UNIT 1</t>
  </si>
  <si>
    <t>Spicer Unit 1</t>
  </si>
  <si>
    <t>SPICER_1_UNIT 2</t>
  </si>
  <si>
    <t>Spicer Unit 2</t>
  </si>
  <si>
    <t>SPICER_1_UNIT 3</t>
  </si>
  <si>
    <t>Spicer Unit 3</t>
  </si>
  <si>
    <t>Induction Generator. Run-of-River. Seldom Run.</t>
  </si>
  <si>
    <t>GREEN RIDGE POWER LLC (10 MW)</t>
  </si>
  <si>
    <t>06W148</t>
  </si>
  <si>
    <t>GREEN RIDGE POWER LLC (70 MW - B)</t>
  </si>
  <si>
    <t>06W146B</t>
  </si>
  <si>
    <t>MAMMOTH PACIFIC LIMITED</t>
  </si>
  <si>
    <t>Does not export to grid.</t>
  </si>
  <si>
    <t>MCCALL_1_QF</t>
  </si>
  <si>
    <t>MCCALL AREA LUMPED QF UNITS</t>
  </si>
  <si>
    <t>GREEN RIDGE POWER LLC (100 MW - C)</t>
  </si>
  <si>
    <t>01W146C</t>
  </si>
  <si>
    <t>Portions of this facility scheduled under USWND2_1_UNITS &amp; USWND1_2_UNITS</t>
  </si>
  <si>
    <t>VICTORY GARDEN PHASE IV PARTNERSHIP - 6103</t>
  </si>
  <si>
    <t>OLSEN_2_UNIT</t>
  </si>
  <si>
    <t>OLSEN POWER PARTNERS</t>
  </si>
  <si>
    <t>13H024</t>
  </si>
  <si>
    <t>TEMBLR_7_WELLPT</t>
  </si>
  <si>
    <t>NUEVO ENERGY COMPANY (WELPORT)</t>
  </si>
  <si>
    <t>25C308</t>
  </si>
  <si>
    <t>Formerly Res ID WELLPT_1_UNOCAL</t>
  </si>
  <si>
    <t>DEADCK_1_UNIT</t>
  </si>
  <si>
    <t>DEADWOOD CREEK (YUBA COUNTY WATER)</t>
  </si>
  <si>
    <t>12H010</t>
  </si>
  <si>
    <t>SNOW MOUNTAIN HYDRO LLC (COVE)</t>
  </si>
  <si>
    <t>13H013</t>
  </si>
  <si>
    <t>L.A. CO. SAN. DIST #2 (SPADRA LANDFILL)</t>
  </si>
  <si>
    <t>SNOW MOUNTAIN HYDRO LLC (PONDEROSA)</t>
  </si>
  <si>
    <t>13H035</t>
  </si>
  <si>
    <t>BANK OF YORK WESTERN TRUST CO.</t>
  </si>
  <si>
    <t>TENGEN_2_PL1X2</t>
  </si>
  <si>
    <t>Berry Petroleum Placerita</t>
  </si>
  <si>
    <t>Berry Petroleum Co</t>
  </si>
  <si>
    <t>TENGEN_6_UNIT 1</t>
  </si>
  <si>
    <t>BERRY PETROLEUM CO. (PLACERITA UNIT 1)</t>
  </si>
  <si>
    <t>BREA-OLINDA UNIFIED SCHOOL DISTRICT</t>
  </si>
  <si>
    <t>SOUTH END RACQUET &amp; HEALTH CLUB</t>
  </si>
  <si>
    <t>KAWEAH RIVER POWER AUTHORITY (TERMINUS)</t>
  </si>
  <si>
    <t>GWFPW5_6_UNIT 1</t>
  </si>
  <si>
    <t>GWF POWER SYSTEMS INC. #5</t>
  </si>
  <si>
    <t>01P087</t>
  </si>
  <si>
    <t>VICTORY GARDEN PHASE IV PARTNERSHIP - 6102</t>
  </si>
  <si>
    <t>CHALK_1_UNIT</t>
  </si>
  <si>
    <t>CHALK CLIFF LIMITED</t>
  </si>
  <si>
    <t>25C272</t>
  </si>
  <si>
    <t>POTTER_7_VECINO</t>
  </si>
  <si>
    <t>VECINO VINEYARDS LLC</t>
  </si>
  <si>
    <t>04H052</t>
  </si>
  <si>
    <t>Formerly Res ID HAMMKN_6_UNITS</t>
  </si>
  <si>
    <t>SPBURN_7_SNOWMT</t>
  </si>
  <si>
    <t>SNOW MOUNTAIN HYDRO LLC (BURNEY CREEK)</t>
  </si>
  <si>
    <t>13H016</t>
  </si>
  <si>
    <t>CHAFFEY JOINT UNION HI SCH-MONTCLAIR HS</t>
  </si>
  <si>
    <t>SJOSEA_7_SJCONV</t>
  </si>
  <si>
    <t>SAN JOSE CONVENTION CENTER</t>
  </si>
  <si>
    <t>08C026</t>
  </si>
  <si>
    <t>Formerly Res ID SJCONV_1_UNIT 1</t>
  </si>
  <si>
    <t>VICTORY GARDEN PHASE IV PARTNERSHIP - 6104</t>
  </si>
  <si>
    <t>KALINA_2_UNIT 1</t>
  </si>
  <si>
    <t>ALTAMONT COGENERATION CORP.</t>
  </si>
  <si>
    <t>16C047</t>
  </si>
  <si>
    <t>DUTCH ENERGY</t>
  </si>
  <si>
    <t>SNCLRA_6_OXGEN</t>
  </si>
  <si>
    <t>E. F. OXNARD, INCORPORATED</t>
  </si>
  <si>
    <t>THMENG_1_UNIT 1</t>
  </si>
  <si>
    <t>THERMAL ENERGY DEV. CORP.</t>
  </si>
  <si>
    <t>16P054</t>
  </si>
  <si>
    <t>HUENEME HIGH SCHOOL</t>
  </si>
  <si>
    <t>HOLGAT_1_MOGEN</t>
  </si>
  <si>
    <t>MOJAVE COGENERATION COMPANY</t>
  </si>
  <si>
    <t>MONTE VISTA WATER DISTRICT</t>
  </si>
  <si>
    <t>DESERT WIND II PWR PURCH CONTRACT TRUST</t>
  </si>
  <si>
    <t>KINGS RIVER HYDRO CO.</t>
  </si>
  <si>
    <t>25H150</t>
  </si>
  <si>
    <t>ORANGE COVE IRRIGATION DIST.</t>
  </si>
  <si>
    <t>25H149</t>
  </si>
  <si>
    <t>GWFPW3_1_UNIT 1</t>
  </si>
  <si>
    <t>GWF POWER SYSTEMS INC. #3</t>
  </si>
  <si>
    <t>01P091</t>
  </si>
  <si>
    <t>MCGEN_1_UNIT</t>
  </si>
  <si>
    <t>ACE COGENERATION COMPANY</t>
  </si>
  <si>
    <t>GWFPWR_6_UNIT</t>
  </si>
  <si>
    <t>HANFORD L.P.</t>
  </si>
  <si>
    <t>25C136</t>
  </si>
  <si>
    <t>GWFPW4_6_UNIT 1</t>
  </si>
  <si>
    <t>GWF POWER SYSTEMS INC. #4</t>
  </si>
  <si>
    <t>01P051</t>
  </si>
  <si>
    <t>LUZ SOLAR PARTNERS LTD. 9</t>
  </si>
  <si>
    <t>CALPIN_1_AGNEW</t>
  </si>
  <si>
    <t>GATX/CALPINE COGEN-AGNEWS INC.</t>
  </si>
  <si>
    <t>08C010</t>
  </si>
  <si>
    <t>KINGCO_1_KINGBR</t>
  </si>
  <si>
    <t>PE - KES KINGSBURG,LLC</t>
  </si>
  <si>
    <t>25C164</t>
  </si>
  <si>
    <t>MAMMOTH PACIFIC L.P. II</t>
  </si>
  <si>
    <t>GWFPW1_6_UNIT</t>
  </si>
  <si>
    <t>GWF POWER SYSTEMS INC. #1</t>
  </si>
  <si>
    <t>01P049</t>
  </si>
  <si>
    <t>CENTRAL HYDROELECTRIC/ISABELLA HYDRO</t>
  </si>
  <si>
    <t>SGREGY_6_SANGER</t>
  </si>
  <si>
    <t>SANGER POWER, LLC</t>
  </si>
  <si>
    <t>25C016</t>
  </si>
  <si>
    <t>REDLANDS UNIFIED SCHOOL DISTRICT</t>
  </si>
  <si>
    <t>MAMMOTH PACIFIC L.P. I</t>
  </si>
  <si>
    <t>YUBACT_1_SUNSWT</t>
  </si>
  <si>
    <t>YUBA CITY COGEN (SUNSWEET)</t>
  </si>
  <si>
    <t>12C026</t>
  </si>
  <si>
    <t>SUNNY_1_UNIT</t>
  </si>
  <si>
    <t>MONTEREY POWER COMPANY</t>
  </si>
  <si>
    <t>18C048</t>
  </si>
  <si>
    <t>ROY SHARP JR.</t>
  </si>
  <si>
    <t>25C326</t>
  </si>
  <si>
    <t>GREEN RIDGE POWER LLC (70 MW - C)</t>
  </si>
  <si>
    <t>06W146C</t>
  </si>
  <si>
    <t>GREEN RIDGE POWER LLC (70 MW - D)</t>
  </si>
  <si>
    <t>06W146D</t>
  </si>
  <si>
    <t>OTAY LANDFILL 2</t>
  </si>
  <si>
    <t>ALEX TAKAHASHI (VALLEY ENERGY RESOURCES)</t>
  </si>
  <si>
    <t>25C062</t>
  </si>
  <si>
    <t>ORINDA SENIOR VILLAGE</t>
  </si>
  <si>
    <t>01C245</t>
  </si>
  <si>
    <t>SKY RIVER PARTNERSHIP (WILDERNESS III)</t>
  </si>
  <si>
    <t>LIVOAK_1_UNIT 1</t>
  </si>
  <si>
    <t>LIVE OAK LIMITED</t>
  </si>
  <si>
    <t>25C274</t>
  </si>
  <si>
    <t>CALWIND RESOURCES INC. (FORMALLY KENETECH)</t>
  </si>
  <si>
    <t>BDGRCK_1_UNITS</t>
  </si>
  <si>
    <t>BADGER CREEK LIMITED</t>
  </si>
  <si>
    <t>25C250</t>
  </si>
  <si>
    <t>JRWOOD_1_UNIT 1</t>
  </si>
  <si>
    <t>SAN JOAQUIN POWER COMPANY</t>
  </si>
  <si>
    <t>25C045</t>
  </si>
  <si>
    <t>SKY RIVER PARTNERSHIP (WILDERNESS II)</t>
  </si>
  <si>
    <t>JAMES CRANE HYDRO</t>
  </si>
  <si>
    <t>10H090</t>
  </si>
  <si>
    <t>RED BLUFF UNION HIGH SCHOOL</t>
  </si>
  <si>
    <t>13C160</t>
  </si>
  <si>
    <t>SKY RIVER PARTNERSHIP (WILDERNESS I)</t>
  </si>
  <si>
    <t>SARGNT_2_UNIT</t>
  </si>
  <si>
    <t>SARGENT CANYON COGEN. COMPANY</t>
  </si>
  <si>
    <t>18C052</t>
  </si>
  <si>
    <t>SALIRV_2_UNIT</t>
  </si>
  <si>
    <t>SALINAS RIVER COGEN CO.</t>
  </si>
  <si>
    <t>18C053</t>
  </si>
  <si>
    <t>MKTRCK_1_UNIT 1</t>
  </si>
  <si>
    <t>MCKITTRICK LIMITED</t>
  </si>
  <si>
    <t>25C275</t>
  </si>
  <si>
    <t>COLGA1_6_SHELLW</t>
  </si>
  <si>
    <t>COALINGA COGENERATION COMPANY</t>
  </si>
  <si>
    <t>25C124</t>
  </si>
  <si>
    <t>OAK L_7_EBMUD</t>
  </si>
  <si>
    <t>East Bay MUD (OAKLAND)</t>
  </si>
  <si>
    <t>01P171</t>
  </si>
  <si>
    <t>LAPAC_6_UNIT</t>
  </si>
  <si>
    <t>EVERGREEN PULP, INC.</t>
  </si>
  <si>
    <t>Evergreen Pulp, Inc.</t>
  </si>
  <si>
    <t>BLACK LIQUOR</t>
  </si>
  <si>
    <t>ST. JOHNS HOSPITAL AND HEALTH CENTER</t>
  </si>
  <si>
    <t>CAMPBELL MOTEL &amp; PROPERTIES INC.</t>
  </si>
  <si>
    <t>RIDGEWOOD POWER (SUNNYSIDE)</t>
  </si>
  <si>
    <t>UNOCAL RINCON COGENERATION PROJECT</t>
  </si>
  <si>
    <t>Chaffey U.S.D. (Chaffey High School)</t>
  </si>
  <si>
    <t>FORKBU_6_UNIT</t>
  </si>
  <si>
    <t>HYPOWER, INC. (a/k/a Forks of Butte)</t>
  </si>
  <si>
    <t>10H013</t>
  </si>
  <si>
    <t>CITY OF VENTURA/EASTSIDE WTR RENOVATION</t>
  </si>
  <si>
    <t>NIHONMACHI TERRACE</t>
  </si>
  <si>
    <t>02C058</t>
  </si>
  <si>
    <t>AIRPORT CLUB</t>
  </si>
  <si>
    <t>04C140</t>
  </si>
  <si>
    <t>STOILS_1_UNITS</t>
  </si>
  <si>
    <t>CHEVRON RICHMOND REFINERY</t>
  </si>
  <si>
    <t>01C202</t>
  </si>
  <si>
    <t>GOLDHL_1_QF</t>
  </si>
  <si>
    <t>GOLD HILL AREA LUMPED QF UNITS</t>
  </si>
  <si>
    <t>06H159</t>
  </si>
  <si>
    <t>David O. Harde</t>
  </si>
  <si>
    <t>INLAND EMPIRE UTILITIES AGENCY (UPLAND)</t>
  </si>
  <si>
    <t>PANDOL_6_UNIT 2</t>
  </si>
  <si>
    <t>DELANO ENERGY COMPANY INC. (UNIT 2)</t>
  </si>
  <si>
    <t>GRIZLY_1_UNIT 1</t>
  </si>
  <si>
    <t>Grizzly PH</t>
  </si>
  <si>
    <t>ELLIS_2_QF</t>
  </si>
  <si>
    <t>ELLIS AREA LUMPED UNITS</t>
  </si>
  <si>
    <t>LAGBEL_6_QF</t>
  </si>
  <si>
    <t>LAGUNA BELLE AREA LUMPED UNITS</t>
  </si>
  <si>
    <t>MNTGRY_6_ROHR1</t>
  </si>
  <si>
    <t>ROHR - GOODRICH AEROSTRUCTURES GROUP</t>
  </si>
  <si>
    <t>486 (Formerly 196)</t>
  </si>
  <si>
    <t>City of Watsonville</t>
  </si>
  <si>
    <t>08C078</t>
  </si>
  <si>
    <t>ROBIN WILLIAMS SOLAR POWER GEN</t>
  </si>
  <si>
    <t>04S142</t>
  </si>
  <si>
    <t>PHOTO VOLTAIC</t>
  </si>
  <si>
    <t>SNMALF_6_UNITS</t>
  </si>
  <si>
    <t>COUNTY OF SONOMA</t>
  </si>
  <si>
    <t>04P051</t>
  </si>
  <si>
    <t>Units previously scheduled as SNMALF_6_UNITA1 aggregated into this Res ID effective 1/9/2006</t>
  </si>
  <si>
    <t>PORTERVILLE INN</t>
  </si>
  <si>
    <t>METAL SURFACES, INC.</t>
  </si>
  <si>
    <t>COUNTY SANITATION DIST OF ORANGE CO. (FOUNTAIN VALLEY)</t>
  </si>
  <si>
    <t>COUNTY SANITATION DIST OF ORANGE CO. (HUNTINGTON BEACH)</t>
  </si>
  <si>
    <t>GOLETA_6_EXGEN</t>
  </si>
  <si>
    <t>EXXON COMPANY, USA</t>
  </si>
  <si>
    <t>ORANGE U.S.D./VILLA PARK HIGH SCHOOL</t>
  </si>
  <si>
    <t>CHAFFEY JOINT U.H.S.D. (ETIWANDA HIGH SCHOOL)</t>
  </si>
  <si>
    <t>BERRYMAN HEALTH #1</t>
  </si>
  <si>
    <t>SCAQMD SOLAR PORT</t>
  </si>
  <si>
    <t>DVLCYN_1_UNIT 3</t>
  </si>
  <si>
    <t>Devil Canyon Unit 3</t>
  </si>
  <si>
    <t>DVLCYN_1_UNIT 4</t>
  </si>
  <si>
    <t>Devil Canyon Unit 4</t>
  </si>
  <si>
    <t>ETIWND_6_MWDETI</t>
  </si>
  <si>
    <t>ETIWANDA HYDRO RECOVERY PLANT</t>
  </si>
  <si>
    <t>Became PG on 1/1/2005.</t>
  </si>
  <si>
    <t>BARRE_2_QF</t>
  </si>
  <si>
    <t>BARRE AREA LUMPED UNITS</t>
  </si>
  <si>
    <t>ESCO_6_GLMQF</t>
  </si>
  <si>
    <t>GOAL LINE L.P.</t>
  </si>
  <si>
    <t>USWNDR_2_UNITS</t>
  </si>
  <si>
    <t>GREEN RIDGE POWER LLC- RUSSELL (Aggregate)</t>
  </si>
  <si>
    <t>USWNDR_2_SMUD</t>
  </si>
  <si>
    <t>SOLANO WIND</t>
  </si>
  <si>
    <t>CALLEGUAS MWD (SPRINGVILLE RESERVOIR)</t>
  </si>
  <si>
    <t>WATER FACILITIES AUTHORITY STATION 1 (UPLAND)</t>
  </si>
  <si>
    <t>TXMCKT_6_UNIT</t>
  </si>
  <si>
    <t>TEXACO INC. (MCKITTRICK)</t>
  </si>
  <si>
    <t>25C193</t>
  </si>
  <si>
    <t>SAN BERNARDINO CITY U.S.D. (PACIFIC HIGH SCHOOL)</t>
  </si>
  <si>
    <t>NAVY35_1_UNITS</t>
  </si>
  <si>
    <t>OCCIDENTAL OF ELK HILLS, INC. (NAVY 35R)</t>
  </si>
  <si>
    <t>25C337</t>
  </si>
  <si>
    <t>PCA METAL FINISHING, INC.</t>
  </si>
  <si>
    <t>SHELRF_1_UNITS</t>
  </si>
  <si>
    <t>Martinez Refining Company (Aggregate)</t>
  </si>
  <si>
    <t>Martinez Refining Co.</t>
  </si>
  <si>
    <t>SHELRF_7_UNIT 1</t>
  </si>
  <si>
    <t>Martinez Refining Company Unit 1</t>
  </si>
  <si>
    <t>SHELRF_7_UNIT 3</t>
  </si>
  <si>
    <t>Martinez Refining Company Unit 3</t>
  </si>
  <si>
    <t>STAT B_6_SOLTRB</t>
  </si>
  <si>
    <t>SOLAR TURBINES, INC.</t>
  </si>
  <si>
    <t>B. BRAUN MEDICAL INC.</t>
  </si>
  <si>
    <t>BERRYMAN HEALTH #2</t>
  </si>
  <si>
    <t>BEARMT_1_UNIT</t>
  </si>
  <si>
    <t>BEAR MOUNTAIN LIMITED</t>
  </si>
  <si>
    <t>25C251</t>
  </si>
  <si>
    <t>COTIJA CHEESE, INCORPORATED</t>
  </si>
  <si>
    <t>ANDERSON LITHOGRAPH COMPANY</t>
  </si>
  <si>
    <t>PACORO_6_UNIT</t>
  </si>
  <si>
    <t>OGDEN POWER PACIFIC, INC. (OROVILLE)</t>
  </si>
  <si>
    <t>12P001</t>
  </si>
  <si>
    <t>CROKET_7_UNIT</t>
  </si>
  <si>
    <t>CROCKETT COGEN</t>
  </si>
  <si>
    <t>01C045</t>
  </si>
  <si>
    <t>STIGCT_2_LODI</t>
  </si>
  <si>
    <t>Lodi STIG</t>
  </si>
  <si>
    <t>MOJAVE_1_SIPHON</t>
  </si>
  <si>
    <t>MOJAVE SIPHON PH (AGGREGATE)</t>
  </si>
  <si>
    <t>MOJAVE_1_UNIT 1</t>
  </si>
  <si>
    <t>Mojave Siphon Unit 1</t>
  </si>
  <si>
    <t>MOJAVE_1_UNIT 2</t>
  </si>
  <si>
    <t>Mojave Siphon Unit 2</t>
  </si>
  <si>
    <t>MOJAVE_1_UNIT 3</t>
  </si>
  <si>
    <t>Mojave Siphon Unit 3</t>
  </si>
  <si>
    <t>SHELRF_7_UNIT 2</t>
  </si>
  <si>
    <t>Martinez Refining Company Unit 2</t>
  </si>
  <si>
    <t>CHARTER OAK HIGH SCHOOL DIST.</t>
  </si>
  <si>
    <t>CHEVRON EL SEGUNDO III</t>
  </si>
  <si>
    <t>THE TERMO CO.</t>
  </si>
  <si>
    <t>REAL GOODS TRADING CORP.</t>
  </si>
  <si>
    <t>04S152</t>
  </si>
  <si>
    <t>WALNUT_7_WCOVCT</t>
  </si>
  <si>
    <t>MM WEST COAST COVINA, LLC (BKK I)</t>
  </si>
  <si>
    <t>MM WEST COAST COVINA, LLC (BKK I) - Formerly QF #1110</t>
  </si>
  <si>
    <t>Formerly part of WALNUT_6_QF aggregate, Converted to participating unit on 12/15/2006.</t>
  </si>
  <si>
    <t>WALNUT_7_WCOVST</t>
  </si>
  <si>
    <t>MM WEST COAST COVINA, LLC (BKK II)</t>
  </si>
  <si>
    <t>MM WEST COAST COVINA, LLC (BKK II) - Formerly QF #1111</t>
  </si>
  <si>
    <t>Formerly part of WALNUT_6_QF aggregate, Converted to Participating unit on 12/15/2006.</t>
  </si>
  <si>
    <t>DAVIS_7_MNMETH</t>
  </si>
  <si>
    <t>MINNESOTA METHANE (YOLO QF)</t>
  </si>
  <si>
    <t>Formerly Res ID PALMRC_1_YOLOLF</t>
  </si>
  <si>
    <t>UNIVERSITY OF CALIFORNA-SAN FRANCISCO MED CENTER UNIT 1</t>
  </si>
  <si>
    <t>02C071</t>
  </si>
  <si>
    <t>UNIVERSITY OF CALIFORNA-SAN FRANCISCO MED CENTER UNIT 2</t>
  </si>
  <si>
    <t>UNIVERSITY OF CALIFORNA-SAN FRANCISCO MED CENTER UNIT 3</t>
  </si>
  <si>
    <t>RECTOR_7_TULARE</t>
  </si>
  <si>
    <t>MM TULARE ENERGY, LLC</t>
  </si>
  <si>
    <t>MM TULARE ENERGY, LLC (formerly QF #1103)</t>
  </si>
  <si>
    <t>Converted to Participating generator on 12/11/2006. (Two units)</t>
  </si>
  <si>
    <t>SNCLRA_6_PROCGN</t>
  </si>
  <si>
    <t>PROCTER &amp; GAMBLE PAPER PROD. (OXNARD II)</t>
  </si>
  <si>
    <t>ALTA MESA POWER PURCHASE CONTRACT TRUST</t>
  </si>
  <si>
    <t>ALAMIT_7_UNIT 5</t>
  </si>
  <si>
    <t>Alamitos 5</t>
  </si>
  <si>
    <t>EGATE_7_NOCITY</t>
  </si>
  <si>
    <t>NORTH CITY GENERATING FACILITY (EASTGATE)</t>
  </si>
  <si>
    <t>MM San Diego, LLC (Formerly QFID 455)</t>
  </si>
  <si>
    <t>Converted to Participating Generator. Formerly Res ID NOCITY_7_ESGATE</t>
  </si>
  <si>
    <t>CPSTNO_7_PRMADS</t>
  </si>
  <si>
    <t>PRIMA DESHECHA LANDFILL</t>
  </si>
  <si>
    <t>MM Biogas Power, LLC (Formerly QF ID 448)</t>
  </si>
  <si>
    <t>Formerly Res ID PRMADS_7_CPSTNO</t>
  </si>
  <si>
    <t>LAWRNC_7_SUNYVL</t>
  </si>
  <si>
    <t>SUNNYVALE LANDFILL GAS POWER GENERATION FACILITY</t>
  </si>
  <si>
    <t>City of Sunnyvale</t>
  </si>
  <si>
    <t>Formerly Res ID SUNYVL_1_PL1X2</t>
  </si>
  <si>
    <t>SUNNYVALE LANDFILL GAS UNIT 1</t>
  </si>
  <si>
    <t>SUNNYVALE LANDFILL GAS UNIT 2</t>
  </si>
  <si>
    <t>SAUGUS_7_LOPEZ</t>
  </si>
  <si>
    <t>MM LOPEZ ENERGY, LLC</t>
  </si>
  <si>
    <t>MM Lopez Energy LLC (formerly QFID 1105)</t>
  </si>
  <si>
    <t>INTERNAL COMBUSTION</t>
  </si>
  <si>
    <t>Became Participating Generator on 5/17/2006</t>
  </si>
  <si>
    <t>MESA CONSOLIDATED WATER DISTRICT</t>
  </si>
  <si>
    <t>GOLETA_6_TAJIGS</t>
  </si>
  <si>
    <t>MM TAJIGUAS ENERGY, LLC</t>
  </si>
  <si>
    <t>Prior to 6/6/2007, was a child of GOLETA_2_QF</t>
  </si>
  <si>
    <t>DMDVLY_1_UNITS</t>
  </si>
  <si>
    <t>DIAMOND VALLEY P-G PLANT (AGGREGATE)</t>
  </si>
  <si>
    <t>pump-generator facility with pumping as needed for water supply purposes</t>
  </si>
  <si>
    <t>DMDVLY_1_GEN 1</t>
  </si>
  <si>
    <t>Diamond Valley Unit 1</t>
  </si>
  <si>
    <t>pump-generator units with pumping as needed for water supply purposes</t>
  </si>
  <si>
    <t>DMDVLY_1_GEN 10</t>
  </si>
  <si>
    <t>Diamond Valley Unit 10</t>
  </si>
  <si>
    <t>DMDVLY_1_GEN 11</t>
  </si>
  <si>
    <t>Diamond Valley Unit 11</t>
  </si>
  <si>
    <t>DMDVLY_1_GEN 12</t>
  </si>
  <si>
    <t>Diamond Valley Unit 12</t>
  </si>
  <si>
    <t>DMDVLY_1_GEN 2</t>
  </si>
  <si>
    <t>Diamond Valley Unit 2</t>
  </si>
  <si>
    <t>DMDVLY_1_GEN 3</t>
  </si>
  <si>
    <t>Diamond Valley Unit 3</t>
  </si>
  <si>
    <t>DMDVLY_1_GEN 4</t>
  </si>
  <si>
    <t>Diamond Valley Unit 4</t>
  </si>
  <si>
    <t>DMDVLY_1_GEN 5</t>
  </si>
  <si>
    <t>Diamond Valley Unit 5</t>
  </si>
  <si>
    <t>DMDVLY_1_GEN 6</t>
  </si>
  <si>
    <t>Diamond Valley Unit 6</t>
  </si>
  <si>
    <t>DMDVLY_1_GEN 7</t>
  </si>
  <si>
    <t>Diamond Valley Unit 7</t>
  </si>
  <si>
    <t>DMDVLY_1_GEN 8</t>
  </si>
  <si>
    <t>Diamond Valley Unit 8</t>
  </si>
  <si>
    <t>DMDVLY_1_GEN 9</t>
  </si>
  <si>
    <t>Diamond Valley Unit 9</t>
  </si>
  <si>
    <t>AGRICO_7_UNIT</t>
  </si>
  <si>
    <t>FRESNO COGEN COMBINED CYCLE (AGGREGATE)</t>
  </si>
  <si>
    <t>CTG replaced with LM-6000 and first paralleled 12/16/2004, commercial on 1/14/2005.</t>
  </si>
  <si>
    <t>GWFPWR_1_CT 1</t>
  </si>
  <si>
    <t>GWF HEP Unit 1</t>
  </si>
  <si>
    <t>GWF Energy, LLC</t>
  </si>
  <si>
    <t>GWFPWR_1_CT 2</t>
  </si>
  <si>
    <t>GWF HEP Unit 2</t>
  </si>
  <si>
    <t>UCMTG_7_UCSD1</t>
  </si>
  <si>
    <t>UNIVERSITY OF CALIFORNIA - SAN DIEGO UNIT 1</t>
  </si>
  <si>
    <t>UCMTG_7_UCSD2</t>
  </si>
  <si>
    <t>UNIVERSITY OF CALIFORNIA - SAN DIEGO UNIT 2</t>
  </si>
  <si>
    <t>MTWIND_1_UNIT 1</t>
  </si>
  <si>
    <t>Mountain View I</t>
  </si>
  <si>
    <t>PG&amp;E Trading</t>
  </si>
  <si>
    <t>SUTTER_2_PL1X3</t>
  </si>
  <si>
    <t>SUTTER POWER PLANT (AGGREGATE)</t>
  </si>
  <si>
    <t>Calpine</t>
  </si>
  <si>
    <t>Moved to SMUD Control Area 1/1/2005. Came back to ISO Control Area as Pseudo tie unit 12/1/2005</t>
  </si>
  <si>
    <t>SUTTER_2_CTG1</t>
  </si>
  <si>
    <t>Sutter Power Plant Unit 1</t>
  </si>
  <si>
    <t>Came back to ISO Control Area as Pseudo tie unit 12/1/2005</t>
  </si>
  <si>
    <t>SUTTER_2_CTG2</t>
  </si>
  <si>
    <t>Sutter Power Plant Unit 2</t>
  </si>
  <si>
    <t>SUTTER_2_STG</t>
  </si>
  <si>
    <t>Sutter Power Plant Unit 3</t>
  </si>
  <si>
    <t>CAPMAD_1_UNIT 1</t>
  </si>
  <si>
    <t>Madera Power</t>
  </si>
  <si>
    <t>Madera Power LLC</t>
  </si>
  <si>
    <t>SPIFBD_1_PL1X2</t>
  </si>
  <si>
    <t>SIERRA PACIFIC INDUSTRIES (SONORA)</t>
  </si>
  <si>
    <t>Sierra Pacific Industries</t>
  </si>
  <si>
    <t>SUNRIS_2_PL1X3</t>
  </si>
  <si>
    <t>SUNRISE POWER PROJECT (AGGREGATE)</t>
  </si>
  <si>
    <t>Edison Mission Energy</t>
  </si>
  <si>
    <t>SUNRIS_2_UNIT 1</t>
  </si>
  <si>
    <t>Sunrise Power Project Unit 1</t>
  </si>
  <si>
    <t>SUNRIS_2_UNIT 2</t>
  </si>
  <si>
    <t>Sunrise Power Project Unit 2</t>
  </si>
  <si>
    <t>LMEC_1_PL1X3</t>
  </si>
  <si>
    <t>LOS MEDANOS ENERGY CENTER (AGGREGATE)</t>
  </si>
  <si>
    <t>LMEC_1_CTG1</t>
  </si>
  <si>
    <t>Los Medanos CT Unit 1</t>
  </si>
  <si>
    <t>LMEC_1_CTG2</t>
  </si>
  <si>
    <t>Los Medanos CT Unit 2</t>
  </si>
  <si>
    <t>LMEC_1_STG</t>
  </si>
  <si>
    <t>Los Medanos ST Unit 3</t>
  </si>
  <si>
    <t>CHWCHL_1_UNIT</t>
  </si>
  <si>
    <t>CHOWCHILLA II PEAKER (AGGREGATE)</t>
  </si>
  <si>
    <t>NEO Corporation</t>
  </si>
  <si>
    <t>CHWCHL_1_GEN 1</t>
  </si>
  <si>
    <t>Chowchilla II Peaker Unit 1</t>
  </si>
  <si>
    <t>CHWCHL_1_GEN 10</t>
  </si>
  <si>
    <t>Chowchilla II Peaker Unit 10</t>
  </si>
  <si>
    <t>CHWCHL_1_GEN 11</t>
  </si>
  <si>
    <t>Chowchilla II Peaker Unit 11</t>
  </si>
  <si>
    <t>CHWCHL_1_GEN 12</t>
  </si>
  <si>
    <t>Chowchilla II Peaker Unit 12</t>
  </si>
  <si>
    <t>CHWCHL_1_GEN 13</t>
  </si>
  <si>
    <t>Chowchilla II Peaker Unit 13</t>
  </si>
  <si>
    <t>CHWCHL_1_GEN 14</t>
  </si>
  <si>
    <t>Chowchilla II Peaker Unit 14</t>
  </si>
  <si>
    <t>CHWCHL_1_GEN 15</t>
  </si>
  <si>
    <t>Chowchilla II Peaker Unit 15</t>
  </si>
  <si>
    <t>CHWCHL_1_GEN 16</t>
  </si>
  <si>
    <t>Chowchilla II Peaker Unit 16</t>
  </si>
  <si>
    <t>CHWCHL_1_GEN 2</t>
  </si>
  <si>
    <t>Chowchilla II Peaker Unit 2</t>
  </si>
  <si>
    <t>CHWCHL_1_GEN 3</t>
  </si>
  <si>
    <t>Chowchilla II Peaker Unit 3</t>
  </si>
  <si>
    <t>CHWCHL_1_GEN 4</t>
  </si>
  <si>
    <t>Chowchilla II Peaker Unit 4</t>
  </si>
  <si>
    <t>CHWCHL_1_GEN 5</t>
  </si>
  <si>
    <t>Chowchilla II Peaker Unit 5</t>
  </si>
  <si>
    <t>CHWCHL_1_GEN 6</t>
  </si>
  <si>
    <t>Chowchilla II Peaker Unit 6</t>
  </si>
  <si>
    <t>CHWCHL_1_GEN 7</t>
  </si>
  <si>
    <t>Chowchilla II Peaker Unit 7</t>
  </si>
  <si>
    <t>CHWCHL_1_GEN 8</t>
  </si>
  <si>
    <t>Chowchilla II Peaker Unit 8</t>
  </si>
  <si>
    <t>CHWCHL_1_GEN 9</t>
  </si>
  <si>
    <t>Chowchilla II Peaker Unit 9</t>
  </si>
  <si>
    <t>HARBGN_7_UNITS</t>
  </si>
  <si>
    <t>HARBOR COGEN COMBINED CYCLE (AGGREGATE)</t>
  </si>
  <si>
    <t>Change to combined cycle for scheduling 7/1/2004</t>
  </si>
  <si>
    <t>HARBGN_7_UNIT 2</t>
  </si>
  <si>
    <t>Harbor Cogen Unit 2</t>
  </si>
  <si>
    <t>HARBGN_7_UNIT 3</t>
  </si>
  <si>
    <t>Harbor Cogen Unit 3</t>
  </si>
  <si>
    <t>DINUBA_6_UNIT</t>
  </si>
  <si>
    <t>Dinuba</t>
  </si>
  <si>
    <t>Yanke Energy</t>
  </si>
  <si>
    <t>COLCEM_6_UNITS</t>
  </si>
  <si>
    <t>California Portland Cement</t>
  </si>
  <si>
    <t>Converted to Participating Generator</t>
  </si>
  <si>
    <t>COLCEM_6_GEN 1</t>
  </si>
  <si>
    <t>California Portland Cement Unit 1</t>
  </si>
  <si>
    <t>COLCEM_6_GEN 2</t>
  </si>
  <si>
    <t>California Portland Cement Unit 2</t>
  </si>
  <si>
    <t>VALLEY_7_BADLND</t>
  </si>
  <si>
    <t>Badlands Landfill Gas to Energy Facility</t>
  </si>
  <si>
    <t>Riverside County Waste Management Dept</t>
  </si>
  <si>
    <t>Formerly Res ID BADLND_7_PL1X2</t>
  </si>
  <si>
    <t>REDBLF_6_UNIT</t>
  </si>
  <si>
    <t>RED BLUFF PEAKER (AGGREGATE)</t>
  </si>
  <si>
    <t>REDBLF_6_GEN 1</t>
  </si>
  <si>
    <t>Red Bluff Peaker Unit 1</t>
  </si>
  <si>
    <t>REDBLF_6_GEN 10</t>
  </si>
  <si>
    <t>Red Bluff Peaker Unit 10</t>
  </si>
  <si>
    <t>REDBLF_6_GEN 11</t>
  </si>
  <si>
    <t>Red Bluff Peaker Unit 11</t>
  </si>
  <si>
    <t>REDBLF_6_GEN 12</t>
  </si>
  <si>
    <t>Red Bluff Peaker Unit 12</t>
  </si>
  <si>
    <t>REDBLF_6_GEN 13</t>
  </si>
  <si>
    <t>Red Bluff Peaker Unit 13</t>
  </si>
  <si>
    <t>REDBLF_6_GEN 14</t>
  </si>
  <si>
    <t>Red Bluff Peaker Unit 14</t>
  </si>
  <si>
    <t>REDBLF_6_GEN 15</t>
  </si>
  <si>
    <t>Red Bluff Peaker Unit 15</t>
  </si>
  <si>
    <t>REDBLF_6_GEN 16</t>
  </si>
  <si>
    <t>Red Bluff Peaker Unit 16</t>
  </si>
  <si>
    <t>REDBLF_6_GEN 2</t>
  </si>
  <si>
    <t>Red Bluff Peaker Unit 2</t>
  </si>
  <si>
    <t>REDBLF_6_GEN 3</t>
  </si>
  <si>
    <t>Red Bluff Peaker Unit 3</t>
  </si>
  <si>
    <t>REDBLF_6_GEN 4</t>
  </si>
  <si>
    <t>Red Bluff Peaker Unit 4</t>
  </si>
  <si>
    <t>REDBLF_6_GEN 5</t>
  </si>
  <si>
    <t>Red Bluff Peaker Unit 5</t>
  </si>
  <si>
    <t>REDBLF_6_GEN 6</t>
  </si>
  <si>
    <t>Red Bluff Peaker Unit 6</t>
  </si>
  <si>
    <t>REDBLF_6_GEN 7</t>
  </si>
  <si>
    <t>Red Bluff Peaker Unit 7</t>
  </si>
  <si>
    <t>REDBLF_6_GEN 8</t>
  </si>
  <si>
    <t>Red Bluff Peaker Unit 8</t>
  </si>
  <si>
    <t>REDBLF_6_GEN 9</t>
  </si>
  <si>
    <t>Red Bluff Peaker Unit 9</t>
  </si>
  <si>
    <t>DREWS_6_PL1X4</t>
  </si>
  <si>
    <t>DREWS (AGGREGATE)</t>
  </si>
  <si>
    <t>Colton Power, LP</t>
  </si>
  <si>
    <t>DREWS_6_GEN 1</t>
  </si>
  <si>
    <t>Drews Unit 1</t>
  </si>
  <si>
    <t>DREWS_6_GEN 2</t>
  </si>
  <si>
    <t>Drews Unit 2</t>
  </si>
  <si>
    <t>DREWS_6_GEN 3</t>
  </si>
  <si>
    <t>Drews Unit 3</t>
  </si>
  <si>
    <t>DREWS_6_GEN 4</t>
  </si>
  <si>
    <t>Drews Unit 4</t>
  </si>
  <si>
    <t>AGRICO_7_CTG3</t>
  </si>
  <si>
    <t>Fresno Cogen Peaker CTG3 Unit</t>
  </si>
  <si>
    <t>GWFPWR_1_UNITS</t>
  </si>
  <si>
    <t>GWF HEP PEAKER PLANT (AGGREGATE)</t>
  </si>
  <si>
    <t>CENTRY_6_GEN 1</t>
  </si>
  <si>
    <t>Century Unit 1</t>
  </si>
  <si>
    <t>CENTRY_6_GEN 3</t>
  </si>
  <si>
    <t>Century Unit 3</t>
  </si>
  <si>
    <t>CENTRY_6_GEN 4</t>
  </si>
  <si>
    <t>Century Unit 4</t>
  </si>
  <si>
    <t>LARKSP_6_UNIT 1</t>
  </si>
  <si>
    <t>Larkspur 1</t>
  </si>
  <si>
    <t>Wildflower Energy</t>
  </si>
  <si>
    <t>LARKSP_6_UNIT 2</t>
  </si>
  <si>
    <t>Larkspur 2</t>
  </si>
  <si>
    <t>CENTRY_6_PL1X4</t>
  </si>
  <si>
    <t>CENTURY (AGGREGATE)</t>
  </si>
  <si>
    <t>CENTRY_6_GEN 2</t>
  </si>
  <si>
    <t>Century Unit 2</t>
  </si>
  <si>
    <t>MTWIND_1_UNIT 2</t>
  </si>
  <si>
    <t>Mountain View II</t>
  </si>
  <si>
    <t>Seawest Wind</t>
  </si>
  <si>
    <t>INDIGO_1_UNIT 1</t>
  </si>
  <si>
    <t>Indigo Energy 1</t>
  </si>
  <si>
    <t>INDIGO_1_UNIT 2</t>
  </si>
  <si>
    <t>Indigo Energy 2</t>
  </si>
  <si>
    <t>INDIGO_1_UNIT 3</t>
  </si>
  <si>
    <t>Indigo Energy 3</t>
  </si>
  <si>
    <t>ESCNDO_6_UNITB1</t>
  </si>
  <si>
    <t>Enterprise</t>
  </si>
  <si>
    <t>CalPeak Power LLC</t>
  </si>
  <si>
    <t>BORDER_6_UNITA1</t>
  </si>
  <si>
    <t>BORDER</t>
  </si>
  <si>
    <t>PNOCHE_7_CTG1</t>
  </si>
  <si>
    <t>WELLHEAD - PANOCHE CTG UNIT 1</t>
  </si>
  <si>
    <t>Wellhead Power Panoche</t>
  </si>
  <si>
    <t>GATES_7_CTG1</t>
  </si>
  <si>
    <t>GATES PEAKER FACILITY CTG UNIT 1</t>
  </si>
  <si>
    <t>Wellhead Power Gates</t>
  </si>
  <si>
    <t>PNOCHE_1_UNITA1</t>
  </si>
  <si>
    <t>Panoche - CalPeak</t>
  </si>
  <si>
    <t>KNGCTY_6_UNITA1</t>
  </si>
  <si>
    <t>King City Energy Center</t>
  </si>
  <si>
    <t>GILRPP_1_PL1X2</t>
  </si>
  <si>
    <t>GILROY ENERGY CENTER UNITS 1 &amp; 2 (AGGREGATE)</t>
  </si>
  <si>
    <t>GILRPP_1_UNIT 1</t>
  </si>
  <si>
    <t>Gilroy Energy Center Unit 1</t>
  </si>
  <si>
    <t>GILRPP_1_UNIT 2</t>
  </si>
  <si>
    <t>Gilroy Energy Center Unit 2</t>
  </si>
  <si>
    <t>GILRPP_1_PL3X4</t>
  </si>
  <si>
    <t>Gilroy Energy Center Unit 3</t>
  </si>
  <si>
    <t>SPARTECH PLASTICS</t>
  </si>
  <si>
    <t>Spartech Plastics</t>
  </si>
  <si>
    <t>OLINDA_7_LNDFIL</t>
  </si>
  <si>
    <t>Olinda Landfill</t>
  </si>
  <si>
    <t>Brea Power Partners, L.P.</t>
  </si>
  <si>
    <t>ELCAJN_6_UNITA1</t>
  </si>
  <si>
    <t>El Cajon - Calpeak</t>
  </si>
  <si>
    <t>CalPeak Power - El Cajon, LLC</t>
  </si>
  <si>
    <t>RVSIDE_7_SPRGU1</t>
  </si>
  <si>
    <t>Springs Generation Plant Unit 1</t>
  </si>
  <si>
    <t>Riverside Public Utilities</t>
  </si>
  <si>
    <t>RVSIDE_7_SPRGU2</t>
  </si>
  <si>
    <t>Springs Generation Plant Unit 2</t>
  </si>
  <si>
    <t>RVSIDE_7_SPRGU3</t>
  </si>
  <si>
    <t>Springs Generation Plant Unit 3</t>
  </si>
  <si>
    <t>RVSIDE_6_SPRING</t>
  </si>
  <si>
    <t>Springs Generation Plant (Aggregate)</t>
  </si>
  <si>
    <t>Formerly Res ID SPRING_6_UNITS</t>
  </si>
  <si>
    <t>RVSIDE_7_SPRGU4</t>
  </si>
  <si>
    <t>Springs Generation Plant Unit 4</t>
  </si>
  <si>
    <t>DELTA_2_PL1X4</t>
  </si>
  <si>
    <t>DELTA ENERGY CENTER (AGGREGATE)</t>
  </si>
  <si>
    <t>Delta Energy Center, LLC</t>
  </si>
  <si>
    <t>DELTA_2_CTG1</t>
  </si>
  <si>
    <t>Delta Energy Center Unit 1</t>
  </si>
  <si>
    <t>DELTA_2_CTG2</t>
  </si>
  <si>
    <t>Delta Energy Center Unit 2</t>
  </si>
  <si>
    <t>DELTA_2_CTG3</t>
  </si>
  <si>
    <t>Delta Energy Center Unit 3</t>
  </si>
  <si>
    <t>DELTA_2_STG</t>
  </si>
  <si>
    <t>Delta Energy Center Unit 4</t>
  </si>
  <si>
    <t>VACADX_1_UNITA1</t>
  </si>
  <si>
    <t>Vaca Dixon Peaker Plant</t>
  </si>
  <si>
    <t>CalPeak Power - Vaca Dixon, LLC</t>
  </si>
  <si>
    <t>HENRTA_6_UNITA1</t>
  </si>
  <si>
    <t>Henrietta Peaker Plant Unit 1</t>
  </si>
  <si>
    <t>HENRTA_6_UNITA2</t>
  </si>
  <si>
    <t>Henrietta Peaker Plant Unit 2</t>
  </si>
  <si>
    <t>MOSSLD_2_PSP1</t>
  </si>
  <si>
    <t>Moss Landing CC Plant 1 (Aggregate)</t>
  </si>
  <si>
    <t>MOSSLD_2_PSP1G1</t>
  </si>
  <si>
    <t>Moss Landing CC Plant 1, Unit 1</t>
  </si>
  <si>
    <t>MOSSLD_2_PSP1G2</t>
  </si>
  <si>
    <t>Moss Landing CC Plant 1, Unit 2</t>
  </si>
  <si>
    <t>MOSSLD_2_PSP1G3</t>
  </si>
  <si>
    <t>Moss Landing CC Plant 1, Unit 3</t>
  </si>
  <si>
    <t>MOSSLD_2_PSP2</t>
  </si>
  <si>
    <t>Moss Landing CC Plant 2 (Aggregate)</t>
  </si>
  <si>
    <t>MOSSLD_2_PSP2G1</t>
  </si>
  <si>
    <t>Moss Landing CC Plant 2, Unit 1</t>
  </si>
  <si>
    <t>MOSSLD_2_PSP2G2</t>
  </si>
  <si>
    <t>Moss Landing CC Plant 2, Unit 2</t>
  </si>
  <si>
    <t>MOSSLD_2_PSP2G3</t>
  </si>
  <si>
    <t>Moss Landing CC Plant 2, Unit 3</t>
  </si>
  <si>
    <t>YUBACT_6_UNITA1</t>
  </si>
  <si>
    <t>Yuba City Energy Center</t>
  </si>
  <si>
    <t>Yuba City Energy Center, LLC</t>
  </si>
  <si>
    <t>HNTGBH_7_UNIT 3</t>
  </si>
  <si>
    <t>Huntington Beach 3</t>
  </si>
  <si>
    <t>Repowered</t>
  </si>
  <si>
    <t>CABZON_1_WINDA1</t>
  </si>
  <si>
    <t>Cabazon Wind Project</t>
  </si>
  <si>
    <t>Cabazon Wind Partners, LLC</t>
  </si>
  <si>
    <t>WHTWTR_1_WINDA1</t>
  </si>
  <si>
    <t>Whitewater Hill Wind Project</t>
  </si>
  <si>
    <t>Whitewater Hill Wind Partners, LLC</t>
  </si>
  <si>
    <t>BAHIA_7_UNITA1</t>
  </si>
  <si>
    <t>Valero Refining Company Unit 1</t>
  </si>
  <si>
    <t>Valero Refining Company</t>
  </si>
  <si>
    <t>PICO_6_THUMS1</t>
  </si>
  <si>
    <t>THUMS GENERATION FACILITY</t>
  </si>
  <si>
    <t>THUMS Long Beach Company</t>
  </si>
  <si>
    <t>BOGUE_1_UNITA1</t>
  </si>
  <si>
    <t>FEATHER RIVER ENERGY CENTER</t>
  </si>
  <si>
    <t>Feather River Energy Center LLC (Calpine)</t>
  </si>
  <si>
    <t>LMBEPK_2_UNITA2</t>
  </si>
  <si>
    <t>CREED ENERGY CENTER</t>
  </si>
  <si>
    <t>Creed Energy Center LLC (Calpine)</t>
  </si>
  <si>
    <t>LMBEPK_2_UNITA3</t>
  </si>
  <si>
    <t>GOOSE HAVEN ENERGY CENTER</t>
  </si>
  <si>
    <t>Goose Haven Energy Center LLC (Calpine)</t>
  </si>
  <si>
    <t>LMBEPK_2_UNITA1</t>
  </si>
  <si>
    <t>LAMBIE ENERGY CENTER</t>
  </si>
  <si>
    <t>Lambie Energy Center LLC (Calpine)</t>
  </si>
  <si>
    <t>LAPLMA_2_UNIT 1</t>
  </si>
  <si>
    <t>LA PALOMA UNIT 1</t>
  </si>
  <si>
    <t>La Paloma Generating Company</t>
  </si>
  <si>
    <t>LAPLMA_2_UNIT 3</t>
  </si>
  <si>
    <t>LA PALOMA UNIT 3</t>
  </si>
  <si>
    <t>LAPLMA_2_UNIT 2</t>
  </si>
  <si>
    <t>LA PALOMA UNIT 2</t>
  </si>
  <si>
    <t>LAPLMA_2_UNIT 4</t>
  </si>
  <si>
    <t>LA PALOMA UNIT 4</t>
  </si>
  <si>
    <t>LECEF_1_UNITS</t>
  </si>
  <si>
    <t>LOS ESTEROS ENERGY FACILITY (AGGREGATE)</t>
  </si>
  <si>
    <t>LECEF_1_CGT 1</t>
  </si>
  <si>
    <t>LOS ESTEROS ENERGY FACILITY UNIT 1</t>
  </si>
  <si>
    <t>LECEF_1_CGT 2</t>
  </si>
  <si>
    <t>LOS ESTEROS ENERGY FACILITY UNIT 2</t>
  </si>
  <si>
    <t>LECEF_1_CGT 3</t>
  </si>
  <si>
    <t>LOS ESTEROS ENERGY FACILITY UNIT 3</t>
  </si>
  <si>
    <t>LECEF_1_CGT 4</t>
  </si>
  <si>
    <t>LOS ESTEROS ENERGY FACILITY UNIT 4</t>
  </si>
  <si>
    <t>WOLFSK_1_UNITA1</t>
  </si>
  <si>
    <t>WOLFSKILL ENERGY CENTER</t>
  </si>
  <si>
    <t>Wolfskill Energy Center, LLC (Calpine)</t>
  </si>
  <si>
    <t>COLTON_7_LNDFIL</t>
  </si>
  <si>
    <t>COLTON LANDFILL PROJECT (AGGREGATE)</t>
  </si>
  <si>
    <t>MN Colton Genco, LLC</t>
  </si>
  <si>
    <t>HIDSRT_2_UNITS</t>
  </si>
  <si>
    <t>HIGH DESERT POWER PROJECT (AGGREGATE)</t>
  </si>
  <si>
    <t>High Desert Power, LLC</t>
  </si>
  <si>
    <t>HIGH DESERT POWER PROJECT UNIT 1</t>
  </si>
  <si>
    <t>HIGH DESERT POWER PROJECT UNIT 2</t>
  </si>
  <si>
    <t>HIGH DESERT POWER PROJECT UNIT 3</t>
  </si>
  <si>
    <t>HIGH DESERT POWER PROJECT UNIT 4</t>
  </si>
  <si>
    <t>ETIWND_7_MIDVLY</t>
  </si>
  <si>
    <t>MID VALLEY LANDFILL PROJECT (AGGREGATE)</t>
  </si>
  <si>
    <t>MN Mid Valley Genco, LLC</t>
  </si>
  <si>
    <t>MID VALLEY LANDFILL PROJECT UNIT 1</t>
  </si>
  <si>
    <t>MID VALLEY LANDFILL PROJECT UNIT 2</t>
  </si>
  <si>
    <t>RVRVEW_1_UNITA1</t>
  </si>
  <si>
    <t>RIVERVIEW ENERGY CENTER</t>
  </si>
  <si>
    <t>Riverview Energy Center LLC</t>
  </si>
  <si>
    <t>MSHGTS_6_MMARLF</t>
  </si>
  <si>
    <t>MIRAMAR LANDFILL</t>
  </si>
  <si>
    <t>MM San Diego, LLC (Formerly QFID 450)</t>
  </si>
  <si>
    <t>SCHLTE_1_UNITA1</t>
  </si>
  <si>
    <t>TRACY PEAKER PLANT UNIT 1</t>
  </si>
  <si>
    <t>GWF Energy LLC</t>
  </si>
  <si>
    <t>SCHLTE_1_UNITA2</t>
  </si>
  <si>
    <t>TRACY PEAKER PLANT UNIT 2</t>
  </si>
  <si>
    <t>COLTON_6_AGUAM1</t>
  </si>
  <si>
    <t>AGUA MANSA GENERATING FACILITY</t>
  </si>
  <si>
    <t>City of Colton</t>
  </si>
  <si>
    <t>MURRAY_7_SDSU A</t>
  </si>
  <si>
    <t>SAN DIEGO STATE UNIVERSITY GT #1</t>
  </si>
  <si>
    <t>STRMVW_7_SDSU B</t>
  </si>
  <si>
    <t>SAN DIEGO STATE UNIVERSITY GT #2</t>
  </si>
  <si>
    <t>STRMVW_7_SDSU C</t>
  </si>
  <si>
    <t>SAN DIEGO STATE UNIVERSITY SGT</t>
  </si>
  <si>
    <t>CHINO_7_MILIKN</t>
  </si>
  <si>
    <t>MILLIKEN LANDFILL PROJECT (AGGREGATE)</t>
  </si>
  <si>
    <t>MN Milliken Genco, LLC</t>
  </si>
  <si>
    <t>MILLIKEN LANDFILL PROJECT UNIT 1</t>
  </si>
  <si>
    <t>MILLIKEN LANDFILL PROJECT UNIT 2</t>
  </si>
  <si>
    <t>LAROA1_2_UNITA1</t>
  </si>
  <si>
    <t>CICLO COMBINADO MEXICALI</t>
  </si>
  <si>
    <t>Energia Azteca X</t>
  </si>
  <si>
    <t>LAROA2_2_UNITA1</t>
  </si>
  <si>
    <t>CENTRAL LA ROSITA II COMBINED CYCLE (AGGREGATE)</t>
  </si>
  <si>
    <t>Energia de Baja California</t>
  </si>
  <si>
    <t>LAROA2_2_CTG 2S</t>
  </si>
  <si>
    <t>CENTRAL LA ROSITA II COMBUSTION TURBINE</t>
  </si>
  <si>
    <t>LAROA2_2_STG 2C</t>
  </si>
  <si>
    <t>CENTRAL LA ROSITA II STEAM TURBINE</t>
  </si>
  <si>
    <t>ELKHIL_2_PL1X3</t>
  </si>
  <si>
    <t>ELK HILLS GENERATING PROJECT (AGGREGATE)</t>
  </si>
  <si>
    <t>Elk Hills Power</t>
  </si>
  <si>
    <t>ELKHIL_2_CTG1</t>
  </si>
  <si>
    <t>ELK HILLS GENERATING PROJECT UNIT 1</t>
  </si>
  <si>
    <t>ELKHIL_2_CTG2</t>
  </si>
  <si>
    <t>ELK HILLS GENERATING PROJECT UNIT 2</t>
  </si>
  <si>
    <t>ELKHIL_2_STG</t>
  </si>
  <si>
    <t>ELK HILLS GENERATING PROJECT UNIT 3</t>
  </si>
  <si>
    <t>TERMEX_2_PL1X3</t>
  </si>
  <si>
    <t>TERMOELCTRICA DE MEXICALI (Aggregate)</t>
  </si>
  <si>
    <t>Termoelectrica De Mexicali</t>
  </si>
  <si>
    <t>TERMOELCTRICA DE MEXICALI CTG UNIT 1</t>
  </si>
  <si>
    <t>TERMOELCTRICA DE MEXICALI CTG UNIT 2</t>
  </si>
  <si>
    <t>TERMOELCTRICA DE MEXICALI STG UNIT</t>
  </si>
  <si>
    <t>HNTGBH_7_UNIT 4</t>
  </si>
  <si>
    <t>Huntington Beach 4</t>
  </si>
  <si>
    <t>MTWIND_1_UNIT 3</t>
  </si>
  <si>
    <t>Mountain View III</t>
  </si>
  <si>
    <t>Mountain View III Power Partners</t>
  </si>
  <si>
    <t>BRDSLD_2_HIWIND</t>
  </si>
  <si>
    <t>HIGH WINDS PROJECT</t>
  </si>
  <si>
    <t>High Winds, LLC</t>
  </si>
  <si>
    <t>BUCKWD_7_WINTCV</t>
  </si>
  <si>
    <t>WINTEC V FACILITY</t>
  </si>
  <si>
    <t>Wintec Energy, Ltd.</t>
  </si>
  <si>
    <t>GLNARM_7_UNIT 3</t>
  </si>
  <si>
    <t>Glen Arm Power Plant 3</t>
  </si>
  <si>
    <t>GLNARM_7_UNIT 4</t>
  </si>
  <si>
    <t>Glen Arm Power Plant 4</t>
  </si>
  <si>
    <t>VALLEY_7_UNITA1</t>
  </si>
  <si>
    <t>EL SOBRANTE LANDFILL GAS GENERATION</t>
  </si>
  <si>
    <t>WM Energy Solutions</t>
  </si>
  <si>
    <t>EL SOBRANTE LANDFILL UNIT 1</t>
  </si>
  <si>
    <t>EL SOBRANTE LANDFILL UNIT 2</t>
  </si>
  <si>
    <t>MOORPK_7_UNITA1</t>
  </si>
  <si>
    <t>SIMI VALLEY LANDFILL GAS GENERATION</t>
  </si>
  <si>
    <t>OCCIDENTAL OF ELK HILLS STEAM TURBINE</t>
  </si>
  <si>
    <t>Occidental of Elk Hills, Inc.</t>
  </si>
  <si>
    <t>No export to grid. No telemetry</t>
  </si>
  <si>
    <t>CHILLS_7_UNITA1</t>
  </si>
  <si>
    <t>SYCAMORE CANYON LANDFILL PLANT B</t>
  </si>
  <si>
    <t>Gas Recovery Systems</t>
  </si>
  <si>
    <t>CORONS_6_CLRWTR</t>
  </si>
  <si>
    <t>Clearwater Power Plant</t>
  </si>
  <si>
    <t>City of Corona</t>
  </si>
  <si>
    <t>CORONS_7_CTG2001</t>
  </si>
  <si>
    <t>Clearwater Power Plant CT Unit 1</t>
  </si>
  <si>
    <t>CORONS_7_STG1301</t>
  </si>
  <si>
    <t>Clearwater Power Plant ST Unit 2</t>
  </si>
  <si>
    <t>DUANE_1_PL1X3</t>
  </si>
  <si>
    <t>DONALD VON RAESFELD POWER PLANT</t>
  </si>
  <si>
    <t>Silicon Valley Power</t>
  </si>
  <si>
    <t>NCP1</t>
  </si>
  <si>
    <t>DUANE_7_CTG1</t>
  </si>
  <si>
    <t>DONALD VON RAESFELD CTG1 UNIT</t>
  </si>
  <si>
    <t>DUANE_7_CTG2</t>
  </si>
  <si>
    <t>DONALD VON RAESFELD CTG2 UNIT</t>
  </si>
  <si>
    <t>DUANE_7_STG3</t>
  </si>
  <si>
    <t>DONALD VON RAESFELD STG3 UNIT</t>
  </si>
  <si>
    <t>VINCNT_2_WESTWD</t>
  </si>
  <si>
    <t>OASIS POWER PLANT</t>
  </si>
  <si>
    <t>OASIS POWER PARTNERS, LLC</t>
  </si>
  <si>
    <t>First paralleled 12/16/2004.</t>
  </si>
  <si>
    <t>FLOWD2_2_FPLWND</t>
  </si>
  <si>
    <t>DIABLO WINDS</t>
  </si>
  <si>
    <t>DIABLO WINDS, LLC</t>
  </si>
  <si>
    <t>First paralled on 12/21/2004.</t>
  </si>
  <si>
    <t>LEBECS_2_UNITS</t>
  </si>
  <si>
    <t>PASTORIA ENERGY FACILITY</t>
  </si>
  <si>
    <t>1x1 CC portion became commercial 5/4/2005. 2x1 CC portion became commercial 7/5/2005.</t>
  </si>
  <si>
    <t>LEBECS_7_CTG4</t>
  </si>
  <si>
    <t>PASTORIA ENERGY FACILITY CTG UNIT 4</t>
  </si>
  <si>
    <t>LEBECS_7_STG5</t>
  </si>
  <si>
    <t>PASTORIA ENERGY FACILITY STG UNIT 5</t>
  </si>
  <si>
    <t>ELDORO_7_UNIT 1</t>
  </si>
  <si>
    <t>EL DORADO POWERHOUSE UNIT 1</t>
  </si>
  <si>
    <t>El Dorado Irrigation District</t>
  </si>
  <si>
    <t>AMERICAN RIVER-SOUTH FORK</t>
  </si>
  <si>
    <t>ELDORO_7_UNIT 2</t>
  </si>
  <si>
    <t>EL DORADO POWERHOUSE UNIT 2</t>
  </si>
  <si>
    <t>METEC_2_PL1X3</t>
  </si>
  <si>
    <t>METCALF ENERGY CENTER</t>
  </si>
  <si>
    <t>METEC_7_CTG1</t>
  </si>
  <si>
    <t>METCALF ENERGY CENTER CTG UNIT 1</t>
  </si>
  <si>
    <t>METEC_7_CTG2</t>
  </si>
  <si>
    <t>METCALF ENERGY CENTER CTG UNIT 2</t>
  </si>
  <si>
    <t>METEC_7_STG3</t>
  </si>
  <si>
    <t>METCALF ENERGY CENTER STG UNIT 3</t>
  </si>
  <si>
    <t>PNOCHE_1_PL1X2</t>
  </si>
  <si>
    <t>WELLHEAD - PANOCHE PEAKER</t>
  </si>
  <si>
    <t>PNOCHE_7_ICE2</t>
  </si>
  <si>
    <t>WELLHEAD - PANOCHE ICE UNIT 2</t>
  </si>
  <si>
    <t>LEBECS_7_CTG1</t>
  </si>
  <si>
    <t>PASTORIA ENERGY FACILITY CTG UNIT 1</t>
  </si>
  <si>
    <t>LEBECS_7_CTG2</t>
  </si>
  <si>
    <t>PASTORIA ENERGY FACILITY CTG UNIT 2</t>
  </si>
  <si>
    <t>LEBECS_7_STG3</t>
  </si>
  <si>
    <t>PASTORIA ENERGY FACILITY STG UNIT 3</t>
  </si>
  <si>
    <t>MRGT_6_MMAREF</t>
  </si>
  <si>
    <t>MIRAMAR ENERGY FACILITY</t>
  </si>
  <si>
    <t>San Diego Gas &amp; Electric</t>
  </si>
  <si>
    <t>GATES_6_PL1X2</t>
  </si>
  <si>
    <t>GATES PEAKER FACILITY</t>
  </si>
  <si>
    <t>GATES_7_ICE2</t>
  </si>
  <si>
    <t>GATES PEAKER FACILITY ICE UNIT 2</t>
  </si>
  <si>
    <t>MALAGA_1_PL1X2</t>
  </si>
  <si>
    <t>KRCD MALAGA PEAKING PLANT</t>
  </si>
  <si>
    <t>Kings River Conservation District</t>
  </si>
  <si>
    <t>MALAGA_7_CTG1</t>
  </si>
  <si>
    <t>KRCD MALAGA PEAKING PLANT CTG1</t>
  </si>
  <si>
    <t>MALAGA_7_CTG2</t>
  </si>
  <si>
    <t>KRCD MALAGA PEAKING PLANT CTG2</t>
  </si>
  <si>
    <t>VERNON_6_MALBRG</t>
  </si>
  <si>
    <t>MALBURG GENERATING FACILITY (AGGREGATE)</t>
  </si>
  <si>
    <t>City of Vernon</t>
  </si>
  <si>
    <t>VERNON_7_CTG1</t>
  </si>
  <si>
    <t>MALBURG GENERATING FACILITY CTG1</t>
  </si>
  <si>
    <t>VERNON_7_CTG2</t>
  </si>
  <si>
    <t>MALBURG GENERATING FACILITY CTG2</t>
  </si>
  <si>
    <t>VERNON_7_STG3</t>
  </si>
  <si>
    <t>MALBURG GENERATING FACILITY STG3</t>
  </si>
  <si>
    <t>LASSEN_6_UNITS</t>
  </si>
  <si>
    <t>LASSEN AREA QF AGGREGATION</t>
  </si>
  <si>
    <t>Various</t>
  </si>
  <si>
    <t>Aggregation of 4 existing QF resources in the Lassen UDC system.</t>
  </si>
  <si>
    <t>SBERDO_2_PSP3</t>
  </si>
  <si>
    <t>MOUNTAINVIEW POWER PLANT POWER BLOCK 3</t>
  </si>
  <si>
    <t>Monutainview Power Company. LLC</t>
  </si>
  <si>
    <t>SBERDO_7_CT3A</t>
  </si>
  <si>
    <t>MOUNTAINVIEW POWER, POWER BLOCK 3, CT3A</t>
  </si>
  <si>
    <t>Mountainview Power Company, LLC</t>
  </si>
  <si>
    <t>SBERDO_7_CT3B</t>
  </si>
  <si>
    <t>MOUNTAINVIEW POWER, POWER BLOCK 3, CT3B</t>
  </si>
  <si>
    <t>SBERDO_7_STG3</t>
  </si>
  <si>
    <t>MOUNTAINVIEW POWER, POWER BLOCK 3, STG3</t>
  </si>
  <si>
    <t>CRSTWD_6_KUMYAY</t>
  </si>
  <si>
    <t>KUMEYAAY WIND FARM</t>
  </si>
  <si>
    <t>Kumeyaay Wind LLC</t>
  </si>
  <si>
    <t>SBERDO_2_PSP4</t>
  </si>
  <si>
    <t>MOUNTAINVIEW POWER PLANT POWER BLOCK 4</t>
  </si>
  <si>
    <t>Mountainview Power Company</t>
  </si>
  <si>
    <t>SBERDO_7_CT4A</t>
  </si>
  <si>
    <t>MOUNTAINVIEW POWER, POWER BLOCK 4, CT4A</t>
  </si>
  <si>
    <t>SBERDO_7_CT4B</t>
  </si>
  <si>
    <t>MOUNTAINVIEW POWER, POWER BLOCK 4, CT4B</t>
  </si>
  <si>
    <t>SBERDO_7_STG4</t>
  </si>
  <si>
    <t>MOUNTAINVIEW POWER, POWER BLOCK 4, STG4</t>
  </si>
  <si>
    <t>GRNVLY_7_SCLAND</t>
  </si>
  <si>
    <t>SANTA CRUZ LANDFILL GENERATING PLANT</t>
  </si>
  <si>
    <t>Ameresco Santa Cruz, LLC</t>
  </si>
  <si>
    <t>BRDSLD_2_SHILO1</t>
  </si>
  <si>
    <t>SHILOH I WIND PROJECT</t>
  </si>
  <si>
    <t>Shiloh I Wind Project LLC</t>
  </si>
  <si>
    <t>PALOMR_2_PL1X3</t>
  </si>
  <si>
    <t>PALOMAR ENERGY CENTER</t>
  </si>
  <si>
    <t>PALOMR_7_CTG1</t>
  </si>
  <si>
    <t>PALOMAR ENERGY CENTER CTG UNIT 1</t>
  </si>
  <si>
    <t>PALOMR_7_CTG2</t>
  </si>
  <si>
    <t>PALOMAR ENERGY CENTER CTG UNIT 2</t>
  </si>
  <si>
    <t>PALOMR_7_STG3</t>
  </si>
  <si>
    <t>PALOMAR ENERGY CENTER STG UNIT 3</t>
  </si>
  <si>
    <t>CSTRVL_7_QFUNTS</t>
  </si>
  <si>
    <t>Castroville QF Aggregate</t>
  </si>
  <si>
    <t>QF aggregation</t>
  </si>
  <si>
    <t>FELLOW_7_QFUNTS</t>
  </si>
  <si>
    <t>FELLOW QF UNIT AGGREGATE</t>
  </si>
  <si>
    <t>QF Aggretate</t>
  </si>
  <si>
    <t>RVSIDE_6_RERCU1</t>
  </si>
  <si>
    <t>Riverside Energy Res. Ctr Unit 1</t>
  </si>
  <si>
    <t>RVD1</t>
  </si>
  <si>
    <t>RVSIDE_6_RERCU2</t>
  </si>
  <si>
    <t>Riverside Energy Res. Ctr Unit 2</t>
  </si>
  <si>
    <t>ESCNDO_6_PL1X2</t>
  </si>
  <si>
    <t>MMC Escondido</t>
  </si>
  <si>
    <t>MMC Escondido LLC</t>
  </si>
  <si>
    <t>Includes a 0.02 MW Internal Combustion engine</t>
  </si>
  <si>
    <t>OTAY_6_PL1X2</t>
  </si>
  <si>
    <t>MMC Chula Vista Aggregate</t>
  </si>
  <si>
    <t>MMC Chula Vista, LLC</t>
  </si>
  <si>
    <t>0.02 MW is an internal combustion engine</t>
  </si>
  <si>
    <t>AGRICO_6_PL3N5</t>
  </si>
  <si>
    <t>FRESNO PEAKER PLANT (AGGREGATE)</t>
  </si>
  <si>
    <t>FRESNO COGENERATION PARTNERS</t>
  </si>
  <si>
    <t>AGRICO_7_ICE5</t>
  </si>
  <si>
    <t>FRESNO PEAKER PLANT ICE UNIT</t>
  </si>
  <si>
    <t>CCRITA_7_RPPCHF</t>
  </si>
  <si>
    <t>Rancho Penasquitos Hydro Facility</t>
  </si>
  <si>
    <t>San Diego County Water Authority</t>
  </si>
  <si>
    <t>OTAY_7_UNITC1</t>
  </si>
  <si>
    <t>Otay 3</t>
  </si>
  <si>
    <t>Covanta Otay 3 Company</t>
  </si>
  <si>
    <t>UKIAH_7_LAKEMN</t>
  </si>
  <si>
    <t>Lake Mendocino Hydro</t>
  </si>
  <si>
    <t>Part of NCPA MSS</t>
  </si>
  <si>
    <t>HINSON_6_LBECH1</t>
  </si>
  <si>
    <t>Long Beach - Unit 1</t>
  </si>
  <si>
    <t>Long Beach Generation LLC</t>
  </si>
  <si>
    <t>HINSON_6_LBECH2</t>
  </si>
  <si>
    <t>Long Beach - Unit 2</t>
  </si>
  <si>
    <t>HINSON_6_LBECH3</t>
  </si>
  <si>
    <t>Long Beach - Unit 3</t>
  </si>
  <si>
    <t>HINSON_6_LBECH4</t>
  </si>
  <si>
    <t>Long Beach - Unit 4</t>
  </si>
  <si>
    <t>CSTRVL_7_PL1X2</t>
  </si>
  <si>
    <t>Marina Landfill Gas - Units 1&amp;2</t>
  </si>
  <si>
    <t>Monterey Regional Waste Management District</t>
  </si>
  <si>
    <t>BARRE_6_PEAKER</t>
  </si>
  <si>
    <t>Barre Peaker</t>
  </si>
  <si>
    <t>CENTER_6_PEAKER</t>
  </si>
  <si>
    <t>Center Peaker</t>
  </si>
  <si>
    <t>ETIWND_6_GRPLND</t>
  </si>
  <si>
    <t>Grapeland Peaker</t>
  </si>
  <si>
    <t>MIRLOM_6_PEAKER</t>
  </si>
  <si>
    <t>Mira Loma Peaker</t>
  </si>
  <si>
    <t>GEYS17_2_BOTRCK</t>
  </si>
  <si>
    <t>Bottle Rock Geo Steam</t>
  </si>
  <si>
    <t>Bottle Rock Power, LLC</t>
  </si>
  <si>
    <t>PALALT_7_COBUG</t>
  </si>
  <si>
    <t>PALALT_COBUG Unit 1, 2, 3, &amp; 4</t>
  </si>
  <si>
    <t>RHONDO_6_PUENTE</t>
  </si>
  <si>
    <t>Puente Hills Facility</t>
  </si>
  <si>
    <t>Cnty Sanitation Dist.No.2 of LA County</t>
  </si>
  <si>
    <t>TIFFNY_1_DILLON</t>
  </si>
  <si>
    <t>Dillon 1 Wind Project</t>
  </si>
  <si>
    <t>Dillon Wind LLC</t>
  </si>
  <si>
    <t>CHWCHL_1_BIOMAS</t>
  </si>
  <si>
    <t>Chow II Biomass to Energy</t>
  </si>
  <si>
    <t>Global Ampersand LLC</t>
  </si>
  <si>
    <t>ELNIDP_6_BIOMAS</t>
  </si>
  <si>
    <t>El Nido Biomass to Energy</t>
  </si>
  <si>
    <t>GATWAY_2_PL1X3</t>
  </si>
  <si>
    <t>Gateway Generating Station</t>
  </si>
  <si>
    <t>WHEATL_6_LNDFIL</t>
  </si>
  <si>
    <t>G2 Energy, Ostrom Road</t>
  </si>
  <si>
    <t>G2 Energy, Ostrom Road, LLC</t>
  </si>
  <si>
    <t>BRDSLD_2_SHILO2</t>
  </si>
  <si>
    <t>Shiloh Wind Project 2</t>
  </si>
  <si>
    <t>Shiloh Wind Project 2, LLC</t>
  </si>
  <si>
    <t>OXMTN_6_LNDFIL</t>
  </si>
  <si>
    <t>Ox Mountain Landfill</t>
  </si>
  <si>
    <t>Ameresco Half Moon Bay LLC</t>
  </si>
  <si>
    <t>6 internal combustion generator sets @ approximately 1.9 MW each</t>
  </si>
  <si>
    <t>PNCHPP_1_PL1X2</t>
  </si>
  <si>
    <t>Starwood Power</t>
  </si>
  <si>
    <t>Starwood Power-Midway, LLC</t>
  </si>
  <si>
    <t>simple-cycle resource consisting of 2 combustion turbine generator sets</t>
  </si>
  <si>
    <t>PNCHEG_2_PL1X4</t>
  </si>
  <si>
    <t>Panoche Energy Center</t>
  </si>
  <si>
    <t>Panoche Energy Center, LLC</t>
  </si>
  <si>
    <t>Consisting of 4 combustion turbine generators</t>
  </si>
  <si>
    <t>GARNET_1_WIND</t>
  </si>
  <si>
    <t>GARNET WIND ENERGY CENTER</t>
  </si>
  <si>
    <t>GARNET ENERGY CORPORATION</t>
  </si>
  <si>
    <t>INLDEM_5_UNIT 1</t>
  </si>
  <si>
    <t>Inland Empire Energy Center, Unit 1</t>
  </si>
  <si>
    <t>Inland Empire Energy Center, LLC</t>
  </si>
  <si>
    <t>ETIWND_2_SOLAR</t>
  </si>
  <si>
    <t>FONTANA RT SOLAR</t>
  </si>
  <si>
    <t>Southern California Edison</t>
  </si>
  <si>
    <t>KIRKER_7_KELCYN</t>
  </si>
  <si>
    <t>KELLER CANYON LANDFILL GEN FACILITY</t>
  </si>
  <si>
    <t>Ameresco Keller Canyon, LLC</t>
  </si>
  <si>
    <t>MRGT_6_MEF2</t>
  </si>
  <si>
    <t>Miramar Energy Facility II</t>
  </si>
  <si>
    <t>SAUGUS_2_TOLAND</t>
  </si>
  <si>
    <t>Toland Landfill gas to Energy Project</t>
  </si>
  <si>
    <t>Ventura Regional Sanitation District</t>
  </si>
  <si>
    <t>OTMESA_2_PL1X3</t>
  </si>
  <si>
    <t>Otay Mesa Energy Center</t>
  </si>
  <si>
    <t>Otay Mesa Energy Center, LLC</t>
  </si>
  <si>
    <t>CHINO_2_SOLAR</t>
  </si>
  <si>
    <t>Chino Roof Top Solar Project</t>
  </si>
  <si>
    <t>BLYTHE_1_SOLAR1</t>
  </si>
  <si>
    <t>Blythe Solar 1 Project</t>
  </si>
  <si>
    <t>NRG Solar Blythe LLC</t>
  </si>
  <si>
    <t>VACADX_1_SOLAR</t>
  </si>
  <si>
    <t>Vaca-Dixon Solar Station</t>
  </si>
  <si>
    <t>PSWEET_1_STCRUZ</t>
  </si>
  <si>
    <t>Santa Cruz Energy LLC</t>
  </si>
  <si>
    <t>MENBIO_6_RENEW1</t>
  </si>
  <si>
    <t>CalRENEW-1(A)</t>
  </si>
  <si>
    <t>CalRENEW-1 LLC</t>
  </si>
  <si>
    <t>INLDEM_5_UNIT 2</t>
  </si>
  <si>
    <t>Inland Empire Energy Center, L.L.C. Unit 2</t>
  </si>
  <si>
    <t>Inland Empire Energy Center, L.L.C.</t>
  </si>
  <si>
    <t>BUCKBL_2_PL1X3</t>
  </si>
  <si>
    <t>Blythe Energy Project</t>
  </si>
  <si>
    <t>Blythe Energy, LLC</t>
  </si>
  <si>
    <t>COPMTN_2_SOLAR1</t>
  </si>
  <si>
    <t>Copper Mountain Solar 1</t>
  </si>
  <si>
    <t>El Dorado Energy, LLC</t>
  </si>
  <si>
    <t>This is a pseudo tie</t>
  </si>
  <si>
    <t>ELCAJN_6_LM6K</t>
  </si>
  <si>
    <t>El Cajon Energy Center</t>
  </si>
  <si>
    <t>El Cajon Energy, LLC</t>
  </si>
  <si>
    <t>OGROVE_6_PL1X2</t>
  </si>
  <si>
    <t>Orange Grove Energy Center</t>
  </si>
  <si>
    <t>Orange Grove Energy, L.P.</t>
  </si>
  <si>
    <t>Two GE LM 6000 combustion turbines</t>
  </si>
  <si>
    <t>BLULKE_6_BLUELK</t>
  </si>
  <si>
    <t>Blue lake Power</t>
  </si>
  <si>
    <t>Blue lake Power, LLC</t>
  </si>
  <si>
    <t>MOORPK_2_CALABS</t>
  </si>
  <si>
    <t>Calabasas Gas-to-Energy Facility</t>
  </si>
  <si>
    <t>County Sanitation District No.2 of Los Angeles County</t>
  </si>
  <si>
    <t>SISQUC_1_SMARIA</t>
  </si>
  <si>
    <t>Santa Maria II LFG Power Plant</t>
  </si>
  <si>
    <t>J&amp;A-Santa Maria II, LLC</t>
  </si>
  <si>
    <t>HUMBPP_6_UNITS1</t>
  </si>
  <si>
    <t>Humboldt Bay Generating Station 1</t>
  </si>
  <si>
    <t>HUMBPP_6_UNITS2</t>
  </si>
  <si>
    <t>Humboldt Bay Generating Station 2</t>
  </si>
  <si>
    <t>HUMBPP_1_UNITS3</t>
  </si>
  <si>
    <t>Humboldt Bay Generating Station 3</t>
  </si>
  <si>
    <t>MARTIN_1_SUNSET</t>
  </si>
  <si>
    <t>Sunset Reservoir - North Basin</t>
  </si>
  <si>
    <t>RE SFCity1, LP</t>
  </si>
  <si>
    <t>HATRDG_2_WIND</t>
  </si>
  <si>
    <t>Hatchet Ridge Wind Farm</t>
  </si>
  <si>
    <t>Hatchet Ridge Wind, LLC</t>
  </si>
  <si>
    <t>SAUGUS_7_CHIQCN</t>
  </si>
  <si>
    <t>Chiquita Canyon Landfill Generating Facility</t>
  </si>
  <si>
    <t>Ameresco Chiquita Energy, LLC</t>
  </si>
  <si>
    <t>COLUSA_2_PL1X3</t>
  </si>
  <si>
    <t>Colusa Generating Station</t>
  </si>
  <si>
    <t>ALTA4A_2_CPCW1</t>
  </si>
  <si>
    <t>CPC West - Alta Wind I</t>
  </si>
  <si>
    <t>Alta Wind I, LLC</t>
  </si>
  <si>
    <t>ALTA4B_2_CPCW2</t>
  </si>
  <si>
    <t>CPC West - Alta Wind II</t>
  </si>
  <si>
    <t>Alta Wind II, LLC</t>
  </si>
  <si>
    <t>BRDSLD_2_MTZUMA</t>
  </si>
  <si>
    <t>FPL Energy Montezuma Wind</t>
  </si>
  <si>
    <t>FPL Energy Montezuma Wind, LLC</t>
  </si>
  <si>
    <t>ALTA4B_2_CPCW3</t>
  </si>
  <si>
    <t>CPC West - Alta Wind III</t>
  </si>
  <si>
    <t>Alta Wind III, LLC</t>
  </si>
  <si>
    <t>VISTA_2_RIALTO</t>
  </si>
  <si>
    <t>Rialto Roof Top Solar Project</t>
  </si>
  <si>
    <t>ALTA3A_2_CPCE4</t>
  </si>
  <si>
    <t>CPC East - Alta Wind IV</t>
  </si>
  <si>
    <t>Alta Wind IV, LLC</t>
  </si>
  <si>
    <t>SBERDO_2_REDLND</t>
  </si>
  <si>
    <t>SPVP022 Redlands RT Solar</t>
  </si>
  <si>
    <t>a warehouse roof at 27221 Pioneer Avenue, Redlands, CA 92374</t>
  </si>
  <si>
    <t>RVSIDE_2_RERCU3</t>
  </si>
  <si>
    <t>Riverside Energy Resource Center (RERC) Unit 3</t>
  </si>
  <si>
    <t>City of Riverside</t>
  </si>
  <si>
    <t>RVSIDE_2_RERCU4</t>
  </si>
  <si>
    <t>Riverside Energy Resource Center (RERC) Unit 4</t>
  </si>
  <si>
    <t>ALTA3A_2_CPCE5</t>
  </si>
  <si>
    <t>CPC East - Alta Wind V</t>
  </si>
  <si>
    <t>Alta Interconnection Management II, LLC</t>
  </si>
  <si>
    <t>CHILLS_1_SYCENG</t>
  </si>
  <si>
    <t>Sycamore Energy 1</t>
  </si>
  <si>
    <t>Sycamore Energy 1 LLC</t>
  </si>
  <si>
    <t>SMRCOS_6_LNDFIL</t>
  </si>
  <si>
    <t>San Marcos Energy</t>
  </si>
  <si>
    <t>San Marcos Energy LLC</t>
  </si>
  <si>
    <t>ANAHM_2_CANYN3</t>
  </si>
  <si>
    <t>Canyon Power Plant Unit 3</t>
  </si>
  <si>
    <t>The City of Anaheim</t>
  </si>
  <si>
    <t>ANAHM_2_CANYN4</t>
  </si>
  <si>
    <t>Canyon Power Plant Unit 4</t>
  </si>
  <si>
    <t>AVENAL_6_AVPARK</t>
  </si>
  <si>
    <t>Avenal Park Solar Project</t>
  </si>
  <si>
    <t>Avenal Park LLC</t>
  </si>
  <si>
    <t>AVENAL_6_SANDDG</t>
  </si>
  <si>
    <t>Sand Drag Solar Project</t>
  </si>
  <si>
    <t>AVENAL_6_SUNCTY</t>
  </si>
  <si>
    <t>Sun City Solar Project</t>
  </si>
  <si>
    <t>Sun City Project LLC</t>
  </si>
  <si>
    <t>MIRLOM_2_ONTARO</t>
  </si>
  <si>
    <t>Ontario RT Solar</t>
  </si>
  <si>
    <t>Southern California Edison (SCE)</t>
  </si>
  <si>
    <t>at 3510 East Francis Street</t>
  </si>
  <si>
    <t>LAKHDG_6_UNIT 1</t>
  </si>
  <si>
    <t>Lake Hodges Pump Station 1 - Unit 1</t>
  </si>
  <si>
    <t>located at 18962 Lake Drive, Escondido, CA 92029. POD: 69 kV bus in Lake Hodges substation</t>
  </si>
  <si>
    <t>SCHNDR_1_WSTSDE</t>
  </si>
  <si>
    <t>Westside Solar Station</t>
  </si>
  <si>
    <t>Pacific Gas &amp; Electric Company</t>
  </si>
  <si>
    <t>located at 24245 South Trinity Avenue, Fivepoints, CA 93624, in Fresno County</t>
  </si>
  <si>
    <t>ANAHM_2_CANYN1</t>
  </si>
  <si>
    <t>Canyon Power Plant Unit 1</t>
  </si>
  <si>
    <t>located at 3071 East Mira Loma Avenue, Anaheim, CA</t>
  </si>
  <si>
    <t>ANAHM_2_CANYN2</t>
  </si>
  <si>
    <t>Canyon Power Plant Unit 2</t>
  </si>
  <si>
    <t>CASTVL_2_FCELL</t>
  </si>
  <si>
    <t>CSUEB Fuel Cell Station</t>
  </si>
  <si>
    <t>Pacific Gas and Electric Company</t>
  </si>
  <si>
    <t>located on the CSUEB (Hayward) campus at 25800 Carlos Bee Boulevard, Hayward, CA</t>
  </si>
  <si>
    <t>DALYCT_1_FCELL</t>
  </si>
  <si>
    <t>SF State Fuel Cell Station</t>
  </si>
  <si>
    <t>on the CSUSF campus at 1600 Holloway Avenue, San Francisco, CA.</t>
  </si>
  <si>
    <t>COPMTN_2_CM10</t>
  </si>
  <si>
    <t>CM10 Pseudo-Tie</t>
  </si>
  <si>
    <t>Copper Mountain Solar 1, LLC</t>
  </si>
  <si>
    <t>CM10 is an existing 10 MW gross nameplate solar photovoltaic project located at 751 El Dorado Valley Drive Boulder City, NV 89005. The point of delivery to the CAISO grid for this distribution-connected resource is the 220 kV bus in the NVE Merchant substation.</t>
  </si>
  <si>
    <t>STROUD_6_SOLAR</t>
  </si>
  <si>
    <t>Stroud Solar Station</t>
  </si>
  <si>
    <t>at 18285 West Kamm Avenue, Helm, CA 93627</t>
  </si>
  <si>
    <t>SCHNDR_1_FIVPTS</t>
  </si>
  <si>
    <t>Five Points Solar Station</t>
  </si>
  <si>
    <t>located at 23011 South Lassen Ave, Five Points, CA 93624</t>
  </si>
  <si>
    <t>FTSWRD_6_TRFORK</t>
  </si>
  <si>
    <t>Three Forks Water Power Project</t>
  </si>
  <si>
    <t>Grizzly Mountain Ranch</t>
  </si>
  <si>
    <t>Mile Marker 6, Stewart Ranch Rd, One quarter mi north of Gort Sward Sub Station. Zenia, CA 95595 Fort Seward Sub Station. 60 kV Bus at Fort Seward Sub 12V</t>
  </si>
  <si>
    <t>BRDSLD_2_SHLO3A</t>
  </si>
  <si>
    <t>Shiloh III - Phase A</t>
  </si>
  <si>
    <t>Shiloh III Wind Project, LLC</t>
  </si>
  <si>
    <t>50 Repower brand wind turbines rated at 2 MW each. 6523 Montezuma Hill Road, Birds Landing , CA 94512. POD:230 kV bus in the Bird's Landing substation (Peabody-CoCo PP 230 kV).</t>
  </si>
  <si>
    <t>AGUCAL_5_SOLAR1</t>
  </si>
  <si>
    <t>Agua Caliente Solar</t>
  </si>
  <si>
    <t>Agua Caliente Solar, LLC</t>
  </si>
  <si>
    <t>NE corner of Co 13th St N &amp; Ave 66E, Yuma , AZ 85347 POD: 500kV bus at Hoodoo Wash</t>
  </si>
  <si>
    <t>WNDSTR_2_WIND</t>
  </si>
  <si>
    <t>Windstar I</t>
  </si>
  <si>
    <t>Windstar Energy, LLC</t>
  </si>
  <si>
    <t>13949 Cameron Road, Tehachapi, CA 93561 POD: 220kV bus at Vincent Substation</t>
  </si>
  <si>
    <t>WNDSTR_2_WIND1</t>
  </si>
  <si>
    <t>Windstar 1</t>
  </si>
  <si>
    <t>WNDSTR_2_WIND2</t>
  </si>
  <si>
    <t>ALTA3A_2_CPCE8</t>
  </si>
  <si>
    <t>CPC East - Alta Wind VIII</t>
  </si>
  <si>
    <t>Alta Wind VIII, LLC</t>
  </si>
  <si>
    <t>12941 60th St. West, Mojave, CA 93501 POD: 220 kV bus at the Windhub Sub.</t>
  </si>
  <si>
    <t>BRDSLD_2_MTZUM2</t>
  </si>
  <si>
    <t>Montezuma II</t>
  </si>
  <si>
    <t>Montezuma II Wind, LLC</t>
  </si>
  <si>
    <t>6720 Birds Landing Road, Birds Landing, CA 94512. POD: 230kV bus at Birds Landing sub.</t>
  </si>
  <si>
    <t>USWPJR_2_UNITS</t>
  </si>
  <si>
    <t>GREEN RIDGE POWER (JACKSON)</t>
  </si>
  <si>
    <t>Vasco Wind, LLC</t>
  </si>
  <si>
    <t>6551 Los Vaqueros Road, Livermore , CA 94551. POD: Pole 17/93 on the Lone Tree-Cayetano 230 kV line.</t>
  </si>
  <si>
    <t>DELAMO_2_SOLRC1</t>
  </si>
  <si>
    <t>Golden Springs Building C1</t>
  </si>
  <si>
    <t>12816 Alder Dr, Santa Fe Springs, CA 90670. POD: 220kV bus of SCE's Del Amo Substation.</t>
  </si>
  <si>
    <t>BRODIE_2_WIND</t>
  </si>
  <si>
    <t>Coram California Development, L.P.</t>
  </si>
  <si>
    <t>6705, Oak Creek Rd Mojave CA 93501. POD: 230 kV bus at SCE's Windhub substation</t>
  </si>
  <si>
    <t>DELAMO_2_SOLRD</t>
  </si>
  <si>
    <t>Golden Solar Building D</t>
  </si>
  <si>
    <t>Golden Springs Development Company LLC</t>
  </si>
  <si>
    <t>12935 Leffingwell Avenue, Santa Fe Springs, CA 90670 POD: 220 kV bus at the Del Amo Substation</t>
  </si>
  <si>
    <t>BUCKWD_1_NPALM1</t>
  </si>
  <si>
    <t>North Palm Springs 1</t>
  </si>
  <si>
    <t>North palm Springs Investments</t>
  </si>
  <si>
    <t>Dillon Road and Worsley Road, Desert Hot Springs, CA 92240 POD: Devers-Farrell 115 kV line.</t>
  </si>
  <si>
    <t>WALNUT_2_SOLAR</t>
  </si>
  <si>
    <t>Industry MetroLink PV1</t>
  </si>
  <si>
    <t>City of Industry</t>
  </si>
  <si>
    <t>600 Brea Canyon Road, City of industry, CA 91744 POD: WALNUT 230 kV bus and this is a distribution connected resource in SCE territory</t>
  </si>
  <si>
    <t>Net Dependable</t>
  </si>
  <si>
    <t>Commercial</t>
  </si>
  <si>
    <t>Nameplate</t>
  </si>
  <si>
    <t>A-Active Control Area Units AND C-Contract Units Outside Ctrl Area</t>
  </si>
  <si>
    <t>Capacity (MW)</t>
  </si>
  <si>
    <t>Operating Date</t>
  </si>
  <si>
    <t>ISO Index</t>
  </si>
  <si>
    <t>Classification</t>
  </si>
  <si>
    <t>QF</t>
  </si>
  <si>
    <t>Aggregate</t>
  </si>
  <si>
    <t>Resource ID</t>
  </si>
  <si>
    <t>Generating Unit Name / Description</t>
  </si>
  <si>
    <t>PTO Area</t>
  </si>
  <si>
    <t>Owner or QF ID</t>
  </si>
  <si>
    <t>ISO Classification</t>
  </si>
  <si>
    <t>Unit Type</t>
  </si>
  <si>
    <t>Fuel Type</t>
  </si>
  <si>
    <t>Zone</t>
  </si>
  <si>
    <t>Demand Zone</t>
  </si>
  <si>
    <t>Comments</t>
  </si>
  <si>
    <t>River System</t>
  </si>
  <si>
    <t>Record Status</t>
  </si>
  <si>
    <t>OLINDA_7_BLKSND</t>
  </si>
  <si>
    <t>BLACKSAND ENERGY</t>
  </si>
  <si>
    <t>BlackSand Partners, LP</t>
  </si>
  <si>
    <t>BLACKSAND ENERGY TURBINE 1</t>
  </si>
  <si>
    <t>BLACKSAND ENERGY TURBINE 2</t>
  </si>
  <si>
    <t>COLVIL_7_PL1X2</t>
  </si>
  <si>
    <t>COLLIERVILLE PLANT (AGGREGATE)</t>
  </si>
  <si>
    <t>COLVIL_7_UNIT 1</t>
  </si>
  <si>
    <t>Collierville Unit 1</t>
  </si>
  <si>
    <t>COLVIL_7_UNIT 2</t>
  </si>
  <si>
    <t>Collierville Unit 2</t>
  </si>
  <si>
    <t>CONTAN_1_UNIT</t>
  </si>
  <si>
    <t>CONTAINER CORP (Aggregate)</t>
  </si>
  <si>
    <t>SVP (Santa Clara) Jefferson Smurfit Corp.</t>
  </si>
  <si>
    <t>CONTAN_1_GT 1</t>
  </si>
  <si>
    <t>CONTAINER CORP (JEFFERSON SMURFIT)</t>
  </si>
  <si>
    <t>CONTAN_1_ST 2</t>
  </si>
  <si>
    <t>HIGGNS_1_COMBIE</t>
  </si>
  <si>
    <t>Combie South Hydro</t>
  </si>
  <si>
    <t>Nevada Irrigation District</t>
  </si>
  <si>
    <t>Formerly HIGGNS_7_QFUNTS prior to 3/31/2010.</t>
  </si>
  <si>
    <t>null</t>
  </si>
  <si>
    <t>EL SOBRANTE LANDFILL UNIT 3</t>
  </si>
  <si>
    <t xml:space="preserve">Expansion project unit </t>
  </si>
  <si>
    <t>ETIWND_7_UNIT 3</t>
  </si>
  <si>
    <t>ETIWANDA UNIT 3</t>
  </si>
  <si>
    <t>RRI Energy Etiwanda, Inc.</t>
  </si>
  <si>
    <t>Mothballed 11/7/2003. Returned to service 9/9/2004.</t>
  </si>
  <si>
    <t>ETIWND_7_UNIT 4</t>
  </si>
  <si>
    <t>ETIWANDA UNIT 4</t>
  </si>
  <si>
    <t>Mothballed 11/7/2003. Returned to service 7/6/2004.</t>
  </si>
  <si>
    <t>GOLETA_6_ELLWOD</t>
  </si>
  <si>
    <t>Ellwood Generating Station</t>
  </si>
  <si>
    <t>Mothballed 11/7/2003. Returned to service 4/1/2005</t>
  </si>
  <si>
    <t>AGRICO_7_UNIT 4</t>
  </si>
  <si>
    <t>FRESNO CO-GEN CTG UNIT 4</t>
  </si>
  <si>
    <t>This CTG first paralleled 12/16/2004. Commercial on 1/14/2005.</t>
  </si>
  <si>
    <t>GARNET_1_UNITS</t>
  </si>
  <si>
    <t>GREEN POWER WIND FACILITY (Aggregate)</t>
  </si>
  <si>
    <t>FPL Green Power</t>
  </si>
  <si>
    <t>GARNET_1_UNIT 1</t>
  </si>
  <si>
    <t>GREEN POWER WIND UNIT 1, FACILITY WECS 98</t>
  </si>
  <si>
    <t>GARNET_1_UNIT 2</t>
  </si>
  <si>
    <t>GREEN POWER WIND UNIT 2, FACILITY WECS 28</t>
  </si>
  <si>
    <t>GARNET_1_UNIT 3</t>
  </si>
  <si>
    <t>GREEN POWER WIND UNIT 3, FACILITY WECS 67</t>
  </si>
  <si>
    <t>HNTGBH_7_UNIT 1</t>
  </si>
  <si>
    <t>Huntington Beach 1</t>
  </si>
  <si>
    <t>HNTGBH_7_UNIT 2</t>
  </si>
  <si>
    <t>Huntington Beach 2</t>
  </si>
  <si>
    <t>FAMOSO_7_KMBRLA</t>
  </si>
  <si>
    <t>KIMBERLINA POWER PLANT</t>
  </si>
  <si>
    <t>Clean Energy Systems, Inc.</t>
  </si>
  <si>
    <t>Unit is a test and research facility and not available for market dispatch or dependable capacity supply.</t>
  </si>
  <si>
    <t>SANITR_6_UNITS</t>
  </si>
  <si>
    <t>LACSD Carson Joint Water Polution Control Plant (AGGREGATE)</t>
  </si>
  <si>
    <t>LACSD</t>
  </si>
  <si>
    <t>SANITR_6_CTG1</t>
  </si>
  <si>
    <t>LACSD Carson Joint Water Polution Control Plant - CTG UNIT 1</t>
  </si>
  <si>
    <t>SANITR_6_CTG2</t>
  </si>
  <si>
    <t>LACSD Carson Joint Water Polution Control Plant - CTG UNIT 2</t>
  </si>
  <si>
    <t>SANITR_6_CTG3</t>
  </si>
  <si>
    <t>LACSD Carson Joint Water Polution Control Plant - CTG UNIT 3</t>
  </si>
  <si>
    <t>SANITR_6_STG4</t>
  </si>
  <si>
    <t>LACSD Carson Joint Water Polution Control Plant - STG UNIT 4</t>
  </si>
  <si>
    <t>SBERDO_6_MILLCK</t>
  </si>
  <si>
    <t>MILL CREEK HYDRO PROJECT (AGGREGATE)</t>
  </si>
  <si>
    <t>Mill Creek PH 1 Unit 1</t>
  </si>
  <si>
    <t>BIGCRK_7_MAMRES</t>
  </si>
  <si>
    <t>Mammoth Pool Fishwater Generator</t>
  </si>
  <si>
    <t>MNDALY_7_UNIT 3</t>
  </si>
  <si>
    <t>Mandalay 3 GT</t>
  </si>
  <si>
    <t>Mothballed 11/7/2003. Returned to Service 4/1/2005.</t>
  </si>
  <si>
    <t>PWEST_1_UNIT</t>
  </si>
  <si>
    <t>PACIFIC WEST I</t>
  </si>
  <si>
    <t>PPM One, LLC</t>
  </si>
  <si>
    <t>SBERDO_2_SNTANA</t>
  </si>
  <si>
    <t>SANTA ANA RIVER PROJECT (AGGREGATE)</t>
  </si>
  <si>
    <t>Santa Ana PH 1 Unit 1</t>
  </si>
  <si>
    <t>Santa Ana PH 1 Unit 2</t>
  </si>
  <si>
    <t>Santa Ana PH 1 Unit 3</t>
  </si>
  <si>
    <t>Santa Ana PH 1 Unit 4</t>
  </si>
  <si>
    <t>SIMI VALLEY LANDFILL UNIT 1</t>
  </si>
  <si>
    <t>SIMI VALLEY LANDFILL UNIT 2</t>
  </si>
  <si>
    <t>SUNRIS_2_UNIT 3</t>
  </si>
  <si>
    <t>Sunrise Power Project Unit 3</t>
  </si>
  <si>
    <t>FROGTN_7_UTICA</t>
  </si>
  <si>
    <t>UTICA POWER HYDRO AGGREGATE</t>
  </si>
  <si>
    <t>Aggregation of Angels and Murphys powerhouses</t>
  </si>
  <si>
    <t>Altamont Power LLC (Partners 2) - highly inactive</t>
  </si>
  <si>
    <t>16W010</t>
  </si>
  <si>
    <t>BEARCN_2_UNITS</t>
  </si>
  <si>
    <t>CALPINE GEYSERS CO. LP AGGREGATE</t>
  </si>
  <si>
    <t>Aggregate created 3/1/2007</t>
  </si>
  <si>
    <t>JAMES C. ROSS</t>
  </si>
  <si>
    <t>01S252</t>
  </si>
  <si>
    <t>CANAL CREEK POWER PLANT</t>
  </si>
  <si>
    <t>25H204</t>
  </si>
  <si>
    <t>SAN BERNARDINO MWD UNIT 3 (SITE 2100)</t>
  </si>
  <si>
    <t>FTSWRD_7_QFUNTS</t>
  </si>
  <si>
    <t>FORT SEWARD QF AGGREGATION</t>
  </si>
  <si>
    <t>Aggregation created 3/1/2007</t>
  </si>
  <si>
    <t>FRED L. HARTLEY RESEARCH CENTER (UNION OIL CO.)</t>
  </si>
  <si>
    <t>FoxPoint Farms</t>
  </si>
  <si>
    <t>ADLIN_1_UNITS</t>
  </si>
  <si>
    <t>GEOTHERMAL ENERGY PARTNERS</t>
  </si>
  <si>
    <t>Thomas S AtkinsonII - highly inactive</t>
  </si>
  <si>
    <t>12W077</t>
  </si>
  <si>
    <t>HUMBSB_1_QF</t>
  </si>
  <si>
    <t>HUMBOLDT AREA LUMPED QF UNITS</t>
  </si>
  <si>
    <t>Hale Ave. Resource Recovery Fac</t>
  </si>
  <si>
    <t>BERTHA NOLL</t>
  </si>
  <si>
    <t>04W063</t>
  </si>
  <si>
    <t>MICHAEL OR KAREN RIPPEY</t>
  </si>
  <si>
    <t>04W072</t>
  </si>
  <si>
    <t>MIRAGE_2_COCHLA</t>
  </si>
  <si>
    <t>IID Interchange Schedule</t>
  </si>
  <si>
    <t>IID</t>
  </si>
  <si>
    <t>AGC Tie Line</t>
  </si>
  <si>
    <t>C</t>
  </si>
  <si>
    <t>Colmac Energy Incorporated</t>
  </si>
  <si>
    <t>Del Ranch Ltd. (Niland #2)</t>
  </si>
  <si>
    <t>ELMORE, LTD. (NILAND #3)</t>
  </si>
  <si>
    <t>Heber Geothermal Company</t>
  </si>
  <si>
    <t>LEATHERS, L.P. (NILAND #4)</t>
  </si>
  <si>
    <t>ORMESA GEOTHERMAL I</t>
  </si>
  <si>
    <t>ORMESA GEOTHERMAL II</t>
  </si>
  <si>
    <t>SALTON SEA IV</t>
  </si>
  <si>
    <t>SALTON SEA POWER GENERATION L.P., #1</t>
  </si>
  <si>
    <t>SALTON SEA POWER GENERATION L.P., #2</t>
  </si>
  <si>
    <t>SALTON SEA POWER GENERATION L.P., #3</t>
  </si>
  <si>
    <t>SECOND IMPERIAL GEOTHERMAL COMPANY</t>
  </si>
  <si>
    <t>VULCAN / BN GEOTHERMAL PWR (NILAND #1)</t>
  </si>
  <si>
    <t>JOHANN_6_QFA1</t>
  </si>
  <si>
    <t>JOHANNA AREA LUMPED QF UNITS</t>
  </si>
  <si>
    <t>Jamacha Landfill</t>
  </si>
  <si>
    <t>KERN OIL CO-GEN</t>
  </si>
  <si>
    <t>Kern Oil &amp; Refining Co.</t>
  </si>
  <si>
    <t>SYLMAR_2_LDWP</t>
  </si>
  <si>
    <t>LADWP INTERCHANGE SCHEDULE</t>
  </si>
  <si>
    <t>LDWP</t>
  </si>
  <si>
    <t>PENROSE LANDFILL GAS CONVERSION, LLC</t>
  </si>
  <si>
    <t>TOYON LANDFILL GAS CONVERSION, LLC</t>
  </si>
  <si>
    <t>MWD RECOVERY PHASE II-IV, 1 OF 9 (SEPULVEDA)</t>
  </si>
  <si>
    <t>G SQUARED ENERGY (DOMIN. GAP)</t>
  </si>
  <si>
    <t>LOWGAP_7_QFUNTS</t>
  </si>
  <si>
    <t>LOW GAP QF AGGREGATION</t>
  </si>
  <si>
    <t>MESAP_1_QF</t>
  </si>
  <si>
    <t>MESA AREA LUMPED QF UNITS</t>
  </si>
  <si>
    <t>City of San Luis Obispo - highly inactive</t>
  </si>
  <si>
    <t>18H054</t>
  </si>
  <si>
    <t>SAN MARINO HIGH SCHOOL</t>
  </si>
  <si>
    <t>METCLF_1_QF</t>
  </si>
  <si>
    <t>METCALF AREA LUMPED QF UNITS</t>
  </si>
  <si>
    <t>MIDWAY_1_QF</t>
  </si>
  <si>
    <t>MIDWAY AREA (BAKERSFIELD) LUMPED QF UNITS</t>
  </si>
  <si>
    <t>MILBRA_1_QF</t>
  </si>
  <si>
    <t>MILBRAE AREA LUMPED QF UNITS</t>
  </si>
  <si>
    <t>Westmoor High School</t>
  </si>
  <si>
    <t>02C049</t>
  </si>
  <si>
    <t>MLPTAS_7_QFUNTS</t>
  </si>
  <si>
    <t>MILPITAS QF AGGREGATION</t>
  </si>
  <si>
    <t>Milpitas High School - highly inactive</t>
  </si>
  <si>
    <t>08C043</t>
  </si>
  <si>
    <t>MINNESOTA METHANE (TEAPOT DOME)</t>
  </si>
  <si>
    <t>CORONADO ISLAND MARRIOTT I</t>
  </si>
  <si>
    <t>URBAN_6_NMED1</t>
  </si>
  <si>
    <t>NAVAL REGIONAL MEDICAL CENTER (BALBOA)</t>
  </si>
  <si>
    <t>505 (Formerly 109)</t>
  </si>
  <si>
    <t>Re-powered 2/26/2004</t>
  </si>
  <si>
    <t>NEWARK_1_QF</t>
  </si>
  <si>
    <t>NEWARK AREA LUMPED QF UNITS</t>
  </si>
  <si>
    <t>Robert and Joyce Vieux - highly inactive</t>
  </si>
  <si>
    <t>01W134</t>
  </si>
  <si>
    <t>OILFLD_7_QFUNTS</t>
  </si>
  <si>
    <t>OIL FIELDS QF AGGREGATION</t>
  </si>
  <si>
    <t>PSWEET_7_QFUNTS</t>
  </si>
  <si>
    <t>PAUL SWEET QF AGGREGATION</t>
  </si>
  <si>
    <t>Sheila St. Germain</t>
  </si>
  <si>
    <t>15H052</t>
  </si>
  <si>
    <t>BERTHA WRIGHT BERTILLION</t>
  </si>
  <si>
    <t>15H072</t>
  </si>
  <si>
    <t>Rancho Penasquitos YMCA</t>
  </si>
  <si>
    <t>SLVRPK_7_SPP</t>
  </si>
  <si>
    <t>SIERRA PACIFIC INTERCHANGE SCHEDULE</t>
  </si>
  <si>
    <t>SPP</t>
  </si>
  <si>
    <t>BEOWAWE POWER, LLC</t>
  </si>
  <si>
    <t>WRGHTP_7_AMENGY</t>
  </si>
  <si>
    <t>SMALL QF AGGREGATION - LOS BANOS</t>
  </si>
  <si>
    <t>Formerly Res ID WOLFEN_6_UNIT 1</t>
  </si>
  <si>
    <t>YUBA CITY RACQUET CLUB</t>
  </si>
  <si>
    <t>12C085</t>
  </si>
  <si>
    <t>UNION OIL (TOSCO) FACILITY</t>
  </si>
  <si>
    <t>Union Oil (Tosco)</t>
  </si>
  <si>
    <t>YOUNG RADIO INC.</t>
  </si>
  <si>
    <t>06C153</t>
  </si>
  <si>
    <t>CURTIS, EDWIN</t>
  </si>
  <si>
    <t>VOLTA_7_QFUNTS</t>
  </si>
  <si>
    <t>VOLTA QF AGGREGATION</t>
  </si>
  <si>
    <t>ZANKER_1_UNIT 1</t>
  </si>
  <si>
    <t>ZANKER ROAD</t>
  </si>
  <si>
    <t>ZANKER_1_UNIT 2</t>
  </si>
  <si>
    <t>VERNON_6_GONZL1</t>
  </si>
  <si>
    <t>H. GONZALES GAS TURBINE 1</t>
  </si>
  <si>
    <t>VERNON_6_GONZL2</t>
  </si>
  <si>
    <t>H. GONZALES GAS TURBINE 2</t>
  </si>
  <si>
    <t>APLHIL_1_SLABCK</t>
  </si>
  <si>
    <t>SLAB CREEK HYDRO</t>
  </si>
  <si>
    <t>Refurbished &amp; returned to operation</t>
  </si>
  <si>
    <t>Assumptions Date:</t>
  </si>
  <si>
    <t>OTC Totals and Forecast Retirements</t>
  </si>
  <si>
    <t>Unit Name</t>
  </si>
  <si>
    <t>Owner</t>
  </si>
  <si>
    <t>LCR area or NP26/SP26</t>
  </si>
  <si>
    <t>NQC</t>
  </si>
  <si>
    <t>Technology</t>
  </si>
  <si>
    <t>Retirement date</t>
  </si>
  <si>
    <t>Bay Area</t>
  </si>
  <si>
    <t>NP26</t>
  </si>
  <si>
    <t>Steam</t>
  </si>
  <si>
    <t>San Diego</t>
  </si>
  <si>
    <t>CCGT</t>
  </si>
  <si>
    <t>LA Basin</t>
  </si>
  <si>
    <t>Big Creek-Ventura</t>
  </si>
  <si>
    <t>CT</t>
  </si>
  <si>
    <t>Contra Costa Unit 6</t>
  </si>
  <si>
    <t>Contra Costa Unit 7</t>
  </si>
  <si>
    <t>Notes</t>
  </si>
  <si>
    <t>El Segundo Unit 4</t>
  </si>
  <si>
    <t>Encina GT Unit 1</t>
  </si>
  <si>
    <t>Huntington Beach Unit 1</t>
  </si>
  <si>
    <t>Huntington Beach Unit 2</t>
  </si>
  <si>
    <t>Huntington Beach Unit 3</t>
  </si>
  <si>
    <t>Huntington Beach Unit 4</t>
  </si>
  <si>
    <t>Mandalay Unit 1</t>
  </si>
  <si>
    <t>Mandalay Unit 2</t>
  </si>
  <si>
    <t>Mandalay Unit 3</t>
  </si>
  <si>
    <t>Redondo Beach Unit 5</t>
  </si>
  <si>
    <t>Redondo Beach Unit 6</t>
  </si>
  <si>
    <t>Redondo Beach Unit 7</t>
  </si>
  <si>
    <t>Redondo Beach Unit 8</t>
  </si>
  <si>
    <t>Moss Landing Power Block 1</t>
  </si>
  <si>
    <t>Moss Landing Power Block 2</t>
  </si>
  <si>
    <t>Moss Landing Unit 6</t>
  </si>
  <si>
    <t>Moss Landing Unit 7</t>
  </si>
  <si>
    <t>San Onofre Nuclear Generating Station Unit 2</t>
  </si>
  <si>
    <t>San Onofre Nuclear Generating Station Unit 3</t>
  </si>
  <si>
    <t>Alternative Retirement</t>
  </si>
  <si>
    <t>Inc Small PV (GWh)</t>
  </si>
  <si>
    <t>Incremental Small PV (GWh)</t>
  </si>
  <si>
    <t>Incremental EE (MW)</t>
  </si>
  <si>
    <t>Incremental EE (GWh)</t>
  </si>
  <si>
    <t>Incremental CHP (MW)</t>
  </si>
  <si>
    <t>Incremental CHP (GWh)</t>
  </si>
  <si>
    <t>PG&amp;E Event-based programs: SmartRate, BIP, CBP, DBP, Peak Day Pricing, Smart AC, AMP, PeakChoice (only for year 2012)</t>
  </si>
  <si>
    <t>Mid value is calculated by taking the Portfolio Total for August of each year and subtracting it by the Non-Event Based subcategory and then rounding up to the nearest whole number. For 2015-2020, the same value is applied because SCE used an aggregate value for years 2015-2022.  Low value is mid minus 10%, while high value is mid plus 10%.</t>
  </si>
  <si>
    <t>SCE Event-based programs: BIP, AP-I, SDP, CPP, DBP, DRC, SPD</t>
  </si>
  <si>
    <t>SDG&amp;E Event-based programs: BIP, CBP Day-Ahead, CBP Day-Of, CPPD, PTR, SCTD, Summer Saver Commercial, Summer Saver Residential</t>
  </si>
  <si>
    <t>Updated compliance plan not yet filed</t>
  </si>
  <si>
    <t>El Segundo Unit 3</t>
  </si>
  <si>
    <t>Wind</t>
  </si>
  <si>
    <t>RPS</t>
  </si>
  <si>
    <t>CF</t>
  </si>
  <si>
    <t>Below are aggregated data and calculations to derive a capacity factor for small PV.</t>
  </si>
  <si>
    <t>These energy and power numbers were extracted from here: http://www.energy.ca.gov/2012_energypolicy/documents/demand-forecast/mid_case/</t>
  </si>
  <si>
    <t>Form 1.4 data from the CEC webpage above only contains impact of self generation PV at peak demand.</t>
  </si>
  <si>
    <t>The actual installed capacity numbers were obtained from Asish Gautam at the CEC.</t>
  </si>
  <si>
    <t>PGE</t>
  </si>
  <si>
    <t>Form 1.4</t>
  </si>
  <si>
    <t>Form 1.2</t>
  </si>
  <si>
    <t>Mid demand</t>
  </si>
  <si>
    <t>Installed</t>
  </si>
  <si>
    <t>impact MW</t>
  </si>
  <si>
    <t>impact GWh</t>
  </si>
  <si>
    <t>capacity MW</t>
  </si>
  <si>
    <t>cap fac</t>
  </si>
  <si>
    <t>This average forecasted capacity factor for PV was calculated from mid case forecasted energy and installed capacity for the 3 IOUs aggregated together.</t>
  </si>
  <si>
    <t>Demand side resources</t>
  </si>
  <si>
    <t>Supply side resources</t>
  </si>
  <si>
    <t>from Existing Generation tab of Technical Attachment Spreadsheet v6 of 2010 LTPP</t>
  </si>
  <si>
    <t>from CHP tab of Technical Attachment Spreadsheet v6 of 2010 LTPP</t>
  </si>
  <si>
    <t>http://www.cpuc.ca.gov/PUC/energy/Procurement/RA/ra_compliance_materials.htm</t>
  </si>
  <si>
    <t>CAISO Public Document                10/28/2011 Update</t>
  </si>
  <si>
    <t>2012 Final NQC Information</t>
  </si>
  <si>
    <t xml:space="preserve"> Resource Name</t>
  </si>
  <si>
    <t>Path 26</t>
  </si>
  <si>
    <t xml:space="preserve">LCR Area </t>
  </si>
  <si>
    <t>Jan</t>
  </si>
  <si>
    <t>Feb</t>
  </si>
  <si>
    <t>Mar</t>
  </si>
  <si>
    <t>Apr</t>
  </si>
  <si>
    <t>May</t>
  </si>
  <si>
    <t>Jun</t>
  </si>
  <si>
    <t>Jul</t>
  </si>
  <si>
    <t>Aug</t>
  </si>
  <si>
    <t>Sep</t>
  </si>
  <si>
    <t>Oct</t>
  </si>
  <si>
    <t>Nov</t>
  </si>
  <si>
    <t>Dec</t>
  </si>
  <si>
    <t xml:space="preserve">Deliverability Status: 
Full NQC (FC), 
Energy Only (EO) or Partially Deliverable (PD) </t>
  </si>
  <si>
    <t xml:space="preserve">Calc 
By: </t>
  </si>
  <si>
    <t>Calculation Classification
See Link in Box Above.</t>
  </si>
  <si>
    <t>GEYSERS AIDLIN AGGREGATE</t>
  </si>
  <si>
    <t>North</t>
  </si>
  <si>
    <t>NCNB</t>
  </si>
  <si>
    <t>FC</t>
  </si>
  <si>
    <t>ISO</t>
  </si>
  <si>
    <t>Dispatchable</t>
  </si>
  <si>
    <t>Fresno Peaker AG PL3N5 ICE5</t>
  </si>
  <si>
    <t>Fresno</t>
  </si>
  <si>
    <t>Fresno Cogen</t>
  </si>
  <si>
    <t>ALAMITOS GEN STA. UNIT 1</t>
  </si>
  <si>
    <t>South</t>
  </si>
  <si>
    <t>ALAMITOS GEN STA. UNIT 2</t>
  </si>
  <si>
    <t>ALAMITOS GEN STA. UNIT 3</t>
  </si>
  <si>
    <t>ALAMITOS GEN STA. UNIT 4</t>
  </si>
  <si>
    <t>ALAMITOS GEN STA. UNIT 5</t>
  </si>
  <si>
    <t>ALAMITOS GEN STA. UNIT 6</t>
  </si>
  <si>
    <t xml:space="preserve">ALAMO POWER PLANT </t>
  </si>
  <si>
    <t>Dispatchable Hydro</t>
  </si>
  <si>
    <t>ALAMEDA GT UNIT 1</t>
  </si>
  <si>
    <t>ALAMEDA GT UNIT 2</t>
  </si>
  <si>
    <t>Alta Wind V, LLC</t>
  </si>
  <si>
    <t>CAISO System</t>
  </si>
  <si>
    <t>CPUC</t>
  </si>
  <si>
    <t>Canyon Power Project Unit 1</t>
  </si>
  <si>
    <t>ANHM</t>
  </si>
  <si>
    <t>Canyon Power Project Unit 2</t>
  </si>
  <si>
    <t>Canyon Power Project Unit 3</t>
  </si>
  <si>
    <t>Canyon Power Project Unit 4</t>
  </si>
  <si>
    <t>ANAHEIM COMBUSTION TURBINE</t>
  </si>
  <si>
    <t>ANTELOPE QFS</t>
  </si>
  <si>
    <t>Non-Disp, QF, Bio, Geo &amp; Other</t>
  </si>
  <si>
    <t>BALCH 1 PH UNIT 1</t>
  </si>
  <si>
    <t>BALCH 2 PH UNIT 2</t>
  </si>
  <si>
    <t>BALCH 2 PH UNIT 3</t>
  </si>
  <si>
    <t>BANKPP_2_NSPIN</t>
  </si>
  <si>
    <t>Non-Disp Hydro</t>
  </si>
  <si>
    <t>BARRE QFS</t>
  </si>
  <si>
    <t>CALPINE  AMERICAN  I COGEN.</t>
  </si>
  <si>
    <t>Kern</t>
  </si>
  <si>
    <t>GEYSERS BEAR CANYON AGGREGATE</t>
  </si>
  <si>
    <t>BEARDSLEY HYDRO</t>
  </si>
  <si>
    <t>Stockton</t>
  </si>
  <si>
    <t>BELDEN HYDRO</t>
  </si>
  <si>
    <t>Sierra</t>
  </si>
  <si>
    <t>BISHOP CREEK PLANT 2  AND  6</t>
  </si>
  <si>
    <t>Non-Disp hydro</t>
  </si>
  <si>
    <t>BISHOP CREEK PLANT 3  AND  4</t>
  </si>
  <si>
    <t>JAMES B. BLACK 1</t>
  </si>
  <si>
    <t>JAMES B. BLACK 2</t>
  </si>
  <si>
    <t>BLACK BUTTE HYDRO</t>
  </si>
  <si>
    <t>SVP</t>
  </si>
  <si>
    <t>COSO ENERGY DEVELOPERS (BLM)</t>
  </si>
  <si>
    <t>Blue Lake Power</t>
  </si>
  <si>
    <t>Humboldt</t>
  </si>
  <si>
    <t>EO</t>
  </si>
  <si>
    <t>Solar</t>
  </si>
  <si>
    <t>ALTA POWER HOUSE</t>
  </si>
  <si>
    <t>Feather River Energy Center, Unit #1</t>
  </si>
  <si>
    <t>SMALL QF AGGREGATION - MADERA</t>
  </si>
  <si>
    <t>CalPeak Power - Border LLC</t>
  </si>
  <si>
    <t>BOWMAN</t>
  </si>
  <si>
    <t>BAKER STATION ASSOCIATES, LP HYDRO</t>
  </si>
  <si>
    <t>High Winds Energy Center</t>
  </si>
  <si>
    <t>Shiloh I Wind Project</t>
  </si>
  <si>
    <t>SHILOH WIND PROJECT 2</t>
  </si>
  <si>
    <t>BROADWAY UNIT 3</t>
  </si>
  <si>
    <t>Blythe Energy Center</t>
  </si>
  <si>
    <t>Oak Flat</t>
  </si>
  <si>
    <t>BUCKS CREEK AGGREGATE</t>
  </si>
  <si>
    <t>Burney Forest Power</t>
  </si>
  <si>
    <t>BUTT VALLEY HYDRO</t>
  </si>
  <si>
    <t>COSO Finance Partners (Navy 1)</t>
  </si>
  <si>
    <t>CAPCO MADERA Power Plant</t>
  </si>
  <si>
    <t>CARIBOU PH 1 UNIT 2 &amp; 3 AGGREGATE</t>
  </si>
  <si>
    <t>CARIBOU PH 2 UNIT 4 &amp; 5 AGGREGATE</t>
  </si>
  <si>
    <t>CARIBOU PH 1 UNIT 1</t>
  </si>
  <si>
    <t>POINT LOMA SEWAGE TREATMENT PLANT</t>
  </si>
  <si>
    <t>CDWR07_2_GEN</t>
  </si>
  <si>
    <t>CENTER QFS</t>
  </si>
  <si>
    <t>MWD Rio Hondo Hydroelectric Recovery Pla</t>
  </si>
  <si>
    <t>CENTURY GENERATING PLANT (AGGREGATE)</t>
  </si>
  <si>
    <t>AERA ENERGY LLC. (COALINGA)</t>
  </si>
  <si>
    <t>CHEVRON U.S.A. UNITS 1 &amp; 2 AGGREGATE</t>
  </si>
  <si>
    <t>CHICAGO PARK 1, BEAR RIVER CA</t>
  </si>
  <si>
    <t>GAS RECOVERY SYS. (SYCAMORE CANYON)</t>
  </si>
  <si>
    <t>CHINO QFS</t>
  </si>
  <si>
    <t>Chino RT Solar 1</t>
  </si>
  <si>
    <t>O.L.S. ENERGY COMPANY -- CHINO</t>
  </si>
  <si>
    <t>SIMPSON PAPER</t>
  </si>
  <si>
    <t>MN Milliken Genco LLC</t>
  </si>
  <si>
    <t>CHOW 2 PEAKER PLANT</t>
  </si>
  <si>
    <t>COAL CANYON HYDRO</t>
  </si>
  <si>
    <t>Lime Saddle Hydro</t>
  </si>
  <si>
    <t>SMALL QF AGGREGATION - OAKLAND</t>
  </si>
  <si>
    <t>Centerville</t>
  </si>
  <si>
    <t>CONTRA COSTA UNIT 6</t>
  </si>
  <si>
    <t>CONTRA COSTA UNIT 7</t>
  </si>
  <si>
    <t>Coleman</t>
  </si>
  <si>
    <t>COLGATE HYDRO UNIT 1</t>
  </si>
  <si>
    <t>COLGATE HYDRO UNIT 2</t>
  </si>
  <si>
    <t>COLLINS PINE</t>
  </si>
  <si>
    <t>AGUA MANSA UNIT 1 (CITY OF COLTON)</t>
  </si>
  <si>
    <t>COLLIERVILLE HYDRO UNIT 1 &amp; 2 AGGREGATE</t>
  </si>
  <si>
    <t>CONTAINER CORP. OF AMERICA</t>
  </si>
  <si>
    <t>LUNDY</t>
  </si>
  <si>
    <t>OXBOW GEOTHERMAL CORPORATION</t>
  </si>
  <si>
    <t>POOLE HYDRO PLANT 1</t>
  </si>
  <si>
    <t>CONTROL QFS</t>
  </si>
  <si>
    <t>RUSH CREEK</t>
  </si>
  <si>
    <t>Copper Mountain Solar 1 Pseudo Tie Pilot</t>
  </si>
  <si>
    <t>CAISO Import</t>
  </si>
  <si>
    <t>PD to 16.5</t>
  </si>
  <si>
    <t>FRANKENHEIMER</t>
  </si>
  <si>
    <t>COVE ROAD HYDRO QF UNITS</t>
  </si>
  <si>
    <t>Cow Creek Hydro</t>
  </si>
  <si>
    <t>PRIMA DESCHECHA (CAPISTRANO)</t>
  </si>
  <si>
    <t>MERCED ID (PARKER)</t>
  </si>
  <si>
    <t>CRESTA PH UNIT 1 &amp; 2 AGGREGATE</t>
  </si>
  <si>
    <t xml:space="preserve">Crane Valley </t>
  </si>
  <si>
    <t>SAN JOAQUIN 2</t>
  </si>
  <si>
    <t>SAN JOAQUIN 3</t>
  </si>
  <si>
    <t>Kumeyaay Wind Farm</t>
  </si>
  <si>
    <t>SANTA CLARA CO-GEN</t>
  </si>
  <si>
    <t>GIANERA PEAKER UNIT 1</t>
  </si>
  <si>
    <t>GIANERA PEAKER UNIT 2</t>
  </si>
  <si>
    <t>Marina Land Fill Gas</t>
  </si>
  <si>
    <t>SMALL QF AGGREGATION - BURNEY</t>
  </si>
  <si>
    <t>SMALL QF AGGREGATION - MERCED</t>
  </si>
  <si>
    <t>COOLWATER GEN STA. UNIT 1</t>
  </si>
  <si>
    <t>COOLWATER GEN STA. UNIT 2</t>
  </si>
  <si>
    <t>COOLWATER STATION 3 AGGREGATE</t>
  </si>
  <si>
    <t>COOLWATER STATION 4 AGGREGATE</t>
  </si>
  <si>
    <t>MM Yolo Power LLC</t>
  </si>
  <si>
    <t>DELTA ENERGY CENTER AGGREGATE</t>
  </si>
  <si>
    <t>DEVERS QFS</t>
  </si>
  <si>
    <t>DAI / OILDALE , INC.</t>
  </si>
  <si>
    <t>DINUBA GENERATION PROJECT</t>
  </si>
  <si>
    <t>DIVISION NAVAL STATION COGEN</t>
  </si>
  <si>
    <t>DIAMOND VALLEY LAKE PUMP-GEN PLANT</t>
  </si>
  <si>
    <t>DONNELLS HYDRO</t>
  </si>
  <si>
    <t>DOSMGO_2_NSPIN</t>
  </si>
  <si>
    <t>DREWS UNIT AGGREGATE</t>
  </si>
  <si>
    <t>Drum PH 1 Units 1 &amp; 2 Aggregate</t>
  </si>
  <si>
    <t>Drum PH 1 Units 3 &amp; 4 Aggregate</t>
  </si>
  <si>
    <t>DRUM PH 2 UNIT 5</t>
  </si>
  <si>
    <t>De Sabla Hydro</t>
  </si>
  <si>
    <t>DONALD VON RAESFELD POWER PROJECT</t>
  </si>
  <si>
    <t>DUTCH FLAT 1 PH</t>
  </si>
  <si>
    <t>DUTCH FLAT 2 PH</t>
  </si>
  <si>
    <t>DEVIL CANYON HYDRO UNITS 1-4 AGGREGATE</t>
  </si>
  <si>
    <t>EDMONS_2_NSPIN</t>
  </si>
  <si>
    <t>NORTH CITY UNIT (EASTGATE)</t>
  </si>
  <si>
    <t>CalPeak Power - El Cajon LLC</t>
  </si>
  <si>
    <t>EL CAJON</t>
  </si>
  <si>
    <t>El Dorado Unit 1</t>
  </si>
  <si>
    <t>El Dorado Unit 2</t>
  </si>
  <si>
    <t>ELECTRA PH UNIT 1 &amp; 2 AGGREGATE</t>
  </si>
  <si>
    <t>STONEY GORGE HYDRO AGGREGATE</t>
  </si>
  <si>
    <t>ELK HILLS COMBINED CYCLE (AGGREGATE)</t>
  </si>
  <si>
    <t>ELLIS QFS</t>
  </si>
  <si>
    <t>EL SEGUNDO GEN STA. UNIT 3</t>
  </si>
  <si>
    <t>EL SEGUNDO GEN STA. UNIT 4</t>
  </si>
  <si>
    <t>ENCINA UNIT 1</t>
  </si>
  <si>
    <t>ENCINA UNIT 2</t>
  </si>
  <si>
    <t>ENCINA UNIT 3</t>
  </si>
  <si>
    <t>ENCINA UNIT 4</t>
  </si>
  <si>
    <t>ENCINA UNIT 5</t>
  </si>
  <si>
    <t>ENCINA GAS TURBINE UNIT 1</t>
  </si>
  <si>
    <t>MMC Escondido Aggregate</t>
  </si>
  <si>
    <t>CalPeak Power - Enterprise LLC</t>
  </si>
  <si>
    <t>FONTANALYTLE CREEK POWERHOUSE P</t>
  </si>
  <si>
    <t>ETIWANDA QFS</t>
  </si>
  <si>
    <t>ETIWANDA RECOVERY HYDRO</t>
  </si>
  <si>
    <t>MN Mid Valley Genco  LLC</t>
  </si>
  <si>
    <t>ETIWANDA GEN STA. UNIT 3</t>
  </si>
  <si>
    <t>ETIWANDA GEN STA. UNIT 4</t>
  </si>
  <si>
    <t>EXCHEQUER HYDRO</t>
  </si>
  <si>
    <t>ARCADIAN RENEWABLE POWER CORP</t>
  </si>
  <si>
    <t>Fellow QF Aggregate</t>
  </si>
  <si>
    <t>SMALL QF AGGREGATION - LIVERMORE</t>
  </si>
  <si>
    <t>FRENCH MEADOWS HYDRO</t>
  </si>
  <si>
    <t>FORBESTOWN HYDRO</t>
  </si>
  <si>
    <t>HYPOWER, INC. (FORKS OF BUTTE)</t>
  </si>
  <si>
    <t>FRITO-LAY</t>
  </si>
  <si>
    <t>SMALL QF AGGREGATION - ZENIA</t>
  </si>
  <si>
    <t>GARNET GREEN POWER PROJECT AGGREGATE</t>
  </si>
  <si>
    <t>Gates Peaker</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</si>
  <si>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</si>
  <si>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</si>
  <si>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</si>
  <si>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</si>
  <si>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</si>
  <si>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</si>
  <si>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</si>
  <si>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</si>
  <si>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</si>
  <si>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</si>
  <si>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</si>
  <si>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</si>
  <si>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 ARM UNIT 1</t>
  </si>
  <si>
    <t>GLEN ARM UNIT 2</t>
  </si>
  <si>
    <t>GLEN ARM UNIT 3</t>
  </si>
  <si>
    <t>GLEN ARM UNIT 4</t>
  </si>
  <si>
    <t>SMALL QF AGGREGATION - PLACERVILLE</t>
  </si>
  <si>
    <t>GOLETA QFS</t>
  </si>
  <si>
    <t>ELLWOOD ENERGY SUPPORT FACILITY</t>
  </si>
  <si>
    <t>EXXON COMPANY USA</t>
  </si>
  <si>
    <t>Point Arguello Pipeline Company</t>
  </si>
  <si>
    <t>GRIZZLY HYDRO</t>
  </si>
  <si>
    <t>GREENLEAF #1 COGEN AGGREGATE</t>
  </si>
  <si>
    <t>GREENLEAF II COGEN</t>
  </si>
  <si>
    <t>HEP PEAKER PLANT AGGREGATE</t>
  </si>
  <si>
    <t>GEYSERS UNITS 5 &amp; 6 AGGREGATE</t>
  </si>
  <si>
    <t>GEYSERS UNITS 7 &amp; 8 AGGREGATE</t>
  </si>
  <si>
    <t>Sonoma CWA Warm Springs Hydro</t>
  </si>
  <si>
    <t>HAAS PH UNIT 1 &amp; 2 AGGREGATE</t>
  </si>
  <si>
    <t>HALSEY HYDRO</t>
  </si>
  <si>
    <t>HARBOR COGEN COMBINED CYCLE</t>
  </si>
  <si>
    <t xml:space="preserve">Hat Creek  #1 </t>
  </si>
  <si>
    <t xml:space="preserve">Hat Creek  #2  </t>
  </si>
  <si>
    <t>HAT CREEK HYDRO QF UNITS</t>
  </si>
  <si>
    <t>HAYPRESS HYDRO QF UNITS</t>
  </si>
  <si>
    <t>HELMS PUMP-GEN UNIT 1</t>
  </si>
  <si>
    <t>HELMS PUMP-GEN UNIT 2</t>
  </si>
  <si>
    <t>HELMS PUMP-GEN UNIT 3</t>
  </si>
  <si>
    <t>GWF HENRIETTA PEAKER PLANT UNIT 1</t>
  </si>
  <si>
    <t>GWF HENRIETTA PEAKER PLANT UNIT 2</t>
  </si>
  <si>
    <t>HIGH DESERT POWER PROJECT AGGREGATE</t>
  </si>
  <si>
    <t>HIGGNS_7_QFUNTS</t>
  </si>
  <si>
    <t>BP WILMINGTON CALCINER</t>
  </si>
  <si>
    <t>GAS RECOVERY(AMERICA CANYON)</t>
  </si>
  <si>
    <t>HAMILTON BRANCH PH (AGGREGATE)</t>
  </si>
  <si>
    <t>HUNTINGTON BEACH GEN STA. UNIT 1</t>
  </si>
  <si>
    <t>HUNTINGTON BEACH GEN STA. UNIT 2</t>
  </si>
  <si>
    <t>HUNTINGTON BEACH GEN STA. UNIT 3</t>
  </si>
  <si>
    <t>HUNTINGTON BEACH GEN STA. UNIT 4</t>
  </si>
  <si>
    <t>U.S. BORAX AND CHEMICAL CORPORAT</t>
  </si>
  <si>
    <t>MOJAVE COGENERATION CO. LP</t>
  </si>
  <si>
    <t>SMALL QF AGGREGATION - TRINITY</t>
  </si>
  <si>
    <t>HYATT-THERMALITO PUMP-GEN (AGGREGATE)</t>
  </si>
  <si>
    <t>SMALL QF AGGREGATION - VALLEJO/DINSMORE</t>
  </si>
  <si>
    <t>INDIGO PEAKER UNIT 1</t>
  </si>
  <si>
    <t>INDIGO PEAKER UNIT 2</t>
  </si>
  <si>
    <t>INDIGO PEAKER UNIT 3</t>
  </si>
  <si>
    <t>Inland Empire Energy Center, Unit 2</t>
  </si>
  <si>
    <t>INSKIP HYDRO</t>
  </si>
  <si>
    <t>Intl Wind Turb Research (Dinosaur Point)</t>
  </si>
  <si>
    <t>JACKSON VALLEY ENERG PTNRS (IONE)</t>
  </si>
  <si>
    <t>JOHANNA QF</t>
  </si>
  <si>
    <t>TRES VAQUEROS WIND QF UNITS</t>
  </si>
  <si>
    <t>KANAKA</t>
  </si>
  <si>
    <t>KEARNY GAS TURBINE UNIT 1</t>
  </si>
  <si>
    <t>KEARNY GT2 AGGREGATE</t>
  </si>
  <si>
    <t>KEARNY GT3 AGGREGATE</t>
  </si>
  <si>
    <t>KELLY RIDGE HYDRO</t>
  </si>
  <si>
    <t>KERKHOFF PH 1 UNIT #1</t>
  </si>
  <si>
    <t>KERKHOFF PH 1 UNIT #2</t>
  </si>
  <si>
    <t>KERKHOFF PH 1 UNIT #3</t>
  </si>
  <si>
    <t>KERKHOFF PH 2 UNIT #1</t>
  </si>
  <si>
    <t>AERA ENERGY (SOUTH BELRIDGE)</t>
  </si>
  <si>
    <t>KERN RIVER HYDRO UNITS 1-4 AGGREGATE</t>
  </si>
  <si>
    <t>KILARC HYDRO</t>
  </si>
  <si>
    <t>KINGS RIVER HYDRO UNIT 1</t>
  </si>
  <si>
    <t>KELLER CANYON LANDFILL GEN FACILICITY</t>
  </si>
  <si>
    <t>King City Energy Center, Unit #1</t>
  </si>
  <si>
    <t>Lake Hodgels Hydro 1</t>
  </si>
  <si>
    <t>LA FRESA QFS</t>
  </si>
  <si>
    <t>LAGUNA BELL QFS</t>
  </si>
  <si>
    <t>LOUISIANA PACIFIC SAMOA</t>
  </si>
  <si>
    <t>La Paloma Generating Plant Unit #1</t>
  </si>
  <si>
    <t>La Paloma Generating Plant Unit #2</t>
  </si>
  <si>
    <t>La Paloma Generating Plant Unit #3</t>
  </si>
  <si>
    <t>LA PALOMA GENERATING PLANT, UNIT #4</t>
  </si>
  <si>
    <t>LARKSPUR PEAKER UNIT 1</t>
  </si>
  <si>
    <t>LARKSPUR PEAKER UNIT 2</t>
  </si>
  <si>
    <t>Ciclo Combinado Mexicali</t>
  </si>
  <si>
    <t>CENTRAL LA ROSITA II COMBINED CYCLE</t>
  </si>
  <si>
    <t>City of Sunnyvale Unit 1 and 2</t>
  </si>
  <si>
    <t>Pastoria Energy Facility</t>
  </si>
  <si>
    <t>LOS ESTEROS ENERGY FACILITY AGGREGATE</t>
  </si>
  <si>
    <t>LIGHTHIPE QFS</t>
  </si>
  <si>
    <t>Lambie Energy Center, Unit #1</t>
  </si>
  <si>
    <t>Creed Energy Center, Unit #1</t>
  </si>
  <si>
    <t>Goose Haven Energy Center, Unit #1</t>
  </si>
  <si>
    <t>Los Medanos Energy Center AGGREGATE</t>
  </si>
  <si>
    <t>LODI GAS TURBINE</t>
  </si>
  <si>
    <t>KRCD Malaga Peaking Plant</t>
  </si>
  <si>
    <t>Big Valley Power</t>
  </si>
  <si>
    <t>SMALL QF AGGREGATION - FRESNO</t>
  </si>
  <si>
    <t>ACE COGENERATION</t>
  </si>
  <si>
    <t>MC SWAIN HYDRO</t>
  </si>
  <si>
    <t>MIDDLE FORK AND RALSTON PSP</t>
  </si>
  <si>
    <t>CalRENEW - 1(A)</t>
  </si>
  <si>
    <t>MERCED FALLS</t>
  </si>
  <si>
    <t>SMALL QF AGGREGATION - SAN LUIS OBISPO</t>
  </si>
  <si>
    <t>MESA QFS</t>
  </si>
  <si>
    <t>SMALL QF AGGREGATION - SANTA CLARA WD</t>
  </si>
  <si>
    <t>Metcalf Energy Center</t>
  </si>
  <si>
    <t>SMALL QF AGGREGATION - BAKERSFIELD</t>
  </si>
  <si>
    <t>SMALL QF AGGREGATION - DAILY CITY</t>
  </si>
  <si>
    <t>MWD Temescal Hydroelectric Recovery Plan</t>
  </si>
  <si>
    <t>CORONA ENERGY PARTNERS LTD.</t>
  </si>
  <si>
    <t>Lake Mathews Hydroelectric Recovery Plan</t>
  </si>
  <si>
    <t>SMALL QF AGGREGATION - SAB FRABCUSCI</t>
  </si>
  <si>
    <t>MANDALAY GEN STA. UNIT 1</t>
  </si>
  <si>
    <t>MANDALAY GEN STA. UNIT 2</t>
  </si>
  <si>
    <t>MANDALAY GEN STA. UNIT 3</t>
  </si>
  <si>
    <t>MOJAVE SIPHON POWER PLANT</t>
  </si>
  <si>
    <t>BOREL HYDRO UNITS 1-3 AGGREGATE</t>
  </si>
  <si>
    <t>MONTICELLO HYDRO AGGREGATE</t>
  </si>
  <si>
    <t>MOORPARK QFS</t>
  </si>
  <si>
    <t>WEME- Simi Valley Landfill</t>
  </si>
  <si>
    <t>MORRO BAY UNIT 3</t>
  </si>
  <si>
    <t>MORRO BAY UNIT 4</t>
  </si>
  <si>
    <t>SMALL QF AGGREGATION - SANTA CRUZ</t>
  </si>
  <si>
    <t>MOSS LANDING POWER BLOCK 1</t>
  </si>
  <si>
    <t>MOSS LANDING POWER BLOCK 2</t>
  </si>
  <si>
    <t>MOSS LANDING UNIT 6</t>
  </si>
  <si>
    <t>MOSS LANDING UNIT 7</t>
  </si>
  <si>
    <t>MRCHNT_2_MELDYN</t>
  </si>
  <si>
    <t>PD to 419.25</t>
  </si>
  <si>
    <t>Miramar Energy Facility</t>
  </si>
  <si>
    <t>MIRAMAR COMBUSTION TURBINE AGGREGATE</t>
  </si>
  <si>
    <t>SMALL QF AGGREGATION - SAN DIEGO</t>
  </si>
  <si>
    <t>OGDEN POWER PACIFIC, INC.(MT LASSEN)</t>
  </si>
  <si>
    <t>MT.POSO COGENERATION CO.</t>
  </si>
  <si>
    <t>Mountain View Power Project I</t>
  </si>
  <si>
    <t>Mountain View Power Project II</t>
  </si>
  <si>
    <t>Mountain View Power Project III</t>
  </si>
  <si>
    <t>NAPA HOSPITAL</t>
  </si>
  <si>
    <t>NARROWS PH 1 UNIT</t>
  </si>
  <si>
    <t>OCCIDENTAL OF ELK HILLS, INC.</t>
  </si>
  <si>
    <t>COSO POWER DEVELOPER (NAVY II) AGGREGATE</t>
  </si>
  <si>
    <t>NCPA GEO PLANT 1 UNIT 1</t>
  </si>
  <si>
    <t>NCPA GEO PLANT 1 UNIT 2</t>
  </si>
  <si>
    <t>NCPA GEO PLANT 2 UNIT 3</t>
  </si>
  <si>
    <t>NCPA GEO PLANT 2 UNIT 4</t>
  </si>
  <si>
    <t>NEWARK 1 QF</t>
  </si>
  <si>
    <t>NEW HOGAN PH AGGREGATE</t>
  </si>
  <si>
    <t>NORTH ISLAND QF</t>
  </si>
  <si>
    <t>NEWCASTLE HYDRO</t>
  </si>
  <si>
    <t>OAKLAND STATION C GT UNIT 1</t>
  </si>
  <si>
    <t>OAKLAND STATION C GT UNIT 2</t>
  </si>
  <si>
    <t>OAKLAND STATION C GT UNIT 3</t>
  </si>
  <si>
    <t>EAST BAY M.U.D. (OAKLAND)</t>
  </si>
  <si>
    <t xml:space="preserve">MWD Coyote Creek Hydroelectric Recovery </t>
  </si>
  <si>
    <t>OLINDA QFS</t>
  </si>
  <si>
    <t>KERN RIVER COGENERATION CO. UNIT 1</t>
  </si>
  <si>
    <t>KERN RIVER COGENERATION CO. UNIT 2</t>
  </si>
  <si>
    <t>KERN RIVER COGENERATION CO. UNIT 3</t>
  </si>
  <si>
    <t>KERN RIVER COGENERATION CO. UNIT 4</t>
  </si>
  <si>
    <t>ORMOND BEACH GEN STA. UNIT 1</t>
  </si>
  <si>
    <t>ORMOND BEACH GEN STA. UNIT 2</t>
  </si>
  <si>
    <t>OSO_6_NSPIN</t>
  </si>
  <si>
    <t>OTAY LANDFILL UNITS AGGREGATE</t>
  </si>
  <si>
    <t>OTAY MESA ENERGY CENTER</t>
  </si>
  <si>
    <t>OXBOW HYDRO</t>
  </si>
  <si>
    <t>Ox Mountain Landfill Generating Plant</t>
  </si>
  <si>
    <t>PACIFIC LUMBER (HUMBOLDT)</t>
  </si>
  <si>
    <t>ONTARIO/SIERRA HYDRO PSP</t>
  </si>
  <si>
    <t>San Dimas Hydroelectric Recovery Plant</t>
  </si>
  <si>
    <t>PADUA QFS</t>
  </si>
  <si>
    <t>San Dimas Wash Hydro</t>
  </si>
  <si>
    <t>Cooperatively Owned Back Up Generator</t>
  </si>
  <si>
    <t>Palomar Energy Center</t>
  </si>
  <si>
    <t>DELANO ENERGY COMPANY AGGREGATE</t>
  </si>
  <si>
    <t>PEARBL_2_NSPIN</t>
  </si>
  <si>
    <t>PINE FLAT HYDRO AGGREGATE</t>
  </si>
  <si>
    <t>PIT PH 1 UNIT 1</t>
  </si>
  <si>
    <t>PIT PH 1 UNIT 2</t>
  </si>
  <si>
    <t>PIT PH 3 UNITS 1, 2 &amp; 3 AGGREGATE</t>
  </si>
  <si>
    <t>PIT PH 4 UNITS 1 &amp; 2 AGGREGATE</t>
  </si>
  <si>
    <t>PIT PH 5 UNITS 1 &amp; 2 AGGREGATE</t>
  </si>
  <si>
    <t>PIT PH 5 UNITS 3 &amp; 4 AGGREGATE</t>
  </si>
  <si>
    <t>PIT 5 HYDRO QF UNITS</t>
  </si>
  <si>
    <t>PIT PH 6 UNIT 1</t>
  </si>
  <si>
    <t>PIT PH 6 UNIT 2</t>
  </si>
  <si>
    <t>PIT PH 7 UNIT 1</t>
  </si>
  <si>
    <t>PIT PH 7 UNIT 2</t>
  </si>
  <si>
    <t>PITTSBURG UNIT 5</t>
  </si>
  <si>
    <t>PITTSBURG UNIT 6</t>
  </si>
  <si>
    <t>PITTSBURG UNIT 7</t>
  </si>
  <si>
    <t>Chili Bar Hydro</t>
  </si>
  <si>
    <t>PLACER UNIT (ROCK CREEK)</t>
  </si>
  <si>
    <t>Lincoln Landfill Power Plant</t>
  </si>
  <si>
    <t>PANOCHE ENERGY CENTER (Aggregated)</t>
  </si>
  <si>
    <t>STARWOOD POWER - MIDWAY LLC</t>
  </si>
  <si>
    <t>Panoche Peaker</t>
  </si>
  <si>
    <t>CalPeak Power - Panoche LLC</t>
  </si>
  <si>
    <t>POE HYDRO UNIT 1</t>
  </si>
  <si>
    <t>POE HYDRO UNIT 2</t>
  </si>
  <si>
    <t>Potter Valley</t>
  </si>
  <si>
    <t>Vecino Vineyards LLC</t>
  </si>
  <si>
    <t>PACIFIC WEST 1 WIND GENERATION</t>
  </si>
  <si>
    <t>ROCK CREEK HYDRO UNIT 1</t>
  </si>
  <si>
    <t>ROCK CREEK HYDRO UNIT 2</t>
  </si>
  <si>
    <t>KAWEAH PH 2 &amp; 3 PSP AGGREGATE</t>
  </si>
  <si>
    <t>KAWEAH PH 1 UNIT 1</t>
  </si>
  <si>
    <t>RECTOR QFS</t>
  </si>
  <si>
    <t>PASA</t>
  </si>
  <si>
    <t>RED BLUFF PEAKER PLANT</t>
  </si>
  <si>
    <t>REDONDO GEN STA. UNIT 5</t>
  </si>
  <si>
    <t>REDONDO GEN STA. UNIT 6</t>
  </si>
  <si>
    <t>REDONDO GEN STA. UNIT 7</t>
  </si>
  <si>
    <t>REDONDO GEN STA. UNIT 8</t>
  </si>
  <si>
    <t>RIO HONDO QFS</t>
  </si>
  <si>
    <t>Puente Hills GTE Facility Phase II</t>
  </si>
  <si>
    <t>BAY ENVIRONMENTAL (NOVE POWER)</t>
  </si>
  <si>
    <t>RIO BRAVO FRESNO</t>
  </si>
  <si>
    <t>SMALL QF AGGREGATION - GRASS VALLEY</t>
  </si>
  <si>
    <t>ROLLINS HYDRO</t>
  </si>
  <si>
    <t>Riverview Energy Center (GP Antioch)</t>
  </si>
  <si>
    <t>Riverside Energy Res. Ctr Unit 3</t>
  </si>
  <si>
    <t>Riverside Energy Res. Ctr Unit 4</t>
  </si>
  <si>
    <t>SPRINGS GENERATION PROJECT AGGREGATE</t>
  </si>
  <si>
    <t>SALT SPRINGS HYDRO AGGREGATE</t>
  </si>
  <si>
    <t>KELCO QUALIFYING FACILITY</t>
  </si>
  <si>
    <t>SAN JOAQUIN COGEN</t>
  </si>
  <si>
    <t>GEYSERS CALISTOGA AGGREGATE</t>
  </si>
  <si>
    <t>GAS RECOVERY SYS. (COYOTE CANYON)</t>
  </si>
  <si>
    <t>Foothill Hydroelectric Recovery Plant</t>
  </si>
  <si>
    <t>COUNTY OF LOS ANGELES -- PITCHLE</t>
  </si>
  <si>
    <t>SAUGUS QFS</t>
  </si>
  <si>
    <t>Chiquita Canyon Landfill Fac</t>
  </si>
  <si>
    <t>MM Lopez Energy</t>
  </si>
  <si>
    <t>Mountainview Gen Sta. Unit 3</t>
  </si>
  <si>
    <t>Mountainview Gen Sta. Unit 4</t>
  </si>
  <si>
    <t>SAN BERADINO QFS</t>
  </si>
  <si>
    <t>SANTA ANA PSP</t>
  </si>
  <si>
    <t>MILL CREEK PSP</t>
  </si>
  <si>
    <t>Tracy Unit 1 Peaking Project</t>
  </si>
  <si>
    <t>Tracy Unit 2 Peaking Project</t>
  </si>
  <si>
    <t>NORTH AMERICAN ARGUS</t>
  </si>
  <si>
    <t>NORTH AMERICAN WESTEND</t>
  </si>
  <si>
    <t>SEA WEST WIND QF AGGREGATION</t>
  </si>
  <si>
    <t>DYNAMIS COGEN</t>
  </si>
  <si>
    <t>SAN LUIS (GIANELLI) PUMP-GEN (AGGREGATE)</t>
  </si>
  <si>
    <t>SLY CREEK HYDRO</t>
  </si>
  <si>
    <t>SAN MARCOS LANDFILL BIO-GAS</t>
  </si>
  <si>
    <t>SONOMA POWER PLANT</t>
  </si>
  <si>
    <t>E.F. OXNARD INCORPORATED</t>
  </si>
  <si>
    <t>PROCTER  AND  GAMBLE OXNARD II</t>
  </si>
  <si>
    <t>SANTA CLARA QFS</t>
  </si>
  <si>
    <t>WILLIAMETTE</t>
  </si>
  <si>
    <t>SAND BAR HYDRO</t>
  </si>
  <si>
    <t>Sonoma County Landfill</t>
  </si>
  <si>
    <t>SAN ONOFRE NUCLEAR UNIT 2</t>
  </si>
  <si>
    <t>SAN ONOFRE NUCLEAR UNIT 3</t>
  </si>
  <si>
    <t>SOUTH HYDRO</t>
  </si>
  <si>
    <t>SPAULDING HYDRO PH 3 UNIT</t>
  </si>
  <si>
    <t>SPAULDING HYDRO PH 1 &amp; 2 AGGREGATE</t>
  </si>
  <si>
    <t>SIERRA PACIFIC IND. (BURNEY)</t>
  </si>
  <si>
    <t>SIERRA PACIFIC IND. (LINCOLN)</t>
  </si>
  <si>
    <t>SIERRA PACIFIC IND. (ANDERSON)</t>
  </si>
  <si>
    <t>SPICER HYDRO UNITS 1-3 AGGREGATE</t>
  </si>
  <si>
    <t>SIERRA PACIFIC IND. (SONORA)</t>
  </si>
  <si>
    <t>SIERRA PACIFIC IND. (QUINCY)</t>
  </si>
  <si>
    <t>SPRING GAP HYDRO</t>
  </si>
  <si>
    <t>SPRINGVILLE QFS</t>
  </si>
  <si>
    <t>TULE RIVER HYDRO PLANT (PG&amp;E)</t>
  </si>
  <si>
    <t>TULE RIVER HYDRO PLANT (SCE)</t>
  </si>
  <si>
    <t>STANISLAUS HYDRO</t>
  </si>
  <si>
    <t>LODI STIG UNIT</t>
  </si>
  <si>
    <t>MADERA CHOWCHILLA</t>
  </si>
  <si>
    <t>CITY OF FAIRFIELD GENERATION AGGREGATE</t>
  </si>
  <si>
    <t>Sunrise Power Project AGGREGATE II</t>
  </si>
  <si>
    <t>MIDWAY SUNSET COGENERATION PLANT</t>
  </si>
  <si>
    <t>SUTTER POWER PLANT AGGREGATE</t>
  </si>
  <si>
    <t>SYCAMORE COGENNERATION AGGREGATE</t>
  </si>
  <si>
    <t>BERRY PETROLEUM COGEN 18 AGGREGATE</t>
  </si>
  <si>
    <t>SMALL QF AGGREGATION - PARADISE</t>
  </si>
  <si>
    <t>NUEVO ENERGY COMPANY  (WELPORT)</t>
  </si>
  <si>
    <t>TERMOELECTRICA DE MEXICALI 1</t>
  </si>
  <si>
    <t>SMALL QF AGGREGATION - STOCKTON</t>
  </si>
  <si>
    <t>TIGER CREEK HYDRO AGGREGATE</t>
  </si>
  <si>
    <t>TKO POWER</t>
  </si>
  <si>
    <t>TOAD TOWN</t>
  </si>
  <si>
    <t>TULLOCH HYDRO AGGREGATE</t>
  </si>
  <si>
    <t>UKIAH LAKE MENDOCINO HYDRO</t>
  </si>
  <si>
    <t>RIO BRAVO POSO</t>
  </si>
  <si>
    <t>OGDEN POWER PACIFIC (CHINESE STATION)</t>
  </si>
  <si>
    <t>RIO BRAVO FRESNO (AKA ULTRAPOWER)</t>
  </si>
  <si>
    <t>Rio Bravo Rocklin</t>
  </si>
  <si>
    <t>TOSCO (RODEO PLANT)</t>
  </si>
  <si>
    <t>US WIND POWER#1(WALKER)</t>
  </si>
  <si>
    <t>US WIND POWER#2(PATTERSON)</t>
  </si>
  <si>
    <t>US WIND POWER#4(RALPH)</t>
  </si>
  <si>
    <t>SOLANO WIND FARM</t>
  </si>
  <si>
    <t>US WIND POWER(RUSSELL)</t>
  </si>
  <si>
    <t>GREEN RIDGE POWER LLC (FRICK)</t>
  </si>
  <si>
    <t>US WIND POWER#3(J.W. RANCH)</t>
  </si>
  <si>
    <t>SMALL QF AGGREGATION - VACAVILLE</t>
  </si>
  <si>
    <t>CalPeak Power - Vaca Dixon LLC</t>
  </si>
  <si>
    <t xml:space="preserve">MWD Red Mountain Hydroelectric Recovery </t>
  </si>
  <si>
    <t>WM Energy, El Sobrante Landfill</t>
  </si>
  <si>
    <t>TEXACO EXPLORATION &amp; PROD (SE KERN RIVER</t>
  </si>
  <si>
    <t>H. Gonzales Unit #1</t>
  </si>
  <si>
    <t>H. Gonzales Unit #2</t>
  </si>
  <si>
    <t>Malburg Generating Station</t>
  </si>
  <si>
    <t>KERN RIVER PH 3 UNITS 1 &amp; 2 AGGREGATE</t>
  </si>
  <si>
    <t>VESTAL QFS</t>
  </si>
  <si>
    <t>VICTOR QFS</t>
  </si>
  <si>
    <t>MWD Valley View Hydroelectric Recovery P</t>
  </si>
  <si>
    <t>Yorba Linda Hydroelectric Recovery Plant</t>
  </si>
  <si>
    <t>VINCENT QFS</t>
  </si>
  <si>
    <t>Oasis Power Plant</t>
  </si>
  <si>
    <t>VISTA QFS</t>
  </si>
  <si>
    <t>VOLTA HYDRO UNIT 1</t>
  </si>
  <si>
    <t>Volta Hydro Unit 2</t>
  </si>
  <si>
    <t>L.A. COUNTY SANITATION DISTRICT</t>
  </si>
  <si>
    <t>WARNE HYDRO AGGREGATE</t>
  </si>
  <si>
    <t>WEST FORD FLAT AGGREGATE</t>
  </si>
  <si>
    <t>WOODLEAF HYDRO</t>
  </si>
  <si>
    <t>West Point Hydro Plant</t>
  </si>
  <si>
    <t>G2 ENERGY, OSTROM ROAD LLC</t>
  </si>
  <si>
    <t>Wise Hydro Unit 1</t>
  </si>
  <si>
    <t>WISE HYDRO UNIT 2</t>
  </si>
  <si>
    <t>Wishon/San Joaquin  #1-A AGGREGATE</t>
  </si>
  <si>
    <t>CEDAR FLAT HYDRO QF AGGREGATION</t>
  </si>
  <si>
    <t>Wolfskill Energy Center, Unit #1</t>
  </si>
  <si>
    <t>WHEELABRATOR SHASTA UNITS 1-3 AGGREGATE</t>
  </si>
  <si>
    <t>YUBA CITY COGEN</t>
  </si>
  <si>
    <t>Yuba City Energy Center (Calpine)</t>
  </si>
  <si>
    <t>ZOND WINDSYSTEMS INC.</t>
  </si>
  <si>
    <t>Thursday, July 12, 2012</t>
  </si>
  <si>
    <t>ALTA4B_2_CPCW6</t>
  </si>
  <si>
    <t>CPC West - Alta Wind 6</t>
  </si>
  <si>
    <t>Alta Wind VI, LLC</t>
  </si>
  <si>
    <t>BLAST_1_WIND</t>
  </si>
  <si>
    <t>Mountain View IV Wind</t>
  </si>
  <si>
    <t>Mountain View Power Partners IV, LLC</t>
  </si>
  <si>
    <t>LNCSTR_6_SOLAR</t>
  </si>
  <si>
    <t>Sierra Sun Tower Unit #1</t>
  </si>
  <si>
    <t>Sierra Sun Tower, LLC</t>
  </si>
  <si>
    <t>Others</t>
  </si>
  <si>
    <r>
      <t xml:space="preserve">CALIFORNIA ENERGY COMMISSION - ENERGY FACILITY STATUS
</t>
    </r>
    <r>
      <rPr>
        <b/>
        <sz val="14"/>
        <rFont val="Verdana"/>
        <family val="2"/>
      </rPr>
      <t>Updated 10/15/2008</t>
    </r>
  </si>
  <si>
    <r>
      <t xml:space="preserve"> Power Plant Projects Filed Since 1996, Updated: 5/18/2012
</t>
    </r>
    <r>
      <rPr>
        <sz val="10"/>
        <rFont val="Arial"/>
        <family val="2"/>
      </rPr>
      <t>(Note: Does not include projects filed but were withdrawn before they were approved.)</t>
    </r>
  </si>
  <si>
    <t>Color Key</t>
  </si>
  <si>
    <t xml:space="preserve"> Operational Status</t>
  </si>
  <si>
    <t xml:space="preserve">  Expected and disclosed</t>
    <phoneticPr fontId="1" type="noConversion"/>
  </si>
  <si>
    <t xml:space="preserve"> Approved</t>
  </si>
  <si>
    <t xml:space="preserve"> Future project.</t>
    <phoneticPr fontId="1" type="noConversion"/>
  </si>
  <si>
    <t xml:space="preserve"> In Review</t>
  </si>
  <si>
    <t xml:space="preserve"> On hold, suspended. According to developers, the new on-line date</t>
  </si>
  <si>
    <t xml:space="preserve"> On-line date is expected to be delayed beyond the date shown</t>
  </si>
  <si>
    <t xml:space="preserve"> will be determined, or project review will continue when new info ia available.</t>
    <phoneticPr fontId="1" type="noConversion"/>
  </si>
  <si>
    <t xml:space="preserve"> Not Approved/Denied</t>
  </si>
  <si>
    <t xml:space="preserve"> Cancelled, withdrawn, not built, license expired.</t>
    <phoneticPr fontId="1" type="noConversion"/>
  </si>
  <si>
    <r>
      <t xml:space="preserve">Projects On Line
</t>
    </r>
    <r>
      <rPr>
        <sz val="9"/>
        <rFont val="Verdana"/>
        <family val="2"/>
      </rPr>
      <t>(Arranged By Online Date)</t>
    </r>
  </si>
  <si>
    <t>Docket Number</t>
  </si>
  <si>
    <t>Status</t>
  </si>
  <si>
    <t>Capacity
(MW)</t>
  </si>
  <si>
    <t>Const. Completed
(%)</t>
  </si>
  <si>
    <t>Location</t>
  </si>
  <si>
    <t>Date Approved</t>
  </si>
  <si>
    <t>Const. Start Date</t>
  </si>
  <si>
    <t>Original OnLine Date</t>
  </si>
  <si>
    <t>Current / Actual Online Date</t>
  </si>
  <si>
    <t>1a</t>
    <phoneticPr fontId="1" type="noConversion"/>
  </si>
  <si>
    <t>Sunrise Simple Cycle - Texaco &amp; Edison Mission E.</t>
  </si>
  <si>
    <t>1998-AFC-04</t>
  </si>
  <si>
    <t>Operational</t>
  </si>
  <si>
    <t>12/06/2000</t>
  </si>
  <si>
    <t>12/07/2000</t>
  </si>
  <si>
    <t>07/01</t>
  </si>
  <si>
    <t>06/27/2001</t>
  </si>
  <si>
    <t>Sutter - Calpine</t>
  </si>
  <si>
    <t>1997-AFC-02</t>
  </si>
  <si>
    <t>Sutter</t>
  </si>
  <si>
    <t>04/14/1999</t>
  </si>
  <si>
    <t>07/01/1999</t>
  </si>
  <si>
    <t>07/02/2001</t>
  </si>
  <si>
    <t>Los Medanos - Calpine</t>
  </si>
  <si>
    <t>1998-AFC-01</t>
  </si>
  <si>
    <t>Contra Costa</t>
  </si>
  <si>
    <t>08/17/1999</t>
  </si>
  <si>
    <t>09/17/1999</t>
  </si>
  <si>
    <t>07/09/2001</t>
  </si>
  <si>
    <t>Wildflower Larkspur - Intergen</t>
  </si>
  <si>
    <t>2001-EP-01</t>
  </si>
  <si>
    <t>04/04/2001</t>
  </si>
  <si>
    <t>04/05/2001</t>
  </si>
  <si>
    <t>07/16/2001</t>
  </si>
  <si>
    <t>Wildflower Indigo - Intergen</t>
  </si>
  <si>
    <t>2001-EP-02</t>
  </si>
  <si>
    <t>Riverside</t>
  </si>
  <si>
    <t>09/10/2001</t>
  </si>
  <si>
    <t>Drews - Alliance</t>
  </si>
  <si>
    <t>2001-EP-05</t>
  </si>
  <si>
    <t>San Bernardino</t>
  </si>
  <si>
    <t>04/25/2001</t>
  </si>
  <si>
    <t>04/26/2001</t>
  </si>
  <si>
    <t>09/01</t>
  </si>
  <si>
    <t>08/15/2001</t>
  </si>
  <si>
    <t>Hanford - GWF</t>
  </si>
  <si>
    <t>2001-EP-07</t>
  </si>
  <si>
    <t>Kings</t>
  </si>
  <si>
    <t>05/10/2001</t>
  </si>
  <si>
    <t>05/11/2001</t>
  </si>
  <si>
    <t>09/01/2001</t>
  </si>
  <si>
    <t>Century - Alliance</t>
  </si>
  <si>
    <t>2001-EP-04</t>
  </si>
  <si>
    <t>09/15/2001</t>
  </si>
  <si>
    <t>Escondido - Calpeak</t>
  </si>
  <si>
    <t>2001-EP-10</t>
  </si>
  <si>
    <t>06/06/2001</t>
  </si>
  <si>
    <t>06/07/2001</t>
  </si>
  <si>
    <t>09/30/2001</t>
  </si>
  <si>
    <t>Border - Calpeak</t>
  </si>
  <si>
    <t>2001-EP-14</t>
  </si>
  <si>
    <t>07/11/2001</t>
  </si>
  <si>
    <t>07/12/2001</t>
  </si>
  <si>
    <t>10/26/2001</t>
  </si>
  <si>
    <t>Subtotal On Line 2001</t>
  </si>
  <si>
    <t>King City - Calpine</t>
  </si>
  <si>
    <t>2001-EP-06</t>
  </si>
  <si>
    <t>Monterey</t>
  </si>
  <si>
    <t>05/02/2001</t>
  </si>
  <si>
    <t>05/03/2001</t>
  </si>
  <si>
    <t>01/14/2002</t>
  </si>
  <si>
    <t>Gilroy I - Calpine</t>
  </si>
  <si>
    <t>2001-EP-08</t>
  </si>
  <si>
    <t>Santa Clara</t>
  </si>
  <si>
    <t>05/21/2001</t>
  </si>
  <si>
    <t>05/22/2001</t>
  </si>
  <si>
    <t>02/20/2002</t>
  </si>
  <si>
    <t>Delta - Calpine</t>
  </si>
  <si>
    <t>1998-AFC-03</t>
  </si>
  <si>
    <t>02/09/2000</t>
  </si>
  <si>
    <t>04/01/2000</t>
  </si>
  <si>
    <t>07/02</t>
  </si>
  <si>
    <t>05/10/2002</t>
  </si>
  <si>
    <t>Henrietta Peaker - GWF</t>
  </si>
  <si>
    <t>2001-AFC-18</t>
  </si>
  <si>
    <t>03/05/2002</t>
  </si>
  <si>
    <t>03/08/2002</t>
  </si>
  <si>
    <t>06/02</t>
  </si>
  <si>
    <t>07/01/2002</t>
  </si>
  <si>
    <t>Moss Landing - L.S. Power</t>
  </si>
  <si>
    <t>1999-AFC-04</t>
  </si>
  <si>
    <t>10/25/2000</t>
  </si>
  <si>
    <t>11/28/2000</t>
  </si>
  <si>
    <t>07/11/2002</t>
  </si>
  <si>
    <t>16a</t>
    <phoneticPr fontId="1" type="noConversion"/>
  </si>
  <si>
    <t>Huntington Beach Unit 3 - AES</t>
  </si>
  <si>
    <t>2000-AFC-13</t>
  </si>
  <si>
    <t>Orange</t>
  </si>
  <si>
    <t>05/31/2001</t>
  </si>
  <si>
    <t>11/01</t>
  </si>
  <si>
    <t>07/31/2002</t>
  </si>
  <si>
    <t>Valero Cogen (Unit 1) - Valero</t>
  </si>
  <si>
    <t>2001-AFC-05</t>
  </si>
  <si>
    <t>Solano</t>
  </si>
  <si>
    <t>10/31/2001</t>
  </si>
  <si>
    <t>11/05/2001</t>
  </si>
  <si>
    <t>10/18/2002</t>
  </si>
  <si>
    <t>Subtotal On Line 2002</t>
  </si>
  <si>
    <t>La Paloma - Complete Energy Holdings</t>
  </si>
  <si>
    <t>1998-AFC-02</t>
  </si>
  <si>
    <t>10/06/1999</t>
  </si>
  <si>
    <t>01/01/2000</t>
  </si>
  <si>
    <t>03/02</t>
  </si>
  <si>
    <t>03/07/2003</t>
  </si>
  <si>
    <t>Los Esteros Simple Cycle - Calpine</t>
  </si>
  <si>
    <t>2001-AFC-12</t>
  </si>
  <si>
    <t>02/07/2002</t>
  </si>
  <si>
    <t>07/08/2002</t>
  </si>
  <si>
    <t>05/03</t>
  </si>
  <si>
    <t>Los Esteros Simple Cycle recertification - Calpine</t>
  </si>
  <si>
    <t>2003-AFC-02</t>
  </si>
  <si>
    <t>03/16/2005</t>
  </si>
  <si>
    <t>High Desert - Constellation</t>
  </si>
  <si>
    <t>1997-AFC-01</t>
  </si>
  <si>
    <t>05/03/2000</t>
  </si>
  <si>
    <t>05/01/2001</t>
  </si>
  <si>
    <t>07/03</t>
  </si>
  <si>
    <t>04/22/2003</t>
  </si>
  <si>
    <t>Tracy Peaker - GWF</t>
  </si>
  <si>
    <t>2001-AFC-16</t>
  </si>
  <si>
    <t>San Joaquin</t>
  </si>
  <si>
    <t>07/17/2002</t>
  </si>
  <si>
    <t>07/22/2002</t>
  </si>
  <si>
    <t>04/03</t>
  </si>
  <si>
    <t>06/01/2003</t>
  </si>
  <si>
    <t>1b</t>
    <phoneticPr fontId="1" type="noConversion"/>
  </si>
  <si>
    <t>Sunrise Comb. Cycle Amendment - Texaco &amp; Edison Mission E.</t>
  </si>
  <si>
    <t>1998-AFC-04C</t>
  </si>
  <si>
    <t>11/19/2001</t>
  </si>
  <si>
    <t>12/21/2001</t>
  </si>
  <si>
    <t>06/03</t>
  </si>
  <si>
    <t>Woodland II - Modesto Irrigation District</t>
  </si>
  <si>
    <t>2001-SPPE-01</t>
  </si>
  <si>
    <t>Stanislaus</t>
  </si>
  <si>
    <t>09/19/2001</t>
  </si>
  <si>
    <t>02/21/2002</t>
  </si>
  <si>
    <t>06/06/2003</t>
  </si>
  <si>
    <t>Blythe I - NextEra Energy (FPL)</t>
    <phoneticPr fontId="1" type="noConversion"/>
  </si>
  <si>
    <t>1999-AFC-08</t>
  </si>
  <si>
    <t>03/21/2001</t>
  </si>
  <si>
    <t>04/27/2001</t>
  </si>
  <si>
    <t>07/15/2003</t>
  </si>
  <si>
    <t>Elk Hills - Sempra &amp; Oxy</t>
  </si>
  <si>
    <t>1999-AFC-01</t>
  </si>
  <si>
    <t>06/08/2001</t>
  </si>
  <si>
    <t>12/02</t>
  </si>
  <si>
    <t>07/24/2003</t>
  </si>
  <si>
    <t>16b</t>
    <phoneticPr fontId="1" type="noConversion"/>
  </si>
  <si>
    <t>Huntington Beach Unit 4 - AES</t>
  </si>
  <si>
    <t>08/07/2003</t>
  </si>
  <si>
    <t>Subtotal On Line 2003</t>
  </si>
  <si>
    <t>Donald Von Raesfeld Power Plant (Pico) - Silicon Valley Power</t>
  </si>
  <si>
    <t>2002-AFC-03</t>
  </si>
  <si>
    <t>09/09/2003</t>
  </si>
  <si>
    <t>09/10/2003</t>
  </si>
  <si>
    <t>12/04</t>
  </si>
  <si>
    <t>03/24/2005</t>
  </si>
  <si>
    <t>Pastoria - Calpine</t>
  </si>
  <si>
    <t>1999-AFC-07</t>
  </si>
  <si>
    <t>12/20/2000</t>
  </si>
  <si>
    <t>10/03/2001</t>
  </si>
  <si>
    <t>01/03</t>
  </si>
  <si>
    <t>07/05/2005</t>
  </si>
  <si>
    <t>Metcalf - Calpine</t>
  </si>
  <si>
    <t>1999-AFC-03</t>
  </si>
  <si>
    <t>09/24/2001</t>
  </si>
  <si>
    <t>01/15/2002</t>
  </si>
  <si>
    <t>05/27/2005</t>
  </si>
  <si>
    <t>Kings River - Kings River Cons. Dist.</t>
  </si>
  <si>
    <t>2003-SPPE-02</t>
  </si>
  <si>
    <t>05/19/2004</t>
  </si>
  <si>
    <t>11/01/2004</t>
  </si>
  <si>
    <t>05/05</t>
  </si>
  <si>
    <t>09/19/2005</t>
  </si>
  <si>
    <t>Magnolia - So. Ca. Power Producers</t>
  </si>
  <si>
    <t>2001-AFC-06</t>
  </si>
  <si>
    <t>Los Angeles</t>
  </si>
  <si>
    <t>03/05/2003</t>
  </si>
  <si>
    <t>07/21/2003</t>
  </si>
  <si>
    <t>09/22/2005</t>
  </si>
  <si>
    <t>Malburg - City of Vernon</t>
  </si>
  <si>
    <t>2001-AFC-25</t>
  </si>
  <si>
    <t>05/20/2003</t>
  </si>
  <si>
    <t>09/11/2003</t>
  </si>
  <si>
    <t>11/05</t>
  </si>
  <si>
    <t>10/17/2005</t>
  </si>
  <si>
    <t>Mountainview Unit 3 - SCE</t>
  </si>
  <si>
    <t>2000-AFC-02</t>
  </si>
  <si>
    <t>12/09/2005</t>
  </si>
  <si>
    <t>Subtotal On Line 2005</t>
  </si>
  <si>
    <t>Mountainview Unit 4 - SCE</t>
  </si>
  <si>
    <t>01/19/2006</t>
  </si>
  <si>
    <t>Cosumnes - SMUD</t>
  </si>
  <si>
    <t>2001-AFC-19</t>
  </si>
  <si>
    <t>Sacramento</t>
  </si>
  <si>
    <t>10/31/2003</t>
  </si>
  <si>
    <t>06/05</t>
  </si>
  <si>
    <t>02/24/2006</t>
  </si>
  <si>
    <t>Walnut - Turlock Irr. Dist.</t>
  </si>
  <si>
    <t>2002-AFC-04</t>
  </si>
  <si>
    <t>02/18/2004</t>
  </si>
  <si>
    <t>03/15/2004</t>
  </si>
  <si>
    <t>04/06</t>
  </si>
  <si>
    <t>02/28/2006</t>
  </si>
  <si>
    <t>Palomar Escondido - SDG&amp;E</t>
  </si>
  <si>
    <t>2001-AFC-24</t>
  </si>
  <si>
    <t>08/06/2003</t>
  </si>
  <si>
    <t>06/01/2004</t>
  </si>
  <si>
    <t>03/06</t>
  </si>
  <si>
    <t>04/01/2006</t>
  </si>
  <si>
    <t>Riverside En. Res. Cntr. Units 1 &amp; 2 - City of Riverside</t>
  </si>
  <si>
    <t>2004-SPPE-01</t>
  </si>
  <si>
    <t>12/15/2004</t>
  </si>
  <si>
    <t>02/23/2005</t>
  </si>
  <si>
    <t>06/01/2006</t>
  </si>
  <si>
    <t>Ripon - Modesto Irrigation Dist</t>
  </si>
  <si>
    <t>2003-SPPE-01</t>
  </si>
  <si>
    <t>02/04/2004</t>
  </si>
  <si>
    <t>04/01/2005</t>
  </si>
  <si>
    <t>04/05</t>
  </si>
  <si>
    <t>06/21/2006</t>
  </si>
  <si>
    <t>Subtotal On Line 2006</t>
  </si>
  <si>
    <t>Bottle Rock Geothermal Restart</t>
  </si>
  <si>
    <t>1979-AFC-4C</t>
  </si>
  <si>
    <t>Lake</t>
  </si>
  <si>
    <t>12/13/2006</t>
  </si>
  <si>
    <t>12/19/2006</t>
  </si>
  <si>
    <t>06/07</t>
  </si>
  <si>
    <t>10/01/2007</t>
  </si>
  <si>
    <t>Roseville Combined Cycle - Roseville Electric</t>
  </si>
  <si>
    <t>2003-AFC-01</t>
  </si>
  <si>
    <t>Placer</t>
  </si>
  <si>
    <t>04/13/2005</t>
  </si>
  <si>
    <t>08/18/2005</t>
  </si>
  <si>
    <t>12/07</t>
  </si>
  <si>
    <t>11/07/2007</t>
  </si>
  <si>
    <t>Subtotal On Line 2007</t>
  </si>
  <si>
    <t>Niland Peaker - IID</t>
  </si>
  <si>
    <t>2006-SPPE-1</t>
  </si>
  <si>
    <t>Imperial</t>
  </si>
  <si>
    <t>6/25/2007</t>
  </si>
  <si>
    <t>06/08</t>
  </si>
  <si>
    <t>05/29/2008</t>
  </si>
  <si>
    <t>Subtotal On Line 2008</t>
  </si>
  <si>
    <t>Gateway - PG&amp;E</t>
  </si>
  <si>
    <t>2000-AFC-01</t>
  </si>
  <si>
    <t>5/30/2001</t>
  </si>
  <si>
    <t>8/30/2001
Resumed:
2/2007</t>
  </si>
  <si>
    <t>08/03</t>
  </si>
  <si>
    <t>1/4/2009</t>
  </si>
  <si>
    <t>Inland Empire - GE (UNIT 1)</t>
    <phoneticPr fontId="1" type="noConversion"/>
  </si>
  <si>
    <t>2001-AFC-17</t>
  </si>
  <si>
    <t>Operational</t>
    <phoneticPr fontId="1" type="noConversion"/>
  </si>
  <si>
    <t xml:space="preserve">100
</t>
    <phoneticPr fontId="1" type="noConversion"/>
  </si>
  <si>
    <t>12/17/2003</t>
  </si>
  <si>
    <t>8/26/2005</t>
  </si>
  <si>
    <t>12/05</t>
  </si>
  <si>
    <t>unit 1: 1/28/09 400 MW</t>
    <phoneticPr fontId="1" type="noConversion"/>
  </si>
  <si>
    <t>Starwood Midway - Starwood Power</t>
  </si>
  <si>
    <t>2006-AFC-10</t>
  </si>
  <si>
    <t>1/16/2008</t>
  </si>
  <si>
    <t>9/23/2008</t>
  </si>
  <si>
    <t>06/09</t>
  </si>
  <si>
    <t>5/1/09</t>
    <phoneticPr fontId="1" type="noConversion"/>
  </si>
  <si>
    <t>EIF Panoche - Energy Investors Fund</t>
  </si>
  <si>
    <t>2006-AFC-5</t>
  </si>
  <si>
    <t>12/19/2007</t>
  </si>
  <si>
    <t>2/15/2008</t>
  </si>
  <si>
    <t>11/09</t>
  </si>
  <si>
    <t>7/1/09</t>
    <phoneticPr fontId="1" type="noConversion"/>
  </si>
  <si>
    <t>Otay Mesa - Calpine</t>
  </si>
  <si>
    <t>1999-AFC-05</t>
  </si>
  <si>
    <t>4/18/2001</t>
  </si>
  <si>
    <t>Began: 9/10/01 Restart: 6/21/04
Resumed: 5/1/07</t>
    <phoneticPr fontId="1" type="noConversion"/>
  </si>
  <si>
    <t>10/3/09</t>
    <phoneticPr fontId="1" type="noConversion"/>
  </si>
  <si>
    <t>Subtotal On Line 2009</t>
    <phoneticPr fontId="1" type="noConversion"/>
  </si>
  <si>
    <t>Inland Empire - GE (UNIT 2)</t>
    <phoneticPr fontId="1" type="noConversion"/>
  </si>
  <si>
    <t xml:space="preserve">
unit 2: 5/3/2010 
400 MW</t>
    <phoneticPr fontId="1" type="noConversion"/>
  </si>
  <si>
    <t>Orange Grove AFC - J Power USA</t>
  </si>
  <si>
    <t>2008-AFC-4</t>
  </si>
  <si>
    <t>4/8/2009</t>
    <phoneticPr fontId="1" type="noConversion"/>
  </si>
  <si>
    <t>7/16/2009</t>
    <phoneticPr fontId="1" type="noConversion"/>
  </si>
  <si>
    <t>12/10</t>
    <phoneticPr fontId="1" type="noConversion"/>
  </si>
  <si>
    <t>5/1/10</t>
    <phoneticPr fontId="1" type="noConversion"/>
  </si>
  <si>
    <t>Blythe I Transmission Line - NextEra Energy (FPL)</t>
    <phoneticPr fontId="1" type="noConversion"/>
  </si>
  <si>
    <t>1999-AFC-8C</t>
  </si>
  <si>
    <t>na</t>
  </si>
  <si>
    <t>10/11/2006</t>
  </si>
  <si>
    <t>2/23/2009</t>
  </si>
  <si>
    <t>6/10</t>
    <phoneticPr fontId="1" type="noConversion"/>
  </si>
  <si>
    <t>Humboldt Power Plant - PG&amp;E</t>
  </si>
  <si>
    <t>2006-AFC-7</t>
  </si>
  <si>
    <t>9/24/2008</t>
    <phoneticPr fontId="1" type="noConversion"/>
  </si>
  <si>
    <t>10/11/2008</t>
  </si>
  <si>
    <t>9/09</t>
    <phoneticPr fontId="1" type="noConversion"/>
  </si>
  <si>
    <t>Colusa II Generation Station - PG&amp;E</t>
    <phoneticPr fontId="1" type="noConversion"/>
  </si>
  <si>
    <t>2006-AFC-9</t>
  </si>
  <si>
    <t>Colusa</t>
  </si>
  <si>
    <t>4/23/2008</t>
  </si>
  <si>
    <t>7/28/2008</t>
  </si>
  <si>
    <t>12/22/2010</t>
    <phoneticPr fontId="1" type="noConversion"/>
  </si>
  <si>
    <t>Subtotal On Line 2010</t>
    <phoneticPr fontId="1" type="noConversion"/>
  </si>
  <si>
    <t>Riverside Energy Resource Center Units 3 &amp; 4 - City of Riverside</t>
    <phoneticPr fontId="1" type="noConversion"/>
  </si>
  <si>
    <t>2008-SPPE-1</t>
  </si>
  <si>
    <t>2/25/2009</t>
  </si>
  <si>
    <t>1/4/2010</t>
    <phoneticPr fontId="1" type="noConversion"/>
  </si>
  <si>
    <t>1/10</t>
    <phoneticPr fontId="1" type="noConversion"/>
  </si>
  <si>
    <t>2/7/2011</t>
    <phoneticPr fontId="1" type="noConversion"/>
  </si>
  <si>
    <t>Canyon Power Plant - City of Anaheim</t>
  </si>
  <si>
    <t>2007-AFC-9C</t>
    <phoneticPr fontId="1" type="noConversion"/>
  </si>
  <si>
    <t>3/17/2010</t>
    <phoneticPr fontId="1" type="noConversion"/>
  </si>
  <si>
    <t>4/15/2010</t>
    <phoneticPr fontId="1" type="noConversion"/>
  </si>
  <si>
    <t>7/2011</t>
    <phoneticPr fontId="1" type="noConversion"/>
  </si>
  <si>
    <t>12/2011</t>
    <phoneticPr fontId="1" type="noConversion"/>
  </si>
  <si>
    <t>Subtotal On Line 2011</t>
    <phoneticPr fontId="1" type="noConversion"/>
  </si>
  <si>
    <t>Mariposa Peaker Project - Diamond Energy</t>
  </si>
  <si>
    <t>2009-AFC-3C</t>
    <phoneticPr fontId="1" type="noConversion"/>
  </si>
  <si>
    <t>Testing</t>
    <phoneticPr fontId="1" type="noConversion"/>
  </si>
  <si>
    <t>Alameda</t>
  </si>
  <si>
    <t>5/18/2011</t>
    <phoneticPr fontId="1" type="noConversion"/>
  </si>
  <si>
    <t>6/8/2011</t>
    <phoneticPr fontId="1" type="noConversion"/>
  </si>
  <si>
    <t>7/2012</t>
    <phoneticPr fontId="1" type="noConversion"/>
  </si>
  <si>
    <t>Almond Peaker Power Plant Project - Turlock Irrigation District</t>
    <phoneticPr fontId="1" type="noConversion"/>
  </si>
  <si>
    <t>2009-AFC-2C</t>
    <phoneticPr fontId="1" type="noConversion"/>
  </si>
  <si>
    <t>Stanislaus</t>
    <phoneticPr fontId="1" type="noConversion"/>
  </si>
  <si>
    <t>3/1/2011</t>
    <phoneticPr fontId="1" type="noConversion"/>
  </si>
  <si>
    <t>3/27/2012</t>
    <phoneticPr fontId="1" type="noConversion"/>
  </si>
  <si>
    <t>Subtotal On Line 2012</t>
    <phoneticPr fontId="1" type="noConversion"/>
  </si>
  <si>
    <t>Emergency Peakers</t>
    <phoneticPr fontId="1" type="noConversion"/>
  </si>
  <si>
    <t>Small Power Plant Exemption</t>
    <phoneticPr fontId="1" type="noConversion"/>
  </si>
  <si>
    <t>Large Scale Power Plants</t>
    <phoneticPr fontId="1" type="noConversion"/>
  </si>
  <si>
    <t>ON-LINE TOTAL</t>
  </si>
  <si>
    <r>
      <t>Approved and/or Under Construction</t>
    </r>
    <r>
      <rPr>
        <sz val="9"/>
        <rFont val="Verdana"/>
        <family val="2"/>
      </rPr>
      <t xml:space="preserve">
(Arranged By Date Approved)</t>
    </r>
  </si>
  <si>
    <t>Los Esteros Combined Cycle - Calpine</t>
  </si>
  <si>
    <t>2003-AFC-2C</t>
    <phoneticPr fontId="1" type="noConversion"/>
  </si>
  <si>
    <t>Under Construction</t>
    <phoneticPr fontId="1" type="noConversion"/>
  </si>
  <si>
    <t>5/26/2011</t>
    <phoneticPr fontId="1" type="noConversion"/>
  </si>
  <si>
    <t>N/A</t>
    <phoneticPr fontId="1" type="noConversion"/>
  </si>
  <si>
    <t>6/2013</t>
    <phoneticPr fontId="1" type="noConversion"/>
  </si>
  <si>
    <t>El Centro Unit 3 Repower - IID</t>
  </si>
  <si>
    <t>2006-SPPE-2C</t>
    <phoneticPr fontId="1" type="noConversion"/>
  </si>
  <si>
    <t>9/2010</t>
    <phoneticPr fontId="1" type="noConversion"/>
  </si>
  <si>
    <t>4/2012</t>
    <phoneticPr fontId="1" type="noConversion"/>
  </si>
  <si>
    <t>N/A</t>
  </si>
  <si>
    <t>Russell City - Calpine &amp; GE</t>
  </si>
  <si>
    <t>2001-AFC-7C</t>
    <phoneticPr fontId="1" type="noConversion"/>
  </si>
  <si>
    <t>10/03/2007</t>
  </si>
  <si>
    <t>9/1/2010</t>
    <phoneticPr fontId="1" type="noConversion"/>
  </si>
  <si>
    <t>7/2013</t>
    <phoneticPr fontId="1" type="noConversion"/>
  </si>
  <si>
    <t>Walnut Creek Peaker - Edison Mission E.</t>
  </si>
  <si>
    <t>2005-AFC-2C</t>
    <phoneticPr fontId="1" type="noConversion"/>
  </si>
  <si>
    <t>2/27/2008</t>
    <phoneticPr fontId="1" type="noConversion"/>
  </si>
  <si>
    <t>6/2011</t>
    <phoneticPr fontId="1" type="noConversion"/>
  </si>
  <si>
    <t>Tracy Combined Cycle - GWF</t>
  </si>
  <si>
    <t>2008-AFC-7C</t>
    <phoneticPr fontId="1" type="noConversion"/>
  </si>
  <si>
    <t>3/24/2010</t>
    <phoneticPr fontId="1" type="noConversion"/>
  </si>
  <si>
    <t>1/10/2011</t>
    <phoneticPr fontId="1" type="noConversion"/>
  </si>
  <si>
    <t>8/2012</t>
    <phoneticPr fontId="1" type="noConversion"/>
  </si>
  <si>
    <t>Lodi Energy Center - NCPA</t>
  </si>
  <si>
    <t>2008-AFC-10C</t>
    <phoneticPr fontId="1" type="noConversion"/>
  </si>
  <si>
    <t>4/21/2010</t>
    <phoneticPr fontId="1" type="noConversion"/>
  </si>
  <si>
    <t>7/14/2010</t>
    <phoneticPr fontId="1" type="noConversion"/>
  </si>
  <si>
    <t>6/2012</t>
    <phoneticPr fontId="1" type="noConversion"/>
  </si>
  <si>
    <t>9/2012</t>
    <phoneticPr fontId="1" type="noConversion"/>
  </si>
  <si>
    <t>El Segundo Power Redevelopment (Dry Cooling Amendment)</t>
    <phoneticPr fontId="1" type="noConversion"/>
  </si>
  <si>
    <t>2000-AFC-14C</t>
    <phoneticPr fontId="1" type="noConversion"/>
  </si>
  <si>
    <t>Under Construction</t>
  </si>
  <si>
    <t>5/6/2011</t>
    <phoneticPr fontId="1" type="noConversion"/>
  </si>
  <si>
    <t>8/2010</t>
    <phoneticPr fontId="1" type="noConversion"/>
  </si>
  <si>
    <t>8/2013</t>
    <phoneticPr fontId="1" type="noConversion"/>
  </si>
  <si>
    <t>Marsh Landing Generating Station</t>
  </si>
  <si>
    <t>2008-AFC-3C</t>
    <phoneticPr fontId="1" type="noConversion"/>
  </si>
  <si>
    <t>8/25/2010</t>
    <phoneticPr fontId="1" type="noConversion"/>
  </si>
  <si>
    <t>1/15/2010</t>
    <phoneticPr fontId="1" type="noConversion"/>
  </si>
  <si>
    <t>Abengoa Mojave Solar Project - Mojave Solar LLC</t>
    <phoneticPr fontId="1" type="noConversion"/>
  </si>
  <si>
    <t>2009-AFC-5C</t>
    <phoneticPr fontId="1" type="noConversion"/>
  </si>
  <si>
    <t>San Bernardino</t>
    <phoneticPr fontId="1" type="noConversion"/>
  </si>
  <si>
    <t>9/8/2010</t>
    <phoneticPr fontId="1" type="noConversion"/>
  </si>
  <si>
    <t>Solar Millennium Blythe - Solar Millennium</t>
    <phoneticPr fontId="1" type="noConversion"/>
  </si>
  <si>
    <t>2009-AFC-6C</t>
    <phoneticPr fontId="1" type="noConversion"/>
  </si>
  <si>
    <t>Hold</t>
    <phoneticPr fontId="1" type="noConversion"/>
  </si>
  <si>
    <t>Riverside</t>
    <phoneticPr fontId="1" type="noConversion"/>
  </si>
  <si>
    <t>9/15/2010</t>
    <phoneticPr fontId="1" type="noConversion"/>
  </si>
  <si>
    <t>11/4/2010</t>
    <phoneticPr fontId="1" type="noConversion"/>
  </si>
  <si>
    <t>Ivanpah Solar - Brightsource</t>
    <phoneticPr fontId="1" type="noConversion"/>
  </si>
  <si>
    <t>2007-AFC-5C</t>
    <phoneticPr fontId="1" type="noConversion"/>
  </si>
  <si>
    <t>9/22/2010</t>
    <phoneticPr fontId="1" type="noConversion"/>
  </si>
  <si>
    <t>10/2010</t>
    <phoneticPr fontId="1" type="noConversion"/>
  </si>
  <si>
    <t>10/2012 - 2014</t>
    <phoneticPr fontId="1" type="noConversion"/>
  </si>
  <si>
    <t>10/2012 - 2014     Phased</t>
    <phoneticPr fontId="1" type="noConversion"/>
  </si>
  <si>
    <t>Genesis Solar Energy Project - NextEra Energy</t>
    <phoneticPr fontId="1" type="noConversion"/>
  </si>
  <si>
    <t>2009-AFC-8C</t>
    <phoneticPr fontId="1" type="noConversion"/>
  </si>
  <si>
    <t>9/29/2010</t>
    <phoneticPr fontId="1" type="noConversion"/>
  </si>
  <si>
    <t>1/17/2011</t>
    <phoneticPr fontId="1" type="noConversion"/>
  </si>
  <si>
    <t>Sentinel Peaker - CPV</t>
  </si>
  <si>
    <t>2007-AFC-3C</t>
    <phoneticPr fontId="1" type="noConversion"/>
  </si>
  <si>
    <t>12/1/2010</t>
    <phoneticPr fontId="1" type="noConversion"/>
  </si>
  <si>
    <t>Oakley Generating Station (formerly Contra Costa)</t>
  </si>
  <si>
    <t>2009-AFC-4C</t>
    <phoneticPr fontId="1" type="noConversion"/>
  </si>
  <si>
    <t>Santa Clara SC-1 Data Center, Phase 2                          Xeres Ventures, LLC.</t>
    <phoneticPr fontId="1" type="noConversion"/>
  </si>
  <si>
    <t>2011-SPPE-1</t>
    <phoneticPr fontId="1" type="noConversion"/>
  </si>
  <si>
    <t>--</t>
    <phoneticPr fontId="1" type="noConversion"/>
  </si>
  <si>
    <t>Santa Clara</t>
    <phoneticPr fontId="1" type="noConversion"/>
  </si>
  <si>
    <t>3/28/2012</t>
    <phoneticPr fontId="1" type="noConversion"/>
  </si>
  <si>
    <r>
      <t>Approved</t>
    </r>
    <r>
      <rPr>
        <b/>
        <sz val="9"/>
        <rFont val="Verdana"/>
        <family val="2"/>
      </rPr>
      <t xml:space="preserve"> (Large Solar) </t>
    </r>
  </si>
  <si>
    <t xml:space="preserve"> Approved and/or Under Construction Subtotal </t>
    <phoneticPr fontId="1" type="noConversion"/>
  </si>
  <si>
    <r>
      <t>Approved and/or Under Pre-Construction</t>
    </r>
    <r>
      <rPr>
        <sz val="9"/>
        <rFont val="Verdana"/>
        <family val="2"/>
      </rPr>
      <t xml:space="preserve">
(Arranged By Date Approved)</t>
    </r>
  </si>
  <si>
    <t>Pre-Const. Completed
(%)</t>
    <phoneticPr fontId="1" type="noConversion"/>
  </si>
  <si>
    <t>Victorville Hybrid Gas-Solar - City of Victorville              (513 MW Gas + 50 MW solar)</t>
    <phoneticPr fontId="1" type="noConversion"/>
  </si>
  <si>
    <t>2007-AFC-1C</t>
    <phoneticPr fontId="1" type="noConversion"/>
  </si>
  <si>
    <t>Pre-
Construction</t>
  </si>
  <si>
    <t>7/16/2008</t>
    <phoneticPr fontId="1" type="noConversion"/>
  </si>
  <si>
    <t>Unknown</t>
    <phoneticPr fontId="1" type="noConversion"/>
  </si>
  <si>
    <t>Unknown</t>
  </si>
  <si>
    <t>Avenal Energy - Avenal Power Center, LLC</t>
  </si>
  <si>
    <t>2008-AFC-1C</t>
    <phoneticPr fontId="1" type="noConversion"/>
  </si>
  <si>
    <t>Pre-
Construction</t>
    <phoneticPr fontId="1" type="noConversion"/>
  </si>
  <si>
    <t>Delayed</t>
    <phoneticPr fontId="1" type="noConversion"/>
  </si>
  <si>
    <t>12/16/2009</t>
    <phoneticPr fontId="1" type="noConversion"/>
  </si>
  <si>
    <t>TBD</t>
    <phoneticPr fontId="1" type="noConversion"/>
  </si>
  <si>
    <t>Hanford Combined-Cycle Power Plant (Hanford Energy Peaker Project Expansion) - GWF Energy LLC</t>
  </si>
  <si>
    <t>2001-EP-7C</t>
    <phoneticPr fontId="1" type="noConversion"/>
  </si>
  <si>
    <t>Kings</t>
    <phoneticPr fontId="1" type="noConversion"/>
  </si>
  <si>
    <t>10/2012</t>
    <phoneticPr fontId="1" type="noConversion"/>
  </si>
  <si>
    <t>2/2013</t>
    <phoneticPr fontId="1" type="noConversion"/>
  </si>
  <si>
    <t>Henrietta Peaker Project Combined Cycle Expansion - GWF Energy LLC</t>
    <phoneticPr fontId="1" type="noConversion"/>
  </si>
  <si>
    <t>2001-AFC-18C</t>
    <phoneticPr fontId="1" type="noConversion"/>
  </si>
  <si>
    <t>9/2011</t>
    <phoneticPr fontId="1" type="noConversion"/>
  </si>
  <si>
    <t>Beacon Solar Energy Project - Beacon Solar LLC</t>
  </si>
  <si>
    <t>2008-AFC-2C</t>
    <phoneticPr fontId="1" type="noConversion"/>
  </si>
  <si>
    <t>Pending</t>
    <phoneticPr fontId="1" type="noConversion"/>
  </si>
  <si>
    <t>Calico Solar - Calico Solar LLC 
(formerly SES Solar One LLC/Stirling Energy</t>
    <phoneticPr fontId="1" type="noConversion"/>
  </si>
  <si>
    <t>2008-AFC-13C</t>
    <phoneticPr fontId="1" type="noConversion"/>
  </si>
  <si>
    <t>10/28/2010</t>
    <phoneticPr fontId="1" type="noConversion"/>
  </si>
  <si>
    <t>Rice Solar Energy Project - 
Rice Solar Energy LLC / SolarReserve LLC</t>
    <phoneticPr fontId="1" type="noConversion"/>
  </si>
  <si>
    <t>2009-AFC-10C</t>
    <phoneticPr fontId="1" type="noConversion"/>
  </si>
  <si>
    <t>3/2103</t>
    <phoneticPr fontId="1" type="noConversion"/>
  </si>
  <si>
    <t>Solar Millennium Palen - Solar Millennium</t>
    <phoneticPr fontId="1" type="noConversion"/>
  </si>
  <si>
    <t>2009-AFC-7C</t>
    <phoneticPr fontId="1" type="noConversion"/>
  </si>
  <si>
    <t>Hybrid Gas-Solar - City of  Palmdale                            (520 MW gas + 50 MW solar)</t>
    <phoneticPr fontId="1" type="noConversion"/>
  </si>
  <si>
    <t>2008-AFC-9</t>
  </si>
  <si>
    <t>Los Angeles</t>
    <phoneticPr fontId="1" type="noConversion"/>
  </si>
  <si>
    <t>8/10/2011</t>
    <phoneticPr fontId="1" type="noConversion"/>
  </si>
  <si>
    <t>Watson Cogeneration Steam and Electric Reliability Project</t>
  </si>
  <si>
    <t>2009-AFC-1</t>
  </si>
  <si>
    <t>4/11/2012</t>
    <phoneticPr fontId="1" type="noConversion"/>
  </si>
  <si>
    <t>Carlsbad - NRG</t>
  </si>
  <si>
    <t>2007-AFC-6</t>
  </si>
  <si>
    <t>5/31/2012</t>
    <phoneticPr fontId="1" type="noConversion"/>
  </si>
  <si>
    <t xml:space="preserve"> Approved and/or Under Pre-Construction Subtotal </t>
    <phoneticPr fontId="1" type="noConversion"/>
  </si>
  <si>
    <t xml:space="preserve"> Total Large Solar (Pre-Const and Const)</t>
    <phoneticPr fontId="1" type="noConversion"/>
  </si>
  <si>
    <t xml:space="preserve"> Total Construction (Pre-Const and Const)</t>
    <phoneticPr fontId="1" type="noConversion"/>
  </si>
  <si>
    <r>
      <t xml:space="preserve">Approved and On Hold - Not Under Construction
</t>
    </r>
    <r>
      <rPr>
        <sz val="9"/>
        <rFont val="Verdana"/>
        <family val="2"/>
      </rPr>
      <t>(Arranged By Online Date)</t>
    </r>
  </si>
  <si>
    <t>Morro Bay - L.S. Power</t>
  </si>
  <si>
    <t>2000-AFC-12C</t>
    <phoneticPr fontId="1" type="noConversion"/>
  </si>
  <si>
    <t>On Hold</t>
  </si>
  <si>
    <t>San Luis Obispo</t>
  </si>
  <si>
    <r>
      <t>08/02/2004
Note:</t>
    </r>
    <r>
      <rPr>
        <sz val="8"/>
        <rFont val="Verdana"/>
        <family val="2"/>
      </rPr>
      <t>Commission decision not finalized pending NPDS permit</t>
    </r>
  </si>
  <si>
    <t>Pastoria Simple Cycle Addition - Calpine</t>
  </si>
  <si>
    <t>2005-AFC-1C</t>
    <phoneticPr fontId="1" type="noConversion"/>
  </si>
  <si>
    <t/>
  </si>
  <si>
    <t>12/18/2006</t>
  </si>
  <si>
    <t>Black Rock 1, 2, and 3 Geothermal Power Project
(formerly Salton Sea Geothermal) - Cal Energy</t>
    <phoneticPr fontId="1" type="noConversion"/>
  </si>
  <si>
    <t>2002-AFC-02C</t>
    <phoneticPr fontId="1" type="noConversion"/>
  </si>
  <si>
    <t>License Expires on 12/18/2011, On Hold, Extension Needed</t>
    <phoneticPr fontId="1" type="noConversion"/>
  </si>
  <si>
    <t>01/06</t>
  </si>
  <si>
    <t>On Hold</t>
    <phoneticPr fontId="1" type="noConversion"/>
  </si>
  <si>
    <t>Blythe II - Caithness</t>
  </si>
  <si>
    <t>2002-AFC-01C</t>
    <phoneticPr fontId="1" type="noConversion"/>
  </si>
  <si>
    <t>12/14/2005</t>
  </si>
  <si>
    <t>Approved and available for construction.</t>
  </si>
  <si>
    <t>A</t>
    <phoneticPr fontId="1" type="noConversion"/>
  </si>
  <si>
    <t>Tesla - FPL</t>
  </si>
  <si>
    <t>2001-AFC-21C</t>
    <phoneticPr fontId="1" type="noConversion"/>
  </si>
  <si>
    <t>Not Built and License Expired</t>
    <phoneticPr fontId="1" type="noConversion"/>
  </si>
  <si>
    <t>06/16/2004</t>
  </si>
  <si>
    <t>Cancelled</t>
    <phoneticPr fontId="1" type="noConversion"/>
  </si>
  <si>
    <t>B</t>
    <phoneticPr fontId="1" type="noConversion"/>
  </si>
  <si>
    <t>San Joaquin Valley - Calpine</t>
  </si>
  <si>
    <t>2001-AFC-22C</t>
    <phoneticPr fontId="1" type="noConversion"/>
  </si>
  <si>
    <t>01/14/2004</t>
  </si>
  <si>
    <t>Cancelled</t>
  </si>
  <si>
    <t>01/2006</t>
    <phoneticPr fontId="1" type="noConversion"/>
  </si>
  <si>
    <t>Not Built and License Expired</t>
  </si>
  <si>
    <t>C</t>
    <phoneticPr fontId="1" type="noConversion"/>
  </si>
  <si>
    <t>Three Mountain - Covanta</t>
  </si>
  <si>
    <t>1999-AFC-02C</t>
    <phoneticPr fontId="1" type="noConversion"/>
  </si>
  <si>
    <t>Shasta</t>
  </si>
  <si>
    <t>05/16/2001</t>
  </si>
  <si>
    <t>12/2003</t>
    <phoneticPr fontId="1" type="noConversion"/>
  </si>
  <si>
    <t>D</t>
    <phoneticPr fontId="1" type="noConversion"/>
  </si>
  <si>
    <t>Western Midway Sunset - Edison Mission Energy</t>
  </si>
  <si>
    <t>1999-AFC-09C</t>
    <phoneticPr fontId="1" type="noConversion"/>
  </si>
  <si>
    <t>07/2003</t>
    <phoneticPr fontId="1" type="noConversion"/>
  </si>
  <si>
    <t>E</t>
    <phoneticPr fontId="1" type="noConversion"/>
  </si>
  <si>
    <t>United Golden Gate - El Paso</t>
  </si>
  <si>
    <t>2000-AFC-05C</t>
    <phoneticPr fontId="1" type="noConversion"/>
  </si>
  <si>
    <t>San Mateo</t>
  </si>
  <si>
    <t>03/07/2001</t>
  </si>
  <si>
    <t>07/2001</t>
    <phoneticPr fontId="1" type="noConversion"/>
  </si>
  <si>
    <t>F</t>
    <phoneticPr fontId="1" type="noConversion"/>
  </si>
  <si>
    <t>Pegasus Energy - Delta Power</t>
  </si>
  <si>
    <t>2001-EP-09C</t>
    <phoneticPr fontId="1" type="noConversion"/>
  </si>
  <si>
    <t>G</t>
    <phoneticPr fontId="1" type="noConversion"/>
  </si>
  <si>
    <t>Chula Vista 2 - Ramco</t>
  </si>
  <si>
    <t>2001-EP-03C</t>
    <phoneticPr fontId="1" type="noConversion"/>
  </si>
  <si>
    <t>06/13/2001</t>
  </si>
  <si>
    <t>H</t>
    <phoneticPr fontId="1" type="noConversion"/>
  </si>
  <si>
    <t>Hanford Energy Park - GWF</t>
  </si>
  <si>
    <t>2000-SPPE-01C</t>
    <phoneticPr fontId="1" type="noConversion"/>
  </si>
  <si>
    <t>04/11/2001</t>
  </si>
  <si>
    <t>I</t>
    <phoneticPr fontId="1" type="noConversion"/>
  </si>
  <si>
    <t>Valero Cogen (Unit 2) - Valero</t>
  </si>
  <si>
    <t>2001-AFC-05C</t>
    <phoneticPr fontId="1" type="noConversion"/>
  </si>
  <si>
    <t>02/01/2007</t>
  </si>
  <si>
    <t>12/2002</t>
    <phoneticPr fontId="1" type="noConversion"/>
  </si>
  <si>
    <t>J</t>
    <phoneticPr fontId="1" type="noConversion"/>
  </si>
  <si>
    <t>SF Reliability Project - CCSF</t>
    <phoneticPr fontId="1" type="noConversion"/>
  </si>
  <si>
    <t>2004-AFC-01C</t>
    <phoneticPr fontId="1" type="noConversion"/>
  </si>
  <si>
    <t>License Terminated</t>
    <phoneticPr fontId="1" type="noConversion"/>
  </si>
  <si>
    <t>San Francisco</t>
  </si>
  <si>
    <t>10/03/2006</t>
  </si>
  <si>
    <t>K</t>
    <phoneticPr fontId="1" type="noConversion"/>
  </si>
  <si>
    <t>East Altamont - Calpine</t>
  </si>
  <si>
    <t>2001-AFC-04C</t>
    <phoneticPr fontId="1" type="noConversion"/>
  </si>
  <si>
    <t>License Teminated</t>
    <phoneticPr fontId="1" type="noConversion"/>
  </si>
  <si>
    <t>08/20/2003</t>
  </si>
  <si>
    <t>8/11</t>
  </si>
  <si>
    <t>07/05</t>
  </si>
  <si>
    <t>L</t>
    <phoneticPr fontId="1" type="noConversion"/>
  </si>
  <si>
    <t>Imperial Valley Solar (Formerly SES Solar Two) - Imperial Valley Solar LLC</t>
    <phoneticPr fontId="1" type="noConversion"/>
  </si>
  <si>
    <t>2008-AFC-5C</t>
    <phoneticPr fontId="1" type="noConversion"/>
  </si>
  <si>
    <t xml:space="preserve">Total Cancelled or License Expired </t>
  </si>
  <si>
    <t xml:space="preserve">Not Under Construction Subtotal </t>
  </si>
  <si>
    <t>APPROVED TOTAL</t>
  </si>
  <si>
    <r>
      <t xml:space="preserve">Projects Not Approved
</t>
    </r>
    <r>
      <rPr>
        <sz val="9"/>
        <rFont val="Verdana"/>
        <family val="2"/>
      </rPr>
      <t>(Arranged By Decision Date)</t>
    </r>
  </si>
  <si>
    <t>Process</t>
  </si>
  <si>
    <t>Project Type</t>
  </si>
  <si>
    <t>Date Filed</t>
  </si>
  <si>
    <t>Decision Date</t>
  </si>
  <si>
    <t>Eastshore - Tierra Energy</t>
  </si>
  <si>
    <t>2006-AFC-6</t>
  </si>
  <si>
    <t>12-mon AFC</t>
  </si>
  <si>
    <t>Brownfield</t>
  </si>
  <si>
    <t>09/22/2006</t>
  </si>
  <si>
    <t>10/08/2008</t>
    <phoneticPr fontId="1" type="noConversion"/>
  </si>
  <si>
    <t>MMC Chula Vista Replacement -
MMC Energy, Inc.</t>
  </si>
  <si>
    <t>2007-AFC-4</t>
  </si>
  <si>
    <t>Replacement</t>
  </si>
  <si>
    <t>8/10/2007</t>
  </si>
  <si>
    <t>6/17/2009</t>
    <phoneticPr fontId="1" type="noConversion"/>
  </si>
  <si>
    <t>AES High Grove Power Plant</t>
    <phoneticPr fontId="1" type="noConversion"/>
  </si>
  <si>
    <t>2006-AFC-2</t>
    <phoneticPr fontId="1" type="noConversion"/>
  </si>
  <si>
    <t>12-mon AFC</t>
    <phoneticPr fontId="1" type="noConversion"/>
  </si>
  <si>
    <t>Brownfield</t>
    <phoneticPr fontId="1" type="noConversion"/>
  </si>
  <si>
    <t>San Bernardino Co.</t>
    <phoneticPr fontId="1" type="noConversion"/>
  </si>
  <si>
    <t>NOT APPROVED TOTAL</t>
  </si>
  <si>
    <r>
      <t xml:space="preserve">Projects In Review
</t>
    </r>
    <r>
      <rPr>
        <sz val="9"/>
        <rFont val="Verdana"/>
        <family val="2"/>
      </rPr>
      <t>(Arranged In Alphabetical Order)</t>
    </r>
  </si>
  <si>
    <r>
      <t xml:space="preserve">Capacity
(MW)
</t>
    </r>
    <r>
      <rPr>
        <b/>
        <i/>
        <sz val="8"/>
        <rFont val="Verdana"/>
        <family val="2"/>
      </rPr>
      <t>[bold-italics-underlined
 indicates large solar]</t>
    </r>
  </si>
  <si>
    <t>Estimated Decision Date</t>
  </si>
  <si>
    <t>Original Estimated 
On-line Date</t>
    <phoneticPr fontId="1" type="noConversion"/>
  </si>
  <si>
    <t>Clean Hydrogen Power Project -
BP ARCO &amp; Edison Mission Energy</t>
    <phoneticPr fontId="1" type="noConversion"/>
  </si>
  <si>
    <t>2008-AFC-8A</t>
    <phoneticPr fontId="1" type="noConversion"/>
  </si>
  <si>
    <t xml:space="preserve">Kern </t>
  </si>
  <si>
    <t>7/31/2008
--------------
Revised AFC filed
5/28/2009
--------------
Amended AFC filed 5/2/2012</t>
    <phoneticPr fontId="1" type="noConversion"/>
  </si>
  <si>
    <t>CPV Vaca-Station - Competitive Power Ventures Inc.</t>
  </si>
  <si>
    <t>2008-AFC-11</t>
  </si>
  <si>
    <t>Greenfield</t>
  </si>
  <si>
    <t>11/18/2008</t>
    <phoneticPr fontId="1" type="noConversion"/>
  </si>
  <si>
    <t>Hidden Hills Solar Electric Generating System                 BrightSource Energy, Inc.</t>
    <phoneticPr fontId="1" type="noConversion"/>
  </si>
  <si>
    <t>2011-AFC-2</t>
    <phoneticPr fontId="1" type="noConversion"/>
  </si>
  <si>
    <t>[500]</t>
    <phoneticPr fontId="1" type="noConversion"/>
  </si>
  <si>
    <t>Greenfield</t>
    <phoneticPr fontId="1" type="noConversion"/>
  </si>
  <si>
    <t>Inyo County</t>
    <phoneticPr fontId="1" type="noConversion"/>
  </si>
  <si>
    <t>Pio Pico Energy Center - Pio Pico Energy Center LLC</t>
    <phoneticPr fontId="1" type="noConversion"/>
  </si>
  <si>
    <t>2011-AFC-1</t>
    <phoneticPr fontId="1" type="noConversion"/>
  </si>
  <si>
    <t>San Diego</t>
    <phoneticPr fontId="1" type="noConversion"/>
  </si>
  <si>
    <t>2/9/2011</t>
    <phoneticPr fontId="1" type="noConversion"/>
  </si>
  <si>
    <t>Quail Brush Generating Project                              Quail Brush Genco, LLC.</t>
    <phoneticPr fontId="1" type="noConversion"/>
  </si>
  <si>
    <t>2011-AFC-03</t>
    <phoneticPr fontId="1" type="noConversion"/>
  </si>
  <si>
    <t>12-mon-AFC</t>
    <phoneticPr fontId="1" type="noConversion"/>
  </si>
  <si>
    <t>San Diego Co.</t>
    <phoneticPr fontId="1" type="noConversion"/>
  </si>
  <si>
    <t>8/2011</t>
    <phoneticPr fontId="1" type="noConversion"/>
  </si>
  <si>
    <t>Rio Mesa Solar Electric Generating Facility                     BrightSource Energy</t>
  </si>
  <si>
    <t>2011-AFC-04</t>
    <phoneticPr fontId="1" type="noConversion"/>
  </si>
  <si>
    <t>12-mon-AFC</t>
  </si>
  <si>
    <t>[750]</t>
    <phoneticPr fontId="1" type="noConversion"/>
  </si>
  <si>
    <t>Riverside Co.</t>
  </si>
  <si>
    <t>10/14/2011</t>
    <phoneticPr fontId="1" type="noConversion"/>
  </si>
  <si>
    <t>San Gabriel - Reliant</t>
    <phoneticPr fontId="1" type="noConversion"/>
  </si>
  <si>
    <t>2007-AFC-2</t>
  </si>
  <si>
    <t>[656]</t>
    <phoneticPr fontId="1" type="noConversion"/>
  </si>
  <si>
    <t>Expansion</t>
  </si>
  <si>
    <t>4/13/2007</t>
  </si>
  <si>
    <t>Suspended 
During Review</t>
  </si>
  <si>
    <t>Solar Millenium Ridgecrest - Solar Millenium</t>
    <phoneticPr fontId="1" type="noConversion"/>
  </si>
  <si>
    <t>2009-AFC-9</t>
    <phoneticPr fontId="1" type="noConversion"/>
  </si>
  <si>
    <t>[250]</t>
    <phoneticPr fontId="1" type="noConversion"/>
  </si>
  <si>
    <t>Kern</t>
    <phoneticPr fontId="1" type="noConversion"/>
  </si>
  <si>
    <t>9/1/09</t>
    <phoneticPr fontId="1" type="noConversion"/>
  </si>
  <si>
    <t xml:space="preserve">Sun Valley Peaker - Edison Mission </t>
  </si>
  <si>
    <t>2005-AFC-03</t>
  </si>
  <si>
    <t>12/01/2005</t>
  </si>
  <si>
    <t>?</t>
    <phoneticPr fontId="1" type="noConversion"/>
  </si>
  <si>
    <t>Willow Pass - Mirant</t>
  </si>
  <si>
    <t>2008-AFC-6</t>
  </si>
  <si>
    <t>6/30/2008</t>
  </si>
  <si>
    <t>UNDER REVIEW (No Lg Solar)</t>
    <phoneticPr fontId="1" type="noConversion"/>
  </si>
  <si>
    <t>Large-scale solar under review</t>
    <phoneticPr fontId="1" type="noConversion"/>
  </si>
  <si>
    <t>Under Review Total (excludes Suspended)</t>
    <phoneticPr fontId="1" type="noConversion"/>
  </si>
  <si>
    <r>
      <t xml:space="preserve">Projects Anounced 
</t>
    </r>
    <r>
      <rPr>
        <sz val="9"/>
        <rFont val="Verdana"/>
        <family val="2"/>
      </rPr>
      <t>(Arranged by Estimated Filing Date)</t>
    </r>
  </si>
  <si>
    <t>Process</t>
    <phoneticPr fontId="1" type="noConversion"/>
  </si>
  <si>
    <t>Plant Type</t>
    <phoneticPr fontId="1" type="noConversion"/>
  </si>
  <si>
    <t>Capacity 
(MW)</t>
  </si>
  <si>
    <t>Estimated Filing Date</t>
  </si>
  <si>
    <t>Black Rock 5 &amp; 6 Geothermal Power Project                 CE Butte Energy, LLC.</t>
    <phoneticPr fontId="1" type="noConversion"/>
  </si>
  <si>
    <t>Geothermal Steam Turbine</t>
    <phoneticPr fontId="1" type="noConversion"/>
  </si>
  <si>
    <t>Imperial County</t>
    <phoneticPr fontId="1" type="noConversion"/>
  </si>
  <si>
    <t>07/2012</t>
    <phoneticPr fontId="1" type="noConversion"/>
  </si>
  <si>
    <t>Terresol Solar Tower</t>
    <phoneticPr fontId="1" type="noConversion"/>
  </si>
  <si>
    <t>Solar Thermal</t>
    <phoneticPr fontId="1" type="noConversion"/>
  </si>
  <si>
    <t>Riverside County</t>
    <phoneticPr fontId="1" type="noConversion"/>
  </si>
  <si>
    <t>ANNOUNCED TOTAL</t>
  </si>
  <si>
    <t>NOTES:</t>
  </si>
  <si>
    <t>DEFINITIONS:</t>
  </si>
  <si>
    <r>
      <t>Bold text in table</t>
    </r>
    <r>
      <rPr>
        <sz val="9"/>
        <rFont val="Verdana"/>
        <family val="2"/>
      </rPr>
      <t xml:space="preserve"> identifies a change from the previous report.</t>
    </r>
  </si>
  <si>
    <t>Undeveloped</t>
  </si>
  <si>
    <t>* Estimated on-line date if construction is not delayed.</t>
  </si>
  <si>
    <t>Developed site</t>
  </si>
  <si>
    <t>** Estimated on-line date if approved &amp; constructed as proposed.</t>
  </si>
  <si>
    <t>New unit at existing site, no loss of existing generation</t>
  </si>
  <si>
    <t>Projects in italics and an "EP" Docket Number are emergency peakers</t>
  </si>
  <si>
    <t>Repower</t>
  </si>
  <si>
    <t>Modification of existing equipment</t>
  </si>
  <si>
    <t>Megawatts in [ ] are not included in totals.</t>
  </si>
  <si>
    <t>Demolition of old plant and construction of new plant</t>
  </si>
  <si>
    <t>{1}  1021 MW replaced with 1200 MW for a net increase of 179 MW</t>
  </si>
  <si>
    <t>Applicant has suspended work</t>
  </si>
  <si>
    <t>{2} Project approved but replaced by Hanford-GWF (01-EP-7).</t>
  </si>
  <si>
    <t>Suspended</t>
  </si>
  <si>
    <t>Committee has suspended the proceeding</t>
  </si>
  <si>
    <t>{3} 30 MW organic rankine cycle amendment approved 5/11/05.</t>
  </si>
  <si>
    <t>{4} 130 MW amendment approved 6/22/05.</t>
  </si>
  <si>
    <t>CPUC LTPP filter</t>
  </si>
  <si>
    <t>yes</t>
  </si>
  <si>
    <t>CPUC LTPP COD year</t>
  </si>
  <si>
    <t>Resource Additions (MW)</t>
  </si>
  <si>
    <t>Existing Resources (MW NQC)</t>
  </si>
  <si>
    <t>from OTC and Retirements tab of Technical Attachment Spreadsheet v6 of 2010 LTPP</t>
  </si>
  <si>
    <t>from Net Interchange tab of Technical Attachment Spreadsheet v6 of 2010 LTPP</t>
  </si>
  <si>
    <t>retire at</t>
  </si>
  <si>
    <t>from Maximum Imports for 2012 and 2013 "Assigned and Unassigned RA Import Capability on Branch Groups - After Step 6" at http://www.caiso.com/planning/Pages/ReliabilityRequirements/Default.aspx</t>
  </si>
  <si>
    <t>Imports (MW)</t>
  </si>
  <si>
    <t>CEC</t>
  </si>
  <si>
    <t>Base (CAISO MIC)</t>
  </si>
  <si>
    <t>from ICF base and mid case in 2030</t>
  </si>
  <si>
    <t>from DR tab of Technical Attachment Spreadsheet v6 of 2010 LTPP</t>
  </si>
  <si>
    <t>calculated from capacity number above</t>
  </si>
  <si>
    <t>all repowered</t>
  </si>
  <si>
    <t>Trk2=continue op</t>
  </si>
  <si>
    <t>Trk2=retire</t>
  </si>
  <si>
    <t>all relicensed</t>
  </si>
  <si>
    <t>retire at license end</t>
  </si>
  <si>
    <t>retire in 2015</t>
  </si>
  <si>
    <t>from NQC list mod tab and using GeneratingCapabilityList sorted and OTC tabs to look up facility vintage or planned retirement date</t>
  </si>
  <si>
    <t>2010 LTPP Aggregate</t>
  </si>
  <si>
    <t>Total</t>
  </si>
  <si>
    <t>from 2012 load impacts</t>
  </si>
  <si>
    <t>http://www.osti.gov/energycitations/product.biblio.jsp?osti_id=5763903</t>
  </si>
  <si>
    <t>http://globalenergyobservatory.org/geoid/365</t>
  </si>
  <si>
    <t>http://www.genon.com/company/stations/etiwanda.aspx</t>
  </si>
  <si>
    <t>http://www.genon.com/company/company-locations.aspx</t>
  </si>
  <si>
    <t>http://1x57.com/2011/09/07/aes-power-plant-in-huntington-beach/</t>
  </si>
  <si>
    <t>http://www.genon.com/company/stations/mandalay.aspx</t>
  </si>
  <si>
    <t>http://en.openei.org/wiki/Pacific_West_I_Wind_Farm</t>
  </si>
  <si>
    <t>OTC Flag</t>
  </si>
  <si>
    <t>To be retired when Marsh Landing online</t>
  </si>
  <si>
    <t>from NQC list mod tab</t>
  </si>
  <si>
    <t>OTC non Nuclear</t>
  </si>
  <si>
    <t>OTC Nuclear</t>
  </si>
  <si>
    <t>Dispatchable (non OTC)</t>
  </si>
  <si>
    <t>OTC Retirement date</t>
  </si>
  <si>
    <t>OTC Alternative Retirement date</t>
  </si>
  <si>
    <t>Retire at end of license or in 2015</t>
  </si>
  <si>
    <t>Currently on outage; Retire at end of license or in 2015</t>
  </si>
  <si>
    <t>Solar+Wind</t>
  </si>
  <si>
    <t>All Hydro</t>
  </si>
  <si>
    <t>http://energy.ca.gov/sitingcases/all_projects.html</t>
  </si>
  <si>
    <t>http://www.caiso.com/Documents/2013Assigned_UnassignedRAImportCapability_BranchGroups-AfterStep6.pdf</t>
  </si>
  <si>
    <t>http://www.caiso.com/Documents/2012Assigned_UnassignedRAImportCapability_BranchGroups-AfterStep6.pdf</t>
  </si>
  <si>
    <t>http://www.caiso.com/Documents/GeneratingCapabilityList.xls</t>
  </si>
  <si>
    <t>Primary Sources:</t>
  </si>
  <si>
    <t>Miscellaneous:</t>
  </si>
  <si>
    <t>Tabs:</t>
  </si>
  <si>
    <t>GeneratingCapabilityList sorted</t>
  </si>
  <si>
    <t>NQC list mod</t>
  </si>
  <si>
    <t>SitingCases mod</t>
  </si>
  <si>
    <t>Demand Individual Assumptions</t>
  </si>
  <si>
    <t>Supply Individual Assumptions</t>
  </si>
  <si>
    <t>Assumptions</t>
  </si>
  <si>
    <t>Scenarios</t>
  </si>
  <si>
    <t>http://www.cpuc.ca.gov/NR/rdonlyres/C6BE7182-D647-4C70-B1AC-5D3A1CE207C3/0/CPUCNQCLocalAreaData_ComplianceYear2012.xls</t>
  </si>
  <si>
    <t>Lookup COD and use user input if error</t>
  </si>
  <si>
    <t>Override value: COD found manually</t>
  </si>
  <si>
    <t>Source of Override value of COD</t>
  </si>
  <si>
    <t>sub unit of aggregate in GeneratingCapabilityList</t>
  </si>
  <si>
    <t>COD
(if override value use it, else, if COD is nonzero use it, else use user input)</t>
  </si>
  <si>
    <t>CED forecast</t>
  </si>
  <si>
    <t>user input Small PV capacity factor (decimal)</t>
  </si>
  <si>
    <t>Compliant; Currently back in service for summer 2012; see http://www.energy.ca.gov/sitingcases/huntington_beach_energy/documents/index.html</t>
  </si>
  <si>
    <t>CHP capacity factor, demand-side (decimal)</t>
  </si>
  <si>
    <t>CHP capacity factor, supply-side (decimal)</t>
  </si>
  <si>
    <t>Source for OTC facility retirements (including nuclear).</t>
  </si>
  <si>
    <t>Mid-peak: 1-in-5</t>
    <phoneticPr fontId="52" type="noConversion"/>
  </si>
  <si>
    <t>Mid-peak: 1-in-10</t>
    <phoneticPr fontId="52" type="noConversion"/>
  </si>
  <si>
    <t>Low</t>
    <phoneticPr fontId="52" type="noConversion"/>
  </si>
  <si>
    <t>Mid</t>
    <phoneticPr fontId="52" type="noConversion"/>
  </si>
  <si>
    <t>High</t>
    <phoneticPr fontId="52" type="noConversion"/>
  </si>
  <si>
    <t>Non-OTC, Non-nuclear</t>
  </si>
  <si>
    <t>Control Panel</t>
  </si>
  <si>
    <t>Load</t>
  </si>
  <si>
    <t>Inc. EE</t>
  </si>
  <si>
    <t>Inc. Small PV</t>
  </si>
  <si>
    <t>Supply (MW)</t>
  </si>
  <si>
    <t>Inc. D-CHP</t>
  </si>
  <si>
    <t>Nuclear</t>
    <phoneticPr fontId="52" type="noConversion"/>
  </si>
  <si>
    <t>Resource Additions</t>
  </si>
  <si>
    <t>Other Retirements</t>
  </si>
  <si>
    <t>Inc. S-CHP</t>
  </si>
  <si>
    <t>NET SYSTEM BALANCE (MW)</t>
    <phoneticPr fontId="52" type="noConversion"/>
  </si>
  <si>
    <t>Using 2010 LTPP forecasts</t>
  </si>
  <si>
    <t>For Event Based DR, post 2020 forecast simply carries forward 2020 value.</t>
  </si>
  <si>
    <t>This tab.</t>
  </si>
  <si>
    <t>Demand Side Forecast post 2022</t>
  </si>
  <si>
    <t>Demand</t>
  </si>
  <si>
    <t>Supply</t>
  </si>
  <si>
    <t>Scenario</t>
  </si>
  <si>
    <t>Inc EE</t>
  </si>
  <si>
    <t>Inc PV</t>
  </si>
  <si>
    <t>Inc CHP</t>
  </si>
  <si>
    <t>Existing</t>
  </si>
  <si>
    <t>Additions</t>
  </si>
  <si>
    <t>Retirements</t>
  </si>
  <si>
    <t>Nuclear Retirement</t>
  </si>
  <si>
    <t>Inc DR</t>
  </si>
  <si>
    <t>1A</t>
  </si>
  <si>
    <t>Environmental</t>
  </si>
  <si>
    <t>Same as Base</t>
  </si>
  <si>
    <t>Enviro</t>
  </si>
  <si>
    <t>Same as base</t>
  </si>
  <si>
    <t>1B</t>
  </si>
  <si>
    <t>Early SONGS Retirement</t>
  </si>
  <si>
    <t>Modified High (2015)</t>
  </si>
  <si>
    <t>1C</t>
  </si>
  <si>
    <t>Early Nuclear Retirement</t>
  </si>
  <si>
    <t>High (2015)</t>
  </si>
  <si>
    <t>1D</t>
  </si>
  <si>
    <t>Low Load</t>
  </si>
  <si>
    <t>1E</t>
  </si>
  <si>
    <t>High Load</t>
  </si>
  <si>
    <t>No New DSM</t>
  </si>
  <si>
    <t>None</t>
  </si>
  <si>
    <t>2A</t>
  </si>
  <si>
    <t>Replicating TPP</t>
  </si>
  <si>
    <t>Mid (1-in-5 Peak weather)</t>
  </si>
  <si>
    <t>Same as No New DSM</t>
  </si>
  <si>
    <t>High Distributed Generation</t>
  </si>
  <si>
    <t>High DG</t>
  </si>
  <si>
    <t>Incremental Uncommitted Efficiency Savings for Electricity, Low Savings Case</t>
  </si>
  <si>
    <t>energy (GWh)</t>
  </si>
  <si>
    <t>Title 20 (non-lighting)</t>
  </si>
  <si>
    <t>Federal Standards (non-lighting)</t>
  </si>
  <si>
    <t>Title 24 (non-lighting)</t>
  </si>
  <si>
    <t>Total Standards (non-lighting)</t>
  </si>
  <si>
    <t>Emerging Technologies</t>
  </si>
  <si>
    <t xml:space="preserve">High Impact Measures (non-lighting) </t>
  </si>
  <si>
    <t>Low Income Measures (non-lighting)</t>
  </si>
  <si>
    <t xml:space="preserve">Measures of Interest (non-lighting) </t>
  </si>
  <si>
    <t>Secondary Measures (non-lighting)</t>
  </si>
  <si>
    <t>Usage-Based Behavior</t>
  </si>
  <si>
    <t>Total Program-Related Measures</t>
  </si>
  <si>
    <t>Net Lighting (non-ET)</t>
  </si>
  <si>
    <t>Total Incremental Uncommitted Savings</t>
  </si>
  <si>
    <t>Naturally Occurring Savings, Net of Energy Commission CED 2011 Price Effects</t>
  </si>
  <si>
    <t>peak (MW)</t>
  </si>
  <si>
    <t>ALL IOU</t>
  </si>
  <si>
    <t>Incremental Uncommitted Efficiency Savings for Electricity, Mid Savings Case</t>
  </si>
  <si>
    <t>Emerging Technologies (non-lighting)</t>
  </si>
  <si>
    <t xml:space="preserve">Net Lighting </t>
  </si>
  <si>
    <t>Incremental Uncommitted Efficiency Savings for Electricity, High Savings Case</t>
  </si>
  <si>
    <t>Highlighted cells in this color in Demand/Supply Individual Assumptions tabs indicate raw values that advanced user enters. Cells with no highlighting are calculations.</t>
  </si>
  <si>
    <t>IUEE</t>
  </si>
  <si>
    <t>Mid + NatOccSav</t>
  </si>
  <si>
    <t>Low + NatOccSav</t>
  </si>
  <si>
    <t>High + NatOccSav</t>
  </si>
  <si>
    <t>NET LOAD</t>
  </si>
  <si>
    <t>* Peak demand on the CAISO system assuming 1-in-2 weather year unless otherwise selected.</t>
  </si>
  <si>
    <t>Demand (MW) *</t>
  </si>
  <si>
    <t>Existing Resources</t>
  </si>
  <si>
    <t>Event-Based DR</t>
  </si>
  <si>
    <t xml:space="preserve">NET SUPPLY </t>
  </si>
  <si>
    <t>Non-RPS</t>
  </si>
  <si>
    <t>Resource Retirements</t>
  </si>
  <si>
    <t>Non-RPS Resource Additions that are "High Probability" are derived from CEC siting cases not including large solar.</t>
  </si>
  <si>
    <t>40% RPS by 2030</t>
  </si>
  <si>
    <t>2010 RPS Trajectory</t>
  </si>
  <si>
    <t>High Probability</t>
  </si>
  <si>
    <t>from SitingCases mod tab (CEC siting cases with contracts, permits, moving forward, no large solar)</t>
  </si>
  <si>
    <t>2010 RPS</t>
  </si>
  <si>
    <t>from RPS NQC tab of Technical Attachment Spreadsheet v6 of 2010 LTPP</t>
  </si>
  <si>
    <t>Resource Additions (GWh)</t>
  </si>
  <si>
    <t>from RPS scenarios tool output</t>
  </si>
  <si>
    <t>Trajectory Portfolio</t>
  </si>
  <si>
    <t>Resource Additions, RPS (GWh)</t>
  </si>
  <si>
    <t>Aggregate of Non-RPS</t>
  </si>
  <si>
    <t>Existing Aggregate</t>
  </si>
  <si>
    <t>CEC CED forecast for Small PV capacity factor</t>
  </si>
  <si>
    <t>Small PV capacity factor</t>
  </si>
  <si>
    <t>Use CEC CED forecast or user input?</t>
  </si>
  <si>
    <t>Other User Options</t>
  </si>
  <si>
    <t>2010 LTPP, 2009 IEPR</t>
  </si>
  <si>
    <t>Indicates User Option</t>
  </si>
  <si>
    <t>Pumped Load (GWh) Statewide</t>
  </si>
  <si>
    <t>Pumped Load (GWh) of 3 major IOUs, assuming 80% of statewide</t>
  </si>
  <si>
    <t>Pumped Load forecast to 2022 is derived from "Form 1.1c" tab of http://www.energy.ca.gov/2012_energypolicy/documents/demand-forecast/Mid_Case_LSE_and_Balancing_Authority_Forecast.xls</t>
  </si>
  <si>
    <t>Low case and high case pumped load is assumed to be the same as the mid case.</t>
  </si>
  <si>
    <t>Pumped Load (Energy)</t>
  </si>
  <si>
    <t>http://www.energy.ca.gov/2012publications/CEC-200-2012-003/CEC-200-2012-003.pdf</t>
  </si>
  <si>
    <t>Data from CEC: PG&amp;E, SCE, SDG&amp;E Form 1.2 and Form 1.4 located at:</t>
  </si>
  <si>
    <t>http://www.energy.ca.gov/2012_energypolicy/documents/demand-forecast/Mid_Case_LSE_and_Balancing_Authority_Forecast.xls</t>
  </si>
  <si>
    <t>http://www.energy.ca.gov/2009publications/CEC-200-2009-012/index.html</t>
  </si>
  <si>
    <t>Is any user input using year 2010's forecast for 2012 to 2020?</t>
  </si>
  <si>
    <t>Solar + Wind</t>
  </si>
  <si>
    <t>Modified High</t>
  </si>
  <si>
    <t>only SONGS retire in 2015</t>
  </si>
  <si>
    <t>Diablo retires at license end</t>
  </si>
  <si>
    <t>OTC Nuclear Modified High date</t>
  </si>
  <si>
    <t>ScenariosMatrix</t>
  </si>
  <si>
    <t>Incremental EE - Options to select None, Low, Mid, High, with and without additional naturally occuring savings.</t>
  </si>
  <si>
    <t>If Resource ID not found or missing COD, use this value (mm/dd/yyyy)</t>
  </si>
  <si>
    <t>If no COD estimate for approved new facility, use this value (yyyy)</t>
  </si>
  <si>
    <t>Revisions</t>
  </si>
  <si>
    <t>Editor</t>
  </si>
  <si>
    <t>Description of change</t>
  </si>
  <si>
    <t>Date</t>
  </si>
  <si>
    <t>August 2012</t>
  </si>
  <si>
    <t>The "Notes" tab lists detailed information about data sources, calculation methods, caveats, and other analysis used in this spreadsheet. This tab also lists and describes all the tabs in this spreadsheet.</t>
  </si>
  <si>
    <t>The "Scenarios" tab is the "input/output" page of this spreadsheet. On this tab, the user may vary the assumptions of each of the categories of loads and resources to create any of the Proposed Scenarios, or a completely new, user-defined scenario. The left column is a control panel for accepting user input and the other columns display scenario results. Many of the user inputs are drop down lists selecting between the assumptions (for example, Low, Mid, High) which are defined in the Attachment to the June 27, 2012 Assigned Commissioner's Ruling, found here: http://docs.cpuc.ca.gov/efile/RULINGS/169732.pdf</t>
  </si>
  <si>
    <t>This tool was created using MS Excel 2010 and is incompatible with versions earlier than 2007.</t>
  </si>
  <si>
    <t>Prepared by CPUC Energy Division for the 2012 LTPP Rulemaking R.12-03-014</t>
  </si>
  <si>
    <t>Authors:</t>
  </si>
  <si>
    <t>Patrick Young</t>
  </si>
  <si>
    <t>Noushin Ketabi</t>
  </si>
  <si>
    <t>Nathaniel Skinner</t>
  </si>
  <si>
    <t>Regulatory Analysts</t>
  </si>
  <si>
    <t>CPUC Energy Division, Generation and Transmission Planning</t>
  </si>
  <si>
    <t xml:space="preserve">Project supervisor: </t>
  </si>
  <si>
    <t>Robert Strauss</t>
  </si>
  <si>
    <t>Program and Project Supervisor</t>
  </si>
  <si>
    <t>Key Contributors:</t>
  </si>
  <si>
    <t>v1a no RPS</t>
  </si>
  <si>
    <t>Release version w/o RPS</t>
  </si>
  <si>
    <t>v1b no RPS</t>
  </si>
  <si>
    <t>Summary and aggregation of demand and supply assumptions to the CAISO footprint. The "Scenarios" tab extracts results from this tab.</t>
  </si>
  <si>
    <t>Detail of demand-side assumptions including forecasted load and demand-side resources. The "Assumptions" tab extracts data from this tab.</t>
  </si>
  <si>
    <t>Detail of supply-side assumptions including forecasted supply-side resources. The "Assumptions" tab extracts data from this tab.</t>
  </si>
  <si>
    <t>Imported from CAISO Master List of generation in its control area, sorted to move individual units that are part of aggregates to bottom of sheet. Other tabs pull from the Fuel type and COD columns of this tab.  July 12, 2012 version.</t>
  </si>
  <si>
    <t>Source for Existing Resources and Resource Retirements calculations. Pulls data from "GeneratingCapabilityList sorted" tab and "OTC" tab. Imported from NQC List, October 28, 2011 version.</t>
  </si>
  <si>
    <t>Source for Resource Additions calculations.  Imported from Energy Commission Siting Cases, Status of All Projects list, May 18, 2012 version.</t>
  </si>
  <si>
    <t>Source for incremental EE data. Imported from Incremental Uncommitted EE Forecast from CEC 2012 IEPR, July 31, 2012 version.</t>
  </si>
  <si>
    <t>2012 IEPR, CED 2012-2022 (Docket # 12-IEP-01)</t>
  </si>
  <si>
    <t>http://www.energy.ca.gov/2012_energypolicy/documents/index.html</t>
  </si>
  <si>
    <t>2012 IEPR Demand Forecast, Low</t>
  </si>
  <si>
    <t>2012 IEPR Demand Forecast, Mid</t>
  </si>
  <si>
    <t>2012 IEPR Demand Forecast, High</t>
  </si>
  <si>
    <t>2012 IEPR Demand Forecast, Mid Balancing Area</t>
  </si>
  <si>
    <t>CEC Summer 2012 Electricity Supply and Demand Outlook</t>
  </si>
  <si>
    <t>CED 2010-2020 Commission-adopted Forecast</t>
  </si>
  <si>
    <t>CEC Status of All Projects</t>
  </si>
  <si>
    <t>NQC List</t>
  </si>
  <si>
    <t>CAISO Transmission Capability, 2012</t>
  </si>
  <si>
    <t>CAISO Transmission Capability, 2013</t>
  </si>
  <si>
    <t>CAISO Master Generating Capability List</t>
  </si>
  <si>
    <t>Data in each year column is the cumulative amount since year 2012.</t>
  </si>
  <si>
    <t>The "GeneratingCapabilityList sorted" sorted the CAISO Generating Capability List to move rows for individual units that are part of aggregates (so that this tool does not double count) to the bottom.</t>
  </si>
  <si>
    <t>On the "SitingCases mod" tab, we added a column to explicitly show estimated COD year of approved conventional projects, with PPAs, that are under construction or pre-construction, not On Hold, and not large solar.</t>
  </si>
  <si>
    <t>On the "SitingCases mod" tab, where estimated COD year was not given, the tool accepts user input from the "Scenarios" tab, i.e. the user can select a default COD year.</t>
  </si>
  <si>
    <t>On the "NQC list mod" tab, we added columns to show Fuel Type and COD, extracted from the "GeneratingCapabilityList sorted" tab.</t>
  </si>
  <si>
    <t>On the "NQC list mod" tab, we corrected missing dates for unit COD by manually searching for information on subunits in the CAISO GeneratingCapabilityList or by searching on the Internet. If we still could not find a COD, the user input value from the "Scenarios" tab is utilized.</t>
  </si>
  <si>
    <t>On the "NQC list mod" tab, we added columns to indicate OTC and OTC retirement dates (manually derived from "OTC" tab), plus retirement dates for the "Modified High" nuclear case.</t>
  </si>
  <si>
    <t>Existing Resources and Resource Retirements described in "Supply Individual Assumptions" tab pull data from the "NQC list mod" tab, which in turn pulls data from "GeneratingCapabilityList sorted" tab and "OTC" tab.</t>
  </si>
  <si>
    <t>For non-nuclear OTC Retirements, the mid and high case are the same, pursuant to the Assigned Commissioner's Ruling, June 27, 2012.</t>
  </si>
  <si>
    <t>Demand Response (supply-side)</t>
  </si>
  <si>
    <t>For 2012, the mid value is calculated by taking All Event-Based Programs total for August of each year, converting to MW and rounding to the nearest whole number.  For 2013-2020, mid value is calculated by taking All Event-Based Programs total, subtracting 18.5 MW because the Energy Division de-rated the AMP program to 180 MW.  After that calculation, the number is converted to MW and then rounded up to the nearest whole number.  Low value is mid minus 10%, while high value is mid plus 10%.</t>
  </si>
  <si>
    <t>Mid value is calculated by taking the total of August for that year and subtracting Permanent Load Shifting, then rounding to the nearest whole number.  Low value is mid minus 10%, while high value is mid plus 10%.</t>
  </si>
  <si>
    <t>Incremental EE (demand-side)</t>
  </si>
  <si>
    <t>We use the Uncommitted EE forecast from CEC available at http://www.energy.ca.gov/2012_energypolicy/documents/index.html. Imported into the "IUEE" tab with no changes aside from compiling into a single tab.</t>
  </si>
  <si>
    <t>Regarding "High" case: naturally occurring savings net of CEC price effects are lower in the high savings case. CEC used the price effects from their low demand (high savings) forecast, which had higher prices. Therefore, price effects are much larger and so the net (NOS minus price effects) is lower.</t>
  </si>
  <si>
    <t>Incremental Small PV (demand-side)</t>
  </si>
  <si>
    <t>The average capacity factor for small PV was calculated from the CEC's California Energy Demand mid case forecasted energy and installed capacity for the 3 IOUs aggregated together, leading to an approximate 19% capacity factor. The user has the option to select a user-defined value.</t>
  </si>
  <si>
    <t>The "Low" assumption for Incremental Small PV is 0 MW for the entire time horizon (which is the same as "None").</t>
  </si>
  <si>
    <t>Incremental CHP (demand-side and supply-side)</t>
  </si>
  <si>
    <t>The "Low" assumption for Incremental CHP is 0 MW for the entire time horizon (which is the same as "None").</t>
  </si>
  <si>
    <t>2010 LTPP forecasts include data to 2020. When a scenario selects to use 2010 LTPP forecast data for comparison, data comparisons may not be directly conducted due to vintaging and other issues. Accordingly, post 2020 data will not necessarily be valid and is grayed out.</t>
  </si>
  <si>
    <t>Because of uncertainty on the demand side post 2022, forecast net demand (Load - DemandSideResources) growth to 2034 is at the same average annual growth rate over the 2012-2022 period, pursuant with the Assigned Commissioner's Ruling from June 27, 2012.</t>
  </si>
  <si>
    <t>Pumped Load is subtracted from Net Load for the purposes of determining how much load must be met by 33% RPS target because pumped load is currently exempt from RPS requirements.</t>
  </si>
  <si>
    <t>The aggegrated pumped load for the 3 large IOUs is assumed to be 80% of the statewide aggregated pumped load.  The 3 large IOUs represent about 80% of statewide load.  The statewide aggregated pumped load data is from the CEC spreadsheet referenced above.</t>
  </si>
  <si>
    <t>Note that the load forecast is derived from "Form 1.2" (Net Energy for Load (GWh)) of the 2012 IEPR while the pumped load as described above is derived from "Form 1.1c" (Electricity Deliveries to End Users by Agency (GWh)).</t>
  </si>
  <si>
    <t>Solar + Wind &amp; Hydro Retirements</t>
  </si>
  <si>
    <t>In general, the control panel of the "Scenarios" tab is the only part of this spreadsheet a user should alter. User input cells are highlighted in this color.</t>
  </si>
  <si>
    <t>Introduction</t>
  </si>
  <si>
    <r>
      <t xml:space="preserve">This is the only tab meant for </t>
    </r>
    <r>
      <rPr>
        <b/>
        <sz val="11"/>
        <color theme="1"/>
        <rFont val="Calibri"/>
        <family val="2"/>
        <scheme val="minor"/>
      </rPr>
      <t>general user input</t>
    </r>
    <r>
      <rPr>
        <sz val="11"/>
        <color theme="1"/>
        <rFont val="Calibri"/>
        <family val="2"/>
        <scheme val="minor"/>
      </rPr>
      <t>. This tab is a tool for selecting Low, Mid, High, etc. and other forecast assumptions to display net demand/supply under different scenarios.</t>
    </r>
  </si>
  <si>
    <t>Table summary of Scenarios parameters from the June 27, 2012 Assigned Commissioner's Ruling. The Attachment to this Ruling defines the assumptions for each of the Scenario parameters (Low, Mid, High, etc.).</t>
  </si>
  <si>
    <t>Energy Division 2012 LTPP Scenario Tool for R. 12-03-014</t>
  </si>
  <si>
    <t>This is a spreadsheet tool for generating scenarios of long-term load and resource forecasts built upon the assumptions from the June 27, 2012 Assigned Commissioner's Ruling. The top row of the "ScenariosMatrix" tab of this spreadsheet lists the different categories of loads and resources on the demand side and the supply side; the first and second columns list the "Energy Division Proposed Scenarios for use in R.12-03-014", found here: http://www.cpuc.ca.gov/PUC/energy/Procurement/LTPP/ltpp_history.htm ; the rest of the cells identify the assumptions used for each category in each scenario.  Staff plans to update and revise this tool as Commission actions occur, such as rulings or decisions that modify the scenarios.</t>
  </si>
  <si>
    <t>The other tabs are used for intermediate data aggregation and calculation purposes. Some tabs are direct imports from other data sources, such as the California ISO's master generating capability list, or the net qualifying capacity list.</t>
  </si>
  <si>
    <t>Instructions for Scenario Tool; List of authors and revisions</t>
  </si>
  <si>
    <t>Existing Resources and Resource Additions (supply-side)</t>
  </si>
  <si>
    <t>The "Base" case for Existing Resources is identified in the Tool as "Existing Aggregate", indicating this is an aggregate of all supply-side generation resources including operational RPS resources.</t>
  </si>
  <si>
    <t>The "Base" case for Resource Additions, Non-RPS is identified in the Tool as "High Probability", indicating these are CEC approved projects with PPAs and under construction or pre-construction. This category does not include RPS projects, RPS is accounted for under its own category (Resource Additions, RPS).</t>
  </si>
  <si>
    <t>For Existing Resources, the 2010 LTPP values are aggregates of all types. For Resource Additions, the Non-RPS and RPS 2010 LTPP forecasts are separated.</t>
  </si>
  <si>
    <t>from Additions tab of Technical Attachment Spreadsheet v6 of 2010 LTPP with RPS resources removed from sums</t>
  </si>
  <si>
    <t>Demand (GWh) **</t>
  </si>
  <si>
    <r>
      <t xml:space="preserve">** Under the GWh portion of the above table (bottom half of table), other than the desired RPS Target, there are no options for user selection. Assumptions are controlled by the </t>
    </r>
    <r>
      <rPr>
        <b/>
        <u/>
        <sz val="11"/>
        <color theme="1"/>
        <rFont val="Calibri"/>
        <family val="2"/>
        <scheme val="minor"/>
      </rPr>
      <t>Control Panel</t>
    </r>
    <r>
      <rPr>
        <b/>
        <sz val="11"/>
        <color theme="1"/>
        <rFont val="Calibri"/>
        <family val="2"/>
        <scheme val="minor"/>
      </rPr>
      <t xml:space="preserve"> fields in the MW portion of the above table (top half of table).</t>
    </r>
  </si>
  <si>
    <t>GenOn</t>
  </si>
  <si>
    <t>NRG</t>
  </si>
  <si>
    <t>Dynegy</t>
  </si>
  <si>
    <t>GenOn/Mirant Delta</t>
  </si>
  <si>
    <t>SCE: 78.2%, SDG&amp;E: 20%, City of Riverside: 1.8%</t>
  </si>
  <si>
    <t>Corrected conditional formatting issue, minor improvements to Introduction and Notes text. Removed RPS portion from 2010 LTPP forecast of Resource Additions-Non-RPS. Added plant owner data to OTC tab. For Resource Retirements, corrected wrong links to underlying data in cells F23:AA23 on Scenarios tab.</t>
  </si>
  <si>
    <t>v1c no RPS</t>
  </si>
  <si>
    <t>Corrected cap fac average calculation for Inc Small PV</t>
  </si>
  <si>
    <t>Mid case demand impact</t>
  </si>
  <si>
    <t>Installed capacity</t>
  </si>
  <si>
    <t>Total GWh</t>
  </si>
  <si>
    <t>Total MW</t>
  </si>
  <si>
    <t>Total cap fac</t>
  </si>
  <si>
    <t>All 3 IOU areas</t>
  </si>
  <si>
    <t>v1c RPS</t>
  </si>
  <si>
    <t>Added RPS except for 40% by 2030 case</t>
  </si>
  <si>
    <t>v1ci RPS</t>
  </si>
  <si>
    <t>Removed calculations forecasting RPS target for CAISO control area (and use of pumped load data) and deleted those rows (only on Scenarios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</si>
</sst>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_);_(* \(#,##0.0\);_(* &quot;-&quot;??_);_(@_)"/>
    <numFmt numFmtId="165" formatCode="_(* #,##0_);_(* \(#,##0\);_(* &quot;-&quot;??_);_(@_)"/>
    <numFmt numFmtId="166" formatCode="#,##0.0"/>
    <numFmt numFmtId="167" formatCode="0.0000"/>
    <numFmt numFmtId="168" formatCode="0.000"/>
  </numFmts>
  <fonts count="9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1"/>
      <color rgb="FFFF0000"/>
      <name val="Calibri"/>
      <family val="2"/>
      <scheme val="minor"/>
    </font>
    <font>
      <sz val="11"/>
      <color theme="1"/>
      <name val="Verdana"/>
      <family val="2"/>
    </font>
    <font>
      <b/>
      <sz val="13.5"/>
      <color theme="1"/>
      <name val="Verdana"/>
      <family val="2"/>
    </font>
    <font>
      <b/>
      <u/>
      <sz val="12"/>
      <color rgb="FFFF0000"/>
      <name val="Verdana"/>
      <family val="2"/>
    </font>
    <font>
      <b/>
      <sz val="12"/>
      <color theme="1"/>
      <name val="Verdana"/>
      <family val="2"/>
    </font>
    <font>
      <sz val="10"/>
      <color rgb="FF000000"/>
      <name val="Verdana"/>
      <family val="2"/>
    </font>
    <font>
      <b/>
      <sz val="10"/>
      <color rgb="FF0000FF"/>
      <name val="Verdana"/>
      <family val="2"/>
    </font>
    <font>
      <sz val="10"/>
      <color rgb="FF0000FF"/>
      <name val="Verdana"/>
      <family val="2"/>
    </font>
    <font>
      <sz val="12"/>
      <color theme="1"/>
      <name val="Verdana"/>
      <family val="2"/>
    </font>
    <font>
      <b/>
      <sz val="11"/>
      <color rgb="FF0000FF"/>
      <name val="Verdana"/>
      <family val="2"/>
    </font>
    <font>
      <sz val="11"/>
      <color rgb="FF0000FF"/>
      <name val="Verdana"/>
      <family val="2"/>
    </font>
    <font>
      <b/>
      <sz val="11"/>
      <color theme="1"/>
      <name val="Verdana"/>
      <family val="2"/>
    </font>
    <font>
      <sz val="10"/>
      <name val="Arial"/>
      <family val="2"/>
    </font>
    <font>
      <b/>
      <sz val="10"/>
      <name val="Arial"/>
      <family val="2"/>
    </font>
    <font>
      <b/>
      <sz val="11"/>
      <color indexed="8"/>
      <name val="Calibri"/>
      <family val="2"/>
    </font>
    <font>
      <sz val="10"/>
      <color indexed="8"/>
      <name val="Arial"/>
      <family val="2"/>
    </font>
    <font>
      <sz val="11"/>
      <color indexed="8"/>
      <name val="Palatino Linotype"/>
      <family val="2"/>
    </font>
    <font>
      <u/>
      <sz val="10"/>
      <color theme="10"/>
      <name val="Arial"/>
      <family val="2"/>
    </font>
    <font>
      <sz val="8"/>
      <name val="Arial"/>
      <family val="2"/>
    </font>
    <font>
      <sz val="10"/>
      <color rgb="FF000080"/>
      <name val="Arial"/>
      <family val="2"/>
    </font>
    <font>
      <sz val="8"/>
      <color theme="1"/>
      <name val="Arial"/>
      <family val="2"/>
    </font>
    <font>
      <sz val="8"/>
      <color indexed="81"/>
      <name val="Tahoma"/>
      <family val="2"/>
    </font>
    <font>
      <b/>
      <sz val="9"/>
      <color indexed="81"/>
      <name val="Tahoma"/>
      <family val="2"/>
    </font>
    <font>
      <sz val="9"/>
      <color indexed="81"/>
      <name val="Tahoma"/>
      <family val="2"/>
    </font>
    <font>
      <b/>
      <sz val="8"/>
      <color indexed="81"/>
      <name val="Tahoma"/>
      <family val="2"/>
    </font>
    <font>
      <sz val="8"/>
      <color indexed="9"/>
      <name val="Arial"/>
      <family val="2"/>
    </font>
    <font>
      <b/>
      <sz val="18"/>
      <name val="Verdana"/>
      <family val="2"/>
    </font>
    <font>
      <b/>
      <sz val="14"/>
      <name val="Verdana"/>
      <family val="2"/>
    </font>
    <font>
      <sz val="12"/>
      <name val="Arial"/>
      <family val="2"/>
    </font>
    <font>
      <b/>
      <sz val="12"/>
      <name val="Verdana"/>
      <family val="2"/>
    </font>
    <font>
      <sz val="10"/>
      <name val="Verdana"/>
      <family val="2"/>
    </font>
    <font>
      <b/>
      <sz val="9"/>
      <name val="Verdana"/>
      <family val="2"/>
    </font>
    <font>
      <sz val="9"/>
      <name val="Verdana"/>
      <family val="2"/>
    </font>
    <font>
      <sz val="8"/>
      <name val="Verdana"/>
      <family val="2"/>
    </font>
    <font>
      <sz val="9"/>
      <color indexed="9"/>
      <name val="Verdana"/>
      <family val="2"/>
    </font>
    <font>
      <i/>
      <sz val="8"/>
      <name val="Verdana"/>
      <family val="2"/>
    </font>
    <font>
      <i/>
      <sz val="9"/>
      <name val="Verdana"/>
      <family val="2"/>
    </font>
    <font>
      <i/>
      <sz val="9"/>
      <color indexed="9"/>
      <name val="Verdana"/>
      <family val="2"/>
    </font>
    <font>
      <i/>
      <sz val="8"/>
      <name val="Arial"/>
      <family val="2"/>
    </font>
    <font>
      <b/>
      <i/>
      <sz val="9"/>
      <name val="Verdana"/>
      <family val="2"/>
    </font>
    <font>
      <b/>
      <sz val="8"/>
      <name val="Verdana"/>
      <family val="2"/>
    </font>
    <font>
      <b/>
      <sz val="9"/>
      <color indexed="9"/>
      <name val="Verdana"/>
      <family val="2"/>
    </font>
    <font>
      <i/>
      <u/>
      <sz val="9"/>
      <name val="Verdana"/>
      <family val="2"/>
    </font>
    <font>
      <b/>
      <i/>
      <u/>
      <sz val="9"/>
      <name val="Verdana"/>
      <family val="2"/>
    </font>
    <font>
      <b/>
      <i/>
      <sz val="11"/>
      <name val="Verdana"/>
      <family val="2"/>
    </font>
    <font>
      <sz val="9"/>
      <name val="Arial"/>
      <family val="2"/>
    </font>
    <font>
      <b/>
      <i/>
      <sz val="8"/>
      <name val="Verdana"/>
      <family val="2"/>
    </font>
    <font>
      <u/>
      <sz val="9"/>
      <name val="Verdana"/>
      <family val="2"/>
    </font>
    <font>
      <b/>
      <sz val="11"/>
      <name val="Verdana"/>
      <family val="2"/>
    </font>
    <font>
      <b/>
      <i/>
      <sz val="12"/>
      <name val="Verdana"/>
      <family val="2"/>
    </font>
    <font>
      <i/>
      <sz val="11"/>
      <name val="Verdana"/>
      <family val="2"/>
    </font>
    <font>
      <sz val="10"/>
      <color theme="1"/>
      <name val="Calibri"/>
      <family val="2"/>
      <scheme val="minor"/>
    </font>
    <font>
      <sz val="10"/>
      <name val="Calibri"/>
      <family val="2"/>
      <scheme val="minor"/>
    </font>
    <font>
      <u/>
      <sz val="11"/>
      <color theme="11"/>
      <name val="Calibri"/>
      <family val="2"/>
      <scheme val="minor"/>
    </font>
    <font>
      <sz val="11"/>
      <name val="Calibri"/>
      <family val="2"/>
      <scheme val="minor"/>
    </font>
    <font>
      <sz val="11"/>
      <color rgb="FF000000"/>
      <name val="Calibri"/>
      <family val="2"/>
      <scheme val="minor"/>
    </font>
    <font>
      <sz val="11"/>
      <color indexed="8"/>
      <name val="Calibri"/>
      <family val="2"/>
    </font>
    <font>
      <sz val="11"/>
      <color theme="0" tint="-0.249977111117893"/>
      <name val="Calibri"/>
      <family val="2"/>
      <scheme val="minor"/>
    </font>
    <font>
      <b/>
      <sz val="11"/>
      <color indexed="10"/>
      <name val="Calibri"/>
      <family val="2"/>
    </font>
    <font>
      <b/>
      <u/>
      <sz val="11"/>
      <name val="Calibri"/>
      <family val="2"/>
    </font>
    <font>
      <b/>
      <u/>
      <sz val="11"/>
      <color indexed="8"/>
      <name val="Calibri"/>
      <family val="2"/>
    </font>
    <font>
      <b/>
      <sz val="11"/>
      <name val="Calibri"/>
      <family val="2"/>
    </font>
    <font>
      <sz val="11"/>
      <name val="Calibri"/>
      <family val="2"/>
    </font>
    <font>
      <b/>
      <sz val="9"/>
      <color indexed="81"/>
      <name val="Calibri"/>
      <family val="2"/>
    </font>
    <font>
      <b/>
      <sz val="12"/>
      <color theme="1"/>
      <name val="Cambria"/>
      <family val="1"/>
      <scheme val="major"/>
    </font>
    <font>
      <b/>
      <sz val="12"/>
      <color theme="1"/>
      <name val="Arial"/>
      <family val="2"/>
    </font>
    <font>
      <u/>
      <sz val="10"/>
      <color theme="1"/>
      <name val="Arial"/>
      <family val="2"/>
    </font>
    <font>
      <b/>
      <sz val="10"/>
      <color theme="1"/>
      <name val="Arial"/>
      <family val="2"/>
    </font>
    <font>
      <b/>
      <i/>
      <sz val="10"/>
      <color theme="1"/>
      <name val="Arial"/>
      <family val="2"/>
    </font>
    <font>
      <i/>
      <sz val="10"/>
      <color theme="1"/>
      <name val="Arial"/>
      <family val="2"/>
    </font>
    <font>
      <b/>
      <sz val="10"/>
      <color indexed="81"/>
      <name val="Tahoma"/>
      <family val="2"/>
    </font>
    <font>
      <sz val="10"/>
      <color indexed="81"/>
      <name val="Tahoma"/>
      <family val="2"/>
    </font>
    <font>
      <b/>
      <sz val="14"/>
      <color theme="1"/>
      <name val="Calibri"/>
      <family val="2"/>
      <scheme val="minor"/>
    </font>
    <font>
      <b/>
      <u/>
      <sz val="11"/>
      <color theme="1"/>
      <name val="Calibri"/>
      <family val="2"/>
      <scheme val="minor"/>
    </font>
    <font>
      <sz val="11"/>
      <color theme="0" tint="-0.499984740745262"/>
      <name val="Calibri"/>
      <family val="2"/>
      <scheme val="minor"/>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
      <patternFill patternType="solid">
        <fgColor rgb="FFF5F5F5"/>
        <bgColor indexed="64"/>
      </patternFill>
    </fill>
    <fill>
      <patternFill patternType="solid">
        <fgColor rgb="FFC0C0C0"/>
        <bgColor indexed="64"/>
      </patternFill>
    </fill>
    <fill>
      <patternFill patternType="solid">
        <fgColor indexed="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65"/>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
      <patternFill patternType="solid">
        <fgColor indexed="23"/>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5" tint="0.39997558519241921"/>
        <bgColor indexed="64"/>
      </patternFill>
    </fill>
    <fill>
      <patternFill patternType="solid">
        <fgColor indexed="8"/>
        <bgColor indexed="64"/>
      </patternFill>
    </fill>
    <fill>
      <patternFill patternType="solid">
        <fgColor rgb="FFFF0000"/>
        <bgColor indexed="64"/>
      </patternFill>
    </fill>
    <fill>
      <patternFill patternType="solid">
        <fgColor theme="0"/>
        <bgColor indexed="64"/>
      </patternFill>
    </fill>
    <fill>
      <patternFill patternType="solid">
        <fgColor theme="8"/>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rgb="FF00FFFF"/>
        <bgColor indexed="64"/>
      </patternFill>
    </fill>
    <fill>
      <patternFill patternType="solid">
        <fgColor rgb="FFFF9933"/>
        <bgColor indexed="64"/>
      </patternFill>
    </fill>
    <fill>
      <patternFill patternType="solid">
        <fgColor rgb="FFCC9900"/>
        <bgColor indexed="64"/>
      </patternFill>
    </fill>
    <fill>
      <patternFill patternType="solid">
        <fgColor rgb="FF9999FF"/>
        <bgColor indexed="64"/>
      </patternFill>
    </fill>
    <fill>
      <patternFill patternType="solid">
        <fgColor theme="0" tint="-0.14999847407452621"/>
        <bgColor indexed="64"/>
      </patternFill>
    </fill>
    <fill>
      <patternFill patternType="solid">
        <fgColor rgb="FFFFCC00"/>
        <bgColor indexed="64"/>
      </patternFill>
    </fill>
    <fill>
      <patternFill patternType="solid">
        <fgColor theme="8" tint="0.59999389629810485"/>
        <bgColor indexed="64"/>
      </patternFill>
    </fill>
    <fill>
      <patternFill patternType="solid">
        <fgColor rgb="FFFF9999"/>
        <bgColor indexed="64"/>
      </patternFill>
    </fill>
    <fill>
      <patternFill patternType="solid">
        <fgColor theme="9" tint="0.39997558519241921"/>
        <bgColor indexed="64"/>
      </patternFill>
    </fill>
    <fill>
      <patternFill patternType="solid">
        <fgColor rgb="FFFF6600"/>
        <bgColor indexed="64"/>
      </patternFill>
    </fill>
    <fill>
      <patternFill patternType="solid">
        <fgColor rgb="FFCCFF99"/>
        <bgColor indexed="64"/>
      </patternFill>
    </fill>
    <fill>
      <patternFill patternType="solid">
        <fgColor theme="7" tint="0.59999389629810485"/>
        <bgColor indexed="64"/>
      </patternFill>
    </fill>
    <fill>
      <patternFill patternType="solid">
        <fgColor rgb="FF99CCFF"/>
        <bgColor indexed="64"/>
      </patternFill>
    </fill>
    <fill>
      <patternFill patternType="solid">
        <fgColor theme="8" tint="0.79998168889431442"/>
        <bgColor indexed="64"/>
      </patternFill>
    </fill>
    <fill>
      <patternFill patternType="solid">
        <fgColor theme="8" tint="0.39997558519241921"/>
        <bgColor indexed="64"/>
      </patternFill>
    </fill>
  </fills>
  <borders count="8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diagonal/>
    </border>
    <border>
      <left style="thin">
        <color auto="1"/>
      </left>
      <right/>
      <top/>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right/>
      <top style="medium">
        <color auto="1"/>
      </top>
      <bottom/>
      <diagonal/>
    </border>
    <border>
      <left style="medium">
        <color auto="1"/>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medium">
        <color auto="1"/>
      </right>
      <top style="thin">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auto="1"/>
      </left>
      <right style="medium">
        <color indexed="64"/>
      </right>
      <top/>
      <bottom style="medium">
        <color auto="1"/>
      </bottom>
      <diagonal/>
    </border>
    <border>
      <left style="medium">
        <color indexed="64"/>
      </left>
      <right/>
      <top style="medium">
        <color indexed="64"/>
      </top>
      <bottom/>
      <diagonal/>
    </border>
    <border>
      <left style="medium">
        <color auto="1"/>
      </left>
      <right style="medium">
        <color auto="1"/>
      </right>
      <top style="thin">
        <color indexed="64"/>
      </top>
      <bottom style="medium">
        <color auto="1"/>
      </bottom>
      <diagonal/>
    </border>
    <border>
      <left/>
      <right style="medium">
        <color auto="1"/>
      </right>
      <top style="thin">
        <color indexed="64"/>
      </top>
      <bottom style="medium">
        <color auto="1"/>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12">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31" fillId="0" borderId="0"/>
    <xf numFmtId="43" fontId="31" fillId="0" borderId="0" applyFont="0" applyFill="0" applyBorder="0" applyAlignment="0" applyProtection="0"/>
    <xf numFmtId="0" fontId="35" fillId="0" borderId="0"/>
    <xf numFmtId="0" fontId="36" fillId="0" borderId="0" applyNumberFormat="0" applyFill="0" applyBorder="0" applyAlignment="0" applyProtection="0">
      <alignment vertical="top"/>
      <protection locked="0"/>
    </xf>
    <xf numFmtId="0" fontId="18"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9" fontId="1" fillId="0" borderId="0" applyFont="0" applyFill="0" applyBorder="0" applyAlignment="0" applyProtection="0"/>
  </cellStyleXfs>
  <cellXfs count="762">
    <xf numFmtId="0" fontId="0" fillId="0" borderId="0" xfId="0"/>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16" fillId="0" borderId="0" xfId="0" applyFont="1"/>
    <xf numFmtId="165" fontId="0" fillId="0" borderId="0" xfId="1" applyNumberFormat="1" applyFont="1"/>
    <xf numFmtId="164" fontId="0" fillId="0" borderId="0" xfId="1" applyNumberFormat="1" applyFont="1"/>
    <xf numFmtId="43" fontId="0" fillId="0" borderId="0" xfId="1" applyFont="1"/>
    <xf numFmtId="0" fontId="0" fillId="0" borderId="0" xfId="0"/>
    <xf numFmtId="0" fontId="0" fillId="33" borderId="0" xfId="0" applyFill="1"/>
    <xf numFmtId="0" fontId="14" fillId="33" borderId="0" xfId="0" applyFont="1" applyFill="1"/>
    <xf numFmtId="0" fontId="16" fillId="0" borderId="0" xfId="0" applyFont="1" applyAlignment="1">
      <alignment horizontal="left"/>
    </xf>
    <xf numFmtId="0" fontId="19" fillId="33" borderId="0" xfId="0" applyFont="1" applyFill="1"/>
    <xf numFmtId="0" fontId="16" fillId="34" borderId="0" xfId="0" applyFont="1" applyFill="1"/>
    <xf numFmtId="0" fontId="0" fillId="34" borderId="0" xfId="0" applyFill="1"/>
    <xf numFmtId="165" fontId="0" fillId="34" borderId="0" xfId="1" applyNumberFormat="1" applyFont="1" applyFill="1"/>
    <xf numFmtId="14" fontId="0" fillId="0" borderId="0" xfId="0" applyNumberFormat="1"/>
    <xf numFmtId="0" fontId="0" fillId="0" borderId="0" xfId="0" applyFont="1"/>
    <xf numFmtId="0" fontId="31" fillId="0" borderId="0" xfId="44"/>
    <xf numFmtId="0" fontId="31" fillId="0" borderId="0" xfId="44" applyAlignment="1">
      <alignment wrapText="1"/>
    </xf>
    <xf numFmtId="0" fontId="31" fillId="0" borderId="17" xfId="44" applyFont="1" applyBorder="1" applyAlignment="1">
      <alignment wrapText="1"/>
    </xf>
    <xf numFmtId="0" fontId="31" fillId="0" borderId="18" xfId="44" applyFont="1" applyBorder="1"/>
    <xf numFmtId="0" fontId="31" fillId="0" borderId="18" xfId="44" applyFont="1" applyBorder="1" applyAlignment="1">
      <alignment horizontal="left"/>
    </xf>
    <xf numFmtId="3" fontId="34" fillId="0" borderId="18" xfId="45" applyNumberFormat="1" applyFont="1" applyBorder="1" applyAlignment="1">
      <alignment horizontal="center"/>
    </xf>
    <xf numFmtId="0" fontId="31" fillId="0" borderId="19" xfId="44" applyFont="1" applyBorder="1" applyAlignment="1">
      <alignment wrapText="1"/>
    </xf>
    <xf numFmtId="0" fontId="31" fillId="0" borderId="19" xfId="44" applyFont="1" applyFill="1" applyBorder="1" applyAlignment="1">
      <alignment wrapText="1"/>
    </xf>
    <xf numFmtId="0" fontId="34" fillId="39" borderId="18" xfId="46" applyFont="1" applyFill="1" applyBorder="1" applyAlignment="1">
      <alignment wrapText="1"/>
    </xf>
    <xf numFmtId="0" fontId="34" fillId="39" borderId="17" xfId="46" applyFont="1" applyFill="1" applyBorder="1" applyAlignment="1">
      <alignment wrapText="1"/>
    </xf>
    <xf numFmtId="0" fontId="31" fillId="0" borderId="21" xfId="44" applyFont="1" applyBorder="1"/>
    <xf numFmtId="0" fontId="31" fillId="0" borderId="20" xfId="44" applyFont="1" applyBorder="1" applyAlignment="1">
      <alignment wrapText="1"/>
    </xf>
    <xf numFmtId="0" fontId="31" fillId="0" borderId="21" xfId="44" applyFont="1" applyBorder="1" applyAlignment="1">
      <alignment horizontal="left"/>
    </xf>
    <xf numFmtId="3" fontId="34" fillId="0" borderId="21" xfId="45" applyNumberFormat="1" applyFont="1" applyBorder="1" applyAlignment="1">
      <alignment horizontal="center"/>
    </xf>
    <xf numFmtId="0" fontId="31" fillId="0" borderId="0" xfId="44" applyAlignment="1">
      <alignment horizontal="right"/>
    </xf>
    <xf numFmtId="14" fontId="31" fillId="0" borderId="18" xfId="44" applyNumberFormat="1" applyFont="1" applyBorder="1" applyAlignment="1">
      <alignment horizontal="right"/>
    </xf>
    <xf numFmtId="14" fontId="31" fillId="0" borderId="21" xfId="44" applyNumberFormat="1" applyFont="1" applyBorder="1" applyAlignment="1">
      <alignment horizontal="right"/>
    </xf>
    <xf numFmtId="0" fontId="33" fillId="0" borderId="14" xfId="44" applyFont="1" applyBorder="1" applyAlignment="1">
      <alignment horizontal="center" wrapText="1"/>
    </xf>
    <xf numFmtId="0" fontId="33" fillId="0" borderId="15" xfId="44" applyFont="1" applyBorder="1" applyAlignment="1">
      <alignment horizontal="center"/>
    </xf>
    <xf numFmtId="0" fontId="33" fillId="0" borderId="15" xfId="44" applyFont="1" applyFill="1" applyBorder="1" applyAlignment="1">
      <alignment horizontal="center"/>
    </xf>
    <xf numFmtId="0" fontId="33" fillId="0" borderId="16" xfId="44" applyFont="1" applyFill="1" applyBorder="1" applyAlignment="1">
      <alignment horizontal="center" wrapText="1"/>
    </xf>
    <xf numFmtId="0" fontId="32" fillId="0" borderId="0" xfId="44" applyFont="1" applyAlignment="1"/>
    <xf numFmtId="0" fontId="33" fillId="0" borderId="23" xfId="44" applyFont="1" applyFill="1" applyBorder="1" applyAlignment="1">
      <alignment horizontal="center"/>
    </xf>
    <xf numFmtId="14" fontId="31" fillId="40" borderId="18" xfId="44" applyNumberFormat="1" applyFont="1" applyFill="1" applyBorder="1" applyAlignment="1">
      <alignment horizontal="right"/>
    </xf>
    <xf numFmtId="0" fontId="0" fillId="0" borderId="0" xfId="0" applyAlignment="1">
      <alignment vertical="center"/>
    </xf>
    <xf numFmtId="0" fontId="0" fillId="41" borderId="0" xfId="0" applyFill="1"/>
    <xf numFmtId="0" fontId="0" fillId="42" borderId="0" xfId="0" applyFill="1"/>
    <xf numFmtId="0" fontId="0" fillId="43" borderId="0" xfId="0" applyFill="1"/>
    <xf numFmtId="43" fontId="36" fillId="44" borderId="25" xfId="47" applyNumberFormat="1" applyFill="1" applyBorder="1" applyAlignment="1" applyProtection="1">
      <protection locked="0"/>
    </xf>
    <xf numFmtId="0" fontId="31" fillId="0" borderId="25" xfId="0" applyFont="1" applyFill="1" applyBorder="1" applyAlignment="1" applyProtection="1">
      <protection locked="0"/>
    </xf>
    <xf numFmtId="0" fontId="31" fillId="44" borderId="25" xfId="0" applyFont="1" applyFill="1" applyBorder="1" applyAlignment="1" applyProtection="1">
      <alignment horizontal="center"/>
      <protection locked="0"/>
    </xf>
    <xf numFmtId="0" fontId="37" fillId="0" borderId="25" xfId="0" applyFont="1" applyBorder="1"/>
    <xf numFmtId="0" fontId="0" fillId="44" borderId="0" xfId="0" applyFill="1" applyBorder="1" applyAlignment="1" applyProtection="1">
      <protection locked="0"/>
    </xf>
    <xf numFmtId="43" fontId="37" fillId="44" borderId="25" xfId="45" applyFont="1" applyFill="1" applyBorder="1" applyAlignment="1" applyProtection="1">
      <protection locked="0"/>
    </xf>
    <xf numFmtId="0" fontId="38" fillId="0" borderId="26" xfId="0" applyFont="1" applyBorder="1"/>
    <xf numFmtId="0" fontId="31" fillId="44" borderId="27" xfId="0" applyFont="1" applyFill="1" applyBorder="1" applyAlignment="1" applyProtection="1">
      <alignment horizontal="center" vertical="center" wrapText="1"/>
      <protection locked="0"/>
    </xf>
    <xf numFmtId="0" fontId="32" fillId="44" borderId="28" xfId="0" applyFont="1" applyFill="1" applyBorder="1" applyAlignment="1" applyProtection="1">
      <alignment horizontal="center" vertical="center" wrapText="1"/>
      <protection locked="0"/>
    </xf>
    <xf numFmtId="0" fontId="32" fillId="44" borderId="28" xfId="0" applyFont="1" applyFill="1" applyBorder="1" applyAlignment="1" applyProtection="1">
      <alignment horizontal="center" wrapText="1"/>
      <protection locked="0"/>
    </xf>
    <xf numFmtId="0" fontId="32" fillId="44" borderId="29" xfId="0" applyFont="1" applyFill="1" applyBorder="1" applyAlignment="1" applyProtection="1">
      <alignment horizontal="center" wrapText="1"/>
      <protection locked="0"/>
    </xf>
    <xf numFmtId="0" fontId="0" fillId="44" borderId="0" xfId="0"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32" fillId="0" borderId="31" xfId="0" applyFont="1" applyFill="1" applyBorder="1" applyAlignment="1" applyProtection="1">
      <alignment horizontal="center" vertical="center" wrapText="1"/>
      <protection locked="0"/>
    </xf>
    <xf numFmtId="43" fontId="32" fillId="0" borderId="31" xfId="0" applyNumberFormat="1" applyFont="1" applyFill="1" applyBorder="1" applyAlignment="1" applyProtection="1">
      <alignment horizontal="center" vertical="center" wrapText="1"/>
      <protection locked="0"/>
    </xf>
    <xf numFmtId="43" fontId="32" fillId="0" borderId="31" xfId="45" applyFont="1" applyFill="1" applyBorder="1" applyAlignment="1" applyProtection="1">
      <alignment horizontal="center" vertical="center" wrapText="1"/>
      <protection locked="0"/>
    </xf>
    <xf numFmtId="43" fontId="32" fillId="0" borderId="32" xfId="45"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1" fillId="0" borderId="0" xfId="0" applyFont="1" applyAlignment="1" applyProtection="1">
      <protection locked="0"/>
    </xf>
    <xf numFmtId="0" fontId="31" fillId="0" borderId="0" xfId="0" applyFont="1" applyAlignment="1" applyProtection="1">
      <alignment horizontal="center"/>
      <protection locked="0"/>
    </xf>
    <xf numFmtId="43" fontId="37" fillId="0" borderId="0" xfId="0" applyNumberFormat="1" applyFont="1" applyFill="1" applyAlignment="1" applyProtection="1">
      <alignment horizontal="center"/>
      <protection locked="0"/>
    </xf>
    <xf numFmtId="43" fontId="37" fillId="0" borderId="0" xfId="45" applyFont="1" applyFill="1" applyAlignment="1" applyProtection="1">
      <alignment horizontal="center"/>
      <protection locked="0"/>
    </xf>
    <xf numFmtId="43" fontId="31" fillId="0" borderId="0" xfId="0" applyNumberFormat="1" applyFont="1" applyFill="1" applyBorder="1" applyAlignment="1" applyProtection="1">
      <alignment horizontal="center"/>
      <protection locked="0"/>
    </xf>
    <xf numFmtId="0" fontId="31" fillId="0" borderId="0" xfId="0" applyFont="1" applyFill="1" applyBorder="1" applyAlignment="1" applyProtection="1">
      <alignment horizontal="left"/>
      <protection locked="0"/>
    </xf>
    <xf numFmtId="0" fontId="0" fillId="0" borderId="0" xfId="0" applyFill="1" applyBorder="1" applyAlignment="1" applyProtection="1">
      <protection locked="0"/>
    </xf>
    <xf numFmtId="0" fontId="31" fillId="0" borderId="0" xfId="0" applyFont="1" applyFill="1" applyAlignment="1" applyProtection="1">
      <protection locked="0"/>
    </xf>
    <xf numFmtId="0" fontId="31" fillId="0" borderId="0" xfId="0" applyFont="1" applyFill="1" applyAlignment="1" applyProtection="1">
      <alignment horizontal="center"/>
      <protection locked="0"/>
    </xf>
    <xf numFmtId="43" fontId="37" fillId="0" borderId="0" xfId="0" applyNumberFormat="1" applyFont="1" applyFill="1" applyAlignment="1" applyProtection="1">
      <protection locked="0"/>
    </xf>
    <xf numFmtId="43" fontId="37" fillId="0" borderId="0" xfId="45" applyFont="1" applyFill="1" applyAlignment="1" applyProtection="1">
      <protection locked="0"/>
    </xf>
    <xf numFmtId="0" fontId="31" fillId="0" borderId="0" xfId="0" applyFont="1" applyFill="1" applyBorder="1" applyAlignment="1" applyProtection="1">
      <alignment horizontal="center"/>
      <protection locked="0"/>
    </xf>
    <xf numFmtId="0" fontId="31" fillId="0" borderId="0" xfId="0" applyFont="1"/>
    <xf numFmtId="0" fontId="37" fillId="0" borderId="0" xfId="0" applyFont="1" applyFill="1" applyBorder="1" applyAlignment="1" applyProtection="1">
      <protection locked="0"/>
    </xf>
    <xf numFmtId="0" fontId="37" fillId="0" borderId="0" xfId="0" applyFont="1" applyAlignment="1">
      <alignment horizontal="center"/>
    </xf>
    <xf numFmtId="0" fontId="0" fillId="0" borderId="0" xfId="0" applyFill="1" applyBorder="1" applyAlignment="1" applyProtection="1">
      <alignment horizontal="center"/>
      <protection locked="0"/>
    </xf>
    <xf numFmtId="0" fontId="0" fillId="0" borderId="0" xfId="0" applyAlignment="1">
      <alignment horizontal="center"/>
    </xf>
    <xf numFmtId="43" fontId="31" fillId="0" borderId="0" xfId="45" applyFont="1" applyFill="1" applyAlignment="1" applyProtection="1">
      <alignment horizontal="center"/>
      <protection locked="0"/>
    </xf>
    <xf numFmtId="0" fontId="31" fillId="0" borderId="0" xfId="0" applyFont="1" applyFill="1" applyAlignment="1"/>
    <xf numFmtId="0" fontId="31" fillId="0" borderId="0" xfId="0" applyFont="1" applyAlignment="1"/>
    <xf numFmtId="0" fontId="37" fillId="0" borderId="0" xfId="0" applyFont="1" applyFill="1" applyAlignment="1" applyProtection="1">
      <protection locked="0"/>
    </xf>
    <xf numFmtId="0" fontId="0" fillId="0" borderId="0" xfId="0" applyFill="1" applyProtection="1">
      <protection locked="0"/>
    </xf>
    <xf numFmtId="0" fontId="0" fillId="0" borderId="0" xfId="0" applyAlignment="1" applyProtection="1">
      <alignment horizontal="center"/>
      <protection locked="0"/>
    </xf>
    <xf numFmtId="0" fontId="18" fillId="0" borderId="0" xfId="48" applyFont="1"/>
    <xf numFmtId="2" fontId="39" fillId="0" borderId="0" xfId="0" applyNumberFormat="1" applyFont="1"/>
    <xf numFmtId="0" fontId="31" fillId="0" borderId="0" xfId="0" applyFont="1" applyFill="1" applyAlignment="1">
      <alignment horizontal="left"/>
    </xf>
    <xf numFmtId="0" fontId="31" fillId="0" borderId="0" xfId="0" applyFont="1" applyFill="1" applyBorder="1" applyAlignment="1" applyProtection="1">
      <protection locked="0"/>
    </xf>
    <xf numFmtId="0" fontId="0" fillId="0" borderId="0" xfId="0" applyAlignment="1" applyProtection="1">
      <protection locked="0"/>
    </xf>
    <xf numFmtId="0" fontId="14" fillId="0" borderId="0" xfId="0" applyFont="1"/>
    <xf numFmtId="0" fontId="44" fillId="0" borderId="0" xfId="0" applyFont="1" applyAlignment="1">
      <alignment horizontal="center" vertical="center"/>
    </xf>
    <xf numFmtId="0" fontId="0" fillId="0" borderId="0" xfId="0" applyAlignment="1">
      <alignment horizontal="center" vertical="center"/>
    </xf>
    <xf numFmtId="0" fontId="37" fillId="0" borderId="0" xfId="0" applyFont="1" applyAlignment="1">
      <alignment horizontal="center" vertical="center"/>
    </xf>
    <xf numFmtId="0" fontId="0" fillId="0" borderId="0" xfId="0" applyAlignment="1">
      <alignment horizontal="left" vertical="center"/>
    </xf>
    <xf numFmtId="0" fontId="48" fillId="0" borderId="0" xfId="0" applyFont="1" applyAlignment="1">
      <alignment horizontal="left" vertical="center"/>
    </xf>
    <xf numFmtId="0" fontId="37" fillId="45" borderId="18" xfId="0" applyFont="1" applyFill="1" applyBorder="1" applyAlignment="1">
      <alignment horizontal="center" vertical="center"/>
    </xf>
    <xf numFmtId="0" fontId="49" fillId="0" borderId="33" xfId="0" applyFont="1" applyBorder="1" applyAlignment="1">
      <alignment horizontal="left" vertical="center"/>
    </xf>
    <xf numFmtId="22" fontId="0" fillId="0" borderId="33" xfId="0" applyNumberFormat="1" applyBorder="1" applyAlignment="1">
      <alignment horizontal="center" vertical="center"/>
    </xf>
    <xf numFmtId="0" fontId="49" fillId="0" borderId="33" xfId="0" applyFont="1" applyBorder="1" applyAlignment="1">
      <alignment horizontal="center" vertical="center"/>
    </xf>
    <xf numFmtId="0" fontId="0" fillId="0" borderId="33" xfId="0" applyBorder="1" applyAlignment="1">
      <alignment horizontal="center" vertical="center"/>
    </xf>
    <xf numFmtId="22" fontId="0" fillId="0" borderId="0" xfId="0" applyNumberFormat="1" applyAlignment="1">
      <alignment horizontal="center" vertical="center"/>
    </xf>
    <xf numFmtId="0" fontId="37" fillId="46" borderId="34" xfId="0" applyFont="1" applyFill="1" applyBorder="1" applyAlignment="1">
      <alignment horizontal="center" vertical="center"/>
    </xf>
    <xf numFmtId="0" fontId="49" fillId="0" borderId="0" xfId="0" applyFont="1" applyAlignment="1">
      <alignment horizontal="left" vertical="center"/>
    </xf>
    <xf numFmtId="0" fontId="37" fillId="47" borderId="18" xfId="0" applyFont="1" applyFill="1" applyBorder="1" applyAlignment="1">
      <alignment horizontal="center" vertical="center"/>
    </xf>
    <xf numFmtId="0" fontId="37" fillId="48" borderId="18" xfId="0" applyFont="1" applyFill="1" applyBorder="1" applyAlignment="1">
      <alignment horizontal="center" vertical="center"/>
    </xf>
    <xf numFmtId="0" fontId="37" fillId="49" borderId="18" xfId="0" applyFont="1" applyFill="1" applyBorder="1" applyAlignment="1">
      <alignment horizontal="center" vertical="center"/>
    </xf>
    <xf numFmtId="0" fontId="0" fillId="0" borderId="0" xfId="0" applyFill="1" applyBorder="1" applyAlignment="1">
      <alignment horizontal="center" vertical="center"/>
    </xf>
    <xf numFmtId="0" fontId="37" fillId="0" borderId="0" xfId="0" applyFont="1" applyBorder="1" applyAlignment="1">
      <alignment horizontal="center" vertical="center" wrapText="1"/>
    </xf>
    <xf numFmtId="0" fontId="50" fillId="0" borderId="35" xfId="0" applyNumberFormat="1" applyFont="1" applyFill="1" applyBorder="1" applyAlignment="1">
      <alignment horizontal="left" vertical="center" wrapText="1"/>
    </xf>
    <xf numFmtId="0" fontId="50" fillId="0" borderId="36" xfId="0" applyNumberFormat="1" applyFont="1" applyBorder="1" applyAlignment="1">
      <alignment horizontal="center" vertical="center" wrapText="1"/>
    </xf>
    <xf numFmtId="0" fontId="50" fillId="0" borderId="37" xfId="0" applyNumberFormat="1" applyFont="1" applyBorder="1" applyAlignment="1">
      <alignment horizontal="center" vertical="center" wrapText="1"/>
    </xf>
    <xf numFmtId="0" fontId="0" fillId="0" borderId="0" xfId="0"/>
    <xf numFmtId="0" fontId="0" fillId="35" borderId="0" xfId="0" applyFill="1"/>
    <xf numFmtId="0" fontId="24" fillId="35" borderId="0" xfId="0" applyFont="1" applyFill="1" applyAlignment="1">
      <alignment horizontal="center" wrapText="1"/>
    </xf>
    <xf numFmtId="0" fontId="25" fillId="36" borderId="0" xfId="0" applyFont="1" applyFill="1" applyAlignment="1">
      <alignment horizontal="center" wrapText="1"/>
    </xf>
    <xf numFmtId="0" fontId="26" fillId="35" borderId="0" xfId="0" applyFont="1" applyFill="1" applyAlignment="1">
      <alignment horizontal="center" wrapText="1"/>
    </xf>
    <xf numFmtId="0" fontId="30" fillId="38" borderId="10" xfId="0" applyFont="1" applyFill="1" applyBorder="1" applyAlignment="1">
      <alignment wrapText="1"/>
    </xf>
    <xf numFmtId="0" fontId="0" fillId="38" borderId="10" xfId="0" applyFill="1" applyBorder="1" applyAlignment="1">
      <alignment wrapText="1"/>
    </xf>
    <xf numFmtId="0" fontId="30" fillId="38" borderId="11" xfId="0" applyFont="1" applyFill="1" applyBorder="1" applyAlignment="1">
      <alignment wrapText="1"/>
    </xf>
    <xf numFmtId="0" fontId="30" fillId="38" borderId="12" xfId="0" applyFont="1" applyFill="1" applyBorder="1" applyAlignment="1">
      <alignment wrapText="1"/>
    </xf>
    <xf numFmtId="0" fontId="28" fillId="36" borderId="13" xfId="0" applyFont="1" applyFill="1" applyBorder="1" applyAlignment="1">
      <alignment wrapText="1"/>
    </xf>
    <xf numFmtId="14" fontId="28" fillId="36" borderId="13" xfId="0" applyNumberFormat="1" applyFont="1" applyFill="1" applyBorder="1" applyAlignment="1">
      <alignment wrapText="1"/>
    </xf>
    <xf numFmtId="0" fontId="29" fillId="37" borderId="13" xfId="0" applyFont="1" applyFill="1" applyBorder="1" applyAlignment="1">
      <alignment wrapText="1"/>
    </xf>
    <xf numFmtId="14" fontId="29" fillId="37" borderId="13" xfId="0" applyNumberFormat="1" applyFont="1" applyFill="1" applyBorder="1" applyAlignment="1">
      <alignment wrapText="1"/>
    </xf>
    <xf numFmtId="0" fontId="20" fillId="35" borderId="13" xfId="0" applyFont="1" applyFill="1" applyBorder="1" applyAlignment="1">
      <alignment wrapText="1"/>
    </xf>
    <xf numFmtId="14" fontId="20" fillId="35" borderId="13" xfId="0" applyNumberFormat="1" applyFont="1" applyFill="1" applyBorder="1" applyAlignment="1">
      <alignment wrapText="1"/>
    </xf>
    <xf numFmtId="0" fontId="0" fillId="0" borderId="0" xfId="0" applyAlignment="1">
      <alignment horizontal="center" vertical="center" wrapText="1"/>
    </xf>
    <xf numFmtId="0" fontId="52" fillId="0" borderId="0" xfId="0" applyFont="1" applyBorder="1" applyAlignment="1">
      <alignment horizontal="center" vertical="center" wrapText="1"/>
    </xf>
    <xf numFmtId="0" fontId="51" fillId="46" borderId="38" xfId="0" quotePrefix="1" applyNumberFormat="1" applyFont="1" applyFill="1" applyBorder="1" applyAlignment="1">
      <alignment horizontal="left" vertical="center" wrapText="1"/>
    </xf>
    <xf numFmtId="0" fontId="51" fillId="46" borderId="39" xfId="0" quotePrefix="1" applyNumberFormat="1" applyFont="1" applyFill="1" applyBorder="1" applyAlignment="1">
      <alignment horizontal="center" vertical="center" wrapText="1"/>
    </xf>
    <xf numFmtId="0" fontId="53" fillId="45" borderId="39" xfId="0" quotePrefix="1" applyNumberFormat="1" applyFont="1" applyFill="1" applyBorder="1" applyAlignment="1">
      <alignment horizontal="center" vertical="center" wrapText="1"/>
    </xf>
    <xf numFmtId="3" fontId="51" fillId="46" borderId="39" xfId="0" applyNumberFormat="1" applyFont="1" applyFill="1" applyBorder="1" applyAlignment="1">
      <alignment horizontal="center" vertical="center" wrapText="1"/>
    </xf>
    <xf numFmtId="0" fontId="51" fillId="46" borderId="39" xfId="0" applyNumberFormat="1" applyFont="1" applyFill="1" applyBorder="1" applyAlignment="1">
      <alignment horizontal="center" vertical="center" wrapText="1"/>
    </xf>
    <xf numFmtId="0" fontId="51" fillId="46" borderId="40" xfId="0" quotePrefix="1" applyNumberFormat="1" applyFont="1" applyFill="1" applyBorder="1" applyAlignment="1">
      <alignment horizontal="center" vertical="center" wrapText="1"/>
    </xf>
    <xf numFmtId="0" fontId="52" fillId="0" borderId="0" xfId="0" quotePrefix="1" applyFont="1" applyBorder="1" applyAlignment="1">
      <alignment horizontal="center" vertical="center" wrapText="1"/>
    </xf>
    <xf numFmtId="0" fontId="54" fillId="0" borderId="0" xfId="0" quotePrefix="1" applyFont="1" applyBorder="1" applyAlignment="1">
      <alignment horizontal="center" vertical="center" wrapText="1"/>
    </xf>
    <xf numFmtId="0" fontId="55" fillId="46" borderId="38" xfId="0" quotePrefix="1" applyNumberFormat="1" applyFont="1" applyFill="1" applyBorder="1" applyAlignment="1">
      <alignment horizontal="left" vertical="center" wrapText="1"/>
    </xf>
    <xf numFmtId="0" fontId="55" fillId="46" borderId="39" xfId="0" quotePrefix="1" applyNumberFormat="1" applyFont="1" applyFill="1" applyBorder="1" applyAlignment="1">
      <alignment horizontal="center" vertical="center" wrapText="1"/>
    </xf>
    <xf numFmtId="0" fontId="56" fillId="45" borderId="39" xfId="0" quotePrefix="1" applyNumberFormat="1" applyFont="1" applyFill="1" applyBorder="1" applyAlignment="1">
      <alignment horizontal="center" vertical="center" wrapText="1"/>
    </xf>
    <xf numFmtId="3" fontId="55" fillId="46" borderId="39" xfId="0" applyNumberFormat="1" applyFont="1" applyFill="1" applyBorder="1" applyAlignment="1">
      <alignment horizontal="center" vertical="center" wrapText="1"/>
    </xf>
    <xf numFmtId="0" fontId="55" fillId="46" borderId="39" xfId="0" applyNumberFormat="1" applyFont="1" applyFill="1" applyBorder="1" applyAlignment="1">
      <alignment horizontal="center" vertical="center" wrapText="1"/>
    </xf>
    <xf numFmtId="0" fontId="55" fillId="46" borderId="40" xfId="0" quotePrefix="1" applyNumberFormat="1" applyFont="1" applyFill="1" applyBorder="1" applyAlignment="1">
      <alignment horizontal="center" vertical="center" wrapText="1"/>
    </xf>
    <xf numFmtId="0" fontId="57" fillId="0" borderId="0" xfId="0" quotePrefix="1" applyFont="1" applyBorder="1" applyAlignment="1">
      <alignment horizontal="center" vertical="center" wrapText="1"/>
    </xf>
    <xf numFmtId="3" fontId="58" fillId="44" borderId="18" xfId="0" applyNumberFormat="1" applyFont="1" applyFill="1" applyBorder="1" applyAlignment="1">
      <alignment horizontal="right" vertical="center" wrapText="1"/>
    </xf>
    <xf numFmtId="0" fontId="55" fillId="44" borderId="18" xfId="0" applyNumberFormat="1" applyFont="1" applyFill="1" applyBorder="1" applyAlignment="1">
      <alignment horizontal="center" vertical="center" wrapText="1"/>
    </xf>
    <xf numFmtId="0" fontId="55" fillId="44" borderId="18" xfId="0" quotePrefix="1" applyNumberFormat="1" applyFont="1" applyFill="1" applyBorder="1" applyAlignment="1">
      <alignment horizontal="center" vertical="center" wrapText="1"/>
    </xf>
    <xf numFmtId="0" fontId="55" fillId="44" borderId="19" xfId="0" quotePrefix="1" applyNumberFormat="1" applyFont="1" applyFill="1" applyBorder="1" applyAlignment="1">
      <alignment horizontal="center" vertical="center" wrapText="1"/>
    </xf>
    <xf numFmtId="3" fontId="56" fillId="45" borderId="39" xfId="0" quotePrefix="1" applyNumberFormat="1" applyFont="1" applyFill="1" applyBorder="1" applyAlignment="1">
      <alignment horizontal="center" vertical="center" wrapText="1"/>
    </xf>
    <xf numFmtId="3" fontId="53" fillId="45" borderId="39" xfId="0" quotePrefix="1" applyNumberFormat="1" applyFont="1" applyFill="1" applyBorder="1" applyAlignment="1">
      <alignment horizontal="center" vertical="center" wrapText="1"/>
    </xf>
    <xf numFmtId="0" fontId="57" fillId="0" borderId="0" xfId="0" applyFont="1" applyBorder="1" applyAlignment="1">
      <alignment horizontal="center" vertical="center" wrapText="1"/>
    </xf>
    <xf numFmtId="0" fontId="57" fillId="0" borderId="0" xfId="0" quotePrefix="1" applyFont="1" applyFill="1" applyBorder="1" applyAlignment="1">
      <alignment horizontal="center" vertical="center" wrapText="1"/>
    </xf>
    <xf numFmtId="3" fontId="58" fillId="0" borderId="18" xfId="0" applyNumberFormat="1" applyFont="1" applyFill="1" applyBorder="1" applyAlignment="1">
      <alignment horizontal="right" vertical="center" wrapText="1"/>
    </xf>
    <xf numFmtId="0" fontId="51" fillId="0" borderId="18" xfId="0" applyNumberFormat="1" applyFont="1" applyFill="1" applyBorder="1" applyAlignment="1">
      <alignment horizontal="center" vertical="center" wrapText="1"/>
    </xf>
    <xf numFmtId="0" fontId="51" fillId="0" borderId="18" xfId="0" quotePrefix="1" applyNumberFormat="1" applyFont="1" applyFill="1" applyBorder="1" applyAlignment="1">
      <alignment horizontal="center" vertical="center" wrapText="1"/>
    </xf>
    <xf numFmtId="0" fontId="51" fillId="0" borderId="19" xfId="0" quotePrefix="1" applyNumberFormat="1" applyFont="1" applyFill="1" applyBorder="1" applyAlignment="1">
      <alignment horizontal="center" vertical="center" wrapText="1"/>
    </xf>
    <xf numFmtId="0" fontId="0" fillId="0" borderId="0" xfId="0" applyFill="1" applyAlignment="1">
      <alignment horizontal="center" vertical="center" wrapText="1"/>
    </xf>
    <xf numFmtId="0" fontId="54" fillId="0" borderId="0" xfId="0" applyFont="1" applyBorder="1" applyAlignment="1">
      <alignment horizontal="center" vertical="center" wrapText="1"/>
    </xf>
    <xf numFmtId="3" fontId="58" fillId="0" borderId="44" xfId="0" applyNumberFormat="1" applyFont="1" applyFill="1" applyBorder="1" applyAlignment="1">
      <alignment horizontal="right" vertical="center" wrapText="1"/>
    </xf>
    <xf numFmtId="0" fontId="51" fillId="0" borderId="44" xfId="0" applyNumberFormat="1" applyFont="1" applyFill="1" applyBorder="1" applyAlignment="1">
      <alignment horizontal="center" vertical="center" wrapText="1"/>
    </xf>
    <xf numFmtId="0" fontId="51" fillId="0" borderId="44" xfId="0" quotePrefix="1" applyNumberFormat="1" applyFont="1" applyFill="1" applyBorder="1" applyAlignment="1">
      <alignment horizontal="center" vertical="center" wrapText="1"/>
    </xf>
    <xf numFmtId="0" fontId="51" fillId="0" borderId="40" xfId="0" quotePrefix="1" applyNumberFormat="1" applyFont="1" applyFill="1" applyBorder="1" applyAlignment="1">
      <alignment horizontal="center" vertical="center" wrapText="1"/>
    </xf>
    <xf numFmtId="0" fontId="37" fillId="0" borderId="0" xfId="0" quotePrefix="1" applyFont="1" applyBorder="1" applyAlignment="1">
      <alignment horizontal="center" vertical="center" wrapText="1"/>
    </xf>
    <xf numFmtId="0" fontId="51" fillId="46" borderId="41" xfId="0" applyNumberFormat="1" applyFont="1" applyFill="1" applyBorder="1" applyAlignment="1">
      <alignment horizontal="left" vertical="center" wrapText="1"/>
    </xf>
    <xf numFmtId="0" fontId="51" fillId="46" borderId="24" xfId="0" applyNumberFormat="1" applyFont="1" applyFill="1" applyBorder="1" applyAlignment="1">
      <alignment horizontal="center" vertical="center" wrapText="1"/>
    </xf>
    <xf numFmtId="3" fontId="53" fillId="45" borderId="24" xfId="0" quotePrefix="1" applyNumberFormat="1" applyFont="1" applyFill="1" applyBorder="1" applyAlignment="1">
      <alignment horizontal="center" vertical="center" wrapText="1"/>
    </xf>
    <xf numFmtId="14" fontId="51" fillId="46" borderId="24" xfId="0" quotePrefix="1" applyNumberFormat="1" applyFont="1" applyFill="1" applyBorder="1" applyAlignment="1">
      <alignment horizontal="center" vertical="center" wrapText="1"/>
    </xf>
    <xf numFmtId="49" fontId="51" fillId="46" borderId="24" xfId="0" applyNumberFormat="1" applyFont="1" applyFill="1" applyBorder="1" applyAlignment="1">
      <alignment horizontal="center" vertical="center" wrapText="1"/>
    </xf>
    <xf numFmtId="49" fontId="51" fillId="46" borderId="19" xfId="0" applyNumberFormat="1" applyFont="1" applyFill="1" applyBorder="1" applyAlignment="1">
      <alignment horizontal="center" vertical="center" wrapText="1"/>
    </xf>
    <xf numFmtId="0" fontId="0" fillId="0" borderId="0" xfId="0" applyFont="1" applyAlignment="1">
      <alignment horizontal="center" vertical="center" wrapText="1"/>
    </xf>
    <xf numFmtId="0" fontId="51" fillId="44" borderId="18" xfId="0" applyNumberFormat="1" applyFont="1" applyFill="1" applyBorder="1" applyAlignment="1">
      <alignment horizontal="center" vertical="center" wrapText="1"/>
    </xf>
    <xf numFmtId="0" fontId="51" fillId="44" borderId="18" xfId="0" quotePrefix="1" applyNumberFormat="1" applyFont="1" applyFill="1" applyBorder="1" applyAlignment="1">
      <alignment horizontal="center" vertical="center" wrapText="1"/>
    </xf>
    <xf numFmtId="0" fontId="51" fillId="44" borderId="19" xfId="0" quotePrefix="1" applyNumberFormat="1" applyFont="1" applyFill="1" applyBorder="1" applyAlignment="1">
      <alignment horizontal="center" vertical="center" wrapText="1"/>
    </xf>
    <xf numFmtId="0" fontId="51" fillId="46" borderId="41" xfId="0" quotePrefix="1" applyNumberFormat="1" applyFont="1" applyFill="1" applyBorder="1" applyAlignment="1">
      <alignment horizontal="left" vertical="center" wrapText="1"/>
    </xf>
    <xf numFmtId="0" fontId="51" fillId="46" borderId="24" xfId="0" quotePrefix="1" applyNumberFormat="1" applyFont="1" applyFill="1" applyBorder="1" applyAlignment="1">
      <alignment horizontal="center" vertical="center" wrapText="1"/>
    </xf>
    <xf numFmtId="0" fontId="53" fillId="45" borderId="24" xfId="0" applyNumberFormat="1" applyFont="1" applyFill="1" applyBorder="1" applyAlignment="1">
      <alignment horizontal="center" vertical="center" wrapText="1"/>
    </xf>
    <xf numFmtId="0" fontId="51" fillId="46" borderId="19" xfId="0" quotePrefix="1" applyNumberFormat="1" applyFont="1" applyFill="1" applyBorder="1" applyAlignment="1">
      <alignment horizontal="center" vertical="center" wrapText="1"/>
    </xf>
    <xf numFmtId="0" fontId="52" fillId="0" borderId="0" xfId="0" applyFont="1" applyAlignment="1">
      <alignment horizontal="center" vertical="center" wrapText="1"/>
    </xf>
    <xf numFmtId="0" fontId="51" fillId="46" borderId="45" xfId="0" quotePrefix="1" applyNumberFormat="1" applyFont="1" applyFill="1" applyBorder="1" applyAlignment="1">
      <alignment horizontal="left" vertical="center" wrapText="1"/>
    </xf>
    <xf numFmtId="0" fontId="51" fillId="46" borderId="46" xfId="0" quotePrefix="1" applyNumberFormat="1" applyFont="1" applyFill="1" applyBorder="1" applyAlignment="1">
      <alignment horizontal="center" vertical="center" wrapText="1"/>
    </xf>
    <xf numFmtId="0" fontId="53" fillId="45" borderId="46" xfId="0" quotePrefix="1" applyNumberFormat="1" applyFont="1" applyFill="1" applyBorder="1" applyAlignment="1">
      <alignment horizontal="center" vertical="center" wrapText="1"/>
    </xf>
    <xf numFmtId="0" fontId="51" fillId="46" borderId="46" xfId="0" applyNumberFormat="1" applyFont="1" applyFill="1" applyBorder="1" applyAlignment="1">
      <alignment horizontal="center" vertical="center" wrapText="1"/>
    </xf>
    <xf numFmtId="14" fontId="49" fillId="46" borderId="47" xfId="0" applyNumberFormat="1" applyFont="1" applyFill="1" applyBorder="1" applyAlignment="1">
      <alignment horizontal="center" vertical="top" wrapText="1"/>
    </xf>
    <xf numFmtId="0" fontId="53" fillId="45" borderId="39" xfId="0" applyNumberFormat="1" applyFont="1" applyFill="1" applyBorder="1" applyAlignment="1">
      <alignment horizontal="center" vertical="center" wrapText="1"/>
    </xf>
    <xf numFmtId="14" fontId="51" fillId="46" borderId="39" xfId="0" quotePrefix="1" applyNumberFormat="1" applyFont="1" applyFill="1" applyBorder="1" applyAlignment="1">
      <alignment horizontal="center" vertical="center" wrapText="1"/>
    </xf>
    <xf numFmtId="49" fontId="51" fillId="46" borderId="40" xfId="0" quotePrefix="1" applyNumberFormat="1" applyFont="1" applyFill="1" applyBorder="1" applyAlignment="1">
      <alignment horizontal="center" vertical="center" wrapText="1"/>
    </xf>
    <xf numFmtId="0" fontId="37" fillId="0" borderId="0" xfId="0" quotePrefix="1" applyFont="1" applyFill="1" applyBorder="1" applyAlignment="1">
      <alignment horizontal="center" vertical="center" wrapText="1"/>
    </xf>
    <xf numFmtId="165" fontId="58" fillId="0" borderId="39" xfId="45" applyNumberFormat="1" applyFont="1" applyFill="1" applyBorder="1" applyAlignment="1">
      <alignment horizontal="right" vertical="top"/>
    </xf>
    <xf numFmtId="0" fontId="51" fillId="0" borderId="39" xfId="0" applyNumberFormat="1" applyFont="1" applyFill="1" applyBorder="1" applyAlignment="1">
      <alignment horizontal="center" vertical="center" wrapText="1"/>
    </xf>
    <xf numFmtId="0" fontId="51" fillId="0" borderId="39" xfId="0" quotePrefix="1" applyNumberFormat="1" applyFont="1" applyFill="1" applyBorder="1" applyAlignment="1">
      <alignment horizontal="center" vertical="center" wrapText="1"/>
    </xf>
    <xf numFmtId="0" fontId="51" fillId="46" borderId="17" xfId="0" quotePrefix="1" applyNumberFormat="1" applyFont="1" applyFill="1" applyBorder="1" applyAlignment="1">
      <alignment horizontal="left" vertical="center" wrapText="1"/>
    </xf>
    <xf numFmtId="0" fontId="51" fillId="46" borderId="18" xfId="0" quotePrefix="1" applyNumberFormat="1" applyFont="1" applyFill="1" applyBorder="1" applyAlignment="1">
      <alignment horizontal="center" vertical="center" wrapText="1"/>
    </xf>
    <xf numFmtId="0" fontId="53" fillId="45" borderId="18" xfId="0" quotePrefix="1" applyNumberFormat="1" applyFont="1" applyFill="1" applyBorder="1" applyAlignment="1">
      <alignment horizontal="center" vertical="center" wrapText="1"/>
    </xf>
    <xf numFmtId="0" fontId="51" fillId="46" borderId="18" xfId="0" applyNumberFormat="1" applyFont="1" applyFill="1" applyBorder="1" applyAlignment="1">
      <alignment horizontal="center" vertical="center" wrapText="1"/>
    </xf>
    <xf numFmtId="14" fontId="49" fillId="46" borderId="19" xfId="0" applyNumberFormat="1" applyFont="1" applyFill="1" applyBorder="1" applyAlignment="1">
      <alignment horizontal="center" vertical="top" wrapText="1"/>
    </xf>
    <xf numFmtId="3" fontId="51" fillId="46" borderId="39" xfId="0" quotePrefix="1" applyNumberFormat="1" applyFont="1" applyFill="1" applyBorder="1" applyAlignment="1">
      <alignment horizontal="center" vertical="center" wrapText="1"/>
    </xf>
    <xf numFmtId="14" fontId="51" fillId="46" borderId="18" xfId="0" quotePrefix="1" applyNumberFormat="1" applyFont="1" applyFill="1" applyBorder="1" applyAlignment="1">
      <alignment horizontal="center" vertical="center" wrapText="1"/>
    </xf>
    <xf numFmtId="49" fontId="51" fillId="46" borderId="18" xfId="0" quotePrefix="1" applyNumberFormat="1" applyFont="1" applyFill="1" applyBorder="1" applyAlignment="1">
      <alignment horizontal="center" vertical="center" wrapText="1"/>
    </xf>
    <xf numFmtId="0" fontId="59" fillId="0" borderId="0" xfId="0" applyFont="1" applyAlignment="1">
      <alignment horizontal="center" vertical="center"/>
    </xf>
    <xf numFmtId="16" fontId="51" fillId="46" borderId="39" xfId="0" quotePrefix="1" applyNumberFormat="1" applyFont="1" applyFill="1" applyBorder="1" applyAlignment="1">
      <alignment horizontal="center" vertical="center" wrapText="1"/>
    </xf>
    <xf numFmtId="49" fontId="51" fillId="46" borderId="39" xfId="0" quotePrefix="1" applyNumberFormat="1" applyFont="1" applyFill="1" applyBorder="1" applyAlignment="1">
      <alignment horizontal="center" vertical="center" wrapText="1"/>
    </xf>
    <xf numFmtId="14" fontId="51" fillId="46" borderId="40" xfId="0" quotePrefix="1" applyNumberFormat="1" applyFont="1" applyFill="1" applyBorder="1" applyAlignment="1">
      <alignment horizontal="center" vertical="center" wrapText="1"/>
    </xf>
    <xf numFmtId="49" fontId="51" fillId="46" borderId="40" xfId="0" applyNumberFormat="1" applyFont="1" applyFill="1" applyBorder="1" applyAlignment="1">
      <alignment horizontal="center" vertical="center" wrapText="1"/>
    </xf>
    <xf numFmtId="3" fontId="50" fillId="39" borderId="39" xfId="0" applyNumberFormat="1" applyFont="1" applyFill="1" applyBorder="1" applyAlignment="1">
      <alignment horizontal="right" vertical="center" wrapText="1"/>
    </xf>
    <xf numFmtId="0" fontId="51" fillId="39" borderId="39" xfId="0" quotePrefix="1" applyNumberFormat="1" applyFont="1" applyFill="1" applyBorder="1" applyAlignment="1">
      <alignment horizontal="center" vertical="center" wrapText="1"/>
    </xf>
    <xf numFmtId="14" fontId="51" fillId="39" borderId="39" xfId="0" quotePrefix="1" applyNumberFormat="1" applyFont="1" applyFill="1" applyBorder="1" applyAlignment="1">
      <alignment horizontal="center" vertical="center" wrapText="1"/>
    </xf>
    <xf numFmtId="49" fontId="51" fillId="39" borderId="40" xfId="0" applyNumberFormat="1" applyFont="1" applyFill="1" applyBorder="1" applyAlignment="1">
      <alignment horizontal="center" vertical="center" wrapText="1"/>
    </xf>
    <xf numFmtId="0" fontId="60" fillId="45" borderId="39" xfId="0" quotePrefix="1" applyNumberFormat="1" applyFont="1" applyFill="1" applyBorder="1" applyAlignment="1">
      <alignment horizontal="center" vertical="center" wrapText="1"/>
    </xf>
    <xf numFmtId="16" fontId="51" fillId="46" borderId="18" xfId="0" quotePrefix="1" applyNumberFormat="1" applyFont="1" applyFill="1" applyBorder="1" applyAlignment="1">
      <alignment horizontal="center" vertical="center" wrapText="1"/>
    </xf>
    <xf numFmtId="0" fontId="60" fillId="45" borderId="24" xfId="0" applyNumberFormat="1" applyFont="1" applyFill="1" applyBorder="1" applyAlignment="1">
      <alignment horizontal="center" vertical="center" wrapText="1"/>
    </xf>
    <xf numFmtId="3" fontId="51" fillId="46" borderId="24" xfId="0" quotePrefix="1" applyNumberFormat="1" applyFont="1" applyFill="1" applyBorder="1" applyAlignment="1">
      <alignment horizontal="center" vertical="center" wrapText="1"/>
    </xf>
    <xf numFmtId="3" fontId="58" fillId="44" borderId="21" xfId="0" applyNumberFormat="1" applyFont="1" applyFill="1" applyBorder="1" applyAlignment="1">
      <alignment horizontal="right" vertical="center" wrapText="1"/>
    </xf>
    <xf numFmtId="0" fontId="51" fillId="44" borderId="21" xfId="0" applyNumberFormat="1" applyFont="1" applyFill="1" applyBorder="1" applyAlignment="1">
      <alignment horizontal="center" vertical="center" wrapText="1"/>
    </xf>
    <xf numFmtId="0" fontId="51" fillId="44" borderId="21" xfId="0" quotePrefix="1" applyNumberFormat="1" applyFont="1" applyFill="1" applyBorder="1" applyAlignment="1">
      <alignment horizontal="center" vertical="center" wrapText="1"/>
    </xf>
    <xf numFmtId="0" fontId="51" fillId="44" borderId="22" xfId="0" quotePrefix="1" applyNumberFormat="1" applyFont="1" applyFill="1" applyBorder="1" applyAlignment="1">
      <alignment horizontal="center" vertical="center" wrapText="1"/>
    </xf>
    <xf numFmtId="0" fontId="51" fillId="46" borderId="51" xfId="0" applyFont="1" applyFill="1" applyBorder="1" applyAlignment="1">
      <alignment horizontal="left" vertical="center" wrapText="1"/>
    </xf>
    <xf numFmtId="0" fontId="51" fillId="46" borderId="34" xfId="0" applyFont="1" applyFill="1" applyBorder="1" applyAlignment="1">
      <alignment horizontal="center" vertical="center" wrapText="1"/>
    </xf>
    <xf numFmtId="0" fontId="60" fillId="45" borderId="34" xfId="0" applyFont="1" applyFill="1" applyBorder="1" applyAlignment="1">
      <alignment horizontal="center" vertical="center" wrapText="1"/>
    </xf>
    <xf numFmtId="16" fontId="51" fillId="46" borderId="34" xfId="0" quotePrefix="1" applyNumberFormat="1" applyFont="1" applyFill="1" applyBorder="1" applyAlignment="1">
      <alignment horizontal="center" vertical="center" wrapText="1"/>
    </xf>
    <xf numFmtId="14" fontId="51" fillId="46" borderId="34" xfId="0" quotePrefix="1" applyNumberFormat="1" applyFont="1" applyFill="1" applyBorder="1" applyAlignment="1">
      <alignment horizontal="center" vertical="center" wrapText="1"/>
    </xf>
    <xf numFmtId="17" fontId="51" fillId="46" borderId="34" xfId="0" quotePrefix="1" applyNumberFormat="1" applyFont="1" applyFill="1" applyBorder="1" applyAlignment="1">
      <alignment horizontal="center" vertical="center" wrapText="1"/>
    </xf>
    <xf numFmtId="0" fontId="51" fillId="46" borderId="47" xfId="0" quotePrefix="1" applyFont="1" applyFill="1" applyBorder="1" applyAlignment="1">
      <alignment horizontal="center" vertical="center" wrapText="1"/>
    </xf>
    <xf numFmtId="0" fontId="51" fillId="46" borderId="51" xfId="0" applyNumberFormat="1" applyFont="1" applyFill="1" applyBorder="1" applyAlignment="1">
      <alignment horizontal="left" vertical="center" wrapText="1"/>
    </xf>
    <xf numFmtId="0" fontId="51" fillId="46" borderId="34" xfId="0" applyNumberFormat="1" applyFont="1" applyFill="1" applyBorder="1" applyAlignment="1">
      <alignment horizontal="center" vertical="center" wrapText="1"/>
    </xf>
    <xf numFmtId="0" fontId="50" fillId="46" borderId="34" xfId="0" applyNumberFormat="1" applyFont="1" applyFill="1" applyBorder="1" applyAlignment="1">
      <alignment horizontal="center" vertical="center" wrapText="1"/>
    </xf>
    <xf numFmtId="1" fontId="51" fillId="46" borderId="47" xfId="0" quotePrefix="1" applyNumberFormat="1" applyFont="1" applyFill="1" applyBorder="1" applyAlignment="1">
      <alignment horizontal="center" vertical="center" wrapText="1"/>
    </xf>
    <xf numFmtId="3" fontId="55" fillId="44" borderId="0" xfId="0" applyNumberFormat="1" applyFont="1" applyFill="1" applyBorder="1" applyAlignment="1">
      <alignment horizontal="right" vertical="center"/>
    </xf>
    <xf numFmtId="3" fontId="51" fillId="44" borderId="0" xfId="0" applyNumberFormat="1" applyFont="1" applyFill="1" applyBorder="1" applyAlignment="1">
      <alignment horizontal="right" vertical="center"/>
    </xf>
    <xf numFmtId="3" fontId="58" fillId="44" borderId="0" xfId="0" applyNumberFormat="1" applyFont="1" applyFill="1" applyBorder="1" applyAlignment="1">
      <alignment horizontal="right" vertical="center" wrapText="1"/>
    </xf>
    <xf numFmtId="0" fontId="51" fillId="44" borderId="0" xfId="0" applyNumberFormat="1" applyFont="1" applyFill="1" applyBorder="1" applyAlignment="1">
      <alignment horizontal="center" vertical="center" wrapText="1"/>
    </xf>
    <xf numFmtId="0" fontId="51" fillId="44" borderId="0" xfId="0" quotePrefix="1" applyNumberFormat="1" applyFont="1" applyFill="1" applyBorder="1" applyAlignment="1">
      <alignment horizontal="center" vertical="center" wrapText="1"/>
    </xf>
    <xf numFmtId="3" fontId="48" fillId="44" borderId="52" xfId="0" applyNumberFormat="1" applyFont="1" applyFill="1" applyBorder="1" applyAlignment="1">
      <alignment horizontal="center" vertical="center" wrapText="1"/>
    </xf>
    <xf numFmtId="0" fontId="51" fillId="44" borderId="52" xfId="0" applyNumberFormat="1" applyFont="1" applyFill="1" applyBorder="1" applyAlignment="1">
      <alignment horizontal="center" vertical="center" wrapText="1"/>
    </xf>
    <xf numFmtId="0" fontId="51" fillId="44" borderId="52" xfId="0" quotePrefix="1" applyNumberFormat="1" applyFont="1" applyFill="1" applyBorder="1" applyAlignment="1">
      <alignment horizontal="center" vertical="center" wrapText="1"/>
    </xf>
    <xf numFmtId="3" fontId="48" fillId="44" borderId="52" xfId="0" applyNumberFormat="1" applyFont="1" applyFill="1" applyBorder="1" applyAlignment="1">
      <alignment horizontal="right" vertical="center"/>
    </xf>
    <xf numFmtId="0" fontId="50" fillId="0" borderId="14" xfId="0" applyNumberFormat="1" applyFont="1" applyFill="1" applyBorder="1" applyAlignment="1">
      <alignment horizontal="left" vertical="center" wrapText="1"/>
    </xf>
    <xf numFmtId="0" fontId="51" fillId="0" borderId="15" xfId="0" applyNumberFormat="1" applyFont="1" applyFill="1" applyBorder="1" applyAlignment="1">
      <alignment horizontal="center" vertical="center" wrapText="1"/>
    </xf>
    <xf numFmtId="0" fontId="51" fillId="0" borderId="15" xfId="0" applyNumberFormat="1" applyFont="1" applyBorder="1" applyAlignment="1">
      <alignment horizontal="center" vertical="center" wrapText="1"/>
    </xf>
    <xf numFmtId="0" fontId="51" fillId="0" borderId="16" xfId="0" applyNumberFormat="1" applyFont="1" applyBorder="1" applyAlignment="1">
      <alignment horizontal="center" vertical="center" wrapText="1"/>
    </xf>
    <xf numFmtId="0" fontId="51" fillId="50" borderId="39" xfId="0" quotePrefix="1" applyNumberFormat="1" applyFont="1" applyFill="1" applyBorder="1" applyAlignment="1">
      <alignment horizontal="center" vertical="center" wrapText="1"/>
    </xf>
    <xf numFmtId="0" fontId="51" fillId="50" borderId="39" xfId="0" applyNumberFormat="1" applyFont="1" applyFill="1" applyBorder="1" applyAlignment="1">
      <alignment horizontal="center" vertical="center" wrapText="1"/>
    </xf>
    <xf numFmtId="0" fontId="51" fillId="46" borderId="40" xfId="0" applyNumberFormat="1" applyFont="1" applyFill="1" applyBorder="1" applyAlignment="1">
      <alignment horizontal="center" vertical="center" wrapText="1"/>
    </xf>
    <xf numFmtId="0" fontId="52" fillId="0" borderId="0" xfId="0" quotePrefix="1" applyFont="1" applyFill="1" applyBorder="1" applyAlignment="1">
      <alignment horizontal="center" vertical="center" wrapText="1"/>
    </xf>
    <xf numFmtId="0" fontId="50" fillId="46" borderId="39" xfId="0" applyNumberFormat="1" applyFont="1" applyFill="1" applyBorder="1" applyAlignment="1">
      <alignment horizontal="center" vertical="center" wrapText="1"/>
    </xf>
    <xf numFmtId="17" fontId="51" fillId="46" borderId="40" xfId="0" quotePrefix="1" applyNumberFormat="1" applyFont="1" applyFill="1" applyBorder="1" applyAlignment="1">
      <alignment horizontal="center" vertical="center" wrapText="1"/>
    </xf>
    <xf numFmtId="0" fontId="54" fillId="0" borderId="0" xfId="0" applyFont="1" applyAlignment="1">
      <alignment horizontal="center" vertical="center" wrapText="1"/>
    </xf>
    <xf numFmtId="0" fontId="51" fillId="46" borderId="38" xfId="0" applyFont="1" applyFill="1" applyBorder="1" applyAlignment="1">
      <alignment horizontal="left" vertical="center" wrapText="1"/>
    </xf>
    <xf numFmtId="0" fontId="51" fillId="46" borderId="39" xfId="0" applyFont="1" applyFill="1" applyBorder="1" applyAlignment="1">
      <alignment horizontal="center" vertical="center" wrapText="1"/>
    </xf>
    <xf numFmtId="0" fontId="51" fillId="50" borderId="39" xfId="0" applyFont="1" applyFill="1" applyBorder="1" applyAlignment="1">
      <alignment horizontal="center" vertical="center" wrapText="1"/>
    </xf>
    <xf numFmtId="0" fontId="51" fillId="46" borderId="39" xfId="0" quotePrefix="1" applyFont="1" applyFill="1" applyBorder="1" applyAlignment="1">
      <alignment horizontal="center" vertical="center" wrapText="1"/>
    </xf>
    <xf numFmtId="0" fontId="51" fillId="46" borderId="40" xfId="0" applyFont="1" applyFill="1" applyBorder="1" applyAlignment="1">
      <alignment horizontal="center" vertical="center" wrapText="1"/>
    </xf>
    <xf numFmtId="0" fontId="51" fillId="50" borderId="24" xfId="0" applyNumberFormat="1" applyFont="1" applyFill="1" applyBorder="1" applyAlignment="1">
      <alignment horizontal="center" vertical="center" wrapText="1"/>
    </xf>
    <xf numFmtId="49" fontId="51" fillId="46" borderId="24" xfId="0" quotePrefix="1" applyNumberFormat="1" applyFont="1" applyFill="1" applyBorder="1" applyAlignment="1">
      <alignment horizontal="center" vertical="center" wrapText="1"/>
    </xf>
    <xf numFmtId="17" fontId="51" fillId="46" borderId="24" xfId="0" quotePrefix="1" applyNumberFormat="1" applyFont="1" applyFill="1" applyBorder="1" applyAlignment="1">
      <alignment horizontal="center" vertical="center" wrapText="1"/>
    </xf>
    <xf numFmtId="0" fontId="52" fillId="0" borderId="0" xfId="0" applyFont="1" applyAlignment="1">
      <alignment horizontal="center" vertical="center"/>
    </xf>
    <xf numFmtId="3" fontId="51" fillId="46" borderId="24" xfId="0" applyNumberFormat="1" applyFont="1" applyFill="1" applyBorder="1" applyAlignment="1">
      <alignment horizontal="center" vertical="center" wrapText="1"/>
    </xf>
    <xf numFmtId="49" fontId="51" fillId="46" borderId="19" xfId="0" quotePrefix="1" applyNumberFormat="1" applyFont="1" applyFill="1" applyBorder="1" applyAlignment="1">
      <alignment horizontal="center" vertical="center" wrapText="1"/>
    </xf>
    <xf numFmtId="14" fontId="51" fillId="46" borderId="39" xfId="0" applyNumberFormat="1" applyFont="1" applyFill="1" applyBorder="1" applyAlignment="1">
      <alignment horizontal="center" vertical="center" wrapText="1"/>
    </xf>
    <xf numFmtId="0" fontId="0" fillId="0" borderId="0" xfId="0" applyFont="1" applyAlignment="1">
      <alignment horizontal="center" vertical="center"/>
    </xf>
    <xf numFmtId="0" fontId="37" fillId="0" borderId="0" xfId="0" applyFont="1" applyAlignment="1">
      <alignment horizontal="center" vertical="center" wrapText="1"/>
    </xf>
    <xf numFmtId="0" fontId="51" fillId="46" borderId="19" xfId="0" quotePrefix="1" applyFont="1" applyFill="1" applyBorder="1" applyAlignment="1">
      <alignment horizontal="center" vertical="center" wrapText="1"/>
    </xf>
    <xf numFmtId="0" fontId="37" fillId="39" borderId="0" xfId="0" applyFont="1" applyFill="1" applyAlignment="1">
      <alignment horizontal="center" vertical="center" wrapText="1"/>
    </xf>
    <xf numFmtId="0" fontId="51" fillId="46" borderId="17" xfId="0" applyNumberFormat="1" applyFont="1" applyFill="1" applyBorder="1" applyAlignment="1">
      <alignment horizontal="left" vertical="center" wrapText="1"/>
    </xf>
    <xf numFmtId="0" fontId="51" fillId="50" borderId="18" xfId="0" applyNumberFormat="1" applyFont="1" applyFill="1" applyBorder="1" applyAlignment="1">
      <alignment horizontal="center" vertical="center" wrapText="1"/>
    </xf>
    <xf numFmtId="0" fontId="61" fillId="46" borderId="18" xfId="0" applyNumberFormat="1" applyFont="1" applyFill="1" applyBorder="1" applyAlignment="1">
      <alignment horizontal="center" vertical="center" wrapText="1"/>
    </xf>
    <xf numFmtId="16" fontId="51" fillId="46" borderId="47" xfId="0" quotePrefix="1"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3" fontId="61" fillId="46" borderId="24" xfId="0" quotePrefix="1" applyNumberFormat="1" applyFont="1" applyFill="1" applyBorder="1" applyAlignment="1">
      <alignment horizontal="center" vertical="center" wrapText="1"/>
    </xf>
    <xf numFmtId="0" fontId="37" fillId="39" borderId="0" xfId="0" applyFont="1" applyFill="1" applyBorder="1" applyAlignment="1">
      <alignment horizontal="center" vertical="center" wrapText="1"/>
    </xf>
    <xf numFmtId="0" fontId="51" fillId="46" borderId="19" xfId="0" applyNumberFormat="1" applyFont="1" applyFill="1" applyBorder="1" applyAlignment="1">
      <alignment horizontal="center" vertical="center" wrapText="1"/>
    </xf>
    <xf numFmtId="3" fontId="51" fillId="46" borderId="18" xfId="0" quotePrefix="1" applyNumberFormat="1" applyFont="1" applyFill="1" applyBorder="1" applyAlignment="1">
      <alignment horizontal="center" vertical="center" wrapText="1"/>
    </xf>
    <xf numFmtId="0" fontId="51" fillId="46" borderId="17" xfId="0" applyFont="1" applyFill="1" applyBorder="1" applyAlignment="1">
      <alignment horizontal="left" vertical="center" wrapText="1"/>
    </xf>
    <xf numFmtId="0" fontId="51" fillId="46" borderId="18" xfId="0" applyFont="1" applyFill="1" applyBorder="1" applyAlignment="1">
      <alignment horizontal="center" vertical="center" wrapText="1"/>
    </xf>
    <xf numFmtId="0" fontId="51" fillId="50" borderId="18" xfId="0" applyFont="1" applyFill="1" applyBorder="1" applyAlignment="1">
      <alignment horizontal="center" vertical="center" wrapText="1"/>
    </xf>
    <xf numFmtId="3" fontId="51" fillId="46" borderId="18" xfId="0" applyNumberFormat="1" applyFont="1" applyFill="1" applyBorder="1" applyAlignment="1">
      <alignment horizontal="center" vertical="center" wrapText="1"/>
    </xf>
    <xf numFmtId="0" fontId="51" fillId="46" borderId="53" xfId="0" applyNumberFormat="1" applyFont="1" applyFill="1" applyBorder="1" applyAlignment="1">
      <alignment horizontal="left" vertical="center" wrapText="1"/>
    </xf>
    <xf numFmtId="0" fontId="51" fillId="46" borderId="54" xfId="0" applyNumberFormat="1" applyFont="1" applyFill="1" applyBorder="1" applyAlignment="1">
      <alignment horizontal="center" vertical="center" wrapText="1"/>
    </xf>
    <xf numFmtId="0" fontId="51" fillId="50" borderId="54" xfId="0" applyNumberFormat="1" applyFont="1" applyFill="1" applyBorder="1" applyAlignment="1">
      <alignment horizontal="center" vertical="center" wrapText="1"/>
    </xf>
    <xf numFmtId="3" fontId="51" fillId="46" borderId="54" xfId="0" applyNumberFormat="1" applyFont="1" applyFill="1" applyBorder="1" applyAlignment="1">
      <alignment horizontal="center" vertical="center" wrapText="1"/>
    </xf>
    <xf numFmtId="0" fontId="51" fillId="46" borderId="54" xfId="0" quotePrefix="1" applyNumberFormat="1" applyFont="1" applyFill="1" applyBorder="1" applyAlignment="1">
      <alignment horizontal="center" vertical="center" wrapText="1"/>
    </xf>
    <xf numFmtId="0" fontId="37" fillId="39" borderId="0" xfId="0" quotePrefix="1" applyFont="1" applyFill="1" applyBorder="1" applyAlignment="1">
      <alignment horizontal="center" vertical="center" wrapText="1"/>
    </xf>
    <xf numFmtId="0" fontId="50" fillId="39" borderId="38" xfId="0" quotePrefix="1" applyNumberFormat="1" applyFont="1" applyFill="1" applyBorder="1" applyAlignment="1">
      <alignment horizontal="left" vertical="center" wrapText="1"/>
    </xf>
    <xf numFmtId="166" fontId="62" fillId="39" borderId="39" xfId="0" quotePrefix="1" applyNumberFormat="1" applyFont="1" applyFill="1" applyBorder="1" applyAlignment="1">
      <alignment horizontal="center" vertical="center" wrapText="1"/>
    </xf>
    <xf numFmtId="0" fontId="50" fillId="39" borderId="39" xfId="0" quotePrefix="1" applyNumberFormat="1" applyFont="1" applyFill="1" applyBorder="1" applyAlignment="1">
      <alignment horizontal="center" vertical="center" wrapText="1"/>
    </xf>
    <xf numFmtId="14" fontId="50" fillId="39" borderId="39" xfId="0" quotePrefix="1" applyNumberFormat="1" applyFont="1" applyFill="1" applyBorder="1" applyAlignment="1">
      <alignment horizontal="center" vertical="center" wrapText="1"/>
    </xf>
    <xf numFmtId="49" fontId="50" fillId="39" borderId="39" xfId="0" applyNumberFormat="1" applyFont="1" applyFill="1" applyBorder="1" applyAlignment="1">
      <alignment horizontal="center" vertical="center" wrapText="1"/>
    </xf>
    <xf numFmtId="0" fontId="50" fillId="39" borderId="39" xfId="0" applyNumberFormat="1" applyFont="1" applyFill="1" applyBorder="1" applyAlignment="1">
      <alignment horizontal="center" vertical="center" wrapText="1"/>
    </xf>
    <xf numFmtId="0" fontId="50" fillId="39" borderId="40" xfId="0" applyNumberFormat="1" applyFont="1" applyFill="1" applyBorder="1" applyAlignment="1">
      <alignment horizontal="center" vertical="center" wrapText="1"/>
    </xf>
    <xf numFmtId="166" fontId="63" fillId="44" borderId="21" xfId="0" applyNumberFormat="1" applyFont="1" applyFill="1" applyBorder="1" applyAlignment="1">
      <alignment horizontal="center" vertical="center" wrapText="1"/>
    </xf>
    <xf numFmtId="0" fontId="50" fillId="44" borderId="21" xfId="0" quotePrefix="1" applyNumberFormat="1" applyFont="1" applyFill="1" applyBorder="1" applyAlignment="1">
      <alignment horizontal="center" vertical="center" wrapText="1"/>
    </xf>
    <xf numFmtId="0" fontId="59" fillId="0" borderId="0" xfId="0" applyFont="1"/>
    <xf numFmtId="0" fontId="59" fillId="39" borderId="0" xfId="0" applyFont="1" applyFill="1" applyAlignment="1">
      <alignment horizontal="center" vertical="center"/>
    </xf>
    <xf numFmtId="49" fontId="51" fillId="46" borderId="39" xfId="0" applyNumberFormat="1" applyFont="1" applyFill="1" applyBorder="1" applyAlignment="1">
      <alignment horizontal="center" vertical="center" wrapText="1"/>
    </xf>
    <xf numFmtId="0" fontId="52" fillId="39" borderId="0" xfId="0" applyFont="1" applyFill="1" applyAlignment="1">
      <alignment horizontal="center" vertical="center"/>
    </xf>
    <xf numFmtId="0" fontId="51" fillId="46" borderId="38" xfId="0" applyNumberFormat="1" applyFont="1" applyFill="1" applyBorder="1" applyAlignment="1">
      <alignment horizontal="left" vertical="center" wrapText="1"/>
    </xf>
    <xf numFmtId="0" fontId="51" fillId="46" borderId="41" xfId="0" applyFont="1" applyFill="1" applyBorder="1" applyAlignment="1">
      <alignment horizontal="left" vertical="center" wrapText="1"/>
    </xf>
    <xf numFmtId="0" fontId="51" fillId="46" borderId="24" xfId="0" applyFont="1" applyFill="1" applyBorder="1" applyAlignment="1">
      <alignment horizontal="center" vertical="center" wrapText="1"/>
    </xf>
    <xf numFmtId="0" fontId="51" fillId="50" borderId="24" xfId="0" applyFont="1" applyFill="1" applyBorder="1" applyAlignment="1">
      <alignment horizontal="center" vertical="center" wrapText="1"/>
    </xf>
    <xf numFmtId="3" fontId="61" fillId="46" borderId="24" xfId="0" applyNumberFormat="1" applyFont="1" applyFill="1" applyBorder="1" applyAlignment="1">
      <alignment horizontal="center" vertical="center" wrapText="1"/>
    </xf>
    <xf numFmtId="166" fontId="61" fillId="46" borderId="24" xfId="0" applyNumberFormat="1" applyFont="1" applyFill="1" applyBorder="1" applyAlignment="1">
      <alignment horizontal="center" vertical="center" wrapText="1"/>
    </xf>
    <xf numFmtId="16" fontId="51" fillId="46" borderId="24" xfId="0" applyNumberFormat="1" applyFont="1" applyFill="1" applyBorder="1" applyAlignment="1">
      <alignment horizontal="center" vertical="center" wrapText="1"/>
    </xf>
    <xf numFmtId="17" fontId="51" fillId="46" borderId="18" xfId="0" quotePrefix="1" applyNumberFormat="1" applyFont="1" applyFill="1" applyBorder="1" applyAlignment="1">
      <alignment horizontal="center" vertical="center" wrapText="1"/>
    </xf>
    <xf numFmtId="0" fontId="51" fillId="46" borderId="44" xfId="0" applyFont="1" applyFill="1" applyBorder="1" applyAlignment="1">
      <alignment horizontal="center" vertical="center" wrapText="1"/>
    </xf>
    <xf numFmtId="0" fontId="51" fillId="50" borderId="44" xfId="0" applyFont="1" applyFill="1" applyBorder="1" applyAlignment="1">
      <alignment horizontal="center" vertical="center" wrapText="1"/>
    </xf>
    <xf numFmtId="3" fontId="51" fillId="46" borderId="44" xfId="0" applyNumberFormat="1" applyFont="1" applyFill="1" applyBorder="1" applyAlignment="1">
      <alignment horizontal="center" vertical="center" wrapText="1"/>
    </xf>
    <xf numFmtId="16" fontId="51" fillId="46" borderId="55" xfId="0" quotePrefix="1" applyNumberFormat="1" applyFont="1" applyFill="1" applyBorder="1" applyAlignment="1">
      <alignment horizontal="center" vertical="center" wrapText="1"/>
    </xf>
    <xf numFmtId="49" fontId="51" fillId="46" borderId="44" xfId="0" applyNumberFormat="1" applyFont="1" applyFill="1" applyBorder="1" applyAlignment="1">
      <alignment horizontal="center" vertical="center" wrapText="1"/>
    </xf>
    <xf numFmtId="0" fontId="51" fillId="46" borderId="40" xfId="0" quotePrefix="1" applyFont="1" applyFill="1" applyBorder="1" applyAlignment="1">
      <alignment horizontal="center" vertical="center" wrapText="1"/>
    </xf>
    <xf numFmtId="166" fontId="63" fillId="44" borderId="44" xfId="0" applyNumberFormat="1" applyFont="1" applyFill="1" applyBorder="1" applyAlignment="1">
      <alignment horizontal="center" vertical="center" wrapText="1"/>
    </xf>
    <xf numFmtId="0" fontId="51" fillId="44" borderId="59" xfId="0" applyNumberFormat="1" applyFont="1" applyFill="1" applyBorder="1" applyAlignment="1">
      <alignment horizontal="center" vertical="center" wrapText="1"/>
    </xf>
    <xf numFmtId="0" fontId="50" fillId="44" borderId="52" xfId="0" quotePrefix="1" applyNumberFormat="1" applyFont="1" applyFill="1" applyBorder="1" applyAlignment="1">
      <alignment horizontal="center" vertical="center" wrapText="1"/>
    </xf>
    <xf numFmtId="0" fontId="51" fillId="44" borderId="60" xfId="0" quotePrefix="1" applyNumberFormat="1" applyFont="1" applyFill="1" applyBorder="1" applyAlignment="1">
      <alignment horizontal="center" vertical="center" wrapText="1"/>
    </xf>
    <xf numFmtId="0" fontId="37" fillId="0" borderId="61" xfId="0" quotePrefix="1" applyFont="1" applyBorder="1" applyAlignment="1">
      <alignment horizontal="center" vertical="center" wrapText="1"/>
    </xf>
    <xf numFmtId="0" fontId="51" fillId="44" borderId="62" xfId="0" applyNumberFormat="1" applyFont="1" applyFill="1" applyBorder="1" applyAlignment="1">
      <alignment horizontal="center" vertical="center" wrapText="1"/>
    </xf>
    <xf numFmtId="0" fontId="51" fillId="44" borderId="63" xfId="0" quotePrefix="1" applyNumberFormat="1" applyFont="1" applyFill="1" applyBorder="1" applyAlignment="1">
      <alignment horizontal="center" vertical="center" wrapText="1"/>
    </xf>
    <xf numFmtId="0" fontId="50" fillId="44" borderId="63" xfId="0" quotePrefix="1" applyNumberFormat="1" applyFont="1" applyFill="1" applyBorder="1" applyAlignment="1">
      <alignment horizontal="center" vertical="center" wrapText="1"/>
    </xf>
    <xf numFmtId="0" fontId="51" fillId="44" borderId="64" xfId="0" quotePrefix="1" applyNumberFormat="1" applyFont="1" applyFill="1" applyBorder="1" applyAlignment="1">
      <alignment horizontal="center" vertical="center" wrapText="1"/>
    </xf>
    <xf numFmtId="0" fontId="51" fillId="44" borderId="0" xfId="0" quotePrefix="1" applyNumberFormat="1" applyFont="1" applyFill="1" applyBorder="1" applyAlignment="1">
      <alignment horizontal="left" vertical="center" wrapText="1"/>
    </xf>
    <xf numFmtId="3" fontId="55" fillId="44" borderId="0" xfId="0" applyNumberFormat="1" applyFont="1" applyFill="1" applyBorder="1" applyAlignment="1">
      <alignment horizontal="center" vertical="center"/>
    </xf>
    <xf numFmtId="3" fontId="55" fillId="44" borderId="0" xfId="0" applyNumberFormat="1" applyFont="1" applyFill="1" applyBorder="1" applyAlignment="1">
      <alignment horizontal="center" vertical="center" wrapText="1"/>
    </xf>
    <xf numFmtId="0" fontId="50" fillId="44" borderId="0" xfId="0" quotePrefix="1" applyNumberFormat="1" applyFont="1" applyFill="1" applyBorder="1" applyAlignment="1">
      <alignment horizontal="center" vertical="center" wrapText="1"/>
    </xf>
    <xf numFmtId="0" fontId="0" fillId="0" borderId="0" xfId="0" applyBorder="1" applyAlignment="1">
      <alignment horizontal="center" vertical="center" wrapText="1"/>
    </xf>
    <xf numFmtId="0" fontId="50" fillId="0" borderId="15" xfId="0" applyNumberFormat="1" applyFont="1" applyFill="1" applyBorder="1" applyAlignment="1">
      <alignment horizontal="center" vertical="center" wrapText="1"/>
    </xf>
    <xf numFmtId="0" fontId="50" fillId="0" borderId="15" xfId="0" applyNumberFormat="1" applyFont="1" applyBorder="1" applyAlignment="1">
      <alignment horizontal="center" vertical="center" wrapText="1"/>
    </xf>
    <xf numFmtId="0" fontId="50" fillId="0" borderId="16" xfId="0" applyNumberFormat="1" applyFont="1" applyBorder="1" applyAlignment="1">
      <alignment horizontal="center" vertical="center" wrapText="1"/>
    </xf>
    <xf numFmtId="0" fontId="51" fillId="51" borderId="39" xfId="0" applyNumberFormat="1" applyFont="1" applyFill="1" applyBorder="1" applyAlignment="1">
      <alignment horizontal="center" vertical="center" wrapText="1"/>
    </xf>
    <xf numFmtId="0" fontId="51" fillId="51" borderId="40" xfId="0" quotePrefix="1" applyNumberFormat="1" applyFont="1" applyFill="1" applyBorder="1" applyAlignment="1">
      <alignment horizontal="center" vertical="center" wrapText="1"/>
    </xf>
    <xf numFmtId="0" fontId="51" fillId="51" borderId="39" xfId="0" quotePrefix="1" applyNumberFormat="1" applyFont="1" applyFill="1" applyBorder="1" applyAlignment="1">
      <alignment horizontal="center" vertical="center" wrapText="1"/>
    </xf>
    <xf numFmtId="3" fontId="50" fillId="0" borderId="39" xfId="0" applyNumberFormat="1" applyFont="1" applyFill="1" applyBorder="1" applyAlignment="1">
      <alignment horizontal="center" vertical="center" wrapText="1"/>
    </xf>
    <xf numFmtId="0" fontId="50" fillId="0" borderId="39" xfId="0" quotePrefix="1" applyNumberFormat="1" applyFont="1" applyFill="1" applyBorder="1" applyAlignment="1">
      <alignment horizontal="center" vertical="center" wrapText="1"/>
    </xf>
    <xf numFmtId="14" fontId="50" fillId="0" borderId="39" xfId="0" quotePrefix="1" applyNumberFormat="1" applyFont="1" applyFill="1" applyBorder="1" applyAlignment="1">
      <alignment horizontal="center" vertical="center" wrapText="1"/>
    </xf>
    <xf numFmtId="49" fontId="50" fillId="0" borderId="39" xfId="0" applyNumberFormat="1" applyFont="1" applyFill="1" applyBorder="1" applyAlignment="1">
      <alignment horizontal="center" vertical="center" wrapText="1"/>
    </xf>
    <xf numFmtId="0" fontId="50" fillId="0" borderId="40" xfId="0" quotePrefix="1" applyNumberFormat="1" applyFont="1" applyFill="1" applyBorder="1" applyAlignment="1">
      <alignment horizontal="center" vertical="center" wrapText="1"/>
    </xf>
    <xf numFmtId="0" fontId="53" fillId="52" borderId="39" xfId="0" applyNumberFormat="1" applyFont="1" applyFill="1" applyBorder="1" applyAlignment="1">
      <alignment horizontal="center" vertical="center" wrapText="1"/>
    </xf>
    <xf numFmtId="0" fontId="53" fillId="52" borderId="40" xfId="0" applyNumberFormat="1" applyFont="1" applyFill="1" applyBorder="1" applyAlignment="1">
      <alignment horizontal="center" vertical="center" wrapText="1"/>
    </xf>
    <xf numFmtId="0" fontId="64" fillId="0" borderId="0" xfId="0" applyFont="1" applyBorder="1" applyAlignment="1">
      <alignment horizontal="center" vertical="center" wrapText="1"/>
    </xf>
    <xf numFmtId="0" fontId="53" fillId="52" borderId="39" xfId="0" quotePrefix="1" applyNumberFormat="1" applyFont="1" applyFill="1" applyBorder="1" applyAlignment="1">
      <alignment horizontal="center" vertical="center" wrapText="1"/>
    </xf>
    <xf numFmtId="0" fontId="53" fillId="52" borderId="40" xfId="0" quotePrefix="1" applyNumberFormat="1" applyFont="1" applyFill="1" applyBorder="1" applyAlignment="1">
      <alignment horizontal="center" vertical="center" wrapText="1"/>
    </xf>
    <xf numFmtId="0" fontId="56" fillId="52" borderId="39" xfId="0" quotePrefix="1" applyNumberFormat="1" applyFont="1" applyFill="1" applyBorder="1" applyAlignment="1">
      <alignment horizontal="center" vertical="center" wrapText="1"/>
    </xf>
    <xf numFmtId="0" fontId="56" fillId="52" borderId="40" xfId="0" quotePrefix="1" applyNumberFormat="1" applyFont="1" applyFill="1" applyBorder="1" applyAlignment="1">
      <alignment horizontal="center" vertical="center" wrapText="1"/>
    </xf>
    <xf numFmtId="166" fontId="50" fillId="0" borderId="39" xfId="0" applyNumberFormat="1" applyFont="1" applyFill="1" applyBorder="1" applyAlignment="1">
      <alignment horizontal="center" vertical="center" wrapText="1"/>
    </xf>
    <xf numFmtId="0" fontId="53" fillId="0" borderId="40" xfId="0" quotePrefix="1" applyNumberFormat="1" applyFont="1" applyFill="1" applyBorder="1" applyAlignment="1">
      <alignment horizontal="center" vertical="center" wrapText="1"/>
    </xf>
    <xf numFmtId="3" fontId="55" fillId="44" borderId="21" xfId="0" applyNumberFormat="1" applyFont="1" applyFill="1" applyBorder="1" applyAlignment="1">
      <alignment horizontal="center" vertical="center" wrapText="1"/>
    </xf>
    <xf numFmtId="166" fontId="48" fillId="44" borderId="0" xfId="0" applyNumberFormat="1" applyFont="1" applyFill="1" applyBorder="1" applyAlignment="1">
      <alignment horizontal="center" vertical="center" wrapText="1"/>
    </xf>
    <xf numFmtId="3" fontId="48" fillId="44" borderId="0" xfId="0" applyNumberFormat="1" applyFont="1" applyFill="1" applyBorder="1" applyAlignment="1">
      <alignment horizontal="right" vertical="center"/>
    </xf>
    <xf numFmtId="3" fontId="48" fillId="44" borderId="0" xfId="0" applyNumberFormat="1" applyFont="1" applyFill="1" applyBorder="1" applyAlignment="1">
      <alignment horizontal="center" vertical="center" wrapText="1"/>
    </xf>
    <xf numFmtId="0" fontId="50" fillId="0" borderId="16" xfId="0" applyNumberFormat="1" applyFont="1" applyFill="1" applyBorder="1" applyAlignment="1">
      <alignment horizontal="center" vertical="center" wrapText="1"/>
    </xf>
    <xf numFmtId="0" fontId="51" fillId="49" borderId="41" xfId="0" quotePrefix="1" applyNumberFormat="1" applyFont="1" applyFill="1" applyBorder="1" applyAlignment="1">
      <alignment horizontal="left" vertical="center" wrapText="1"/>
    </xf>
    <xf numFmtId="0" fontId="51" fillId="49" borderId="24" xfId="0" quotePrefix="1" applyNumberFormat="1" applyFont="1" applyFill="1" applyBorder="1" applyAlignment="1">
      <alignment horizontal="center" vertical="center" wrapText="1"/>
    </xf>
    <xf numFmtId="3" fontId="51" fillId="49" borderId="24" xfId="0" quotePrefix="1" applyNumberFormat="1" applyFont="1" applyFill="1" applyBorder="1" applyAlignment="1">
      <alignment horizontal="center" vertical="center" wrapText="1"/>
    </xf>
    <xf numFmtId="49" fontId="51" fillId="49" borderId="24" xfId="0" applyNumberFormat="1" applyFont="1" applyFill="1" applyBorder="1" applyAlignment="1">
      <alignment horizontal="center" vertical="center" wrapText="1"/>
    </xf>
    <xf numFmtId="0" fontId="51" fillId="49" borderId="24" xfId="0" applyNumberFormat="1" applyFont="1" applyFill="1" applyBorder="1" applyAlignment="1">
      <alignment horizontal="center" vertical="center" wrapText="1"/>
    </xf>
    <xf numFmtId="0" fontId="51" fillId="49" borderId="19" xfId="0" applyNumberFormat="1" applyFont="1" applyFill="1" applyBorder="1" applyAlignment="1">
      <alignment horizontal="center" vertical="center" wrapText="1"/>
    </xf>
    <xf numFmtId="0" fontId="51" fillId="49" borderId="38" xfId="0" quotePrefix="1" applyNumberFormat="1" applyFont="1" applyFill="1" applyBorder="1" applyAlignment="1">
      <alignment horizontal="left" vertical="center" wrapText="1"/>
    </xf>
    <xf numFmtId="0" fontId="51" fillId="49" borderId="39" xfId="0" quotePrefix="1" applyNumberFormat="1" applyFont="1" applyFill="1" applyBorder="1" applyAlignment="1">
      <alignment horizontal="center" vertical="center" wrapText="1"/>
    </xf>
    <xf numFmtId="3" fontId="51" fillId="49" borderId="39" xfId="0" quotePrefix="1" applyNumberFormat="1" applyFont="1" applyFill="1" applyBorder="1" applyAlignment="1">
      <alignment horizontal="center" vertical="center" wrapText="1"/>
    </xf>
    <xf numFmtId="49" fontId="51" fillId="49" borderId="39" xfId="0" quotePrefix="1" applyNumberFormat="1" applyFont="1" applyFill="1" applyBorder="1" applyAlignment="1">
      <alignment horizontal="center" vertical="center" wrapText="1"/>
    </xf>
    <xf numFmtId="0" fontId="51" fillId="49" borderId="39" xfId="0" applyNumberFormat="1" applyFont="1" applyFill="1" applyBorder="1" applyAlignment="1">
      <alignment horizontal="center" vertical="center" wrapText="1"/>
    </xf>
    <xf numFmtId="0" fontId="51" fillId="49" borderId="40" xfId="0" quotePrefix="1" applyNumberFormat="1" applyFont="1" applyFill="1" applyBorder="1" applyAlignment="1">
      <alignment horizontal="center" vertical="center" wrapText="1"/>
    </xf>
    <xf numFmtId="0" fontId="0" fillId="49" borderId="20" xfId="0" applyFill="1" applyBorder="1" applyAlignment="1">
      <alignment horizontal="left" vertical="center"/>
    </xf>
    <xf numFmtId="0" fontId="0" fillId="49" borderId="21" xfId="0" applyFill="1" applyBorder="1" applyAlignment="1">
      <alignment horizontal="center" vertical="center"/>
    </xf>
    <xf numFmtId="14" fontId="0" fillId="49" borderId="21" xfId="0" applyNumberFormat="1" applyFill="1" applyBorder="1" applyAlignment="1">
      <alignment horizontal="center" vertical="center"/>
    </xf>
    <xf numFmtId="0" fontId="0" fillId="49" borderId="22" xfId="0" applyFill="1" applyBorder="1" applyAlignment="1">
      <alignment horizontal="center" vertical="center"/>
    </xf>
    <xf numFmtId="3" fontId="48" fillId="44" borderId="0" xfId="0" applyNumberFormat="1" applyFont="1" applyFill="1" applyBorder="1" applyAlignment="1">
      <alignment horizontal="center" vertical="center"/>
    </xf>
    <xf numFmtId="0" fontId="51" fillId="47" borderId="38" xfId="0" quotePrefix="1" applyNumberFormat="1" applyFont="1" applyFill="1" applyBorder="1" applyAlignment="1">
      <alignment horizontal="left" vertical="center" wrapText="1"/>
    </xf>
    <xf numFmtId="0" fontId="51" fillId="47" borderId="39" xfId="0" applyNumberFormat="1" applyFont="1" applyFill="1" applyBorder="1" applyAlignment="1">
      <alignment horizontal="center" vertical="center" wrapText="1"/>
    </xf>
    <xf numFmtId="0" fontId="51" fillId="47" borderId="39" xfId="0" quotePrefix="1" applyNumberFormat="1" applyFont="1" applyFill="1" applyBorder="1" applyAlignment="1">
      <alignment horizontal="center" vertical="center" wrapText="1"/>
    </xf>
    <xf numFmtId="1" fontId="51" fillId="47" borderId="39" xfId="0" quotePrefix="1" applyNumberFormat="1" applyFont="1" applyFill="1" applyBorder="1" applyAlignment="1">
      <alignment horizontal="center" vertical="center" wrapText="1"/>
    </xf>
    <xf numFmtId="0" fontId="50" fillId="47" borderId="39" xfId="0" applyNumberFormat="1" applyFont="1" applyFill="1" applyBorder="1" applyAlignment="1">
      <alignment horizontal="center" vertical="center" wrapText="1"/>
    </xf>
    <xf numFmtId="0" fontId="51" fillId="47" borderId="40" xfId="0" applyNumberFormat="1" applyFont="1" applyFill="1" applyBorder="1" applyAlignment="1">
      <alignment horizontal="center" vertical="center" wrapText="1"/>
    </xf>
    <xf numFmtId="0" fontId="51" fillId="47" borderId="38" xfId="0" applyNumberFormat="1" applyFont="1" applyFill="1" applyBorder="1" applyAlignment="1">
      <alignment horizontal="left" vertical="center" wrapText="1"/>
    </xf>
    <xf numFmtId="3" fontId="51" fillId="47" borderId="39" xfId="0" applyNumberFormat="1" applyFont="1" applyFill="1" applyBorder="1" applyAlignment="1">
      <alignment horizontal="center" vertical="center" wrapText="1"/>
    </xf>
    <xf numFmtId="14" fontId="51" fillId="47" borderId="39" xfId="0" quotePrefix="1" applyNumberFormat="1" applyFont="1" applyFill="1" applyBorder="1" applyAlignment="1">
      <alignment horizontal="center" vertical="center" wrapText="1"/>
    </xf>
    <xf numFmtId="14" fontId="51" fillId="47" borderId="39" xfId="0" applyNumberFormat="1" applyFont="1" applyFill="1" applyBorder="1" applyAlignment="1">
      <alignment horizontal="center" vertical="center" wrapText="1"/>
    </xf>
    <xf numFmtId="0" fontId="51" fillId="47" borderId="17" xfId="0" applyNumberFormat="1" applyFont="1" applyFill="1" applyBorder="1" applyAlignment="1">
      <alignment horizontal="left" vertical="center" wrapText="1"/>
    </xf>
    <xf numFmtId="0" fontId="51" fillId="47" borderId="18" xfId="0" applyNumberFormat="1" applyFont="1" applyFill="1" applyBorder="1" applyAlignment="1">
      <alignment horizontal="center" vertical="center" wrapText="1"/>
    </xf>
    <xf numFmtId="3" fontId="51" fillId="47" borderId="18" xfId="0" applyNumberFormat="1" applyFont="1" applyFill="1" applyBorder="1" applyAlignment="1">
      <alignment horizontal="center" vertical="center" wrapText="1"/>
    </xf>
    <xf numFmtId="14" fontId="51" fillId="47" borderId="18" xfId="0" quotePrefix="1" applyNumberFormat="1" applyFont="1" applyFill="1" applyBorder="1" applyAlignment="1">
      <alignment horizontal="center" vertical="center" wrapText="1"/>
    </xf>
    <xf numFmtId="0" fontId="50" fillId="47" borderId="18" xfId="0" applyNumberFormat="1" applyFont="1" applyFill="1" applyBorder="1" applyAlignment="1">
      <alignment horizontal="center" vertical="center" wrapText="1"/>
    </xf>
    <xf numFmtId="0" fontId="51" fillId="47" borderId="19" xfId="0" applyNumberFormat="1" applyFont="1" applyFill="1" applyBorder="1" applyAlignment="1">
      <alignment horizontal="center" vertical="center" wrapText="1"/>
    </xf>
    <xf numFmtId="16" fontId="51" fillId="47" borderId="18" xfId="0" quotePrefix="1" applyNumberFormat="1" applyFont="1" applyFill="1" applyBorder="1" applyAlignment="1">
      <alignment horizontal="center" vertical="center" wrapText="1"/>
    </xf>
    <xf numFmtId="0" fontId="50" fillId="47" borderId="19" xfId="0" applyNumberFormat="1" applyFont="1" applyFill="1" applyBorder="1" applyAlignment="1">
      <alignment horizontal="center" vertical="center" wrapText="1"/>
    </xf>
    <xf numFmtId="0" fontId="51" fillId="47" borderId="17" xfId="0" applyFont="1" applyFill="1" applyBorder="1" applyAlignment="1">
      <alignment horizontal="left" vertical="center" wrapText="1"/>
    </xf>
    <xf numFmtId="0" fontId="51" fillId="47" borderId="18" xfId="0" applyFont="1" applyFill="1" applyBorder="1" applyAlignment="1">
      <alignment horizontal="center" vertical="center" wrapText="1"/>
    </xf>
    <xf numFmtId="0" fontId="50" fillId="47" borderId="18" xfId="0" applyFont="1" applyFill="1" applyBorder="1" applyAlignment="1">
      <alignment horizontal="center" vertical="center" wrapText="1"/>
    </xf>
    <xf numFmtId="0" fontId="50" fillId="47" borderId="19" xfId="0" applyFont="1" applyFill="1" applyBorder="1" applyAlignment="1">
      <alignment horizontal="center" vertical="center" wrapText="1"/>
    </xf>
    <xf numFmtId="0" fontId="51" fillId="47" borderId="53" xfId="0" quotePrefix="1" applyNumberFormat="1" applyFont="1" applyFill="1" applyBorder="1" applyAlignment="1">
      <alignment horizontal="left" vertical="center" wrapText="1"/>
    </xf>
    <xf numFmtId="0" fontId="51" fillId="47" borderId="54" xfId="0" quotePrefix="1" applyNumberFormat="1" applyFont="1" applyFill="1" applyBorder="1" applyAlignment="1">
      <alignment horizontal="center" vertical="center" wrapText="1"/>
    </xf>
    <xf numFmtId="3" fontId="51" fillId="47" borderId="54" xfId="0" applyNumberFormat="1" applyFont="1" applyFill="1" applyBorder="1" applyAlignment="1">
      <alignment horizontal="center" vertical="center" wrapText="1"/>
    </xf>
    <xf numFmtId="0" fontId="51" fillId="47" borderId="34" xfId="0" quotePrefix="1" applyNumberFormat="1" applyFont="1" applyFill="1" applyBorder="1" applyAlignment="1">
      <alignment horizontal="center" vertical="center" wrapText="1"/>
    </xf>
    <xf numFmtId="0" fontId="51" fillId="51" borderId="46" xfId="0" applyNumberFormat="1" applyFont="1" applyFill="1" applyBorder="1" applyAlignment="1">
      <alignment horizontal="center" vertical="center" wrapText="1"/>
    </xf>
    <xf numFmtId="0" fontId="51" fillId="47" borderId="34" xfId="0" applyNumberFormat="1" applyFont="1" applyFill="1" applyBorder="1" applyAlignment="1">
      <alignment horizontal="center" vertical="center" wrapText="1"/>
    </xf>
    <xf numFmtId="0" fontId="51" fillId="51" borderId="65" xfId="0" applyNumberFormat="1" applyFont="1" applyFill="1" applyBorder="1" applyAlignment="1">
      <alignment horizontal="center" vertical="center" wrapText="1"/>
    </xf>
    <xf numFmtId="0" fontId="66" fillId="47" borderId="18" xfId="0" applyNumberFormat="1" applyFont="1" applyFill="1" applyBorder="1" applyAlignment="1">
      <alignment horizontal="center" vertical="center" wrapText="1"/>
    </xf>
    <xf numFmtId="0" fontId="51" fillId="51" borderId="19" xfId="0" applyNumberFormat="1" applyFont="1" applyFill="1" applyBorder="1" applyAlignment="1">
      <alignment horizontal="center" vertical="center" wrapText="1"/>
    </xf>
    <xf numFmtId="0" fontId="51" fillId="47" borderId="41" xfId="0" quotePrefix="1" applyNumberFormat="1" applyFont="1" applyFill="1" applyBorder="1" applyAlignment="1">
      <alignment horizontal="left" vertical="center" wrapText="1"/>
    </xf>
    <xf numFmtId="0" fontId="51" fillId="47" borderId="24" xfId="0" quotePrefix="1" applyNumberFormat="1" applyFont="1" applyFill="1" applyBorder="1" applyAlignment="1">
      <alignment horizontal="center" vertical="center" wrapText="1"/>
    </xf>
    <xf numFmtId="3" fontId="51" fillId="47" borderId="24" xfId="0" quotePrefix="1" applyNumberFormat="1" applyFont="1" applyFill="1" applyBorder="1" applyAlignment="1">
      <alignment horizontal="center" vertical="center" wrapText="1"/>
    </xf>
    <xf numFmtId="49" fontId="51" fillId="47" borderId="24" xfId="0" applyNumberFormat="1" applyFont="1" applyFill="1" applyBorder="1" applyAlignment="1">
      <alignment horizontal="center" vertical="center" wrapText="1"/>
    </xf>
    <xf numFmtId="0" fontId="51" fillId="47" borderId="24" xfId="0" applyNumberFormat="1" applyFont="1" applyFill="1" applyBorder="1" applyAlignment="1">
      <alignment horizontal="center" vertical="center" wrapText="1"/>
    </xf>
    <xf numFmtId="0" fontId="51" fillId="47" borderId="45" xfId="0" quotePrefix="1" applyNumberFormat="1" applyFont="1" applyFill="1" applyBorder="1" applyAlignment="1">
      <alignment horizontal="left" vertical="center" wrapText="1"/>
    </xf>
    <xf numFmtId="0" fontId="51" fillId="47" borderId="46" xfId="0" applyNumberFormat="1" applyFont="1" applyFill="1" applyBorder="1" applyAlignment="1">
      <alignment horizontal="center" vertical="center" wrapText="1"/>
    </xf>
    <xf numFmtId="0" fontId="51" fillId="47" borderId="46" xfId="0" quotePrefix="1" applyNumberFormat="1" applyFont="1" applyFill="1" applyBorder="1" applyAlignment="1">
      <alignment horizontal="center" vertical="center" wrapText="1"/>
    </xf>
    <xf numFmtId="3" fontId="51" fillId="47" borderId="66" xfId="0" quotePrefix="1" applyNumberFormat="1" applyFont="1" applyFill="1" applyBorder="1" applyAlignment="1">
      <alignment horizontal="center" vertical="center" wrapText="1"/>
    </xf>
    <xf numFmtId="0" fontId="51" fillId="47" borderId="66" xfId="0" quotePrefix="1" applyNumberFormat="1" applyFont="1" applyFill="1" applyBorder="1" applyAlignment="1">
      <alignment horizontal="center" vertical="center" wrapText="1"/>
    </xf>
    <xf numFmtId="14" fontId="51" fillId="47" borderId="21" xfId="0" quotePrefix="1" applyNumberFormat="1" applyFont="1" applyFill="1" applyBorder="1" applyAlignment="1">
      <alignment horizontal="center" vertical="center" wrapText="1"/>
    </xf>
    <xf numFmtId="49" fontId="51" fillId="47" borderId="21" xfId="0" quotePrefix="1" applyNumberFormat="1" applyFont="1" applyFill="1" applyBorder="1" applyAlignment="1">
      <alignment horizontal="center" vertical="center" wrapText="1"/>
    </xf>
    <xf numFmtId="0" fontId="51" fillId="47" borderId="21" xfId="0" applyNumberFormat="1" applyFont="1" applyFill="1" applyBorder="1" applyAlignment="1">
      <alignment horizontal="center" vertical="center" wrapText="1"/>
    </xf>
    <xf numFmtId="49" fontId="51" fillId="47" borderId="22" xfId="0" applyNumberFormat="1" applyFont="1" applyFill="1" applyBorder="1" applyAlignment="1">
      <alignment horizontal="center" vertical="center" wrapText="1"/>
    </xf>
    <xf numFmtId="166" fontId="48" fillId="44" borderId="0" xfId="0" quotePrefix="1" applyNumberFormat="1" applyFont="1" applyFill="1" applyBorder="1" applyAlignment="1">
      <alignment horizontal="center" vertical="center" wrapText="1"/>
    </xf>
    <xf numFmtId="166" fontId="68" fillId="44" borderId="0" xfId="0" quotePrefix="1" applyNumberFormat="1" applyFont="1" applyFill="1" applyBorder="1" applyAlignment="1">
      <alignment horizontal="center" vertical="center" wrapText="1"/>
    </xf>
    <xf numFmtId="3" fontId="69" fillId="44" borderId="0" xfId="0" applyNumberFormat="1" applyFont="1" applyFill="1" applyBorder="1" applyAlignment="1">
      <alignment horizontal="right" vertical="center"/>
    </xf>
    <xf numFmtId="3" fontId="48" fillId="44" borderId="0" xfId="0" quotePrefix="1" applyNumberFormat="1" applyFont="1" applyFill="1" applyBorder="1" applyAlignment="1">
      <alignment horizontal="center" vertical="center" wrapText="1"/>
    </xf>
    <xf numFmtId="0" fontId="51" fillId="53" borderId="17" xfId="0" applyNumberFormat="1" applyFont="1" applyFill="1" applyBorder="1" applyAlignment="1">
      <alignment horizontal="left" vertical="center" wrapText="1"/>
    </xf>
    <xf numFmtId="0" fontId="51" fillId="53" borderId="18" xfId="0" applyNumberFormat="1" applyFont="1" applyFill="1" applyBorder="1" applyAlignment="1">
      <alignment horizontal="center" vertical="center" wrapText="1"/>
    </xf>
    <xf numFmtId="16" fontId="51" fillId="53" borderId="18" xfId="0" quotePrefix="1" applyNumberFormat="1" applyFont="1" applyFill="1" applyBorder="1" applyAlignment="1">
      <alignment horizontal="center" vertical="center" wrapText="1"/>
    </xf>
    <xf numFmtId="0" fontId="50" fillId="53" borderId="18" xfId="0" applyNumberFormat="1" applyFont="1" applyFill="1" applyBorder="1" applyAlignment="1">
      <alignment horizontal="center" vertical="center" wrapText="1"/>
    </xf>
    <xf numFmtId="0" fontId="50" fillId="53" borderId="19" xfId="0" applyNumberFormat="1" applyFont="1" applyFill="1" applyBorder="1" applyAlignment="1">
      <alignment horizontal="center" vertical="center" wrapText="1"/>
    </xf>
    <xf numFmtId="0" fontId="51" fillId="53" borderId="20" xfId="0" applyNumberFormat="1" applyFont="1" applyFill="1" applyBorder="1" applyAlignment="1">
      <alignment horizontal="left" vertical="center" wrapText="1"/>
    </xf>
    <xf numFmtId="0" fontId="51" fillId="53" borderId="21" xfId="0" applyNumberFormat="1" applyFont="1" applyFill="1" applyBorder="1" applyAlignment="1">
      <alignment horizontal="center" vertical="center" wrapText="1"/>
    </xf>
    <xf numFmtId="16" fontId="51" fillId="53" borderId="21" xfId="0" quotePrefix="1" applyNumberFormat="1" applyFont="1" applyFill="1" applyBorder="1" applyAlignment="1">
      <alignment horizontal="center" vertical="center" wrapText="1"/>
    </xf>
    <xf numFmtId="0" fontId="50" fillId="53" borderId="21" xfId="0" applyNumberFormat="1" applyFont="1" applyFill="1" applyBorder="1" applyAlignment="1">
      <alignment horizontal="center" vertical="center" wrapText="1"/>
    </xf>
    <xf numFmtId="0" fontId="50" fillId="53" borderId="22" xfId="0" applyNumberFormat="1" applyFont="1" applyFill="1" applyBorder="1" applyAlignment="1">
      <alignment horizontal="center" vertical="center" wrapText="1"/>
    </xf>
    <xf numFmtId="0" fontId="0" fillId="0" borderId="63" xfId="0" applyBorder="1" applyAlignment="1">
      <alignment horizontal="left" vertical="center"/>
    </xf>
    <xf numFmtId="0" fontId="0" fillId="0" borderId="63" xfId="0" applyBorder="1" applyAlignment="1">
      <alignment horizontal="center" vertical="center"/>
    </xf>
    <xf numFmtId="0" fontId="0" fillId="0" borderId="0" xfId="0" applyBorder="1" applyAlignment="1">
      <alignment horizontal="center" vertical="center"/>
    </xf>
    <xf numFmtId="0" fontId="51" fillId="0" borderId="72" xfId="0" applyFont="1" applyBorder="1" applyAlignment="1">
      <alignment horizontal="center" vertical="center"/>
    </xf>
    <xf numFmtId="0" fontId="51" fillId="0" borderId="74" xfId="0" applyFont="1" applyBorder="1" applyAlignment="1">
      <alignment horizontal="center" vertical="center"/>
    </xf>
    <xf numFmtId="0" fontId="14" fillId="0" borderId="0" xfId="0" applyFont="1" applyFill="1"/>
    <xf numFmtId="0" fontId="0" fillId="0" borderId="0" xfId="0" applyFill="1"/>
    <xf numFmtId="165" fontId="0" fillId="0" borderId="0" xfId="1" applyNumberFormat="1" applyFont="1" applyFill="1"/>
    <xf numFmtId="165" fontId="0" fillId="41" borderId="0" xfId="1" applyNumberFormat="1" applyFont="1" applyFill="1"/>
    <xf numFmtId="0" fontId="14" fillId="0" borderId="0" xfId="1" applyNumberFormat="1" applyFont="1"/>
    <xf numFmtId="0" fontId="0" fillId="40" borderId="0" xfId="0" applyFill="1" applyAlignment="1">
      <alignment horizontal="center" vertical="center" wrapText="1"/>
    </xf>
    <xf numFmtId="0" fontId="0" fillId="40" borderId="0" xfId="0" applyFill="1" applyBorder="1" applyAlignment="1" applyProtection="1">
      <alignment horizontal="center" vertical="center" wrapText="1"/>
      <protection locked="0"/>
    </xf>
    <xf numFmtId="14" fontId="0" fillId="44" borderId="0" xfId="0" applyNumberFormat="1" applyFill="1" applyBorder="1" applyAlignment="1" applyProtection="1">
      <protection locked="0"/>
    </xf>
    <xf numFmtId="14" fontId="0" fillId="44" borderId="0" xfId="0" applyNumberFormat="1" applyFill="1" applyBorder="1" applyAlignment="1" applyProtection="1">
      <alignment horizontal="center" vertical="center" wrapText="1"/>
      <protection locked="0"/>
    </xf>
    <xf numFmtId="14" fontId="0" fillId="40" borderId="0" xfId="0" applyNumberFormat="1" applyFill="1" applyBorder="1" applyAlignment="1" applyProtection="1">
      <alignment horizontal="center" vertical="center" wrapText="1"/>
      <protection locked="0"/>
    </xf>
    <xf numFmtId="14" fontId="0" fillId="0" borderId="0" xfId="0" applyNumberFormat="1" applyFill="1" applyBorder="1" applyAlignment="1" applyProtection="1">
      <protection locked="0"/>
    </xf>
    <xf numFmtId="0" fontId="73" fillId="33" borderId="0" xfId="0" applyFont="1" applyFill="1"/>
    <xf numFmtId="0" fontId="73" fillId="0" borderId="0" xfId="0" applyFont="1" applyFill="1"/>
    <xf numFmtId="0" fontId="73" fillId="0" borderId="0" xfId="1" applyNumberFormat="1" applyFont="1" applyFill="1"/>
    <xf numFmtId="0" fontId="0" fillId="0" borderId="0" xfId="0" applyFont="1" applyAlignment="1">
      <alignment horizontal="left" indent="1"/>
    </xf>
    <xf numFmtId="165" fontId="0" fillId="0" borderId="0" xfId="0" applyNumberFormat="1"/>
    <xf numFmtId="165" fontId="0" fillId="34" borderId="0" xfId="0" applyNumberFormat="1" applyFill="1"/>
    <xf numFmtId="0" fontId="14" fillId="33" borderId="0" xfId="0" applyFont="1" applyFill="1" applyAlignment="1">
      <alignment horizontal="left" indent="2"/>
    </xf>
    <xf numFmtId="0" fontId="38" fillId="0" borderId="0" xfId="0" applyFont="1" applyBorder="1"/>
    <xf numFmtId="0" fontId="32" fillId="44" borderId="0" xfId="0" applyFont="1" applyFill="1" applyBorder="1" applyAlignment="1" applyProtection="1">
      <alignment horizontal="center" vertical="center" wrapText="1"/>
      <protection locked="0"/>
    </xf>
    <xf numFmtId="43" fontId="31" fillId="40" borderId="0" xfId="45" applyFont="1" applyFill="1" applyBorder="1" applyAlignment="1" applyProtection="1">
      <alignment horizontal="center" vertical="center" wrapText="1"/>
      <protection locked="0"/>
    </xf>
    <xf numFmtId="0" fontId="31" fillId="40" borderId="0" xfId="0" applyFont="1" applyFill="1" applyBorder="1" applyAlignment="1" applyProtection="1">
      <alignment horizontal="left"/>
      <protection locked="0"/>
    </xf>
    <xf numFmtId="0" fontId="0" fillId="40" borderId="0" xfId="0" applyFill="1" applyBorder="1" applyAlignment="1" applyProtection="1">
      <protection locked="0"/>
    </xf>
    <xf numFmtId="14" fontId="0" fillId="40" borderId="0" xfId="0" applyNumberFormat="1" applyFill="1" applyBorder="1" applyAlignment="1" applyProtection="1">
      <protection locked="0"/>
    </xf>
    <xf numFmtId="0" fontId="31" fillId="40" borderId="0" xfId="0" applyFont="1" applyFill="1" applyBorder="1" applyAlignment="1" applyProtection="1">
      <protection locked="0"/>
    </xf>
    <xf numFmtId="0" fontId="0" fillId="40" borderId="0" xfId="0" applyFill="1" applyAlignment="1" applyProtection="1">
      <protection locked="0"/>
    </xf>
    <xf numFmtId="0" fontId="70" fillId="40" borderId="0" xfId="0" applyFont="1" applyFill="1" applyAlignment="1">
      <alignment horizontal="center" vertical="center" wrapText="1"/>
    </xf>
    <xf numFmtId="0" fontId="71" fillId="40" borderId="0" xfId="0" applyFont="1" applyFill="1" applyAlignment="1">
      <alignment horizontal="center" vertical="center" wrapText="1"/>
    </xf>
    <xf numFmtId="0" fontId="71" fillId="40" borderId="0" xfId="0" applyFont="1" applyFill="1" applyAlignment="1">
      <alignment horizontal="center" vertical="center"/>
    </xf>
    <xf numFmtId="0" fontId="70" fillId="40" borderId="0" xfId="0" applyFont="1" applyFill="1" applyAlignment="1">
      <alignment horizontal="center" vertical="center"/>
    </xf>
    <xf numFmtId="3" fontId="31" fillId="0" borderId="0" xfId="44" applyNumberFormat="1"/>
    <xf numFmtId="0" fontId="74" fillId="0" borderId="0" xfId="0" applyFont="1"/>
    <xf numFmtId="0" fontId="73" fillId="0" borderId="0" xfId="0" applyFont="1" applyFill="1" applyAlignment="1">
      <alignment horizontal="left"/>
    </xf>
    <xf numFmtId="0" fontId="0" fillId="0" borderId="0" xfId="0" applyFont="1" applyAlignment="1">
      <alignment horizontal="left" indent="2"/>
    </xf>
    <xf numFmtId="0" fontId="74" fillId="0" borderId="0" xfId="0" applyFont="1" applyAlignment="1">
      <alignment horizontal="left" indent="2"/>
    </xf>
    <xf numFmtId="0" fontId="16" fillId="42" borderId="0" xfId="0" applyFont="1" applyFill="1"/>
    <xf numFmtId="165" fontId="0" fillId="42" borderId="0" xfId="1" applyNumberFormat="1" applyFont="1" applyFill="1"/>
    <xf numFmtId="0" fontId="16" fillId="55" borderId="0" xfId="0" applyFont="1" applyFill="1"/>
    <xf numFmtId="0" fontId="0" fillId="55" borderId="0" xfId="0" applyFill="1"/>
    <xf numFmtId="165" fontId="0" fillId="55" borderId="0" xfId="1" applyNumberFormat="1" applyFont="1" applyFill="1"/>
    <xf numFmtId="164" fontId="0" fillId="55" borderId="0" xfId="1" applyNumberFormat="1" applyFont="1" applyFill="1"/>
    <xf numFmtId="0" fontId="0" fillId="33" borderId="0" xfId="0" applyFont="1" applyFill="1"/>
    <xf numFmtId="0" fontId="0" fillId="42" borderId="0" xfId="0" applyFont="1" applyFill="1"/>
    <xf numFmtId="3" fontId="0" fillId="0" borderId="0" xfId="0" applyNumberFormat="1" applyFont="1"/>
    <xf numFmtId="0" fontId="0" fillId="55" borderId="0" xfId="0" applyFont="1" applyFill="1"/>
    <xf numFmtId="3" fontId="0" fillId="0" borderId="0" xfId="0" applyNumberFormat="1" applyFont="1" applyFill="1" applyBorder="1"/>
    <xf numFmtId="0" fontId="0" fillId="41" borderId="0" xfId="0" applyFont="1" applyFill="1"/>
    <xf numFmtId="0" fontId="0" fillId="0" borderId="0" xfId="0" applyFont="1" applyFill="1"/>
    <xf numFmtId="0" fontId="16" fillId="56" borderId="0" xfId="0" applyFont="1" applyFill="1"/>
    <xf numFmtId="0" fontId="0" fillId="56" borderId="0" xfId="0" applyFont="1" applyFill="1"/>
    <xf numFmtId="165" fontId="0" fillId="56" borderId="0" xfId="1" applyNumberFormat="1" applyFont="1" applyFill="1"/>
    <xf numFmtId="0" fontId="16" fillId="57" borderId="0" xfId="0" applyFont="1" applyFill="1"/>
    <xf numFmtId="0" fontId="0" fillId="57" borderId="0" xfId="0" applyFont="1" applyFill="1"/>
    <xf numFmtId="165" fontId="0" fillId="57" borderId="0" xfId="1" applyNumberFormat="1" applyFont="1" applyFill="1"/>
    <xf numFmtId="167" fontId="0" fillId="0" borderId="0" xfId="0" applyNumberFormat="1" applyFont="1"/>
    <xf numFmtId="43" fontId="0" fillId="41" borderId="0" xfId="1" applyFont="1" applyFill="1"/>
    <xf numFmtId="3" fontId="0" fillId="41" borderId="0" xfId="0" applyNumberFormat="1" applyFont="1" applyFill="1"/>
    <xf numFmtId="0" fontId="0" fillId="57" borderId="0" xfId="0" applyFill="1"/>
    <xf numFmtId="0" fontId="0" fillId="56" borderId="0" xfId="0" applyFill="1"/>
    <xf numFmtId="0" fontId="16" fillId="58" borderId="0" xfId="0" applyFont="1" applyFill="1"/>
    <xf numFmtId="0" fontId="0" fillId="58" borderId="0" xfId="0" applyFill="1"/>
    <xf numFmtId="0" fontId="16" fillId="59" borderId="0" xfId="0" applyFont="1" applyFill="1"/>
    <xf numFmtId="0" fontId="0" fillId="59" borderId="0" xfId="0" applyFill="1"/>
    <xf numFmtId="165" fontId="0" fillId="59" borderId="0" xfId="1" applyNumberFormat="1" applyFont="1" applyFill="1"/>
    <xf numFmtId="0" fontId="0" fillId="0" borderId="0" xfId="0" applyFont="1" applyAlignment="1">
      <alignment horizontal="left"/>
    </xf>
    <xf numFmtId="0" fontId="0" fillId="0" borderId="0" xfId="0" applyFont="1" applyAlignment="1">
      <alignment wrapText="1"/>
    </xf>
    <xf numFmtId="0" fontId="0" fillId="0" borderId="0" xfId="0" quotePrefix="1" applyFont="1"/>
    <xf numFmtId="0" fontId="20" fillId="0" borderId="13" xfId="0" applyFont="1" applyFill="1" applyBorder="1" applyAlignment="1">
      <alignment wrapText="1"/>
    </xf>
    <xf numFmtId="0" fontId="70" fillId="40" borderId="0" xfId="0" applyNumberFormat="1" applyFont="1" applyFill="1" applyAlignment="1">
      <alignment horizontal="center" vertical="center" wrapText="1"/>
    </xf>
    <xf numFmtId="0" fontId="74" fillId="0" borderId="0" xfId="0" applyFont="1" applyAlignment="1">
      <alignment horizontal="left" indent="1"/>
    </xf>
    <xf numFmtId="2" fontId="0" fillId="0" borderId="0" xfId="0" applyNumberFormat="1" applyFont="1" applyFill="1"/>
    <xf numFmtId="2" fontId="0" fillId="0" borderId="0" xfId="0" applyNumberFormat="1" applyFill="1"/>
    <xf numFmtId="0" fontId="0" fillId="0" borderId="0" xfId="0" applyFont="1" applyFill="1" applyAlignment="1">
      <alignment horizontal="center"/>
    </xf>
    <xf numFmtId="0" fontId="75" fillId="0" borderId="0" xfId="0" applyFont="1" applyAlignment="1">
      <alignment horizontal="left" indent="2"/>
    </xf>
    <xf numFmtId="0" fontId="76" fillId="0" borderId="0" xfId="0" applyFont="1" applyAlignment="1">
      <alignment horizontal="left"/>
    </xf>
    <xf numFmtId="0" fontId="75" fillId="0" borderId="0" xfId="0" applyFont="1" applyAlignment="1">
      <alignment horizontal="left" indent="1"/>
    </xf>
    <xf numFmtId="0" fontId="80" fillId="39" borderId="79" xfId="0" applyFont="1" applyFill="1" applyBorder="1"/>
    <xf numFmtId="0" fontId="33" fillId="62" borderId="79" xfId="0" applyFont="1" applyFill="1" applyBorder="1"/>
    <xf numFmtId="0" fontId="79" fillId="0" borderId="79" xfId="0" applyFont="1" applyBorder="1" applyAlignment="1">
      <alignment horizontal="center"/>
    </xf>
    <xf numFmtId="0" fontId="33" fillId="60" borderId="79" xfId="0" applyFont="1" applyFill="1" applyBorder="1"/>
    <xf numFmtId="38" fontId="0" fillId="33" borderId="79" xfId="0" applyNumberFormat="1" applyFill="1" applyBorder="1"/>
    <xf numFmtId="38" fontId="0" fillId="33" borderId="61" xfId="0" applyNumberFormat="1" applyFill="1" applyBorder="1"/>
    <xf numFmtId="0" fontId="0" fillId="0" borderId="0" xfId="0" applyBorder="1"/>
    <xf numFmtId="0" fontId="33" fillId="0" borderId="0" xfId="0" applyFont="1" applyAlignment="1">
      <alignment vertical="center"/>
    </xf>
    <xf numFmtId="0" fontId="33" fillId="61" borderId="79" xfId="0" applyFont="1" applyFill="1" applyBorder="1"/>
    <xf numFmtId="0" fontId="33" fillId="63" borderId="79" xfId="0" applyFont="1" applyFill="1" applyBorder="1"/>
    <xf numFmtId="0" fontId="33" fillId="36" borderId="79" xfId="0" applyFont="1" applyFill="1" applyBorder="1"/>
    <xf numFmtId="0" fontId="0" fillId="65" borderId="0" xfId="0" applyFill="1"/>
    <xf numFmtId="165" fontId="0" fillId="65" borderId="0" xfId="1" applyNumberFormat="1" applyFont="1" applyFill="1"/>
    <xf numFmtId="0" fontId="16" fillId="65" borderId="0" xfId="0" applyFont="1" applyFill="1"/>
    <xf numFmtId="165" fontId="0" fillId="65" borderId="0" xfId="0" applyNumberFormat="1" applyFill="1"/>
    <xf numFmtId="0" fontId="0" fillId="0" borderId="18" xfId="0" applyBorder="1" applyAlignment="1">
      <alignment horizontal="center"/>
    </xf>
    <xf numFmtId="0" fontId="83" fillId="0" borderId="18" xfId="0" applyFont="1" applyBorder="1" applyAlignment="1">
      <alignment wrapText="1"/>
    </xf>
    <xf numFmtId="0" fontId="83" fillId="0" borderId="18" xfId="0" applyFont="1" applyFill="1" applyBorder="1" applyAlignment="1">
      <alignment wrapText="1"/>
    </xf>
    <xf numFmtId="0" fontId="16" fillId="0" borderId="18" xfId="0" applyFont="1" applyBorder="1" applyAlignment="1">
      <alignment wrapText="1"/>
    </xf>
    <xf numFmtId="0" fontId="0" fillId="0" borderId="18" xfId="0" applyFill="1" applyBorder="1" applyAlignment="1">
      <alignment wrapText="1"/>
    </xf>
    <xf numFmtId="0" fontId="0" fillId="55" borderId="18" xfId="0" applyFill="1" applyBorder="1" applyAlignment="1">
      <alignment horizontal="center"/>
    </xf>
    <xf numFmtId="0" fontId="0" fillId="55" borderId="18" xfId="0" applyFill="1" applyBorder="1" applyAlignment="1">
      <alignment wrapText="1"/>
    </xf>
    <xf numFmtId="0" fontId="0" fillId="0" borderId="18" xfId="0" applyBorder="1" applyAlignment="1">
      <alignment horizontal="left" wrapText="1"/>
    </xf>
    <xf numFmtId="0" fontId="0" fillId="0" borderId="18" xfId="0" applyBorder="1" applyAlignment="1">
      <alignment wrapText="1"/>
    </xf>
    <xf numFmtId="0" fontId="16" fillId="0" borderId="18" xfId="0" applyFont="1" applyFill="1" applyBorder="1" applyAlignment="1">
      <alignment wrapText="1"/>
    </xf>
    <xf numFmtId="0" fontId="0" fillId="41" borderId="18" xfId="0" applyFill="1" applyBorder="1" applyAlignment="1">
      <alignment horizontal="center"/>
    </xf>
    <xf numFmtId="0" fontId="0" fillId="41" borderId="18" xfId="0" applyFill="1" applyBorder="1" applyAlignment="1">
      <alignment wrapText="1"/>
    </xf>
    <xf numFmtId="0" fontId="0" fillId="57" borderId="18" xfId="0" applyFill="1" applyBorder="1" applyAlignment="1">
      <alignment horizontal="center"/>
    </xf>
    <xf numFmtId="0" fontId="0" fillId="57" borderId="18" xfId="0" applyFill="1" applyBorder="1" applyAlignment="1">
      <alignment wrapText="1"/>
    </xf>
    <xf numFmtId="0" fontId="85" fillId="0" borderId="0" xfId="0" applyFont="1"/>
    <xf numFmtId="1" fontId="0" fillId="0" borderId="0" xfId="0" applyNumberFormat="1" applyFont="1"/>
    <xf numFmtId="0" fontId="86" fillId="0" borderId="0" xfId="0" applyFont="1"/>
    <xf numFmtId="0" fontId="87" fillId="0" borderId="0" xfId="0" applyFont="1"/>
    <xf numFmtId="1" fontId="88" fillId="0" borderId="0" xfId="0" applyNumberFormat="1" applyFont="1"/>
    <xf numFmtId="0" fontId="84" fillId="58" borderId="0" xfId="0" applyFont="1" applyFill="1"/>
    <xf numFmtId="0" fontId="0" fillId="58" borderId="0" xfId="0" applyFont="1" applyFill="1"/>
    <xf numFmtId="0" fontId="33" fillId="62" borderId="0" xfId="0" applyFont="1" applyFill="1" applyBorder="1"/>
    <xf numFmtId="0" fontId="33" fillId="64" borderId="79" xfId="0" applyFont="1" applyFill="1" applyBorder="1" applyAlignment="1">
      <alignment horizontal="left" indent="2"/>
    </xf>
    <xf numFmtId="0" fontId="33" fillId="68" borderId="79" xfId="0" applyFont="1" applyFill="1" applyBorder="1"/>
    <xf numFmtId="0" fontId="33" fillId="66" borderId="79" xfId="0" applyFont="1" applyFill="1" applyBorder="1"/>
    <xf numFmtId="0" fontId="33" fillId="70" borderId="79" xfId="0" applyFont="1" applyFill="1" applyBorder="1"/>
    <xf numFmtId="0" fontId="33" fillId="71" borderId="79" xfId="0" applyFont="1" applyFill="1" applyBorder="1"/>
    <xf numFmtId="0" fontId="33" fillId="72" borderId="79" xfId="0" applyFont="1" applyFill="1" applyBorder="1"/>
    <xf numFmtId="0" fontId="33" fillId="74" borderId="79" xfId="0" applyFont="1" applyFill="1" applyBorder="1" applyAlignment="1">
      <alignment horizontal="left" indent="2"/>
    </xf>
    <xf numFmtId="0" fontId="33" fillId="69" borderId="79" xfId="0" applyFont="1" applyFill="1" applyBorder="1" applyAlignment="1">
      <alignment horizontal="left" indent="2"/>
    </xf>
    <xf numFmtId="0" fontId="33" fillId="75" borderId="79" xfId="0" applyFont="1" applyFill="1" applyBorder="1"/>
    <xf numFmtId="0" fontId="33" fillId="76" borderId="79" xfId="0" applyFont="1" applyFill="1" applyBorder="1"/>
    <xf numFmtId="0" fontId="80" fillId="36" borderId="79" xfId="0" applyFont="1" applyFill="1" applyBorder="1"/>
    <xf numFmtId="38" fontId="81" fillId="36" borderId="61" xfId="0" applyNumberFormat="1" applyFont="1" applyFill="1" applyBorder="1"/>
    <xf numFmtId="38" fontId="81" fillId="36" borderId="79" xfId="0" applyNumberFormat="1" applyFont="1" applyFill="1" applyBorder="1"/>
    <xf numFmtId="38" fontId="0" fillId="36" borderId="61" xfId="0" applyNumberFormat="1" applyFill="1" applyBorder="1"/>
    <xf numFmtId="0" fontId="33" fillId="36" borderId="81" xfId="0" applyFont="1" applyFill="1" applyBorder="1"/>
    <xf numFmtId="38" fontId="81" fillId="36" borderId="78" xfId="0" applyNumberFormat="1" applyFont="1" applyFill="1" applyBorder="1"/>
    <xf numFmtId="0" fontId="33" fillId="36" borderId="77" xfId="0" applyFont="1" applyFill="1" applyBorder="1"/>
    <xf numFmtId="9" fontId="75" fillId="36" borderId="80" xfId="111" applyFont="1" applyFill="1" applyBorder="1"/>
    <xf numFmtId="0" fontId="33" fillId="78" borderId="79" xfId="0" applyFont="1" applyFill="1" applyBorder="1"/>
    <xf numFmtId="0" fontId="77" fillId="73" borderId="29" xfId="0" applyFont="1" applyFill="1" applyBorder="1" applyAlignment="1">
      <alignment horizontal="right"/>
    </xf>
    <xf numFmtId="0" fontId="33" fillId="77" borderId="79" xfId="0" applyFont="1" applyFill="1" applyBorder="1" applyAlignment="1">
      <alignment horizontal="left" indent="2"/>
    </xf>
    <xf numFmtId="0" fontId="33" fillId="79" borderId="79" xfId="0" applyFont="1" applyFill="1" applyBorder="1" applyAlignment="1">
      <alignment horizontal="left" indent="2"/>
    </xf>
    <xf numFmtId="0" fontId="16" fillId="42" borderId="0" xfId="0" applyFont="1" applyFill="1" applyAlignment="1">
      <alignment horizontal="left"/>
    </xf>
    <xf numFmtId="0" fontId="16" fillId="43" borderId="0" xfId="0" applyFont="1" applyFill="1"/>
    <xf numFmtId="0" fontId="0" fillId="61" borderId="0" xfId="0" applyFill="1"/>
    <xf numFmtId="0" fontId="0" fillId="67" borderId="0" xfId="0" applyFill="1" applyBorder="1"/>
    <xf numFmtId="0" fontId="0" fillId="42" borderId="0" xfId="0" applyFill="1" applyBorder="1"/>
    <xf numFmtId="0" fontId="0" fillId="55" borderId="0" xfId="0" applyFill="1" applyBorder="1"/>
    <xf numFmtId="0" fontId="0" fillId="62" borderId="0" xfId="0" applyFill="1" applyBorder="1"/>
    <xf numFmtId="0" fontId="0" fillId="62" borderId="52" xfId="0" applyFill="1" applyBorder="1"/>
    <xf numFmtId="0" fontId="0" fillId="62" borderId="60" xfId="0" applyFill="1" applyBorder="1"/>
    <xf numFmtId="0" fontId="0" fillId="55" borderId="61" xfId="0" applyFill="1" applyBorder="1"/>
    <xf numFmtId="0" fontId="92" fillId="62" borderId="81" xfId="0" applyFont="1" applyFill="1" applyBorder="1" applyAlignment="1">
      <alignment horizontal="center"/>
    </xf>
    <xf numFmtId="0" fontId="16" fillId="55" borderId="45" xfId="0" applyFont="1" applyFill="1" applyBorder="1"/>
    <xf numFmtId="0" fontId="16" fillId="55" borderId="45" xfId="0" applyFont="1" applyFill="1" applyBorder="1" applyAlignment="1">
      <alignment horizontal="left" indent="2"/>
    </xf>
    <xf numFmtId="0" fontId="19" fillId="73" borderId="29" xfId="0" applyFont="1" applyFill="1" applyBorder="1" applyAlignment="1">
      <alignment horizontal="right"/>
    </xf>
    <xf numFmtId="14" fontId="19" fillId="73" borderId="29" xfId="0" applyNumberFormat="1" applyFont="1" applyFill="1" applyBorder="1"/>
    <xf numFmtId="1" fontId="19" fillId="73" borderId="29" xfId="0" applyNumberFormat="1" applyFont="1" applyFill="1" applyBorder="1"/>
    <xf numFmtId="2" fontId="19" fillId="73" borderId="29" xfId="0" applyNumberFormat="1" applyFont="1" applyFill="1" applyBorder="1"/>
    <xf numFmtId="0" fontId="16" fillId="42" borderId="45" xfId="0" applyFont="1" applyFill="1" applyBorder="1"/>
    <xf numFmtId="0" fontId="0" fillId="42" borderId="61" xfId="0" applyFill="1" applyBorder="1"/>
    <xf numFmtId="0" fontId="16" fillId="67" borderId="45" xfId="0" applyFont="1" applyFill="1" applyBorder="1"/>
    <xf numFmtId="0" fontId="0" fillId="67" borderId="61" xfId="0" applyFill="1" applyBorder="1"/>
    <xf numFmtId="0" fontId="16" fillId="67" borderId="77" xfId="0" applyFont="1" applyFill="1" applyBorder="1"/>
    <xf numFmtId="0" fontId="0" fillId="67" borderId="63" xfId="0" applyFill="1" applyBorder="1"/>
    <xf numFmtId="0" fontId="0" fillId="67" borderId="64" xfId="0" applyFill="1" applyBorder="1"/>
    <xf numFmtId="0" fontId="0" fillId="62" borderId="79" xfId="0" applyFill="1" applyBorder="1"/>
    <xf numFmtId="0" fontId="79" fillId="62" borderId="78" xfId="0" applyFont="1" applyFill="1" applyBorder="1" applyAlignment="1">
      <alignment horizontal="center"/>
    </xf>
    <xf numFmtId="0" fontId="0" fillId="62" borderId="61" xfId="0" applyFill="1" applyBorder="1"/>
    <xf numFmtId="38" fontId="0" fillId="62" borderId="61" xfId="0" applyNumberFormat="1" applyFill="1" applyBorder="1"/>
    <xf numFmtId="38" fontId="0" fillId="62" borderId="79" xfId="0" applyNumberFormat="1" applyFill="1" applyBorder="1"/>
    <xf numFmtId="38" fontId="81" fillId="62" borderId="61" xfId="0" applyNumberFormat="1" applyFont="1" applyFill="1" applyBorder="1"/>
    <xf numFmtId="38" fontId="81" fillId="62" borderId="79" xfId="0" applyNumberFormat="1" applyFont="1" applyFill="1" applyBorder="1"/>
    <xf numFmtId="38" fontId="0" fillId="62" borderId="61" xfId="1" applyNumberFormat="1" applyFont="1" applyFill="1" applyBorder="1"/>
    <xf numFmtId="38" fontId="0" fillId="62" borderId="79" xfId="1" applyNumberFormat="1" applyFont="1" applyFill="1" applyBorder="1"/>
    <xf numFmtId="0" fontId="0" fillId="62" borderId="39" xfId="0" applyFill="1" applyBorder="1"/>
    <xf numFmtId="0" fontId="0" fillId="62" borderId="33" xfId="0" applyFill="1" applyBorder="1"/>
    <xf numFmtId="0" fontId="33" fillId="36" borderId="82" xfId="0" applyFont="1" applyFill="1" applyBorder="1"/>
    <xf numFmtId="0" fontId="33" fillId="36" borderId="83" xfId="0" applyFont="1" applyFill="1" applyBorder="1"/>
    <xf numFmtId="0" fontId="33" fillId="36" borderId="49" xfId="0" applyFont="1" applyFill="1" applyBorder="1"/>
    <xf numFmtId="0" fontId="77" fillId="60" borderId="84" xfId="0" applyFont="1" applyFill="1" applyBorder="1"/>
    <xf numFmtId="0" fontId="0" fillId="62" borderId="46" xfId="0" applyFill="1" applyBorder="1"/>
    <xf numFmtId="0" fontId="0" fillId="33" borderId="85" xfId="0" applyFill="1" applyBorder="1"/>
    <xf numFmtId="1" fontId="0" fillId="33" borderId="85" xfId="0" applyNumberFormat="1" applyFill="1" applyBorder="1"/>
    <xf numFmtId="38" fontId="81" fillId="36" borderId="0" xfId="0" applyNumberFormat="1" applyFont="1" applyFill="1" applyBorder="1"/>
    <xf numFmtId="38" fontId="81" fillId="62" borderId="0" xfId="0" applyNumberFormat="1" applyFont="1" applyFill="1" applyBorder="1"/>
    <xf numFmtId="10" fontId="81" fillId="62" borderId="0" xfId="111" applyNumberFormat="1" applyFont="1" applyFill="1" applyBorder="1"/>
    <xf numFmtId="38" fontId="0" fillId="62" borderId="0" xfId="0" applyNumberFormat="1" applyFill="1" applyBorder="1"/>
    <xf numFmtId="3" fontId="0" fillId="33" borderId="85" xfId="0" applyNumberFormat="1" applyFill="1" applyBorder="1"/>
    <xf numFmtId="38" fontId="0" fillId="33" borderId="0" xfId="0" applyNumberFormat="1" applyFill="1" applyBorder="1"/>
    <xf numFmtId="0" fontId="0" fillId="62" borderId="85" xfId="0" applyFill="1" applyBorder="1"/>
    <xf numFmtId="0" fontId="0" fillId="62" borderId="0" xfId="0" applyNumberFormat="1" applyFill="1" applyBorder="1"/>
    <xf numFmtId="0" fontId="0" fillId="62" borderId="0" xfId="0" applyFill="1" applyBorder="1" applyAlignment="1">
      <alignment horizontal="left" indent="1"/>
    </xf>
    <xf numFmtId="0" fontId="16" fillId="62" borderId="0" xfId="0" applyFont="1" applyFill="1" applyBorder="1"/>
    <xf numFmtId="0" fontId="0" fillId="62" borderId="54" xfId="0" applyFill="1" applyBorder="1"/>
    <xf numFmtId="0" fontId="0" fillId="62" borderId="86" xfId="0" applyFill="1" applyBorder="1"/>
    <xf numFmtId="0" fontId="0" fillId="62" borderId="87" xfId="0" applyFill="1" applyBorder="1"/>
    <xf numFmtId="0" fontId="93" fillId="65" borderId="24" xfId="0" applyFont="1" applyFill="1" applyBorder="1" applyAlignment="1">
      <alignment horizontal="right"/>
    </xf>
    <xf numFmtId="0" fontId="93" fillId="65" borderId="42" xfId="0" applyFont="1" applyFill="1" applyBorder="1"/>
    <xf numFmtId="0" fontId="93" fillId="65" borderId="42" xfId="0" applyFont="1" applyFill="1" applyBorder="1" applyAlignment="1">
      <alignment horizontal="left"/>
    </xf>
    <xf numFmtId="0" fontId="93" fillId="65" borderId="43" xfId="0" applyFont="1" applyFill="1" applyBorder="1"/>
    <xf numFmtId="0" fontId="0" fillId="67" borderId="79" xfId="0" applyFill="1" applyBorder="1"/>
    <xf numFmtId="38" fontId="0" fillId="67" borderId="61" xfId="0" applyNumberFormat="1" applyFill="1" applyBorder="1"/>
    <xf numFmtId="38" fontId="81" fillId="67" borderId="79" xfId="0" applyNumberFormat="1" applyFont="1" applyFill="1" applyBorder="1"/>
    <xf numFmtId="38" fontId="0" fillId="67" borderId="79" xfId="0" applyNumberFormat="1" applyFill="1" applyBorder="1"/>
    <xf numFmtId="38" fontId="0" fillId="67" borderId="61" xfId="1" applyNumberFormat="1" applyFont="1" applyFill="1" applyBorder="1"/>
    <xf numFmtId="0" fontId="0" fillId="67" borderId="78" xfId="0" applyFill="1" applyBorder="1"/>
    <xf numFmtId="0" fontId="0" fillId="67" borderId="80" xfId="0" applyFill="1" applyBorder="1"/>
    <xf numFmtId="0" fontId="16" fillId="67" borderId="0" xfId="0" applyFont="1" applyFill="1"/>
    <xf numFmtId="0" fontId="0" fillId="67" borderId="0" xfId="0" applyFont="1" applyFill="1"/>
    <xf numFmtId="165" fontId="0" fillId="67" borderId="0" xfId="1" applyNumberFormat="1" applyFont="1" applyFill="1"/>
    <xf numFmtId="0" fontId="0" fillId="0" borderId="0" xfId="1" applyNumberFormat="1" applyFont="1" applyAlignment="1">
      <alignment horizontal="left" indent="1"/>
    </xf>
    <xf numFmtId="0" fontId="80" fillId="62" borderId="79" xfId="0" applyFont="1" applyFill="1" applyBorder="1"/>
    <xf numFmtId="0" fontId="33" fillId="80" borderId="79" xfId="0" applyFont="1" applyFill="1" applyBorder="1" applyAlignment="1">
      <alignment horizontal="left" indent="2"/>
    </xf>
    <xf numFmtId="0" fontId="33" fillId="81" borderId="79" xfId="0" applyFont="1" applyFill="1" applyBorder="1" applyAlignment="1">
      <alignment horizontal="left" indent="2"/>
    </xf>
    <xf numFmtId="0" fontId="91" fillId="0" borderId="0" xfId="0" applyFont="1" applyFill="1" applyAlignment="1">
      <alignment horizontal="right"/>
    </xf>
    <xf numFmtId="0" fontId="0" fillId="82" borderId="0" xfId="0" applyFont="1" applyFill="1"/>
    <xf numFmtId="0" fontId="0" fillId="82" borderId="0" xfId="0" applyFill="1" applyAlignment="1">
      <alignment horizontal="right"/>
    </xf>
    <xf numFmtId="165" fontId="0" fillId="82" borderId="0" xfId="1" applyNumberFormat="1" applyFont="1" applyFill="1"/>
    <xf numFmtId="0" fontId="0" fillId="82" borderId="0" xfId="0" applyFill="1"/>
    <xf numFmtId="0" fontId="0" fillId="0" borderId="79" xfId="0" applyFont="1" applyFill="1" applyBorder="1"/>
    <xf numFmtId="0" fontId="0" fillId="0" borderId="80" xfId="0" applyFont="1" applyFill="1" applyBorder="1"/>
    <xf numFmtId="0" fontId="0" fillId="0" borderId="79" xfId="0" applyFont="1" applyBorder="1"/>
    <xf numFmtId="0" fontId="0" fillId="0" borderId="80" xfId="0" applyFont="1" applyBorder="1"/>
    <xf numFmtId="0" fontId="16" fillId="0" borderId="29" xfId="0" applyFont="1" applyFill="1" applyBorder="1"/>
    <xf numFmtId="0" fontId="16" fillId="0" borderId="29" xfId="0" applyFont="1" applyBorder="1"/>
    <xf numFmtId="0" fontId="0" fillId="0" borderId="79" xfId="0" applyFont="1" applyBorder="1" applyAlignment="1">
      <alignment wrapText="1"/>
    </xf>
    <xf numFmtId="0" fontId="0" fillId="0" borderId="80" xfId="0" applyFont="1" applyBorder="1" applyAlignment="1">
      <alignment wrapText="1"/>
    </xf>
    <xf numFmtId="14" fontId="0" fillId="0" borderId="79" xfId="0" applyNumberFormat="1" applyFont="1" applyBorder="1" applyAlignment="1"/>
    <xf numFmtId="0" fontId="0" fillId="0" borderId="79" xfId="0" applyFont="1" applyBorder="1" applyAlignment="1"/>
    <xf numFmtId="0" fontId="0" fillId="0" borderId="80" xfId="0" applyFont="1" applyBorder="1" applyAlignment="1"/>
    <xf numFmtId="0" fontId="0" fillId="62" borderId="81" xfId="0" applyFill="1" applyBorder="1"/>
    <xf numFmtId="0" fontId="16" fillId="62" borderId="52" xfId="0" applyFont="1" applyFill="1" applyBorder="1"/>
    <xf numFmtId="0" fontId="0" fillId="62" borderId="45" xfId="0" applyFill="1" applyBorder="1"/>
    <xf numFmtId="17" fontId="16" fillId="62" borderId="0" xfId="0" quotePrefix="1" applyNumberFormat="1" applyFont="1" applyFill="1" applyBorder="1"/>
    <xf numFmtId="0" fontId="0" fillId="62" borderId="0" xfId="0" applyFill="1" applyBorder="1" applyAlignment="1">
      <alignment wrapText="1"/>
    </xf>
    <xf numFmtId="14" fontId="19" fillId="73" borderId="29" xfId="0" applyNumberFormat="1" applyFont="1" applyFill="1" applyBorder="1" applyAlignment="1">
      <alignment wrapText="1"/>
    </xf>
    <xf numFmtId="0" fontId="0" fillId="62" borderId="77" xfId="0" applyFill="1" applyBorder="1"/>
    <xf numFmtId="0" fontId="0" fillId="62" borderId="63" xfId="0" applyFill="1" applyBorder="1" applyAlignment="1">
      <alignment wrapText="1"/>
    </xf>
    <xf numFmtId="0" fontId="0" fillId="62" borderId="64" xfId="0" applyFill="1" applyBorder="1"/>
    <xf numFmtId="0" fontId="16" fillId="0" borderId="78" xfId="0" applyFont="1" applyFill="1" applyBorder="1"/>
    <xf numFmtId="0" fontId="16" fillId="0" borderId="78" xfId="0" applyFont="1" applyBorder="1" applyAlignment="1">
      <alignment wrapText="1"/>
    </xf>
    <xf numFmtId="0" fontId="0" fillId="0" borderId="0" xfId="0" applyFont="1" applyBorder="1"/>
    <xf numFmtId="0" fontId="16" fillId="0" borderId="79" xfId="0" applyFont="1" applyFill="1" applyBorder="1"/>
    <xf numFmtId="0" fontId="16" fillId="0" borderId="79" xfId="0" applyFont="1" applyFill="1" applyBorder="1" applyAlignment="1">
      <alignment wrapText="1"/>
    </xf>
    <xf numFmtId="0" fontId="0" fillId="0" borderId="79" xfId="0" applyBorder="1"/>
    <xf numFmtId="0" fontId="0" fillId="0" borderId="80" xfId="0" applyBorder="1"/>
    <xf numFmtId="0" fontId="33" fillId="62" borderId="80" xfId="0" applyFont="1" applyFill="1" applyBorder="1"/>
    <xf numFmtId="38" fontId="0" fillId="62" borderId="64" xfId="0" applyNumberFormat="1" applyFill="1" applyBorder="1"/>
    <xf numFmtId="38" fontId="0" fillId="67" borderId="64" xfId="0" applyNumberFormat="1" applyFill="1" applyBorder="1"/>
    <xf numFmtId="168" fontId="16" fillId="83" borderId="79" xfId="0" applyNumberFormat="1" applyFont="1" applyFill="1" applyBorder="1"/>
    <xf numFmtId="0" fontId="0" fillId="83" borderId="79" xfId="0" applyFill="1" applyBorder="1"/>
    <xf numFmtId="0" fontId="0" fillId="83" borderId="79" xfId="0" applyFill="1" applyBorder="1" applyAlignment="1">
      <alignment horizontal="right"/>
    </xf>
    <xf numFmtId="0" fontId="16" fillId="83" borderId="79" xfId="0" applyFont="1" applyFill="1" applyBorder="1" applyAlignment="1">
      <alignment horizontal="right"/>
    </xf>
    <xf numFmtId="0" fontId="78" fillId="83" borderId="78" xfId="0" applyFont="1" applyFill="1" applyBorder="1" applyAlignment="1">
      <alignment horizontal="center" vertical="center"/>
    </xf>
    <xf numFmtId="0" fontId="16" fillId="62" borderId="0" xfId="0" applyFont="1" applyFill="1" applyBorder="1" applyAlignment="1">
      <alignment horizontal="left"/>
    </xf>
    <xf numFmtId="0" fontId="0" fillId="62" borderId="0" xfId="0" applyFill="1"/>
    <xf numFmtId="14" fontId="31" fillId="0" borderId="18" xfId="44" applyNumberFormat="1" applyFont="1" applyFill="1" applyBorder="1" applyAlignment="1">
      <alignment horizontal="right"/>
    </xf>
    <xf numFmtId="14" fontId="31" fillId="40" borderId="21" xfId="44" applyNumberFormat="1" applyFont="1" applyFill="1" applyBorder="1" applyAlignment="1">
      <alignment horizontal="right"/>
    </xf>
    <xf numFmtId="0" fontId="31" fillId="0" borderId="22" xfId="44" applyFont="1" applyBorder="1" applyAlignment="1">
      <alignment wrapText="1"/>
    </xf>
    <xf numFmtId="167" fontId="0" fillId="79" borderId="0" xfId="0" applyNumberFormat="1" applyFont="1" applyFill="1"/>
    <xf numFmtId="0" fontId="0" fillId="41" borderId="18" xfId="0" applyFill="1" applyBorder="1" applyAlignment="1">
      <alignment horizontal="center" wrapText="1"/>
    </xf>
    <xf numFmtId="0" fontId="0" fillId="57" borderId="18" xfId="0" applyFill="1" applyBorder="1" applyAlignment="1">
      <alignment horizontal="center" wrapText="1"/>
    </xf>
    <xf numFmtId="0" fontId="0" fillId="55" borderId="18" xfId="0" applyFill="1" applyBorder="1" applyAlignment="1">
      <alignment horizontal="center" wrapText="1"/>
    </xf>
    <xf numFmtId="0" fontId="0" fillId="55" borderId="24" xfId="0" applyFill="1" applyBorder="1" applyAlignment="1">
      <alignment horizontal="center" wrapText="1"/>
    </xf>
    <xf numFmtId="0" fontId="0" fillId="55" borderId="42" xfId="0" applyFill="1" applyBorder="1" applyAlignment="1">
      <alignment horizontal="center" wrapText="1"/>
    </xf>
    <xf numFmtId="0" fontId="0" fillId="55" borderId="43" xfId="0" applyFill="1" applyBorder="1" applyAlignment="1">
      <alignment horizontal="center" wrapText="1"/>
    </xf>
    <xf numFmtId="0" fontId="83" fillId="0" borderId="18" xfId="0" applyFont="1" applyBorder="1" applyAlignment="1">
      <alignment horizontal="center" wrapText="1"/>
    </xf>
    <xf numFmtId="0" fontId="21" fillId="35" borderId="0" xfId="0" applyFont="1" applyFill="1" applyAlignment="1">
      <alignment wrapText="1"/>
    </xf>
    <xf numFmtId="0" fontId="22" fillId="35" borderId="0" xfId="0" applyFont="1" applyFill="1" applyAlignment="1">
      <alignment wrapText="1"/>
    </xf>
    <xf numFmtId="0" fontId="23" fillId="35" borderId="0" xfId="0" applyFont="1" applyFill="1" applyAlignment="1">
      <alignment wrapText="1"/>
    </xf>
    <xf numFmtId="0" fontId="24" fillId="35" borderId="0" xfId="0" applyFont="1" applyFill="1" applyAlignment="1">
      <alignment wrapText="1"/>
    </xf>
    <xf numFmtId="0" fontId="25" fillId="36" borderId="0" xfId="0" applyFont="1" applyFill="1" applyAlignment="1">
      <alignment wrapText="1"/>
    </xf>
    <xf numFmtId="0" fontId="20" fillId="35" borderId="0" xfId="0" applyFont="1" applyFill="1" applyAlignment="1">
      <alignment wrapText="1"/>
    </xf>
    <xf numFmtId="0" fontId="26" fillId="35" borderId="0" xfId="0" applyFont="1" applyFill="1" applyAlignment="1">
      <alignment wrapText="1"/>
    </xf>
    <xf numFmtId="0" fontId="27" fillId="35" borderId="0" xfId="0" applyFont="1" applyFill="1" applyAlignment="1">
      <alignment wrapText="1"/>
    </xf>
    <xf numFmtId="0" fontId="30" fillId="38" borderId="10" xfId="0" applyFont="1" applyFill="1" applyBorder="1" applyAlignment="1">
      <alignment wrapText="1"/>
    </xf>
    <xf numFmtId="0" fontId="30" fillId="38" borderId="11" xfId="0" applyFont="1" applyFill="1" applyBorder="1" applyAlignment="1">
      <alignment wrapText="1"/>
    </xf>
    <xf numFmtId="0" fontId="30" fillId="38" borderId="12" xfId="0" applyFont="1" applyFill="1" applyBorder="1" applyAlignment="1">
      <alignment wrapText="1"/>
    </xf>
    <xf numFmtId="43" fontId="32" fillId="44" borderId="30" xfId="0" applyNumberFormat="1" applyFont="1" applyFill="1" applyBorder="1" applyAlignment="1" applyProtection="1">
      <alignment horizontal="center" vertical="center"/>
      <protection locked="0"/>
    </xf>
    <xf numFmtId="0" fontId="32" fillId="44" borderId="25" xfId="0" applyFont="1" applyFill="1" applyBorder="1" applyAlignment="1" applyProtection="1">
      <alignment horizontal="center" vertical="center" wrapText="1"/>
      <protection locked="0"/>
    </xf>
    <xf numFmtId="0" fontId="32" fillId="44" borderId="25" xfId="0" applyFont="1" applyFill="1" applyBorder="1" applyAlignment="1" applyProtection="1">
      <alignment horizontal="center" vertical="center"/>
      <protection locked="0"/>
    </xf>
    <xf numFmtId="0" fontId="32" fillId="44" borderId="26" xfId="0" applyFont="1" applyFill="1" applyBorder="1" applyAlignment="1" applyProtection="1">
      <alignment horizontal="center" vertical="center" wrapText="1"/>
      <protection locked="0"/>
    </xf>
    <xf numFmtId="3" fontId="55" fillId="44" borderId="48" xfId="0" applyNumberFormat="1" applyFont="1" applyFill="1" applyBorder="1" applyAlignment="1">
      <alignment horizontal="right" vertical="center"/>
    </xf>
    <xf numFmtId="3" fontId="55" fillId="44" borderId="49" xfId="0" applyNumberFormat="1" applyFont="1" applyFill="1" applyBorder="1" applyAlignment="1">
      <alignment horizontal="right" vertical="center"/>
    </xf>
    <xf numFmtId="3" fontId="55" fillId="44" borderId="50" xfId="0" applyNumberFormat="1" applyFont="1" applyFill="1" applyBorder="1" applyAlignment="1">
      <alignment horizontal="right" vertical="center"/>
    </xf>
    <xf numFmtId="0" fontId="45" fillId="0" borderId="0" xfId="0" applyFont="1" applyAlignment="1">
      <alignment horizontal="center" vertical="center" wrapText="1"/>
    </xf>
    <xf numFmtId="0" fontId="45" fillId="0" borderId="0" xfId="0" applyFont="1" applyAlignment="1">
      <alignment horizontal="center" vertical="center"/>
    </xf>
    <xf numFmtId="14" fontId="47" fillId="0" borderId="0" xfId="0" applyNumberFormat="1" applyFont="1" applyBorder="1" applyAlignment="1">
      <alignment horizontal="center" vertical="center" wrapText="1"/>
    </xf>
    <xf numFmtId="3" fontId="55" fillId="44" borderId="41" xfId="0" applyNumberFormat="1" applyFont="1" applyFill="1" applyBorder="1" applyAlignment="1">
      <alignment horizontal="right" vertical="center"/>
    </xf>
    <xf numFmtId="3" fontId="55" fillId="44" borderId="42" xfId="0" applyNumberFormat="1" applyFont="1" applyFill="1" applyBorder="1" applyAlignment="1">
      <alignment horizontal="right" vertical="center"/>
    </xf>
    <xf numFmtId="3" fontId="55" fillId="44" borderId="43" xfId="0" applyNumberFormat="1" applyFont="1" applyFill="1" applyBorder="1" applyAlignment="1">
      <alignment horizontal="right" vertical="center"/>
    </xf>
    <xf numFmtId="3" fontId="55" fillId="0" borderId="41" xfId="0" applyNumberFormat="1" applyFont="1" applyFill="1" applyBorder="1" applyAlignment="1">
      <alignment horizontal="right" vertical="center"/>
    </xf>
    <xf numFmtId="3" fontId="55" fillId="0" borderId="42" xfId="0" applyNumberFormat="1" applyFont="1" applyFill="1" applyBorder="1" applyAlignment="1">
      <alignment horizontal="right" vertical="center"/>
    </xf>
    <xf numFmtId="3" fontId="55" fillId="0" borderId="43" xfId="0" applyNumberFormat="1" applyFont="1" applyFill="1" applyBorder="1" applyAlignment="1">
      <alignment horizontal="right" vertical="center"/>
    </xf>
    <xf numFmtId="0" fontId="55" fillId="0" borderId="41" xfId="0" applyNumberFormat="1" applyFont="1" applyFill="1" applyBorder="1" applyAlignment="1">
      <alignment horizontal="right" vertical="center" wrapText="1"/>
    </xf>
    <xf numFmtId="0" fontId="54" fillId="0" borderId="42" xfId="0" applyFont="1" applyBorder="1" applyAlignment="1">
      <alignment horizontal="right" vertical="center" wrapText="1"/>
    </xf>
    <xf numFmtId="0" fontId="54" fillId="0" borderId="43" xfId="0" applyFont="1" applyBorder="1" applyAlignment="1">
      <alignment horizontal="right" vertical="center" wrapText="1"/>
    </xf>
    <xf numFmtId="0" fontId="51" fillId="39" borderId="41" xfId="0" applyNumberFormat="1" applyFont="1" applyFill="1" applyBorder="1" applyAlignment="1">
      <alignment horizontal="right" vertical="center" wrapText="1"/>
    </xf>
    <xf numFmtId="0" fontId="51" fillId="39" borderId="42" xfId="0" applyNumberFormat="1" applyFont="1" applyFill="1" applyBorder="1" applyAlignment="1">
      <alignment horizontal="right" vertical="center" wrapText="1"/>
    </xf>
    <xf numFmtId="0" fontId="51" fillId="39" borderId="43" xfId="0" applyNumberFormat="1" applyFont="1" applyFill="1" applyBorder="1" applyAlignment="1">
      <alignment horizontal="right" vertical="center" wrapText="1"/>
    </xf>
    <xf numFmtId="3" fontId="48" fillId="44" borderId="52" xfId="0" applyNumberFormat="1" applyFont="1" applyFill="1" applyBorder="1" applyAlignment="1">
      <alignment horizontal="right" vertical="center"/>
    </xf>
    <xf numFmtId="0" fontId="48" fillId="39" borderId="42" xfId="0" applyNumberFormat="1" applyFont="1" applyFill="1" applyBorder="1" applyAlignment="1">
      <alignment horizontal="right" vertical="center" wrapText="1"/>
    </xf>
    <xf numFmtId="0" fontId="48" fillId="39" borderId="43" xfId="0" applyNumberFormat="1" applyFont="1" applyFill="1" applyBorder="1" applyAlignment="1">
      <alignment horizontal="right" vertical="center" wrapText="1"/>
    </xf>
    <xf numFmtId="3" fontId="63" fillId="44" borderId="48" xfId="0" applyNumberFormat="1" applyFont="1" applyFill="1" applyBorder="1" applyAlignment="1">
      <alignment horizontal="right" vertical="center"/>
    </xf>
    <xf numFmtId="3" fontId="63" fillId="44" borderId="49" xfId="0" applyNumberFormat="1" applyFont="1" applyFill="1" applyBorder="1" applyAlignment="1">
      <alignment horizontal="right" vertical="center"/>
    </xf>
    <xf numFmtId="3" fontId="63" fillId="44" borderId="50" xfId="0" applyNumberFormat="1" applyFont="1" applyFill="1" applyBorder="1" applyAlignment="1">
      <alignment horizontal="right" vertical="center"/>
    </xf>
    <xf numFmtId="3" fontId="63" fillId="44" borderId="56" xfId="0" applyNumberFormat="1" applyFont="1" applyFill="1" applyBorder="1" applyAlignment="1">
      <alignment horizontal="right" vertical="center"/>
    </xf>
    <xf numFmtId="3" fontId="63" fillId="44" borderId="57" xfId="0" applyNumberFormat="1" applyFont="1" applyFill="1" applyBorder="1" applyAlignment="1">
      <alignment horizontal="right" vertical="center"/>
    </xf>
    <xf numFmtId="3" fontId="63" fillId="44" borderId="58" xfId="0" applyNumberFormat="1" applyFont="1" applyFill="1" applyBorder="1" applyAlignment="1">
      <alignment horizontal="right" vertical="center"/>
    </xf>
    <xf numFmtId="0" fontId="55" fillId="0" borderId="42" xfId="0" applyNumberFormat="1" applyFont="1" applyFill="1" applyBorder="1" applyAlignment="1">
      <alignment horizontal="right" vertical="center" wrapText="1"/>
    </xf>
    <xf numFmtId="0" fontId="55" fillId="0" borderId="43" xfId="0" applyNumberFormat="1" applyFont="1" applyFill="1" applyBorder="1" applyAlignment="1">
      <alignment horizontal="right" vertical="center" wrapText="1"/>
    </xf>
    <xf numFmtId="0" fontId="51" fillId="0" borderId="45" xfId="0" applyFont="1" applyBorder="1" applyAlignment="1">
      <alignment horizontal="left" vertical="center" wrapText="1"/>
    </xf>
    <xf numFmtId="0" fontId="51" fillId="0" borderId="0" xfId="0" applyFont="1" applyBorder="1" applyAlignment="1">
      <alignment horizontal="left" vertical="center" wrapText="1"/>
    </xf>
    <xf numFmtId="0" fontId="51" fillId="0" borderId="61" xfId="0" applyFont="1" applyBorder="1" applyAlignment="1">
      <alignment horizontal="left" vertical="center" wrapText="1"/>
    </xf>
    <xf numFmtId="0" fontId="51" fillId="0" borderId="0" xfId="0" applyFont="1" applyBorder="1" applyAlignment="1">
      <alignment horizontal="left" vertical="center" indent="1"/>
    </xf>
    <xf numFmtId="0" fontId="51" fillId="0" borderId="73" xfId="0" applyFont="1" applyBorder="1" applyAlignment="1">
      <alignment horizontal="left" vertical="center" indent="1"/>
    </xf>
    <xf numFmtId="3" fontId="67" fillId="44" borderId="52" xfId="0" applyNumberFormat="1" applyFont="1" applyFill="1" applyBorder="1" applyAlignment="1">
      <alignment horizontal="right" vertical="center"/>
    </xf>
    <xf numFmtId="3" fontId="63" fillId="44" borderId="0" xfId="0" applyNumberFormat="1" applyFont="1" applyFill="1" applyBorder="1" applyAlignment="1">
      <alignment horizontal="right" vertical="center"/>
    </xf>
    <xf numFmtId="0" fontId="69" fillId="0" borderId="0" xfId="0" applyFont="1" applyAlignment="1">
      <alignment horizontal="right" vertical="center"/>
    </xf>
    <xf numFmtId="3" fontId="48" fillId="44" borderId="0" xfId="0" applyNumberFormat="1" applyFont="1" applyFill="1" applyBorder="1" applyAlignment="1">
      <alignment horizontal="right" vertical="center"/>
    </xf>
    <xf numFmtId="0" fontId="60" fillId="54" borderId="56" xfId="0" applyFont="1" applyFill="1" applyBorder="1" applyAlignment="1">
      <alignment horizontal="center" vertical="center" wrapText="1"/>
    </xf>
    <xf numFmtId="0" fontId="60" fillId="54" borderId="57" xfId="0" applyFont="1" applyFill="1" applyBorder="1" applyAlignment="1">
      <alignment horizontal="center" vertical="center" wrapText="1"/>
    </xf>
    <xf numFmtId="0" fontId="60" fillId="54" borderId="67" xfId="0" applyFont="1" applyFill="1" applyBorder="1" applyAlignment="1">
      <alignment horizontal="center" vertical="center" wrapText="1"/>
    </xf>
    <xf numFmtId="0" fontId="60" fillId="54" borderId="68" xfId="0" applyFont="1" applyFill="1" applyBorder="1" applyAlignment="1">
      <alignment horizontal="center" vertical="center"/>
    </xf>
    <xf numFmtId="0" fontId="60" fillId="54" borderId="69" xfId="0" applyFont="1" applyFill="1" applyBorder="1" applyAlignment="1">
      <alignment horizontal="center" vertical="center"/>
    </xf>
    <xf numFmtId="0" fontId="60" fillId="54" borderId="70" xfId="0" applyFont="1" applyFill="1" applyBorder="1" applyAlignment="1">
      <alignment horizontal="center" vertical="center"/>
    </xf>
    <xf numFmtId="0" fontId="50" fillId="39" borderId="38" xfId="0" applyFont="1" applyFill="1" applyBorder="1" applyAlignment="1">
      <alignment horizontal="left" vertical="center" wrapText="1"/>
    </xf>
    <xf numFmtId="0" fontId="50" fillId="39" borderId="33" xfId="0" applyFont="1" applyFill="1" applyBorder="1" applyAlignment="1">
      <alignment horizontal="left" vertical="center" wrapText="1"/>
    </xf>
    <xf numFmtId="0" fontId="50" fillId="39" borderId="71" xfId="0" applyFont="1" applyFill="1" applyBorder="1" applyAlignment="1">
      <alignment horizontal="left" vertical="center" wrapText="1"/>
    </xf>
    <xf numFmtId="0" fontId="51" fillId="0" borderId="75" xfId="0" applyFont="1" applyBorder="1" applyAlignment="1">
      <alignment horizontal="left" vertical="center" indent="1"/>
    </xf>
    <xf numFmtId="0" fontId="51" fillId="0" borderId="76" xfId="0" applyFont="1" applyBorder="1" applyAlignment="1">
      <alignment horizontal="left" vertical="center" indent="1"/>
    </xf>
    <xf numFmtId="0" fontId="51" fillId="0" borderId="77" xfId="0" applyFont="1" applyBorder="1" applyAlignment="1">
      <alignment horizontal="left" vertical="center" wrapText="1"/>
    </xf>
    <xf numFmtId="0" fontId="51" fillId="0" borderId="63" xfId="0" applyFont="1" applyBorder="1" applyAlignment="1">
      <alignment horizontal="left" vertical="center" wrapText="1"/>
    </xf>
    <xf numFmtId="0" fontId="51" fillId="0" borderId="64" xfId="0" applyFont="1" applyBorder="1" applyAlignment="1">
      <alignment horizontal="left" vertical="center" wrapText="1"/>
    </xf>
    <xf numFmtId="0" fontId="55" fillId="0" borderId="45" xfId="0" applyFont="1" applyBorder="1" applyAlignment="1">
      <alignment horizontal="left" vertical="center" wrapText="1"/>
    </xf>
    <xf numFmtId="0" fontId="55" fillId="0" borderId="0" xfId="0" applyFont="1" applyBorder="1" applyAlignment="1">
      <alignment horizontal="left" vertical="center" wrapText="1"/>
    </xf>
    <xf numFmtId="0" fontId="55" fillId="0" borderId="61" xfId="0" applyFont="1" applyBorder="1" applyAlignment="1">
      <alignment horizontal="left" vertical="center" wrapText="1"/>
    </xf>
  </cellXfs>
  <cellStyles count="112">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5"/>
    <cellStyle name="Explanatory Text" xfId="17" builtinId="53" customBuilti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cellStyle name="Normal 3" xfId="44"/>
    <cellStyle name="Normal 4" xfId="46"/>
    <cellStyle name="Normal 9" xfId="48"/>
    <cellStyle name="Note" xfId="16" builtinId="10" customBuiltin="1"/>
    <cellStyle name="Output" xfId="11" builtinId="21" customBuiltin="1"/>
    <cellStyle name="Percent" xfId="111" builtinId="5"/>
    <cellStyle name="Title" xfId="2" builtinId="15" customBuiltin="1"/>
    <cellStyle name="Total" xfId="18" builtinId="25" customBuiltin="1"/>
    <cellStyle name="Warning Text" xfId="15" builtinId="11" customBuiltin="1"/>
  </cellStyles>
  <dxfs count="4">
    <dxf>
      <font>
        <color theme="0" tint="-0.499984740745262"/>
      </font>
      <fill>
        <patternFill>
          <bgColor theme="0" tint="-4.9989318521683403E-2"/>
        </patternFill>
      </fill>
    </dxf>
    <dxf>
      <font>
        <condense val="0"/>
        <extend val="0"/>
        <color rgb="FF006100"/>
      </font>
      <fill>
        <patternFill>
          <bgColor rgb="FFC6EFCE"/>
        </patternFill>
      </fill>
    </dxf>
    <dxf>
      <fill>
        <patternFill patternType="solid">
          <fgColor rgb="FFFFFF00"/>
          <bgColor rgb="FF000000"/>
        </patternFill>
      </fill>
    </dxf>
    <dxf>
      <font>
        <b/>
        <i val="0"/>
        <strike val="0"/>
        <condense val="0"/>
        <extend val="0"/>
        <outline val="0"/>
        <shadow val="0"/>
        <u val="none"/>
        <vertAlign val="baseline"/>
        <sz val="11"/>
        <color auto="1"/>
        <name val="Verdana"/>
        <scheme val="none"/>
      </font>
    </dxf>
  </dxfs>
  <tableStyles count="0" defaultTableStyle="TableStyleMedium2" defaultPivotStyle="PivotStyleLight16"/>
  <colors>
    <mruColors>
      <color rgb="FFCCFF99"/>
      <color rgb="FF99FFCC"/>
      <color rgb="FF00FFFF"/>
      <color rgb="FF99CCFF"/>
      <color rgb="FFFF7C80"/>
      <color rgb="FFFF6600"/>
      <color rgb="FFFF9900"/>
      <color rgb="FFCC9900"/>
      <color rgb="FF996633"/>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400050</xdr:colOff>
      <xdr:row>5</xdr:row>
      <xdr:rowOff>0</xdr:rowOff>
    </xdr:from>
    <xdr:to>
      <xdr:col>5</xdr:col>
      <xdr:colOff>0</xdr:colOff>
      <xdr:row>6</xdr:row>
      <xdr:rowOff>0</xdr:rowOff>
    </xdr:to>
    <xdr:sp macro="" textlink="">
      <xdr:nvSpPr>
        <xdr:cNvPr id="2" name="TextBox 1"/>
        <xdr:cNvSpPr txBox="1">
          <a:spLocks noChangeArrowheads="1"/>
        </xdr:cNvSpPr>
      </xdr:nvSpPr>
      <xdr:spPr bwMode="auto">
        <a:xfrm>
          <a:off x="6210300" y="1209675"/>
          <a:ext cx="781050" cy="161925"/>
        </a:xfrm>
        <a:prstGeom prst="rect">
          <a:avLst/>
        </a:prstGeom>
        <a:solidFill>
          <a:srgbClr val="CCFFFF"/>
        </a:solidFill>
        <a:ln w="9525">
          <a:solidFill>
            <a:srgbClr val="000000"/>
          </a:solidFill>
          <a:miter lim="800000"/>
          <a:headEnd/>
          <a:tailEnd/>
        </a:ln>
      </xdr:spPr>
    </xdr:sp>
    <xdr:clientData/>
  </xdr:twoCellAnchor>
  <xdr:twoCellAnchor>
    <xdr:from>
      <xdr:col>4</xdr:col>
      <xdr:colOff>400050</xdr:colOff>
      <xdr:row>6</xdr:row>
      <xdr:rowOff>0</xdr:rowOff>
    </xdr:from>
    <xdr:to>
      <xdr:col>5</xdr:col>
      <xdr:colOff>0</xdr:colOff>
      <xdr:row>7</xdr:row>
      <xdr:rowOff>0</xdr:rowOff>
    </xdr:to>
    <xdr:sp macro="" textlink="">
      <xdr:nvSpPr>
        <xdr:cNvPr id="3" name="TextBox 2"/>
        <xdr:cNvSpPr txBox="1">
          <a:spLocks noChangeArrowheads="1"/>
        </xdr:cNvSpPr>
      </xdr:nvSpPr>
      <xdr:spPr bwMode="auto">
        <a:xfrm>
          <a:off x="6210300" y="1371600"/>
          <a:ext cx="781050" cy="161925"/>
        </a:xfrm>
        <a:prstGeom prst="rect">
          <a:avLst/>
        </a:prstGeom>
        <a:solidFill>
          <a:srgbClr val="CC99FF"/>
        </a:solidFill>
        <a:ln w="9525">
          <a:solidFill>
            <a:srgbClr val="000000"/>
          </a:solidFill>
          <a:miter lim="800000"/>
          <a:headEnd/>
          <a:tailEnd/>
        </a:ln>
      </xdr:spPr>
    </xdr:sp>
    <xdr:clientData/>
  </xdr:twoCellAnchor>
  <xdr:twoCellAnchor>
    <xdr:from>
      <xdr:col>4</xdr:col>
      <xdr:colOff>400050</xdr:colOff>
      <xdr:row>7</xdr:row>
      <xdr:rowOff>0</xdr:rowOff>
    </xdr:from>
    <xdr:to>
      <xdr:col>5</xdr:col>
      <xdr:colOff>0</xdr:colOff>
      <xdr:row>8</xdr:row>
      <xdr:rowOff>0</xdr:rowOff>
    </xdr:to>
    <xdr:sp macro="" textlink="">
      <xdr:nvSpPr>
        <xdr:cNvPr id="4" name="TextBox 3"/>
        <xdr:cNvSpPr txBox="1">
          <a:spLocks noChangeArrowheads="1"/>
        </xdr:cNvSpPr>
      </xdr:nvSpPr>
      <xdr:spPr bwMode="auto">
        <a:xfrm>
          <a:off x="6210300" y="1533525"/>
          <a:ext cx="781050" cy="161925"/>
        </a:xfrm>
        <a:prstGeom prst="rect">
          <a:avLst/>
        </a:prstGeom>
        <a:solidFill>
          <a:srgbClr val="FF99CC"/>
        </a:solidFill>
        <a:ln w="9525">
          <a:solidFill>
            <a:srgbClr val="000000"/>
          </a:solidFill>
          <a:miter lim="800000"/>
          <a:headEnd/>
          <a:tailEnd/>
        </a:ln>
      </xdr:spPr>
    </xdr:sp>
    <xdr:clientData/>
  </xdr:twoCellAnchor>
  <xdr:twoCellAnchor>
    <xdr:from>
      <xdr:col>4</xdr:col>
      <xdr:colOff>400050</xdr:colOff>
      <xdr:row>9</xdr:row>
      <xdr:rowOff>0</xdr:rowOff>
    </xdr:from>
    <xdr:to>
      <xdr:col>5</xdr:col>
      <xdr:colOff>0</xdr:colOff>
      <xdr:row>10</xdr:row>
      <xdr:rowOff>0</xdr:rowOff>
    </xdr:to>
    <xdr:sp macro="" textlink="">
      <xdr:nvSpPr>
        <xdr:cNvPr id="5" name="TextBox 3"/>
        <xdr:cNvSpPr txBox="1">
          <a:spLocks noChangeArrowheads="1"/>
        </xdr:cNvSpPr>
      </xdr:nvSpPr>
      <xdr:spPr bwMode="auto">
        <a:xfrm>
          <a:off x="6210300" y="1857375"/>
          <a:ext cx="781050" cy="161925"/>
        </a:xfrm>
        <a:prstGeom prst="rect">
          <a:avLst/>
        </a:prstGeom>
        <a:solidFill>
          <a:srgbClr val="DD0806"/>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cpuc.ca.gov/PUC/energy/Procurement/RA/ra_compliance_material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1:R42"/>
  <sheetViews>
    <sheetView tabSelected="1" workbookViewId="0"/>
  </sheetViews>
  <sheetFormatPr defaultColWidth="8.85546875" defaultRowHeight="15" x14ac:dyDescent="0.25"/>
  <cols>
    <col min="1" max="1" width="4.28515625" style="115" customWidth="1"/>
    <col min="2" max="2" width="13.7109375" style="115" customWidth="1"/>
    <col min="3" max="3" width="69.5703125" style="115" customWidth="1"/>
    <col min="4" max="4" width="12.42578125" style="115" customWidth="1"/>
    <col min="5" max="5" width="21.42578125" style="115" customWidth="1"/>
    <col min="6" max="16384" width="8.85546875" style="115"/>
  </cols>
  <sheetData>
    <row r="1" spans="2:5" ht="15.75" thickBot="1" x14ac:dyDescent="0.3"/>
    <row r="2" spans="2:5" x14ac:dyDescent="0.25">
      <c r="B2" s="655"/>
      <c r="C2" s="656" t="s">
        <v>4939</v>
      </c>
      <c r="D2" s="574"/>
    </row>
    <row r="3" spans="2:5" x14ac:dyDescent="0.25">
      <c r="B3" s="657"/>
      <c r="C3" s="658" t="s">
        <v>4871</v>
      </c>
      <c r="D3" s="592"/>
    </row>
    <row r="4" spans="2:5" ht="150" x14ac:dyDescent="0.25">
      <c r="B4" s="657"/>
      <c r="C4" s="659" t="s">
        <v>4940</v>
      </c>
      <c r="D4" s="592"/>
    </row>
    <row r="5" spans="2:5" ht="45" x14ac:dyDescent="0.25">
      <c r="B5" s="657"/>
      <c r="C5" s="659" t="s">
        <v>4872</v>
      </c>
      <c r="D5" s="592"/>
    </row>
    <row r="6" spans="2:5" ht="135" x14ac:dyDescent="0.25">
      <c r="B6" s="657"/>
      <c r="C6" s="659" t="s">
        <v>4873</v>
      </c>
      <c r="D6" s="592"/>
    </row>
    <row r="7" spans="2:5" ht="60.75" thickBot="1" x14ac:dyDescent="0.3">
      <c r="B7" s="657"/>
      <c r="C7" s="659" t="s">
        <v>4941</v>
      </c>
      <c r="D7" s="592"/>
    </row>
    <row r="8" spans="2:5" ht="45.75" thickBot="1" x14ac:dyDescent="0.3">
      <c r="B8" s="657"/>
      <c r="C8" s="660" t="s">
        <v>4935</v>
      </c>
      <c r="D8" s="592"/>
    </row>
    <row r="9" spans="2:5" ht="30" x14ac:dyDescent="0.25">
      <c r="B9" s="657"/>
      <c r="C9" s="659" t="s">
        <v>4874</v>
      </c>
      <c r="D9" s="592"/>
    </row>
    <row r="10" spans="2:5" ht="15.75" thickBot="1" x14ac:dyDescent="0.3">
      <c r="B10" s="661"/>
      <c r="C10" s="662"/>
      <c r="D10" s="663"/>
    </row>
    <row r="11" spans="2:5" ht="15.75" thickBot="1" x14ac:dyDescent="0.3"/>
    <row r="12" spans="2:5" ht="30" x14ac:dyDescent="0.25">
      <c r="B12" s="664"/>
      <c r="C12" s="665" t="s">
        <v>4875</v>
      </c>
      <c r="D12" s="666"/>
      <c r="E12" s="666"/>
    </row>
    <row r="13" spans="2:5" x14ac:dyDescent="0.25">
      <c r="B13" s="667" t="s">
        <v>4876</v>
      </c>
      <c r="C13" s="646" t="s">
        <v>4877</v>
      </c>
      <c r="D13" s="666"/>
      <c r="E13" s="666"/>
    </row>
    <row r="14" spans="2:5" x14ac:dyDescent="0.25">
      <c r="B14" s="667"/>
      <c r="C14" s="646" t="s">
        <v>4878</v>
      </c>
      <c r="D14" s="666"/>
      <c r="E14" s="666"/>
    </row>
    <row r="15" spans="2:5" x14ac:dyDescent="0.25">
      <c r="B15" s="667"/>
      <c r="C15" s="646" t="s">
        <v>4879</v>
      </c>
      <c r="D15" s="666"/>
      <c r="E15" s="666"/>
    </row>
    <row r="16" spans="2:5" x14ac:dyDescent="0.25">
      <c r="B16" s="667"/>
      <c r="C16" s="646" t="s">
        <v>4880</v>
      </c>
      <c r="D16" s="666"/>
      <c r="E16" s="666"/>
    </row>
    <row r="17" spans="2:18" x14ac:dyDescent="0.25">
      <c r="B17" s="667"/>
      <c r="C17" s="646" t="s">
        <v>4881</v>
      </c>
      <c r="D17" s="666"/>
      <c r="E17" s="666"/>
    </row>
    <row r="18" spans="2:18" ht="30" x14ac:dyDescent="0.25">
      <c r="B18" s="668" t="s">
        <v>4882</v>
      </c>
      <c r="C18" s="646" t="s">
        <v>4883</v>
      </c>
      <c r="D18" s="666"/>
      <c r="E18" s="666"/>
    </row>
    <row r="19" spans="2:18" x14ac:dyDescent="0.25">
      <c r="B19" s="644"/>
      <c r="C19" s="669" t="s">
        <v>4884</v>
      </c>
      <c r="D19" s="666"/>
      <c r="E19" s="666"/>
    </row>
    <row r="20" spans="2:18" x14ac:dyDescent="0.25">
      <c r="B20" s="644"/>
      <c r="C20" s="669" t="s">
        <v>4881</v>
      </c>
      <c r="D20" s="666"/>
      <c r="E20" s="666"/>
    </row>
    <row r="21" spans="2:18" x14ac:dyDescent="0.25">
      <c r="B21" s="644"/>
      <c r="C21" s="669"/>
      <c r="D21" s="666"/>
      <c r="E21" s="666"/>
    </row>
    <row r="22" spans="2:18" ht="30" x14ac:dyDescent="0.25">
      <c r="B22" s="668" t="s">
        <v>4885</v>
      </c>
      <c r="C22" s="669"/>
      <c r="D22" s="666"/>
      <c r="E22" s="666"/>
    </row>
    <row r="23" spans="2:18" x14ac:dyDescent="0.25">
      <c r="B23" s="668"/>
      <c r="C23" s="669"/>
      <c r="D23" s="666"/>
      <c r="E23" s="666"/>
    </row>
    <row r="24" spans="2:18" ht="15.75" thickBot="1" x14ac:dyDescent="0.3">
      <c r="B24" s="670"/>
      <c r="C24" s="670"/>
    </row>
    <row r="25" spans="2:18" ht="15.75" thickBot="1" x14ac:dyDescent="0.3">
      <c r="O25" s="478"/>
      <c r="P25" s="17"/>
      <c r="Q25" s="17"/>
      <c r="R25" s="17"/>
    </row>
    <row r="26" spans="2:18" ht="15.75" thickBot="1" x14ac:dyDescent="0.3">
      <c r="B26" s="648" t="s">
        <v>4867</v>
      </c>
      <c r="C26" s="649" t="s">
        <v>4869</v>
      </c>
      <c r="D26" s="649" t="s">
        <v>4870</v>
      </c>
      <c r="E26" s="649" t="s">
        <v>4868</v>
      </c>
    </row>
    <row r="27" spans="2:18" x14ac:dyDescent="0.25">
      <c r="B27" s="644" t="s">
        <v>4886</v>
      </c>
      <c r="C27" s="650" t="s">
        <v>4887</v>
      </c>
      <c r="D27" s="652">
        <v>41134</v>
      </c>
      <c r="E27" s="646" t="s">
        <v>4877</v>
      </c>
    </row>
    <row r="28" spans="2:18" ht="75" x14ac:dyDescent="0.25">
      <c r="B28" s="644" t="s">
        <v>4888</v>
      </c>
      <c r="C28" s="650" t="s">
        <v>4955</v>
      </c>
      <c r="D28" s="652">
        <v>41138</v>
      </c>
      <c r="E28" s="646" t="s">
        <v>4877</v>
      </c>
    </row>
    <row r="29" spans="2:18" x14ac:dyDescent="0.25">
      <c r="B29" s="644" t="s">
        <v>4956</v>
      </c>
      <c r="C29" s="650" t="s">
        <v>4957</v>
      </c>
      <c r="D29" s="652">
        <v>41144</v>
      </c>
      <c r="E29" s="646" t="s">
        <v>4877</v>
      </c>
    </row>
    <row r="30" spans="2:18" x14ac:dyDescent="0.25">
      <c r="B30" s="644" t="s">
        <v>4964</v>
      </c>
      <c r="C30" s="650" t="s">
        <v>4965</v>
      </c>
      <c r="D30" s="652">
        <v>41144</v>
      </c>
      <c r="E30" s="646" t="s">
        <v>4877</v>
      </c>
    </row>
    <row r="31" spans="2:18" ht="30" x14ac:dyDescent="0.25">
      <c r="B31" s="644" t="s">
        <v>4966</v>
      </c>
      <c r="C31" s="650" t="s">
        <v>4967</v>
      </c>
      <c r="D31" s="652">
        <v>41144</v>
      </c>
      <c r="E31" s="646" t="s">
        <v>4877</v>
      </c>
    </row>
    <row r="32" spans="2:18" x14ac:dyDescent="0.25">
      <c r="B32" s="644"/>
      <c r="C32" s="650"/>
      <c r="D32" s="653"/>
      <c r="E32" s="646"/>
    </row>
    <row r="33" spans="2:5" x14ac:dyDescent="0.25">
      <c r="B33" s="644"/>
      <c r="C33" s="650"/>
      <c r="D33" s="653"/>
      <c r="E33" s="646"/>
    </row>
    <row r="34" spans="2:5" x14ac:dyDescent="0.25">
      <c r="B34" s="644"/>
      <c r="C34" s="650"/>
      <c r="D34" s="653"/>
      <c r="E34" s="646"/>
    </row>
    <row r="35" spans="2:5" x14ac:dyDescent="0.25">
      <c r="B35" s="644"/>
      <c r="C35" s="650"/>
      <c r="D35" s="653"/>
      <c r="E35" s="646"/>
    </row>
    <row r="36" spans="2:5" x14ac:dyDescent="0.25">
      <c r="B36" s="644"/>
      <c r="C36" s="650"/>
      <c r="D36" s="653"/>
      <c r="E36" s="646"/>
    </row>
    <row r="37" spans="2:5" x14ac:dyDescent="0.25">
      <c r="B37" s="644"/>
      <c r="C37" s="650"/>
      <c r="D37" s="653"/>
      <c r="E37" s="646"/>
    </row>
    <row r="38" spans="2:5" x14ac:dyDescent="0.25">
      <c r="B38" s="644"/>
      <c r="C38" s="650"/>
      <c r="D38" s="653"/>
      <c r="E38" s="646"/>
    </row>
    <row r="39" spans="2:5" x14ac:dyDescent="0.25">
      <c r="B39" s="644"/>
      <c r="C39" s="650"/>
      <c r="D39" s="653"/>
      <c r="E39" s="646"/>
    </row>
    <row r="40" spans="2:5" x14ac:dyDescent="0.25">
      <c r="B40" s="644"/>
      <c r="C40" s="650"/>
      <c r="D40" s="653"/>
      <c r="E40" s="646"/>
    </row>
    <row r="41" spans="2:5" x14ac:dyDescent="0.25">
      <c r="B41" s="644"/>
      <c r="C41" s="650"/>
      <c r="D41" s="653"/>
      <c r="E41" s="646"/>
    </row>
    <row r="42" spans="2:5" ht="15.75" thickBot="1" x14ac:dyDescent="0.3">
      <c r="B42" s="645"/>
      <c r="C42" s="651"/>
      <c r="D42" s="654"/>
      <c r="E42" s="64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2:T182"/>
  <sheetViews>
    <sheetView zoomScale="80" zoomScaleNormal="80" zoomScalePageLayoutView="90" workbookViewId="0"/>
  </sheetViews>
  <sheetFormatPr defaultColWidth="8.85546875" defaultRowHeight="15" x14ac:dyDescent="0.25"/>
  <cols>
    <col min="1" max="1" width="4.28515625" style="96" customWidth="1"/>
    <col min="2" max="2" width="43.140625" style="97" customWidth="1"/>
    <col min="3" max="3" width="21.85546875" style="95" customWidth="1"/>
    <col min="4" max="4" width="17.85546875" style="95" customWidth="1"/>
    <col min="5" max="5" width="17.7109375" style="95" customWidth="1"/>
    <col min="6" max="6" width="19.7109375" style="95" customWidth="1"/>
    <col min="7" max="7" width="16.85546875" style="95" customWidth="1"/>
    <col min="8" max="8" width="14" style="95" customWidth="1"/>
    <col min="9" max="9" width="16.85546875" style="95" customWidth="1"/>
    <col min="10" max="10" width="9.85546875" style="95" customWidth="1"/>
    <col min="11" max="11" width="20.28515625" style="95" customWidth="1"/>
    <col min="12" max="12" width="14.28515625" style="95" customWidth="1"/>
    <col min="13" max="13" width="13.42578125" style="95" customWidth="1"/>
    <col min="14" max="14" width="20.28515625" style="95" bestFit="1" customWidth="1"/>
    <col min="15" max="15" width="18.7109375" style="95" customWidth="1"/>
    <col min="16" max="16" width="10.85546875" style="95" customWidth="1"/>
    <col min="17" max="17" width="19.140625" style="95" customWidth="1"/>
    <col min="18" max="18" width="17.7109375" style="95" bestFit="1" customWidth="1"/>
    <col min="19" max="19" width="22.7109375" style="95" bestFit="1" customWidth="1"/>
    <col min="20" max="20" width="22.85546875" style="95" bestFit="1" customWidth="1"/>
    <col min="21" max="256" width="11.42578125" style="95" customWidth="1"/>
    <col min="257" max="257" width="4.28515625" style="95" customWidth="1"/>
    <col min="258" max="258" width="43.140625" style="95" customWidth="1"/>
    <col min="259" max="259" width="21.85546875" style="95" customWidth="1"/>
    <col min="260" max="260" width="17.85546875" style="95" customWidth="1"/>
    <col min="261" max="261" width="17.7109375" style="95" customWidth="1"/>
    <col min="262" max="262" width="19.7109375" style="95" customWidth="1"/>
    <col min="263" max="263" width="16.85546875" style="95" customWidth="1"/>
    <col min="264" max="264" width="14" style="95" customWidth="1"/>
    <col min="265" max="265" width="16.85546875" style="95" customWidth="1"/>
    <col min="266" max="266" width="9.85546875" style="95" customWidth="1"/>
    <col min="267" max="267" width="20.28515625" style="95" customWidth="1"/>
    <col min="268" max="268" width="14.28515625" style="95" customWidth="1"/>
    <col min="269" max="269" width="20.85546875" style="95" customWidth="1"/>
    <col min="270" max="270" width="20.28515625" style="95" bestFit="1" customWidth="1"/>
    <col min="271" max="271" width="18.7109375" style="95" customWidth="1"/>
    <col min="272" max="272" width="10.85546875" style="95" customWidth="1"/>
    <col min="273" max="273" width="19.140625" style="95" customWidth="1"/>
    <col min="274" max="274" width="17.7109375" style="95" bestFit="1" customWidth="1"/>
    <col min="275" max="275" width="22.7109375" style="95" bestFit="1" customWidth="1"/>
    <col min="276" max="276" width="22.85546875" style="95" bestFit="1" customWidth="1"/>
    <col min="277" max="512" width="11.42578125" style="95" customWidth="1"/>
    <col min="513" max="513" width="4.28515625" style="95" customWidth="1"/>
    <col min="514" max="514" width="43.140625" style="95" customWidth="1"/>
    <col min="515" max="515" width="21.85546875" style="95" customWidth="1"/>
    <col min="516" max="516" width="17.85546875" style="95" customWidth="1"/>
    <col min="517" max="517" width="17.7109375" style="95" customWidth="1"/>
    <col min="518" max="518" width="19.7109375" style="95" customWidth="1"/>
    <col min="519" max="519" width="16.85546875" style="95" customWidth="1"/>
    <col min="520" max="520" width="14" style="95" customWidth="1"/>
    <col min="521" max="521" width="16.85546875" style="95" customWidth="1"/>
    <col min="522" max="522" width="9.85546875" style="95" customWidth="1"/>
    <col min="523" max="523" width="20.28515625" style="95" customWidth="1"/>
    <col min="524" max="524" width="14.28515625" style="95" customWidth="1"/>
    <col min="525" max="525" width="20.85546875" style="95" customWidth="1"/>
    <col min="526" max="526" width="20.28515625" style="95" bestFit="1" customWidth="1"/>
    <col min="527" max="527" width="18.7109375" style="95" customWidth="1"/>
    <col min="528" max="528" width="10.85546875" style="95" customWidth="1"/>
    <col min="529" max="529" width="19.140625" style="95" customWidth="1"/>
    <col min="530" max="530" width="17.7109375" style="95" bestFit="1" customWidth="1"/>
    <col min="531" max="531" width="22.7109375" style="95" bestFit="1" customWidth="1"/>
    <col min="532" max="532" width="22.85546875" style="95" bestFit="1" customWidth="1"/>
    <col min="533" max="768" width="11.42578125" style="95" customWidth="1"/>
    <col min="769" max="769" width="4.28515625" style="95" customWidth="1"/>
    <col min="770" max="770" width="43.140625" style="95" customWidth="1"/>
    <col min="771" max="771" width="21.85546875" style="95" customWidth="1"/>
    <col min="772" max="772" width="17.85546875" style="95" customWidth="1"/>
    <col min="773" max="773" width="17.7109375" style="95" customWidth="1"/>
    <col min="774" max="774" width="19.7109375" style="95" customWidth="1"/>
    <col min="775" max="775" width="16.85546875" style="95" customWidth="1"/>
    <col min="776" max="776" width="14" style="95" customWidth="1"/>
    <col min="777" max="777" width="16.85546875" style="95" customWidth="1"/>
    <col min="778" max="778" width="9.85546875" style="95" customWidth="1"/>
    <col min="779" max="779" width="20.28515625" style="95" customWidth="1"/>
    <col min="780" max="780" width="14.28515625" style="95" customWidth="1"/>
    <col min="781" max="781" width="20.85546875" style="95" customWidth="1"/>
    <col min="782" max="782" width="20.28515625" style="95" bestFit="1" customWidth="1"/>
    <col min="783" max="783" width="18.7109375" style="95" customWidth="1"/>
    <col min="784" max="784" width="10.85546875" style="95" customWidth="1"/>
    <col min="785" max="785" width="19.140625" style="95" customWidth="1"/>
    <col min="786" max="786" width="17.7109375" style="95" bestFit="1" customWidth="1"/>
    <col min="787" max="787" width="22.7109375" style="95" bestFit="1" customWidth="1"/>
    <col min="788" max="788" width="22.85546875" style="95" bestFit="1" customWidth="1"/>
    <col min="789" max="1024" width="11.42578125" style="95" customWidth="1"/>
    <col min="1025" max="1025" width="4.28515625" style="95" customWidth="1"/>
    <col min="1026" max="1026" width="43.140625" style="95" customWidth="1"/>
    <col min="1027" max="1027" width="21.85546875" style="95" customWidth="1"/>
    <col min="1028" max="1028" width="17.85546875" style="95" customWidth="1"/>
    <col min="1029" max="1029" width="17.7109375" style="95" customWidth="1"/>
    <col min="1030" max="1030" width="19.7109375" style="95" customWidth="1"/>
    <col min="1031" max="1031" width="16.85546875" style="95" customWidth="1"/>
    <col min="1032" max="1032" width="14" style="95" customWidth="1"/>
    <col min="1033" max="1033" width="16.85546875" style="95" customWidth="1"/>
    <col min="1034" max="1034" width="9.85546875" style="95" customWidth="1"/>
    <col min="1035" max="1035" width="20.28515625" style="95" customWidth="1"/>
    <col min="1036" max="1036" width="14.28515625" style="95" customWidth="1"/>
    <col min="1037" max="1037" width="20.85546875" style="95" customWidth="1"/>
    <col min="1038" max="1038" width="20.28515625" style="95" bestFit="1" customWidth="1"/>
    <col min="1039" max="1039" width="18.7109375" style="95" customWidth="1"/>
    <col min="1040" max="1040" width="10.85546875" style="95" customWidth="1"/>
    <col min="1041" max="1041" width="19.140625" style="95" customWidth="1"/>
    <col min="1042" max="1042" width="17.7109375" style="95" bestFit="1" customWidth="1"/>
    <col min="1043" max="1043" width="22.7109375" style="95" bestFit="1" customWidth="1"/>
    <col min="1044" max="1044" width="22.85546875" style="95" bestFit="1" customWidth="1"/>
    <col min="1045" max="1280" width="11.42578125" style="95" customWidth="1"/>
    <col min="1281" max="1281" width="4.28515625" style="95" customWidth="1"/>
    <col min="1282" max="1282" width="43.140625" style="95" customWidth="1"/>
    <col min="1283" max="1283" width="21.85546875" style="95" customWidth="1"/>
    <col min="1284" max="1284" width="17.85546875" style="95" customWidth="1"/>
    <col min="1285" max="1285" width="17.7109375" style="95" customWidth="1"/>
    <col min="1286" max="1286" width="19.7109375" style="95" customWidth="1"/>
    <col min="1287" max="1287" width="16.85546875" style="95" customWidth="1"/>
    <col min="1288" max="1288" width="14" style="95" customWidth="1"/>
    <col min="1289" max="1289" width="16.85546875" style="95" customWidth="1"/>
    <col min="1290" max="1290" width="9.85546875" style="95" customWidth="1"/>
    <col min="1291" max="1291" width="20.28515625" style="95" customWidth="1"/>
    <col min="1292" max="1292" width="14.28515625" style="95" customWidth="1"/>
    <col min="1293" max="1293" width="20.85546875" style="95" customWidth="1"/>
    <col min="1294" max="1294" width="20.28515625" style="95" bestFit="1" customWidth="1"/>
    <col min="1295" max="1295" width="18.7109375" style="95" customWidth="1"/>
    <col min="1296" max="1296" width="10.85546875" style="95" customWidth="1"/>
    <col min="1297" max="1297" width="19.140625" style="95" customWidth="1"/>
    <col min="1298" max="1298" width="17.7109375" style="95" bestFit="1" customWidth="1"/>
    <col min="1299" max="1299" width="22.7109375" style="95" bestFit="1" customWidth="1"/>
    <col min="1300" max="1300" width="22.85546875" style="95" bestFit="1" customWidth="1"/>
    <col min="1301" max="1536" width="11.42578125" style="95" customWidth="1"/>
    <col min="1537" max="1537" width="4.28515625" style="95" customWidth="1"/>
    <col min="1538" max="1538" width="43.140625" style="95" customWidth="1"/>
    <col min="1539" max="1539" width="21.85546875" style="95" customWidth="1"/>
    <col min="1540" max="1540" width="17.85546875" style="95" customWidth="1"/>
    <col min="1541" max="1541" width="17.7109375" style="95" customWidth="1"/>
    <col min="1542" max="1542" width="19.7109375" style="95" customWidth="1"/>
    <col min="1543" max="1543" width="16.85546875" style="95" customWidth="1"/>
    <col min="1544" max="1544" width="14" style="95" customWidth="1"/>
    <col min="1545" max="1545" width="16.85546875" style="95" customWidth="1"/>
    <col min="1546" max="1546" width="9.85546875" style="95" customWidth="1"/>
    <col min="1547" max="1547" width="20.28515625" style="95" customWidth="1"/>
    <col min="1548" max="1548" width="14.28515625" style="95" customWidth="1"/>
    <col min="1549" max="1549" width="20.85546875" style="95" customWidth="1"/>
    <col min="1550" max="1550" width="20.28515625" style="95" bestFit="1" customWidth="1"/>
    <col min="1551" max="1551" width="18.7109375" style="95" customWidth="1"/>
    <col min="1552" max="1552" width="10.85546875" style="95" customWidth="1"/>
    <col min="1553" max="1553" width="19.140625" style="95" customWidth="1"/>
    <col min="1554" max="1554" width="17.7109375" style="95" bestFit="1" customWidth="1"/>
    <col min="1555" max="1555" width="22.7109375" style="95" bestFit="1" customWidth="1"/>
    <col min="1556" max="1556" width="22.85546875" style="95" bestFit="1" customWidth="1"/>
    <col min="1557" max="1792" width="11.42578125" style="95" customWidth="1"/>
    <col min="1793" max="1793" width="4.28515625" style="95" customWidth="1"/>
    <col min="1794" max="1794" width="43.140625" style="95" customWidth="1"/>
    <col min="1795" max="1795" width="21.85546875" style="95" customWidth="1"/>
    <col min="1796" max="1796" width="17.85546875" style="95" customWidth="1"/>
    <col min="1797" max="1797" width="17.7109375" style="95" customWidth="1"/>
    <col min="1798" max="1798" width="19.7109375" style="95" customWidth="1"/>
    <col min="1799" max="1799" width="16.85546875" style="95" customWidth="1"/>
    <col min="1800" max="1800" width="14" style="95" customWidth="1"/>
    <col min="1801" max="1801" width="16.85546875" style="95" customWidth="1"/>
    <col min="1802" max="1802" width="9.85546875" style="95" customWidth="1"/>
    <col min="1803" max="1803" width="20.28515625" style="95" customWidth="1"/>
    <col min="1804" max="1804" width="14.28515625" style="95" customWidth="1"/>
    <col min="1805" max="1805" width="20.85546875" style="95" customWidth="1"/>
    <col min="1806" max="1806" width="20.28515625" style="95" bestFit="1" customWidth="1"/>
    <col min="1807" max="1807" width="18.7109375" style="95" customWidth="1"/>
    <col min="1808" max="1808" width="10.85546875" style="95" customWidth="1"/>
    <col min="1809" max="1809" width="19.140625" style="95" customWidth="1"/>
    <col min="1810" max="1810" width="17.7109375" style="95" bestFit="1" customWidth="1"/>
    <col min="1811" max="1811" width="22.7109375" style="95" bestFit="1" customWidth="1"/>
    <col min="1812" max="1812" width="22.85546875" style="95" bestFit="1" customWidth="1"/>
    <col min="1813" max="2048" width="11.42578125" style="95" customWidth="1"/>
    <col min="2049" max="2049" width="4.28515625" style="95" customWidth="1"/>
    <col min="2050" max="2050" width="43.140625" style="95" customWidth="1"/>
    <col min="2051" max="2051" width="21.85546875" style="95" customWidth="1"/>
    <col min="2052" max="2052" width="17.85546875" style="95" customWidth="1"/>
    <col min="2053" max="2053" width="17.7109375" style="95" customWidth="1"/>
    <col min="2054" max="2054" width="19.7109375" style="95" customWidth="1"/>
    <col min="2055" max="2055" width="16.85546875" style="95" customWidth="1"/>
    <col min="2056" max="2056" width="14" style="95" customWidth="1"/>
    <col min="2057" max="2057" width="16.85546875" style="95" customWidth="1"/>
    <col min="2058" max="2058" width="9.85546875" style="95" customWidth="1"/>
    <col min="2059" max="2059" width="20.28515625" style="95" customWidth="1"/>
    <col min="2060" max="2060" width="14.28515625" style="95" customWidth="1"/>
    <col min="2061" max="2061" width="20.85546875" style="95" customWidth="1"/>
    <col min="2062" max="2062" width="20.28515625" style="95" bestFit="1" customWidth="1"/>
    <col min="2063" max="2063" width="18.7109375" style="95" customWidth="1"/>
    <col min="2064" max="2064" width="10.85546875" style="95" customWidth="1"/>
    <col min="2065" max="2065" width="19.140625" style="95" customWidth="1"/>
    <col min="2066" max="2066" width="17.7109375" style="95" bestFit="1" customWidth="1"/>
    <col min="2067" max="2067" width="22.7109375" style="95" bestFit="1" customWidth="1"/>
    <col min="2068" max="2068" width="22.85546875" style="95" bestFit="1" customWidth="1"/>
    <col min="2069" max="2304" width="11.42578125" style="95" customWidth="1"/>
    <col min="2305" max="2305" width="4.28515625" style="95" customWidth="1"/>
    <col min="2306" max="2306" width="43.140625" style="95" customWidth="1"/>
    <col min="2307" max="2307" width="21.85546875" style="95" customWidth="1"/>
    <col min="2308" max="2308" width="17.85546875" style="95" customWidth="1"/>
    <col min="2309" max="2309" width="17.7109375" style="95" customWidth="1"/>
    <col min="2310" max="2310" width="19.7109375" style="95" customWidth="1"/>
    <col min="2311" max="2311" width="16.85546875" style="95" customWidth="1"/>
    <col min="2312" max="2312" width="14" style="95" customWidth="1"/>
    <col min="2313" max="2313" width="16.85546875" style="95" customWidth="1"/>
    <col min="2314" max="2314" width="9.85546875" style="95" customWidth="1"/>
    <col min="2315" max="2315" width="20.28515625" style="95" customWidth="1"/>
    <col min="2316" max="2316" width="14.28515625" style="95" customWidth="1"/>
    <col min="2317" max="2317" width="20.85546875" style="95" customWidth="1"/>
    <col min="2318" max="2318" width="20.28515625" style="95" bestFit="1" customWidth="1"/>
    <col min="2319" max="2319" width="18.7109375" style="95" customWidth="1"/>
    <col min="2320" max="2320" width="10.85546875" style="95" customWidth="1"/>
    <col min="2321" max="2321" width="19.140625" style="95" customWidth="1"/>
    <col min="2322" max="2322" width="17.7109375" style="95" bestFit="1" customWidth="1"/>
    <col min="2323" max="2323" width="22.7109375" style="95" bestFit="1" customWidth="1"/>
    <col min="2324" max="2324" width="22.85546875" style="95" bestFit="1" customWidth="1"/>
    <col min="2325" max="2560" width="11.42578125" style="95" customWidth="1"/>
    <col min="2561" max="2561" width="4.28515625" style="95" customWidth="1"/>
    <col min="2562" max="2562" width="43.140625" style="95" customWidth="1"/>
    <col min="2563" max="2563" width="21.85546875" style="95" customWidth="1"/>
    <col min="2564" max="2564" width="17.85546875" style="95" customWidth="1"/>
    <col min="2565" max="2565" width="17.7109375" style="95" customWidth="1"/>
    <col min="2566" max="2566" width="19.7109375" style="95" customWidth="1"/>
    <col min="2567" max="2567" width="16.85546875" style="95" customWidth="1"/>
    <col min="2568" max="2568" width="14" style="95" customWidth="1"/>
    <col min="2569" max="2569" width="16.85546875" style="95" customWidth="1"/>
    <col min="2570" max="2570" width="9.85546875" style="95" customWidth="1"/>
    <col min="2571" max="2571" width="20.28515625" style="95" customWidth="1"/>
    <col min="2572" max="2572" width="14.28515625" style="95" customWidth="1"/>
    <col min="2573" max="2573" width="20.85546875" style="95" customWidth="1"/>
    <col min="2574" max="2574" width="20.28515625" style="95" bestFit="1" customWidth="1"/>
    <col min="2575" max="2575" width="18.7109375" style="95" customWidth="1"/>
    <col min="2576" max="2576" width="10.85546875" style="95" customWidth="1"/>
    <col min="2577" max="2577" width="19.140625" style="95" customWidth="1"/>
    <col min="2578" max="2578" width="17.7109375" style="95" bestFit="1" customWidth="1"/>
    <col min="2579" max="2579" width="22.7109375" style="95" bestFit="1" customWidth="1"/>
    <col min="2580" max="2580" width="22.85546875" style="95" bestFit="1" customWidth="1"/>
    <col min="2581" max="2816" width="11.42578125" style="95" customWidth="1"/>
    <col min="2817" max="2817" width="4.28515625" style="95" customWidth="1"/>
    <col min="2818" max="2818" width="43.140625" style="95" customWidth="1"/>
    <col min="2819" max="2819" width="21.85546875" style="95" customWidth="1"/>
    <col min="2820" max="2820" width="17.85546875" style="95" customWidth="1"/>
    <col min="2821" max="2821" width="17.7109375" style="95" customWidth="1"/>
    <col min="2822" max="2822" width="19.7109375" style="95" customWidth="1"/>
    <col min="2823" max="2823" width="16.85546875" style="95" customWidth="1"/>
    <col min="2824" max="2824" width="14" style="95" customWidth="1"/>
    <col min="2825" max="2825" width="16.85546875" style="95" customWidth="1"/>
    <col min="2826" max="2826" width="9.85546875" style="95" customWidth="1"/>
    <col min="2827" max="2827" width="20.28515625" style="95" customWidth="1"/>
    <col min="2828" max="2828" width="14.28515625" style="95" customWidth="1"/>
    <col min="2829" max="2829" width="20.85546875" style="95" customWidth="1"/>
    <col min="2830" max="2830" width="20.28515625" style="95" bestFit="1" customWidth="1"/>
    <col min="2831" max="2831" width="18.7109375" style="95" customWidth="1"/>
    <col min="2832" max="2832" width="10.85546875" style="95" customWidth="1"/>
    <col min="2833" max="2833" width="19.140625" style="95" customWidth="1"/>
    <col min="2834" max="2834" width="17.7109375" style="95" bestFit="1" customWidth="1"/>
    <col min="2835" max="2835" width="22.7109375" style="95" bestFit="1" customWidth="1"/>
    <col min="2836" max="2836" width="22.85546875" style="95" bestFit="1" customWidth="1"/>
    <col min="2837" max="3072" width="11.42578125" style="95" customWidth="1"/>
    <col min="3073" max="3073" width="4.28515625" style="95" customWidth="1"/>
    <col min="3074" max="3074" width="43.140625" style="95" customWidth="1"/>
    <col min="3075" max="3075" width="21.85546875" style="95" customWidth="1"/>
    <col min="3076" max="3076" width="17.85546875" style="95" customWidth="1"/>
    <col min="3077" max="3077" width="17.7109375" style="95" customWidth="1"/>
    <col min="3078" max="3078" width="19.7109375" style="95" customWidth="1"/>
    <col min="3079" max="3079" width="16.85546875" style="95" customWidth="1"/>
    <col min="3080" max="3080" width="14" style="95" customWidth="1"/>
    <col min="3081" max="3081" width="16.85546875" style="95" customWidth="1"/>
    <col min="3082" max="3082" width="9.85546875" style="95" customWidth="1"/>
    <col min="3083" max="3083" width="20.28515625" style="95" customWidth="1"/>
    <col min="3084" max="3084" width="14.28515625" style="95" customWidth="1"/>
    <col min="3085" max="3085" width="20.85546875" style="95" customWidth="1"/>
    <col min="3086" max="3086" width="20.28515625" style="95" bestFit="1" customWidth="1"/>
    <col min="3087" max="3087" width="18.7109375" style="95" customWidth="1"/>
    <col min="3088" max="3088" width="10.85546875" style="95" customWidth="1"/>
    <col min="3089" max="3089" width="19.140625" style="95" customWidth="1"/>
    <col min="3090" max="3090" width="17.7109375" style="95" bestFit="1" customWidth="1"/>
    <col min="3091" max="3091" width="22.7109375" style="95" bestFit="1" customWidth="1"/>
    <col min="3092" max="3092" width="22.85546875" style="95" bestFit="1" customWidth="1"/>
    <col min="3093" max="3328" width="11.42578125" style="95" customWidth="1"/>
    <col min="3329" max="3329" width="4.28515625" style="95" customWidth="1"/>
    <col min="3330" max="3330" width="43.140625" style="95" customWidth="1"/>
    <col min="3331" max="3331" width="21.85546875" style="95" customWidth="1"/>
    <col min="3332" max="3332" width="17.85546875" style="95" customWidth="1"/>
    <col min="3333" max="3333" width="17.7109375" style="95" customWidth="1"/>
    <col min="3334" max="3334" width="19.7109375" style="95" customWidth="1"/>
    <col min="3335" max="3335" width="16.85546875" style="95" customWidth="1"/>
    <col min="3336" max="3336" width="14" style="95" customWidth="1"/>
    <col min="3337" max="3337" width="16.85546875" style="95" customWidth="1"/>
    <col min="3338" max="3338" width="9.85546875" style="95" customWidth="1"/>
    <col min="3339" max="3339" width="20.28515625" style="95" customWidth="1"/>
    <col min="3340" max="3340" width="14.28515625" style="95" customWidth="1"/>
    <col min="3341" max="3341" width="20.85546875" style="95" customWidth="1"/>
    <col min="3342" max="3342" width="20.28515625" style="95" bestFit="1" customWidth="1"/>
    <col min="3343" max="3343" width="18.7109375" style="95" customWidth="1"/>
    <col min="3344" max="3344" width="10.85546875" style="95" customWidth="1"/>
    <col min="3345" max="3345" width="19.140625" style="95" customWidth="1"/>
    <col min="3346" max="3346" width="17.7109375" style="95" bestFit="1" customWidth="1"/>
    <col min="3347" max="3347" width="22.7109375" style="95" bestFit="1" customWidth="1"/>
    <col min="3348" max="3348" width="22.85546875" style="95" bestFit="1" customWidth="1"/>
    <col min="3349" max="3584" width="11.42578125" style="95" customWidth="1"/>
    <col min="3585" max="3585" width="4.28515625" style="95" customWidth="1"/>
    <col min="3586" max="3586" width="43.140625" style="95" customWidth="1"/>
    <col min="3587" max="3587" width="21.85546875" style="95" customWidth="1"/>
    <col min="3588" max="3588" width="17.85546875" style="95" customWidth="1"/>
    <col min="3589" max="3589" width="17.7109375" style="95" customWidth="1"/>
    <col min="3590" max="3590" width="19.7109375" style="95" customWidth="1"/>
    <col min="3591" max="3591" width="16.85546875" style="95" customWidth="1"/>
    <col min="3592" max="3592" width="14" style="95" customWidth="1"/>
    <col min="3593" max="3593" width="16.85546875" style="95" customWidth="1"/>
    <col min="3594" max="3594" width="9.85546875" style="95" customWidth="1"/>
    <col min="3595" max="3595" width="20.28515625" style="95" customWidth="1"/>
    <col min="3596" max="3596" width="14.28515625" style="95" customWidth="1"/>
    <col min="3597" max="3597" width="20.85546875" style="95" customWidth="1"/>
    <col min="3598" max="3598" width="20.28515625" style="95" bestFit="1" customWidth="1"/>
    <col min="3599" max="3599" width="18.7109375" style="95" customWidth="1"/>
    <col min="3600" max="3600" width="10.85546875" style="95" customWidth="1"/>
    <col min="3601" max="3601" width="19.140625" style="95" customWidth="1"/>
    <col min="3602" max="3602" width="17.7109375" style="95" bestFit="1" customWidth="1"/>
    <col min="3603" max="3603" width="22.7109375" style="95" bestFit="1" customWidth="1"/>
    <col min="3604" max="3604" width="22.85546875" style="95" bestFit="1" customWidth="1"/>
    <col min="3605" max="3840" width="11.42578125" style="95" customWidth="1"/>
    <col min="3841" max="3841" width="4.28515625" style="95" customWidth="1"/>
    <col min="3842" max="3842" width="43.140625" style="95" customWidth="1"/>
    <col min="3843" max="3843" width="21.85546875" style="95" customWidth="1"/>
    <col min="3844" max="3844" width="17.85546875" style="95" customWidth="1"/>
    <col min="3845" max="3845" width="17.7109375" style="95" customWidth="1"/>
    <col min="3846" max="3846" width="19.7109375" style="95" customWidth="1"/>
    <col min="3847" max="3847" width="16.85546875" style="95" customWidth="1"/>
    <col min="3848" max="3848" width="14" style="95" customWidth="1"/>
    <col min="3849" max="3849" width="16.85546875" style="95" customWidth="1"/>
    <col min="3850" max="3850" width="9.85546875" style="95" customWidth="1"/>
    <col min="3851" max="3851" width="20.28515625" style="95" customWidth="1"/>
    <col min="3852" max="3852" width="14.28515625" style="95" customWidth="1"/>
    <col min="3853" max="3853" width="20.85546875" style="95" customWidth="1"/>
    <col min="3854" max="3854" width="20.28515625" style="95" bestFit="1" customWidth="1"/>
    <col min="3855" max="3855" width="18.7109375" style="95" customWidth="1"/>
    <col min="3856" max="3856" width="10.85546875" style="95" customWidth="1"/>
    <col min="3857" max="3857" width="19.140625" style="95" customWidth="1"/>
    <col min="3858" max="3858" width="17.7109375" style="95" bestFit="1" customWidth="1"/>
    <col min="3859" max="3859" width="22.7109375" style="95" bestFit="1" customWidth="1"/>
    <col min="3860" max="3860" width="22.85546875" style="95" bestFit="1" customWidth="1"/>
    <col min="3861" max="4096" width="11.42578125" style="95" customWidth="1"/>
    <col min="4097" max="4097" width="4.28515625" style="95" customWidth="1"/>
    <col min="4098" max="4098" width="43.140625" style="95" customWidth="1"/>
    <col min="4099" max="4099" width="21.85546875" style="95" customWidth="1"/>
    <col min="4100" max="4100" width="17.85546875" style="95" customWidth="1"/>
    <col min="4101" max="4101" width="17.7109375" style="95" customWidth="1"/>
    <col min="4102" max="4102" width="19.7109375" style="95" customWidth="1"/>
    <col min="4103" max="4103" width="16.85546875" style="95" customWidth="1"/>
    <col min="4104" max="4104" width="14" style="95" customWidth="1"/>
    <col min="4105" max="4105" width="16.85546875" style="95" customWidth="1"/>
    <col min="4106" max="4106" width="9.85546875" style="95" customWidth="1"/>
    <col min="4107" max="4107" width="20.28515625" style="95" customWidth="1"/>
    <col min="4108" max="4108" width="14.28515625" style="95" customWidth="1"/>
    <col min="4109" max="4109" width="20.85546875" style="95" customWidth="1"/>
    <col min="4110" max="4110" width="20.28515625" style="95" bestFit="1" customWidth="1"/>
    <col min="4111" max="4111" width="18.7109375" style="95" customWidth="1"/>
    <col min="4112" max="4112" width="10.85546875" style="95" customWidth="1"/>
    <col min="4113" max="4113" width="19.140625" style="95" customWidth="1"/>
    <col min="4114" max="4114" width="17.7109375" style="95" bestFit="1" customWidth="1"/>
    <col min="4115" max="4115" width="22.7109375" style="95" bestFit="1" customWidth="1"/>
    <col min="4116" max="4116" width="22.85546875" style="95" bestFit="1" customWidth="1"/>
    <col min="4117" max="4352" width="11.42578125" style="95" customWidth="1"/>
    <col min="4353" max="4353" width="4.28515625" style="95" customWidth="1"/>
    <col min="4354" max="4354" width="43.140625" style="95" customWidth="1"/>
    <col min="4355" max="4355" width="21.85546875" style="95" customWidth="1"/>
    <col min="4356" max="4356" width="17.85546875" style="95" customWidth="1"/>
    <col min="4357" max="4357" width="17.7109375" style="95" customWidth="1"/>
    <col min="4358" max="4358" width="19.7109375" style="95" customWidth="1"/>
    <col min="4359" max="4359" width="16.85546875" style="95" customWidth="1"/>
    <col min="4360" max="4360" width="14" style="95" customWidth="1"/>
    <col min="4361" max="4361" width="16.85546875" style="95" customWidth="1"/>
    <col min="4362" max="4362" width="9.85546875" style="95" customWidth="1"/>
    <col min="4363" max="4363" width="20.28515625" style="95" customWidth="1"/>
    <col min="4364" max="4364" width="14.28515625" style="95" customWidth="1"/>
    <col min="4365" max="4365" width="20.85546875" style="95" customWidth="1"/>
    <col min="4366" max="4366" width="20.28515625" style="95" bestFit="1" customWidth="1"/>
    <col min="4367" max="4367" width="18.7109375" style="95" customWidth="1"/>
    <col min="4368" max="4368" width="10.85546875" style="95" customWidth="1"/>
    <col min="4369" max="4369" width="19.140625" style="95" customWidth="1"/>
    <col min="4370" max="4370" width="17.7109375" style="95" bestFit="1" customWidth="1"/>
    <col min="4371" max="4371" width="22.7109375" style="95" bestFit="1" customWidth="1"/>
    <col min="4372" max="4372" width="22.85546875" style="95" bestFit="1" customWidth="1"/>
    <col min="4373" max="4608" width="11.42578125" style="95" customWidth="1"/>
    <col min="4609" max="4609" width="4.28515625" style="95" customWidth="1"/>
    <col min="4610" max="4610" width="43.140625" style="95" customWidth="1"/>
    <col min="4611" max="4611" width="21.85546875" style="95" customWidth="1"/>
    <col min="4612" max="4612" width="17.85546875" style="95" customWidth="1"/>
    <col min="4613" max="4613" width="17.7109375" style="95" customWidth="1"/>
    <col min="4614" max="4614" width="19.7109375" style="95" customWidth="1"/>
    <col min="4615" max="4615" width="16.85546875" style="95" customWidth="1"/>
    <col min="4616" max="4616" width="14" style="95" customWidth="1"/>
    <col min="4617" max="4617" width="16.85546875" style="95" customWidth="1"/>
    <col min="4618" max="4618" width="9.85546875" style="95" customWidth="1"/>
    <col min="4619" max="4619" width="20.28515625" style="95" customWidth="1"/>
    <col min="4620" max="4620" width="14.28515625" style="95" customWidth="1"/>
    <col min="4621" max="4621" width="20.85546875" style="95" customWidth="1"/>
    <col min="4622" max="4622" width="20.28515625" style="95" bestFit="1" customWidth="1"/>
    <col min="4623" max="4623" width="18.7109375" style="95" customWidth="1"/>
    <col min="4624" max="4624" width="10.85546875" style="95" customWidth="1"/>
    <col min="4625" max="4625" width="19.140625" style="95" customWidth="1"/>
    <col min="4626" max="4626" width="17.7109375" style="95" bestFit="1" customWidth="1"/>
    <col min="4627" max="4627" width="22.7109375" style="95" bestFit="1" customWidth="1"/>
    <col min="4628" max="4628" width="22.85546875" style="95" bestFit="1" customWidth="1"/>
    <col min="4629" max="4864" width="11.42578125" style="95" customWidth="1"/>
    <col min="4865" max="4865" width="4.28515625" style="95" customWidth="1"/>
    <col min="4866" max="4866" width="43.140625" style="95" customWidth="1"/>
    <col min="4867" max="4867" width="21.85546875" style="95" customWidth="1"/>
    <col min="4868" max="4868" width="17.85546875" style="95" customWidth="1"/>
    <col min="4869" max="4869" width="17.7109375" style="95" customWidth="1"/>
    <col min="4870" max="4870" width="19.7109375" style="95" customWidth="1"/>
    <col min="4871" max="4871" width="16.85546875" style="95" customWidth="1"/>
    <col min="4872" max="4872" width="14" style="95" customWidth="1"/>
    <col min="4873" max="4873" width="16.85546875" style="95" customWidth="1"/>
    <col min="4874" max="4874" width="9.85546875" style="95" customWidth="1"/>
    <col min="4875" max="4875" width="20.28515625" style="95" customWidth="1"/>
    <col min="4876" max="4876" width="14.28515625" style="95" customWidth="1"/>
    <col min="4877" max="4877" width="20.85546875" style="95" customWidth="1"/>
    <col min="4878" max="4878" width="20.28515625" style="95" bestFit="1" customWidth="1"/>
    <col min="4879" max="4879" width="18.7109375" style="95" customWidth="1"/>
    <col min="4880" max="4880" width="10.85546875" style="95" customWidth="1"/>
    <col min="4881" max="4881" width="19.140625" style="95" customWidth="1"/>
    <col min="4882" max="4882" width="17.7109375" style="95" bestFit="1" customWidth="1"/>
    <col min="4883" max="4883" width="22.7109375" style="95" bestFit="1" customWidth="1"/>
    <col min="4884" max="4884" width="22.85546875" style="95" bestFit="1" customWidth="1"/>
    <col min="4885" max="5120" width="11.42578125" style="95" customWidth="1"/>
    <col min="5121" max="5121" width="4.28515625" style="95" customWidth="1"/>
    <col min="5122" max="5122" width="43.140625" style="95" customWidth="1"/>
    <col min="5123" max="5123" width="21.85546875" style="95" customWidth="1"/>
    <col min="5124" max="5124" width="17.85546875" style="95" customWidth="1"/>
    <col min="5125" max="5125" width="17.7109375" style="95" customWidth="1"/>
    <col min="5126" max="5126" width="19.7109375" style="95" customWidth="1"/>
    <col min="5127" max="5127" width="16.85546875" style="95" customWidth="1"/>
    <col min="5128" max="5128" width="14" style="95" customWidth="1"/>
    <col min="5129" max="5129" width="16.85546875" style="95" customWidth="1"/>
    <col min="5130" max="5130" width="9.85546875" style="95" customWidth="1"/>
    <col min="5131" max="5131" width="20.28515625" style="95" customWidth="1"/>
    <col min="5132" max="5132" width="14.28515625" style="95" customWidth="1"/>
    <col min="5133" max="5133" width="20.85546875" style="95" customWidth="1"/>
    <col min="5134" max="5134" width="20.28515625" style="95" bestFit="1" customWidth="1"/>
    <col min="5135" max="5135" width="18.7109375" style="95" customWidth="1"/>
    <col min="5136" max="5136" width="10.85546875" style="95" customWidth="1"/>
    <col min="5137" max="5137" width="19.140625" style="95" customWidth="1"/>
    <col min="5138" max="5138" width="17.7109375" style="95" bestFit="1" customWidth="1"/>
    <col min="5139" max="5139" width="22.7109375" style="95" bestFit="1" customWidth="1"/>
    <col min="5140" max="5140" width="22.85546875" style="95" bestFit="1" customWidth="1"/>
    <col min="5141" max="5376" width="11.42578125" style="95" customWidth="1"/>
    <col min="5377" max="5377" width="4.28515625" style="95" customWidth="1"/>
    <col min="5378" max="5378" width="43.140625" style="95" customWidth="1"/>
    <col min="5379" max="5379" width="21.85546875" style="95" customWidth="1"/>
    <col min="5380" max="5380" width="17.85546875" style="95" customWidth="1"/>
    <col min="5381" max="5381" width="17.7109375" style="95" customWidth="1"/>
    <col min="5382" max="5382" width="19.7109375" style="95" customWidth="1"/>
    <col min="5383" max="5383" width="16.85546875" style="95" customWidth="1"/>
    <col min="5384" max="5384" width="14" style="95" customWidth="1"/>
    <col min="5385" max="5385" width="16.85546875" style="95" customWidth="1"/>
    <col min="5386" max="5386" width="9.85546875" style="95" customWidth="1"/>
    <col min="5387" max="5387" width="20.28515625" style="95" customWidth="1"/>
    <col min="5388" max="5388" width="14.28515625" style="95" customWidth="1"/>
    <col min="5389" max="5389" width="20.85546875" style="95" customWidth="1"/>
    <col min="5390" max="5390" width="20.28515625" style="95" bestFit="1" customWidth="1"/>
    <col min="5391" max="5391" width="18.7109375" style="95" customWidth="1"/>
    <col min="5392" max="5392" width="10.85546875" style="95" customWidth="1"/>
    <col min="5393" max="5393" width="19.140625" style="95" customWidth="1"/>
    <col min="5394" max="5394" width="17.7109375" style="95" bestFit="1" customWidth="1"/>
    <col min="5395" max="5395" width="22.7109375" style="95" bestFit="1" customWidth="1"/>
    <col min="5396" max="5396" width="22.85546875" style="95" bestFit="1" customWidth="1"/>
    <col min="5397" max="5632" width="11.42578125" style="95" customWidth="1"/>
    <col min="5633" max="5633" width="4.28515625" style="95" customWidth="1"/>
    <col min="5634" max="5634" width="43.140625" style="95" customWidth="1"/>
    <col min="5635" max="5635" width="21.85546875" style="95" customWidth="1"/>
    <col min="5636" max="5636" width="17.85546875" style="95" customWidth="1"/>
    <col min="5637" max="5637" width="17.7109375" style="95" customWidth="1"/>
    <col min="5638" max="5638" width="19.7109375" style="95" customWidth="1"/>
    <col min="5639" max="5639" width="16.85546875" style="95" customWidth="1"/>
    <col min="5640" max="5640" width="14" style="95" customWidth="1"/>
    <col min="5641" max="5641" width="16.85546875" style="95" customWidth="1"/>
    <col min="5642" max="5642" width="9.85546875" style="95" customWidth="1"/>
    <col min="5643" max="5643" width="20.28515625" style="95" customWidth="1"/>
    <col min="5644" max="5644" width="14.28515625" style="95" customWidth="1"/>
    <col min="5645" max="5645" width="20.85546875" style="95" customWidth="1"/>
    <col min="5646" max="5646" width="20.28515625" style="95" bestFit="1" customWidth="1"/>
    <col min="5647" max="5647" width="18.7109375" style="95" customWidth="1"/>
    <col min="5648" max="5648" width="10.85546875" style="95" customWidth="1"/>
    <col min="5649" max="5649" width="19.140625" style="95" customWidth="1"/>
    <col min="5650" max="5650" width="17.7109375" style="95" bestFit="1" customWidth="1"/>
    <col min="5651" max="5651" width="22.7109375" style="95" bestFit="1" customWidth="1"/>
    <col min="5652" max="5652" width="22.85546875" style="95" bestFit="1" customWidth="1"/>
    <col min="5653" max="5888" width="11.42578125" style="95" customWidth="1"/>
    <col min="5889" max="5889" width="4.28515625" style="95" customWidth="1"/>
    <col min="5890" max="5890" width="43.140625" style="95" customWidth="1"/>
    <col min="5891" max="5891" width="21.85546875" style="95" customWidth="1"/>
    <col min="5892" max="5892" width="17.85546875" style="95" customWidth="1"/>
    <col min="5893" max="5893" width="17.7109375" style="95" customWidth="1"/>
    <col min="5894" max="5894" width="19.7109375" style="95" customWidth="1"/>
    <col min="5895" max="5895" width="16.85546875" style="95" customWidth="1"/>
    <col min="5896" max="5896" width="14" style="95" customWidth="1"/>
    <col min="5897" max="5897" width="16.85546875" style="95" customWidth="1"/>
    <col min="5898" max="5898" width="9.85546875" style="95" customWidth="1"/>
    <col min="5899" max="5899" width="20.28515625" style="95" customWidth="1"/>
    <col min="5900" max="5900" width="14.28515625" style="95" customWidth="1"/>
    <col min="5901" max="5901" width="20.85546875" style="95" customWidth="1"/>
    <col min="5902" max="5902" width="20.28515625" style="95" bestFit="1" customWidth="1"/>
    <col min="5903" max="5903" width="18.7109375" style="95" customWidth="1"/>
    <col min="5904" max="5904" width="10.85546875" style="95" customWidth="1"/>
    <col min="5905" max="5905" width="19.140625" style="95" customWidth="1"/>
    <col min="5906" max="5906" width="17.7109375" style="95" bestFit="1" customWidth="1"/>
    <col min="5907" max="5907" width="22.7109375" style="95" bestFit="1" customWidth="1"/>
    <col min="5908" max="5908" width="22.85546875" style="95" bestFit="1" customWidth="1"/>
    <col min="5909" max="6144" width="11.42578125" style="95" customWidth="1"/>
    <col min="6145" max="6145" width="4.28515625" style="95" customWidth="1"/>
    <col min="6146" max="6146" width="43.140625" style="95" customWidth="1"/>
    <col min="6147" max="6147" width="21.85546875" style="95" customWidth="1"/>
    <col min="6148" max="6148" width="17.85546875" style="95" customWidth="1"/>
    <col min="6149" max="6149" width="17.7109375" style="95" customWidth="1"/>
    <col min="6150" max="6150" width="19.7109375" style="95" customWidth="1"/>
    <col min="6151" max="6151" width="16.85546875" style="95" customWidth="1"/>
    <col min="6152" max="6152" width="14" style="95" customWidth="1"/>
    <col min="6153" max="6153" width="16.85546875" style="95" customWidth="1"/>
    <col min="6154" max="6154" width="9.85546875" style="95" customWidth="1"/>
    <col min="6155" max="6155" width="20.28515625" style="95" customWidth="1"/>
    <col min="6156" max="6156" width="14.28515625" style="95" customWidth="1"/>
    <col min="6157" max="6157" width="20.85546875" style="95" customWidth="1"/>
    <col min="6158" max="6158" width="20.28515625" style="95" bestFit="1" customWidth="1"/>
    <col min="6159" max="6159" width="18.7109375" style="95" customWidth="1"/>
    <col min="6160" max="6160" width="10.85546875" style="95" customWidth="1"/>
    <col min="6161" max="6161" width="19.140625" style="95" customWidth="1"/>
    <col min="6162" max="6162" width="17.7109375" style="95" bestFit="1" customWidth="1"/>
    <col min="6163" max="6163" width="22.7109375" style="95" bestFit="1" customWidth="1"/>
    <col min="6164" max="6164" width="22.85546875" style="95" bestFit="1" customWidth="1"/>
    <col min="6165" max="6400" width="11.42578125" style="95" customWidth="1"/>
    <col min="6401" max="6401" width="4.28515625" style="95" customWidth="1"/>
    <col min="6402" max="6402" width="43.140625" style="95" customWidth="1"/>
    <col min="6403" max="6403" width="21.85546875" style="95" customWidth="1"/>
    <col min="6404" max="6404" width="17.85546875" style="95" customWidth="1"/>
    <col min="6405" max="6405" width="17.7109375" style="95" customWidth="1"/>
    <col min="6406" max="6406" width="19.7109375" style="95" customWidth="1"/>
    <col min="6407" max="6407" width="16.85546875" style="95" customWidth="1"/>
    <col min="6408" max="6408" width="14" style="95" customWidth="1"/>
    <col min="6409" max="6409" width="16.85546875" style="95" customWidth="1"/>
    <col min="6410" max="6410" width="9.85546875" style="95" customWidth="1"/>
    <col min="6411" max="6411" width="20.28515625" style="95" customWidth="1"/>
    <col min="6412" max="6412" width="14.28515625" style="95" customWidth="1"/>
    <col min="6413" max="6413" width="20.85546875" style="95" customWidth="1"/>
    <col min="6414" max="6414" width="20.28515625" style="95" bestFit="1" customWidth="1"/>
    <col min="6415" max="6415" width="18.7109375" style="95" customWidth="1"/>
    <col min="6416" max="6416" width="10.85546875" style="95" customWidth="1"/>
    <col min="6417" max="6417" width="19.140625" style="95" customWidth="1"/>
    <col min="6418" max="6418" width="17.7109375" style="95" bestFit="1" customWidth="1"/>
    <col min="6419" max="6419" width="22.7109375" style="95" bestFit="1" customWidth="1"/>
    <col min="6420" max="6420" width="22.85546875" style="95" bestFit="1" customWidth="1"/>
    <col min="6421" max="6656" width="11.42578125" style="95" customWidth="1"/>
    <col min="6657" max="6657" width="4.28515625" style="95" customWidth="1"/>
    <col min="6658" max="6658" width="43.140625" style="95" customWidth="1"/>
    <col min="6659" max="6659" width="21.85546875" style="95" customWidth="1"/>
    <col min="6660" max="6660" width="17.85546875" style="95" customWidth="1"/>
    <col min="6661" max="6661" width="17.7109375" style="95" customWidth="1"/>
    <col min="6662" max="6662" width="19.7109375" style="95" customWidth="1"/>
    <col min="6663" max="6663" width="16.85546875" style="95" customWidth="1"/>
    <col min="6664" max="6664" width="14" style="95" customWidth="1"/>
    <col min="6665" max="6665" width="16.85546875" style="95" customWidth="1"/>
    <col min="6666" max="6666" width="9.85546875" style="95" customWidth="1"/>
    <col min="6667" max="6667" width="20.28515625" style="95" customWidth="1"/>
    <col min="6668" max="6668" width="14.28515625" style="95" customWidth="1"/>
    <col min="6669" max="6669" width="20.85546875" style="95" customWidth="1"/>
    <col min="6670" max="6670" width="20.28515625" style="95" bestFit="1" customWidth="1"/>
    <col min="6671" max="6671" width="18.7109375" style="95" customWidth="1"/>
    <col min="6672" max="6672" width="10.85546875" style="95" customWidth="1"/>
    <col min="6673" max="6673" width="19.140625" style="95" customWidth="1"/>
    <col min="6674" max="6674" width="17.7109375" style="95" bestFit="1" customWidth="1"/>
    <col min="6675" max="6675" width="22.7109375" style="95" bestFit="1" customWidth="1"/>
    <col min="6676" max="6676" width="22.85546875" style="95" bestFit="1" customWidth="1"/>
    <col min="6677" max="6912" width="11.42578125" style="95" customWidth="1"/>
    <col min="6913" max="6913" width="4.28515625" style="95" customWidth="1"/>
    <col min="6914" max="6914" width="43.140625" style="95" customWidth="1"/>
    <col min="6915" max="6915" width="21.85546875" style="95" customWidth="1"/>
    <col min="6916" max="6916" width="17.85546875" style="95" customWidth="1"/>
    <col min="6917" max="6917" width="17.7109375" style="95" customWidth="1"/>
    <col min="6918" max="6918" width="19.7109375" style="95" customWidth="1"/>
    <col min="6919" max="6919" width="16.85546875" style="95" customWidth="1"/>
    <col min="6920" max="6920" width="14" style="95" customWidth="1"/>
    <col min="6921" max="6921" width="16.85546875" style="95" customWidth="1"/>
    <col min="6922" max="6922" width="9.85546875" style="95" customWidth="1"/>
    <col min="6923" max="6923" width="20.28515625" style="95" customWidth="1"/>
    <col min="6924" max="6924" width="14.28515625" style="95" customWidth="1"/>
    <col min="6925" max="6925" width="20.85546875" style="95" customWidth="1"/>
    <col min="6926" max="6926" width="20.28515625" style="95" bestFit="1" customWidth="1"/>
    <col min="6927" max="6927" width="18.7109375" style="95" customWidth="1"/>
    <col min="6928" max="6928" width="10.85546875" style="95" customWidth="1"/>
    <col min="6929" max="6929" width="19.140625" style="95" customWidth="1"/>
    <col min="6930" max="6930" width="17.7109375" style="95" bestFit="1" customWidth="1"/>
    <col min="6931" max="6931" width="22.7109375" style="95" bestFit="1" customWidth="1"/>
    <col min="6932" max="6932" width="22.85546875" style="95" bestFit="1" customWidth="1"/>
    <col min="6933" max="7168" width="11.42578125" style="95" customWidth="1"/>
    <col min="7169" max="7169" width="4.28515625" style="95" customWidth="1"/>
    <col min="7170" max="7170" width="43.140625" style="95" customWidth="1"/>
    <col min="7171" max="7171" width="21.85546875" style="95" customWidth="1"/>
    <col min="7172" max="7172" width="17.85546875" style="95" customWidth="1"/>
    <col min="7173" max="7173" width="17.7109375" style="95" customWidth="1"/>
    <col min="7174" max="7174" width="19.7109375" style="95" customWidth="1"/>
    <col min="7175" max="7175" width="16.85546875" style="95" customWidth="1"/>
    <col min="7176" max="7176" width="14" style="95" customWidth="1"/>
    <col min="7177" max="7177" width="16.85546875" style="95" customWidth="1"/>
    <col min="7178" max="7178" width="9.85546875" style="95" customWidth="1"/>
    <col min="7179" max="7179" width="20.28515625" style="95" customWidth="1"/>
    <col min="7180" max="7180" width="14.28515625" style="95" customWidth="1"/>
    <col min="7181" max="7181" width="20.85546875" style="95" customWidth="1"/>
    <col min="7182" max="7182" width="20.28515625" style="95" bestFit="1" customWidth="1"/>
    <col min="7183" max="7183" width="18.7109375" style="95" customWidth="1"/>
    <col min="7184" max="7184" width="10.85546875" style="95" customWidth="1"/>
    <col min="7185" max="7185" width="19.140625" style="95" customWidth="1"/>
    <col min="7186" max="7186" width="17.7109375" style="95" bestFit="1" customWidth="1"/>
    <col min="7187" max="7187" width="22.7109375" style="95" bestFit="1" customWidth="1"/>
    <col min="7188" max="7188" width="22.85546875" style="95" bestFit="1" customWidth="1"/>
    <col min="7189" max="7424" width="11.42578125" style="95" customWidth="1"/>
    <col min="7425" max="7425" width="4.28515625" style="95" customWidth="1"/>
    <col min="7426" max="7426" width="43.140625" style="95" customWidth="1"/>
    <col min="7427" max="7427" width="21.85546875" style="95" customWidth="1"/>
    <col min="7428" max="7428" width="17.85546875" style="95" customWidth="1"/>
    <col min="7429" max="7429" width="17.7109375" style="95" customWidth="1"/>
    <col min="7430" max="7430" width="19.7109375" style="95" customWidth="1"/>
    <col min="7431" max="7431" width="16.85546875" style="95" customWidth="1"/>
    <col min="7432" max="7432" width="14" style="95" customWidth="1"/>
    <col min="7433" max="7433" width="16.85546875" style="95" customWidth="1"/>
    <col min="7434" max="7434" width="9.85546875" style="95" customWidth="1"/>
    <col min="7435" max="7435" width="20.28515625" style="95" customWidth="1"/>
    <col min="7436" max="7436" width="14.28515625" style="95" customWidth="1"/>
    <col min="7437" max="7437" width="20.85546875" style="95" customWidth="1"/>
    <col min="7438" max="7438" width="20.28515625" style="95" bestFit="1" customWidth="1"/>
    <col min="7439" max="7439" width="18.7109375" style="95" customWidth="1"/>
    <col min="7440" max="7440" width="10.85546875" style="95" customWidth="1"/>
    <col min="7441" max="7441" width="19.140625" style="95" customWidth="1"/>
    <col min="7442" max="7442" width="17.7109375" style="95" bestFit="1" customWidth="1"/>
    <col min="7443" max="7443" width="22.7109375" style="95" bestFit="1" customWidth="1"/>
    <col min="7444" max="7444" width="22.85546875" style="95" bestFit="1" customWidth="1"/>
    <col min="7445" max="7680" width="11.42578125" style="95" customWidth="1"/>
    <col min="7681" max="7681" width="4.28515625" style="95" customWidth="1"/>
    <col min="7682" max="7682" width="43.140625" style="95" customWidth="1"/>
    <col min="7683" max="7683" width="21.85546875" style="95" customWidth="1"/>
    <col min="7684" max="7684" width="17.85546875" style="95" customWidth="1"/>
    <col min="7685" max="7685" width="17.7109375" style="95" customWidth="1"/>
    <col min="7686" max="7686" width="19.7109375" style="95" customWidth="1"/>
    <col min="7687" max="7687" width="16.85546875" style="95" customWidth="1"/>
    <col min="7688" max="7688" width="14" style="95" customWidth="1"/>
    <col min="7689" max="7689" width="16.85546875" style="95" customWidth="1"/>
    <col min="7690" max="7690" width="9.85546875" style="95" customWidth="1"/>
    <col min="7691" max="7691" width="20.28515625" style="95" customWidth="1"/>
    <col min="7692" max="7692" width="14.28515625" style="95" customWidth="1"/>
    <col min="7693" max="7693" width="20.85546875" style="95" customWidth="1"/>
    <col min="7694" max="7694" width="20.28515625" style="95" bestFit="1" customWidth="1"/>
    <col min="7695" max="7695" width="18.7109375" style="95" customWidth="1"/>
    <col min="7696" max="7696" width="10.85546875" style="95" customWidth="1"/>
    <col min="7697" max="7697" width="19.140625" style="95" customWidth="1"/>
    <col min="7698" max="7698" width="17.7109375" style="95" bestFit="1" customWidth="1"/>
    <col min="7699" max="7699" width="22.7109375" style="95" bestFit="1" customWidth="1"/>
    <col min="7700" max="7700" width="22.85546875" style="95" bestFit="1" customWidth="1"/>
    <col min="7701" max="7936" width="11.42578125" style="95" customWidth="1"/>
    <col min="7937" max="7937" width="4.28515625" style="95" customWidth="1"/>
    <col min="7938" max="7938" width="43.140625" style="95" customWidth="1"/>
    <col min="7939" max="7939" width="21.85546875" style="95" customWidth="1"/>
    <col min="7940" max="7940" width="17.85546875" style="95" customWidth="1"/>
    <col min="7941" max="7941" width="17.7109375" style="95" customWidth="1"/>
    <col min="7942" max="7942" width="19.7109375" style="95" customWidth="1"/>
    <col min="7943" max="7943" width="16.85546875" style="95" customWidth="1"/>
    <col min="7944" max="7944" width="14" style="95" customWidth="1"/>
    <col min="7945" max="7945" width="16.85546875" style="95" customWidth="1"/>
    <col min="7946" max="7946" width="9.85546875" style="95" customWidth="1"/>
    <col min="7947" max="7947" width="20.28515625" style="95" customWidth="1"/>
    <col min="7948" max="7948" width="14.28515625" style="95" customWidth="1"/>
    <col min="7949" max="7949" width="20.85546875" style="95" customWidth="1"/>
    <col min="7950" max="7950" width="20.28515625" style="95" bestFit="1" customWidth="1"/>
    <col min="7951" max="7951" width="18.7109375" style="95" customWidth="1"/>
    <col min="7952" max="7952" width="10.85546875" style="95" customWidth="1"/>
    <col min="7953" max="7953" width="19.140625" style="95" customWidth="1"/>
    <col min="7954" max="7954" width="17.7109375" style="95" bestFit="1" customWidth="1"/>
    <col min="7955" max="7955" width="22.7109375" style="95" bestFit="1" customWidth="1"/>
    <col min="7956" max="7956" width="22.85546875" style="95" bestFit="1" customWidth="1"/>
    <col min="7957" max="8192" width="11.42578125" style="95" customWidth="1"/>
    <col min="8193" max="8193" width="4.28515625" style="95" customWidth="1"/>
    <col min="8194" max="8194" width="43.140625" style="95" customWidth="1"/>
    <col min="8195" max="8195" width="21.85546875" style="95" customWidth="1"/>
    <col min="8196" max="8196" width="17.85546875" style="95" customWidth="1"/>
    <col min="8197" max="8197" width="17.7109375" style="95" customWidth="1"/>
    <col min="8198" max="8198" width="19.7109375" style="95" customWidth="1"/>
    <col min="8199" max="8199" width="16.85546875" style="95" customWidth="1"/>
    <col min="8200" max="8200" width="14" style="95" customWidth="1"/>
    <col min="8201" max="8201" width="16.85546875" style="95" customWidth="1"/>
    <col min="8202" max="8202" width="9.85546875" style="95" customWidth="1"/>
    <col min="8203" max="8203" width="20.28515625" style="95" customWidth="1"/>
    <col min="8204" max="8204" width="14.28515625" style="95" customWidth="1"/>
    <col min="8205" max="8205" width="20.85546875" style="95" customWidth="1"/>
    <col min="8206" max="8206" width="20.28515625" style="95" bestFit="1" customWidth="1"/>
    <col min="8207" max="8207" width="18.7109375" style="95" customWidth="1"/>
    <col min="8208" max="8208" width="10.85546875" style="95" customWidth="1"/>
    <col min="8209" max="8209" width="19.140625" style="95" customWidth="1"/>
    <col min="8210" max="8210" width="17.7109375" style="95" bestFit="1" customWidth="1"/>
    <col min="8211" max="8211" width="22.7109375" style="95" bestFit="1" customWidth="1"/>
    <col min="8212" max="8212" width="22.85546875" style="95" bestFit="1" customWidth="1"/>
    <col min="8213" max="8448" width="11.42578125" style="95" customWidth="1"/>
    <col min="8449" max="8449" width="4.28515625" style="95" customWidth="1"/>
    <col min="8450" max="8450" width="43.140625" style="95" customWidth="1"/>
    <col min="8451" max="8451" width="21.85546875" style="95" customWidth="1"/>
    <col min="8452" max="8452" width="17.85546875" style="95" customWidth="1"/>
    <col min="8453" max="8453" width="17.7109375" style="95" customWidth="1"/>
    <col min="8454" max="8454" width="19.7109375" style="95" customWidth="1"/>
    <col min="8455" max="8455" width="16.85546875" style="95" customWidth="1"/>
    <col min="8456" max="8456" width="14" style="95" customWidth="1"/>
    <col min="8457" max="8457" width="16.85546875" style="95" customWidth="1"/>
    <col min="8458" max="8458" width="9.85546875" style="95" customWidth="1"/>
    <col min="8459" max="8459" width="20.28515625" style="95" customWidth="1"/>
    <col min="8460" max="8460" width="14.28515625" style="95" customWidth="1"/>
    <col min="8461" max="8461" width="20.85546875" style="95" customWidth="1"/>
    <col min="8462" max="8462" width="20.28515625" style="95" bestFit="1" customWidth="1"/>
    <col min="8463" max="8463" width="18.7109375" style="95" customWidth="1"/>
    <col min="8464" max="8464" width="10.85546875" style="95" customWidth="1"/>
    <col min="8465" max="8465" width="19.140625" style="95" customWidth="1"/>
    <col min="8466" max="8466" width="17.7109375" style="95" bestFit="1" customWidth="1"/>
    <col min="8467" max="8467" width="22.7109375" style="95" bestFit="1" customWidth="1"/>
    <col min="8468" max="8468" width="22.85546875" style="95" bestFit="1" customWidth="1"/>
    <col min="8469" max="8704" width="11.42578125" style="95" customWidth="1"/>
    <col min="8705" max="8705" width="4.28515625" style="95" customWidth="1"/>
    <col min="8706" max="8706" width="43.140625" style="95" customWidth="1"/>
    <col min="8707" max="8707" width="21.85546875" style="95" customWidth="1"/>
    <col min="8708" max="8708" width="17.85546875" style="95" customWidth="1"/>
    <col min="8709" max="8709" width="17.7109375" style="95" customWidth="1"/>
    <col min="8710" max="8710" width="19.7109375" style="95" customWidth="1"/>
    <col min="8711" max="8711" width="16.85546875" style="95" customWidth="1"/>
    <col min="8712" max="8712" width="14" style="95" customWidth="1"/>
    <col min="8713" max="8713" width="16.85546875" style="95" customWidth="1"/>
    <col min="8714" max="8714" width="9.85546875" style="95" customWidth="1"/>
    <col min="8715" max="8715" width="20.28515625" style="95" customWidth="1"/>
    <col min="8716" max="8716" width="14.28515625" style="95" customWidth="1"/>
    <col min="8717" max="8717" width="20.85546875" style="95" customWidth="1"/>
    <col min="8718" max="8718" width="20.28515625" style="95" bestFit="1" customWidth="1"/>
    <col min="8719" max="8719" width="18.7109375" style="95" customWidth="1"/>
    <col min="8720" max="8720" width="10.85546875" style="95" customWidth="1"/>
    <col min="8721" max="8721" width="19.140625" style="95" customWidth="1"/>
    <col min="8722" max="8722" width="17.7109375" style="95" bestFit="1" customWidth="1"/>
    <col min="8723" max="8723" width="22.7109375" style="95" bestFit="1" customWidth="1"/>
    <col min="8724" max="8724" width="22.85546875" style="95" bestFit="1" customWidth="1"/>
    <col min="8725" max="8960" width="11.42578125" style="95" customWidth="1"/>
    <col min="8961" max="8961" width="4.28515625" style="95" customWidth="1"/>
    <col min="8962" max="8962" width="43.140625" style="95" customWidth="1"/>
    <col min="8963" max="8963" width="21.85546875" style="95" customWidth="1"/>
    <col min="8964" max="8964" width="17.85546875" style="95" customWidth="1"/>
    <col min="8965" max="8965" width="17.7109375" style="95" customWidth="1"/>
    <col min="8966" max="8966" width="19.7109375" style="95" customWidth="1"/>
    <col min="8967" max="8967" width="16.85546875" style="95" customWidth="1"/>
    <col min="8968" max="8968" width="14" style="95" customWidth="1"/>
    <col min="8969" max="8969" width="16.85546875" style="95" customWidth="1"/>
    <col min="8970" max="8970" width="9.85546875" style="95" customWidth="1"/>
    <col min="8971" max="8971" width="20.28515625" style="95" customWidth="1"/>
    <col min="8972" max="8972" width="14.28515625" style="95" customWidth="1"/>
    <col min="8973" max="8973" width="20.85546875" style="95" customWidth="1"/>
    <col min="8974" max="8974" width="20.28515625" style="95" bestFit="1" customWidth="1"/>
    <col min="8975" max="8975" width="18.7109375" style="95" customWidth="1"/>
    <col min="8976" max="8976" width="10.85546875" style="95" customWidth="1"/>
    <col min="8977" max="8977" width="19.140625" style="95" customWidth="1"/>
    <col min="8978" max="8978" width="17.7109375" style="95" bestFit="1" customWidth="1"/>
    <col min="8979" max="8979" width="22.7109375" style="95" bestFit="1" customWidth="1"/>
    <col min="8980" max="8980" width="22.85546875" style="95" bestFit="1" customWidth="1"/>
    <col min="8981" max="9216" width="11.42578125" style="95" customWidth="1"/>
    <col min="9217" max="9217" width="4.28515625" style="95" customWidth="1"/>
    <col min="9218" max="9218" width="43.140625" style="95" customWidth="1"/>
    <col min="9219" max="9219" width="21.85546875" style="95" customWidth="1"/>
    <col min="9220" max="9220" width="17.85546875" style="95" customWidth="1"/>
    <col min="9221" max="9221" width="17.7109375" style="95" customWidth="1"/>
    <col min="9222" max="9222" width="19.7109375" style="95" customWidth="1"/>
    <col min="9223" max="9223" width="16.85546875" style="95" customWidth="1"/>
    <col min="9224" max="9224" width="14" style="95" customWidth="1"/>
    <col min="9225" max="9225" width="16.85546875" style="95" customWidth="1"/>
    <col min="9226" max="9226" width="9.85546875" style="95" customWidth="1"/>
    <col min="9227" max="9227" width="20.28515625" style="95" customWidth="1"/>
    <col min="9228" max="9228" width="14.28515625" style="95" customWidth="1"/>
    <col min="9229" max="9229" width="20.85546875" style="95" customWidth="1"/>
    <col min="9230" max="9230" width="20.28515625" style="95" bestFit="1" customWidth="1"/>
    <col min="9231" max="9231" width="18.7109375" style="95" customWidth="1"/>
    <col min="9232" max="9232" width="10.85546875" style="95" customWidth="1"/>
    <col min="9233" max="9233" width="19.140625" style="95" customWidth="1"/>
    <col min="9234" max="9234" width="17.7109375" style="95" bestFit="1" customWidth="1"/>
    <col min="9235" max="9235" width="22.7109375" style="95" bestFit="1" customWidth="1"/>
    <col min="9236" max="9236" width="22.85546875" style="95" bestFit="1" customWidth="1"/>
    <col min="9237" max="9472" width="11.42578125" style="95" customWidth="1"/>
    <col min="9473" max="9473" width="4.28515625" style="95" customWidth="1"/>
    <col min="9474" max="9474" width="43.140625" style="95" customWidth="1"/>
    <col min="9475" max="9475" width="21.85546875" style="95" customWidth="1"/>
    <col min="9476" max="9476" width="17.85546875" style="95" customWidth="1"/>
    <col min="9477" max="9477" width="17.7109375" style="95" customWidth="1"/>
    <col min="9478" max="9478" width="19.7109375" style="95" customWidth="1"/>
    <col min="9479" max="9479" width="16.85546875" style="95" customWidth="1"/>
    <col min="9480" max="9480" width="14" style="95" customWidth="1"/>
    <col min="9481" max="9481" width="16.85546875" style="95" customWidth="1"/>
    <col min="9482" max="9482" width="9.85546875" style="95" customWidth="1"/>
    <col min="9483" max="9483" width="20.28515625" style="95" customWidth="1"/>
    <col min="9484" max="9484" width="14.28515625" style="95" customWidth="1"/>
    <col min="9485" max="9485" width="20.85546875" style="95" customWidth="1"/>
    <col min="9486" max="9486" width="20.28515625" style="95" bestFit="1" customWidth="1"/>
    <col min="9487" max="9487" width="18.7109375" style="95" customWidth="1"/>
    <col min="9488" max="9488" width="10.85546875" style="95" customWidth="1"/>
    <col min="9489" max="9489" width="19.140625" style="95" customWidth="1"/>
    <col min="9490" max="9490" width="17.7109375" style="95" bestFit="1" customWidth="1"/>
    <col min="9491" max="9491" width="22.7109375" style="95" bestFit="1" customWidth="1"/>
    <col min="9492" max="9492" width="22.85546875" style="95" bestFit="1" customWidth="1"/>
    <col min="9493" max="9728" width="11.42578125" style="95" customWidth="1"/>
    <col min="9729" max="9729" width="4.28515625" style="95" customWidth="1"/>
    <col min="9730" max="9730" width="43.140625" style="95" customWidth="1"/>
    <col min="9731" max="9731" width="21.85546875" style="95" customWidth="1"/>
    <col min="9732" max="9732" width="17.85546875" style="95" customWidth="1"/>
    <col min="9733" max="9733" width="17.7109375" style="95" customWidth="1"/>
    <col min="9734" max="9734" width="19.7109375" style="95" customWidth="1"/>
    <col min="9735" max="9735" width="16.85546875" style="95" customWidth="1"/>
    <col min="9736" max="9736" width="14" style="95" customWidth="1"/>
    <col min="9737" max="9737" width="16.85546875" style="95" customWidth="1"/>
    <col min="9738" max="9738" width="9.85546875" style="95" customWidth="1"/>
    <col min="9739" max="9739" width="20.28515625" style="95" customWidth="1"/>
    <col min="9740" max="9740" width="14.28515625" style="95" customWidth="1"/>
    <col min="9741" max="9741" width="20.85546875" style="95" customWidth="1"/>
    <col min="9742" max="9742" width="20.28515625" style="95" bestFit="1" customWidth="1"/>
    <col min="9743" max="9743" width="18.7109375" style="95" customWidth="1"/>
    <col min="9744" max="9744" width="10.85546875" style="95" customWidth="1"/>
    <col min="9745" max="9745" width="19.140625" style="95" customWidth="1"/>
    <col min="9746" max="9746" width="17.7109375" style="95" bestFit="1" customWidth="1"/>
    <col min="9747" max="9747" width="22.7109375" style="95" bestFit="1" customWidth="1"/>
    <col min="9748" max="9748" width="22.85546875" style="95" bestFit="1" customWidth="1"/>
    <col min="9749" max="9984" width="11.42578125" style="95" customWidth="1"/>
    <col min="9985" max="9985" width="4.28515625" style="95" customWidth="1"/>
    <col min="9986" max="9986" width="43.140625" style="95" customWidth="1"/>
    <col min="9987" max="9987" width="21.85546875" style="95" customWidth="1"/>
    <col min="9988" max="9988" width="17.85546875" style="95" customWidth="1"/>
    <col min="9989" max="9989" width="17.7109375" style="95" customWidth="1"/>
    <col min="9990" max="9990" width="19.7109375" style="95" customWidth="1"/>
    <col min="9991" max="9991" width="16.85546875" style="95" customWidth="1"/>
    <col min="9992" max="9992" width="14" style="95" customWidth="1"/>
    <col min="9993" max="9993" width="16.85546875" style="95" customWidth="1"/>
    <col min="9994" max="9994" width="9.85546875" style="95" customWidth="1"/>
    <col min="9995" max="9995" width="20.28515625" style="95" customWidth="1"/>
    <col min="9996" max="9996" width="14.28515625" style="95" customWidth="1"/>
    <col min="9997" max="9997" width="20.85546875" style="95" customWidth="1"/>
    <col min="9998" max="9998" width="20.28515625" style="95" bestFit="1" customWidth="1"/>
    <col min="9999" max="9999" width="18.7109375" style="95" customWidth="1"/>
    <col min="10000" max="10000" width="10.85546875" style="95" customWidth="1"/>
    <col min="10001" max="10001" width="19.140625" style="95" customWidth="1"/>
    <col min="10002" max="10002" width="17.7109375" style="95" bestFit="1" customWidth="1"/>
    <col min="10003" max="10003" width="22.7109375" style="95" bestFit="1" customWidth="1"/>
    <col min="10004" max="10004" width="22.85546875" style="95" bestFit="1" customWidth="1"/>
    <col min="10005" max="10240" width="11.42578125" style="95" customWidth="1"/>
    <col min="10241" max="10241" width="4.28515625" style="95" customWidth="1"/>
    <col min="10242" max="10242" width="43.140625" style="95" customWidth="1"/>
    <col min="10243" max="10243" width="21.85546875" style="95" customWidth="1"/>
    <col min="10244" max="10244" width="17.85546875" style="95" customWidth="1"/>
    <col min="10245" max="10245" width="17.7109375" style="95" customWidth="1"/>
    <col min="10246" max="10246" width="19.7109375" style="95" customWidth="1"/>
    <col min="10247" max="10247" width="16.85546875" style="95" customWidth="1"/>
    <col min="10248" max="10248" width="14" style="95" customWidth="1"/>
    <col min="10249" max="10249" width="16.85546875" style="95" customWidth="1"/>
    <col min="10250" max="10250" width="9.85546875" style="95" customWidth="1"/>
    <col min="10251" max="10251" width="20.28515625" style="95" customWidth="1"/>
    <col min="10252" max="10252" width="14.28515625" style="95" customWidth="1"/>
    <col min="10253" max="10253" width="20.85546875" style="95" customWidth="1"/>
    <col min="10254" max="10254" width="20.28515625" style="95" bestFit="1" customWidth="1"/>
    <col min="10255" max="10255" width="18.7109375" style="95" customWidth="1"/>
    <col min="10256" max="10256" width="10.85546875" style="95" customWidth="1"/>
    <col min="10257" max="10257" width="19.140625" style="95" customWidth="1"/>
    <col min="10258" max="10258" width="17.7109375" style="95" bestFit="1" customWidth="1"/>
    <col min="10259" max="10259" width="22.7109375" style="95" bestFit="1" customWidth="1"/>
    <col min="10260" max="10260" width="22.85546875" style="95" bestFit="1" customWidth="1"/>
    <col min="10261" max="10496" width="11.42578125" style="95" customWidth="1"/>
    <col min="10497" max="10497" width="4.28515625" style="95" customWidth="1"/>
    <col min="10498" max="10498" width="43.140625" style="95" customWidth="1"/>
    <col min="10499" max="10499" width="21.85546875" style="95" customWidth="1"/>
    <col min="10500" max="10500" width="17.85546875" style="95" customWidth="1"/>
    <col min="10501" max="10501" width="17.7109375" style="95" customWidth="1"/>
    <col min="10502" max="10502" width="19.7109375" style="95" customWidth="1"/>
    <col min="10503" max="10503" width="16.85546875" style="95" customWidth="1"/>
    <col min="10504" max="10504" width="14" style="95" customWidth="1"/>
    <col min="10505" max="10505" width="16.85546875" style="95" customWidth="1"/>
    <col min="10506" max="10506" width="9.85546875" style="95" customWidth="1"/>
    <col min="10507" max="10507" width="20.28515625" style="95" customWidth="1"/>
    <col min="10508" max="10508" width="14.28515625" style="95" customWidth="1"/>
    <col min="10509" max="10509" width="20.85546875" style="95" customWidth="1"/>
    <col min="10510" max="10510" width="20.28515625" style="95" bestFit="1" customWidth="1"/>
    <col min="10511" max="10511" width="18.7109375" style="95" customWidth="1"/>
    <col min="10512" max="10512" width="10.85546875" style="95" customWidth="1"/>
    <col min="10513" max="10513" width="19.140625" style="95" customWidth="1"/>
    <col min="10514" max="10514" width="17.7109375" style="95" bestFit="1" customWidth="1"/>
    <col min="10515" max="10515" width="22.7109375" style="95" bestFit="1" customWidth="1"/>
    <col min="10516" max="10516" width="22.85546875" style="95" bestFit="1" customWidth="1"/>
    <col min="10517" max="10752" width="11.42578125" style="95" customWidth="1"/>
    <col min="10753" max="10753" width="4.28515625" style="95" customWidth="1"/>
    <col min="10754" max="10754" width="43.140625" style="95" customWidth="1"/>
    <col min="10755" max="10755" width="21.85546875" style="95" customWidth="1"/>
    <col min="10756" max="10756" width="17.85546875" style="95" customWidth="1"/>
    <col min="10757" max="10757" width="17.7109375" style="95" customWidth="1"/>
    <col min="10758" max="10758" width="19.7109375" style="95" customWidth="1"/>
    <col min="10759" max="10759" width="16.85546875" style="95" customWidth="1"/>
    <col min="10760" max="10760" width="14" style="95" customWidth="1"/>
    <col min="10761" max="10761" width="16.85546875" style="95" customWidth="1"/>
    <col min="10762" max="10762" width="9.85546875" style="95" customWidth="1"/>
    <col min="10763" max="10763" width="20.28515625" style="95" customWidth="1"/>
    <col min="10764" max="10764" width="14.28515625" style="95" customWidth="1"/>
    <col min="10765" max="10765" width="20.85546875" style="95" customWidth="1"/>
    <col min="10766" max="10766" width="20.28515625" style="95" bestFit="1" customWidth="1"/>
    <col min="10767" max="10767" width="18.7109375" style="95" customWidth="1"/>
    <col min="10768" max="10768" width="10.85546875" style="95" customWidth="1"/>
    <col min="10769" max="10769" width="19.140625" style="95" customWidth="1"/>
    <col min="10770" max="10770" width="17.7109375" style="95" bestFit="1" customWidth="1"/>
    <col min="10771" max="10771" width="22.7109375" style="95" bestFit="1" customWidth="1"/>
    <col min="10772" max="10772" width="22.85546875" style="95" bestFit="1" customWidth="1"/>
    <col min="10773" max="11008" width="11.42578125" style="95" customWidth="1"/>
    <col min="11009" max="11009" width="4.28515625" style="95" customWidth="1"/>
    <col min="11010" max="11010" width="43.140625" style="95" customWidth="1"/>
    <col min="11011" max="11011" width="21.85546875" style="95" customWidth="1"/>
    <col min="11012" max="11012" width="17.85546875" style="95" customWidth="1"/>
    <col min="11013" max="11013" width="17.7109375" style="95" customWidth="1"/>
    <col min="11014" max="11014" width="19.7109375" style="95" customWidth="1"/>
    <col min="11015" max="11015" width="16.85546875" style="95" customWidth="1"/>
    <col min="11016" max="11016" width="14" style="95" customWidth="1"/>
    <col min="11017" max="11017" width="16.85546875" style="95" customWidth="1"/>
    <col min="11018" max="11018" width="9.85546875" style="95" customWidth="1"/>
    <col min="11019" max="11019" width="20.28515625" style="95" customWidth="1"/>
    <col min="11020" max="11020" width="14.28515625" style="95" customWidth="1"/>
    <col min="11021" max="11021" width="20.85546875" style="95" customWidth="1"/>
    <col min="11022" max="11022" width="20.28515625" style="95" bestFit="1" customWidth="1"/>
    <col min="11023" max="11023" width="18.7109375" style="95" customWidth="1"/>
    <col min="11024" max="11024" width="10.85546875" style="95" customWidth="1"/>
    <col min="11025" max="11025" width="19.140625" style="95" customWidth="1"/>
    <col min="11026" max="11026" width="17.7109375" style="95" bestFit="1" customWidth="1"/>
    <col min="11027" max="11027" width="22.7109375" style="95" bestFit="1" customWidth="1"/>
    <col min="11028" max="11028" width="22.85546875" style="95" bestFit="1" customWidth="1"/>
    <col min="11029" max="11264" width="11.42578125" style="95" customWidth="1"/>
    <col min="11265" max="11265" width="4.28515625" style="95" customWidth="1"/>
    <col min="11266" max="11266" width="43.140625" style="95" customWidth="1"/>
    <col min="11267" max="11267" width="21.85546875" style="95" customWidth="1"/>
    <col min="11268" max="11268" width="17.85546875" style="95" customWidth="1"/>
    <col min="11269" max="11269" width="17.7109375" style="95" customWidth="1"/>
    <col min="11270" max="11270" width="19.7109375" style="95" customWidth="1"/>
    <col min="11271" max="11271" width="16.85546875" style="95" customWidth="1"/>
    <col min="11272" max="11272" width="14" style="95" customWidth="1"/>
    <col min="11273" max="11273" width="16.85546875" style="95" customWidth="1"/>
    <col min="11274" max="11274" width="9.85546875" style="95" customWidth="1"/>
    <col min="11275" max="11275" width="20.28515625" style="95" customWidth="1"/>
    <col min="11276" max="11276" width="14.28515625" style="95" customWidth="1"/>
    <col min="11277" max="11277" width="20.85546875" style="95" customWidth="1"/>
    <col min="11278" max="11278" width="20.28515625" style="95" bestFit="1" customWidth="1"/>
    <col min="11279" max="11279" width="18.7109375" style="95" customWidth="1"/>
    <col min="11280" max="11280" width="10.85546875" style="95" customWidth="1"/>
    <col min="11281" max="11281" width="19.140625" style="95" customWidth="1"/>
    <col min="11282" max="11282" width="17.7109375" style="95" bestFit="1" customWidth="1"/>
    <col min="11283" max="11283" width="22.7109375" style="95" bestFit="1" customWidth="1"/>
    <col min="11284" max="11284" width="22.85546875" style="95" bestFit="1" customWidth="1"/>
    <col min="11285" max="11520" width="11.42578125" style="95" customWidth="1"/>
    <col min="11521" max="11521" width="4.28515625" style="95" customWidth="1"/>
    <col min="11522" max="11522" width="43.140625" style="95" customWidth="1"/>
    <col min="11523" max="11523" width="21.85546875" style="95" customWidth="1"/>
    <col min="11524" max="11524" width="17.85546875" style="95" customWidth="1"/>
    <col min="11525" max="11525" width="17.7109375" style="95" customWidth="1"/>
    <col min="11526" max="11526" width="19.7109375" style="95" customWidth="1"/>
    <col min="11527" max="11527" width="16.85546875" style="95" customWidth="1"/>
    <col min="11528" max="11528" width="14" style="95" customWidth="1"/>
    <col min="11529" max="11529" width="16.85546875" style="95" customWidth="1"/>
    <col min="11530" max="11530" width="9.85546875" style="95" customWidth="1"/>
    <col min="11531" max="11531" width="20.28515625" style="95" customWidth="1"/>
    <col min="11532" max="11532" width="14.28515625" style="95" customWidth="1"/>
    <col min="11533" max="11533" width="20.85546875" style="95" customWidth="1"/>
    <col min="11534" max="11534" width="20.28515625" style="95" bestFit="1" customWidth="1"/>
    <col min="11535" max="11535" width="18.7109375" style="95" customWidth="1"/>
    <col min="11536" max="11536" width="10.85546875" style="95" customWidth="1"/>
    <col min="11537" max="11537" width="19.140625" style="95" customWidth="1"/>
    <col min="11538" max="11538" width="17.7109375" style="95" bestFit="1" customWidth="1"/>
    <col min="11539" max="11539" width="22.7109375" style="95" bestFit="1" customWidth="1"/>
    <col min="11540" max="11540" width="22.85546875" style="95" bestFit="1" customWidth="1"/>
    <col min="11541" max="11776" width="11.42578125" style="95" customWidth="1"/>
    <col min="11777" max="11777" width="4.28515625" style="95" customWidth="1"/>
    <col min="11778" max="11778" width="43.140625" style="95" customWidth="1"/>
    <col min="11779" max="11779" width="21.85546875" style="95" customWidth="1"/>
    <col min="11780" max="11780" width="17.85546875" style="95" customWidth="1"/>
    <col min="11781" max="11781" width="17.7109375" style="95" customWidth="1"/>
    <col min="11782" max="11782" width="19.7109375" style="95" customWidth="1"/>
    <col min="11783" max="11783" width="16.85546875" style="95" customWidth="1"/>
    <col min="11784" max="11784" width="14" style="95" customWidth="1"/>
    <col min="11785" max="11785" width="16.85546875" style="95" customWidth="1"/>
    <col min="11786" max="11786" width="9.85546875" style="95" customWidth="1"/>
    <col min="11787" max="11787" width="20.28515625" style="95" customWidth="1"/>
    <col min="11788" max="11788" width="14.28515625" style="95" customWidth="1"/>
    <col min="11789" max="11789" width="20.85546875" style="95" customWidth="1"/>
    <col min="11790" max="11790" width="20.28515625" style="95" bestFit="1" customWidth="1"/>
    <col min="11791" max="11791" width="18.7109375" style="95" customWidth="1"/>
    <col min="11792" max="11792" width="10.85546875" style="95" customWidth="1"/>
    <col min="11793" max="11793" width="19.140625" style="95" customWidth="1"/>
    <col min="11794" max="11794" width="17.7109375" style="95" bestFit="1" customWidth="1"/>
    <col min="11795" max="11795" width="22.7109375" style="95" bestFit="1" customWidth="1"/>
    <col min="11796" max="11796" width="22.85546875" style="95" bestFit="1" customWidth="1"/>
    <col min="11797" max="12032" width="11.42578125" style="95" customWidth="1"/>
    <col min="12033" max="12033" width="4.28515625" style="95" customWidth="1"/>
    <col min="12034" max="12034" width="43.140625" style="95" customWidth="1"/>
    <col min="12035" max="12035" width="21.85546875" style="95" customWidth="1"/>
    <col min="12036" max="12036" width="17.85546875" style="95" customWidth="1"/>
    <col min="12037" max="12037" width="17.7109375" style="95" customWidth="1"/>
    <col min="12038" max="12038" width="19.7109375" style="95" customWidth="1"/>
    <col min="12039" max="12039" width="16.85546875" style="95" customWidth="1"/>
    <col min="12040" max="12040" width="14" style="95" customWidth="1"/>
    <col min="12041" max="12041" width="16.85546875" style="95" customWidth="1"/>
    <col min="12042" max="12042" width="9.85546875" style="95" customWidth="1"/>
    <col min="12043" max="12043" width="20.28515625" style="95" customWidth="1"/>
    <col min="12044" max="12044" width="14.28515625" style="95" customWidth="1"/>
    <col min="12045" max="12045" width="20.85546875" style="95" customWidth="1"/>
    <col min="12046" max="12046" width="20.28515625" style="95" bestFit="1" customWidth="1"/>
    <col min="12047" max="12047" width="18.7109375" style="95" customWidth="1"/>
    <col min="12048" max="12048" width="10.85546875" style="95" customWidth="1"/>
    <col min="12049" max="12049" width="19.140625" style="95" customWidth="1"/>
    <col min="12050" max="12050" width="17.7109375" style="95" bestFit="1" customWidth="1"/>
    <col min="12051" max="12051" width="22.7109375" style="95" bestFit="1" customWidth="1"/>
    <col min="12052" max="12052" width="22.85546875" style="95" bestFit="1" customWidth="1"/>
    <col min="12053" max="12288" width="11.42578125" style="95" customWidth="1"/>
    <col min="12289" max="12289" width="4.28515625" style="95" customWidth="1"/>
    <col min="12290" max="12290" width="43.140625" style="95" customWidth="1"/>
    <col min="12291" max="12291" width="21.85546875" style="95" customWidth="1"/>
    <col min="12292" max="12292" width="17.85546875" style="95" customWidth="1"/>
    <col min="12293" max="12293" width="17.7109375" style="95" customWidth="1"/>
    <col min="12294" max="12294" width="19.7109375" style="95" customWidth="1"/>
    <col min="12295" max="12295" width="16.85546875" style="95" customWidth="1"/>
    <col min="12296" max="12296" width="14" style="95" customWidth="1"/>
    <col min="12297" max="12297" width="16.85546875" style="95" customWidth="1"/>
    <col min="12298" max="12298" width="9.85546875" style="95" customWidth="1"/>
    <col min="12299" max="12299" width="20.28515625" style="95" customWidth="1"/>
    <col min="12300" max="12300" width="14.28515625" style="95" customWidth="1"/>
    <col min="12301" max="12301" width="20.85546875" style="95" customWidth="1"/>
    <col min="12302" max="12302" width="20.28515625" style="95" bestFit="1" customWidth="1"/>
    <col min="12303" max="12303" width="18.7109375" style="95" customWidth="1"/>
    <col min="12304" max="12304" width="10.85546875" style="95" customWidth="1"/>
    <col min="12305" max="12305" width="19.140625" style="95" customWidth="1"/>
    <col min="12306" max="12306" width="17.7109375" style="95" bestFit="1" customWidth="1"/>
    <col min="12307" max="12307" width="22.7109375" style="95" bestFit="1" customWidth="1"/>
    <col min="12308" max="12308" width="22.85546875" style="95" bestFit="1" customWidth="1"/>
    <col min="12309" max="12544" width="11.42578125" style="95" customWidth="1"/>
    <col min="12545" max="12545" width="4.28515625" style="95" customWidth="1"/>
    <col min="12546" max="12546" width="43.140625" style="95" customWidth="1"/>
    <col min="12547" max="12547" width="21.85546875" style="95" customWidth="1"/>
    <col min="12548" max="12548" width="17.85546875" style="95" customWidth="1"/>
    <col min="12549" max="12549" width="17.7109375" style="95" customWidth="1"/>
    <col min="12550" max="12550" width="19.7109375" style="95" customWidth="1"/>
    <col min="12551" max="12551" width="16.85546875" style="95" customWidth="1"/>
    <col min="12552" max="12552" width="14" style="95" customWidth="1"/>
    <col min="12553" max="12553" width="16.85546875" style="95" customWidth="1"/>
    <col min="12554" max="12554" width="9.85546875" style="95" customWidth="1"/>
    <col min="12555" max="12555" width="20.28515625" style="95" customWidth="1"/>
    <col min="12556" max="12556" width="14.28515625" style="95" customWidth="1"/>
    <col min="12557" max="12557" width="20.85546875" style="95" customWidth="1"/>
    <col min="12558" max="12558" width="20.28515625" style="95" bestFit="1" customWidth="1"/>
    <col min="12559" max="12559" width="18.7109375" style="95" customWidth="1"/>
    <col min="12560" max="12560" width="10.85546875" style="95" customWidth="1"/>
    <col min="12561" max="12561" width="19.140625" style="95" customWidth="1"/>
    <col min="12562" max="12562" width="17.7109375" style="95" bestFit="1" customWidth="1"/>
    <col min="12563" max="12563" width="22.7109375" style="95" bestFit="1" customWidth="1"/>
    <col min="12564" max="12564" width="22.85546875" style="95" bestFit="1" customWidth="1"/>
    <col min="12565" max="12800" width="11.42578125" style="95" customWidth="1"/>
    <col min="12801" max="12801" width="4.28515625" style="95" customWidth="1"/>
    <col min="12802" max="12802" width="43.140625" style="95" customWidth="1"/>
    <col min="12803" max="12803" width="21.85546875" style="95" customWidth="1"/>
    <col min="12804" max="12804" width="17.85546875" style="95" customWidth="1"/>
    <col min="12805" max="12805" width="17.7109375" style="95" customWidth="1"/>
    <col min="12806" max="12806" width="19.7109375" style="95" customWidth="1"/>
    <col min="12807" max="12807" width="16.85546875" style="95" customWidth="1"/>
    <col min="12808" max="12808" width="14" style="95" customWidth="1"/>
    <col min="12809" max="12809" width="16.85546875" style="95" customWidth="1"/>
    <col min="12810" max="12810" width="9.85546875" style="95" customWidth="1"/>
    <col min="12811" max="12811" width="20.28515625" style="95" customWidth="1"/>
    <col min="12812" max="12812" width="14.28515625" style="95" customWidth="1"/>
    <col min="12813" max="12813" width="20.85546875" style="95" customWidth="1"/>
    <col min="12814" max="12814" width="20.28515625" style="95" bestFit="1" customWidth="1"/>
    <col min="12815" max="12815" width="18.7109375" style="95" customWidth="1"/>
    <col min="12816" max="12816" width="10.85546875" style="95" customWidth="1"/>
    <col min="12817" max="12817" width="19.140625" style="95" customWidth="1"/>
    <col min="12818" max="12818" width="17.7109375" style="95" bestFit="1" customWidth="1"/>
    <col min="12819" max="12819" width="22.7109375" style="95" bestFit="1" customWidth="1"/>
    <col min="12820" max="12820" width="22.85546875" style="95" bestFit="1" customWidth="1"/>
    <col min="12821" max="13056" width="11.42578125" style="95" customWidth="1"/>
    <col min="13057" max="13057" width="4.28515625" style="95" customWidth="1"/>
    <col min="13058" max="13058" width="43.140625" style="95" customWidth="1"/>
    <col min="13059" max="13059" width="21.85546875" style="95" customWidth="1"/>
    <col min="13060" max="13060" width="17.85546875" style="95" customWidth="1"/>
    <col min="13061" max="13061" width="17.7109375" style="95" customWidth="1"/>
    <col min="13062" max="13062" width="19.7109375" style="95" customWidth="1"/>
    <col min="13063" max="13063" width="16.85546875" style="95" customWidth="1"/>
    <col min="13064" max="13064" width="14" style="95" customWidth="1"/>
    <col min="13065" max="13065" width="16.85546875" style="95" customWidth="1"/>
    <col min="13066" max="13066" width="9.85546875" style="95" customWidth="1"/>
    <col min="13067" max="13067" width="20.28515625" style="95" customWidth="1"/>
    <col min="13068" max="13068" width="14.28515625" style="95" customWidth="1"/>
    <col min="13069" max="13069" width="20.85546875" style="95" customWidth="1"/>
    <col min="13070" max="13070" width="20.28515625" style="95" bestFit="1" customWidth="1"/>
    <col min="13071" max="13071" width="18.7109375" style="95" customWidth="1"/>
    <col min="13072" max="13072" width="10.85546875" style="95" customWidth="1"/>
    <col min="13073" max="13073" width="19.140625" style="95" customWidth="1"/>
    <col min="13074" max="13074" width="17.7109375" style="95" bestFit="1" customWidth="1"/>
    <col min="13075" max="13075" width="22.7109375" style="95" bestFit="1" customWidth="1"/>
    <col min="13076" max="13076" width="22.85546875" style="95" bestFit="1" customWidth="1"/>
    <col min="13077" max="13312" width="11.42578125" style="95" customWidth="1"/>
    <col min="13313" max="13313" width="4.28515625" style="95" customWidth="1"/>
    <col min="13314" max="13314" width="43.140625" style="95" customWidth="1"/>
    <col min="13315" max="13315" width="21.85546875" style="95" customWidth="1"/>
    <col min="13316" max="13316" width="17.85546875" style="95" customWidth="1"/>
    <col min="13317" max="13317" width="17.7109375" style="95" customWidth="1"/>
    <col min="13318" max="13318" width="19.7109375" style="95" customWidth="1"/>
    <col min="13319" max="13319" width="16.85546875" style="95" customWidth="1"/>
    <col min="13320" max="13320" width="14" style="95" customWidth="1"/>
    <col min="13321" max="13321" width="16.85546875" style="95" customWidth="1"/>
    <col min="13322" max="13322" width="9.85546875" style="95" customWidth="1"/>
    <col min="13323" max="13323" width="20.28515625" style="95" customWidth="1"/>
    <col min="13324" max="13324" width="14.28515625" style="95" customWidth="1"/>
    <col min="13325" max="13325" width="20.85546875" style="95" customWidth="1"/>
    <col min="13326" max="13326" width="20.28515625" style="95" bestFit="1" customWidth="1"/>
    <col min="13327" max="13327" width="18.7109375" style="95" customWidth="1"/>
    <col min="13328" max="13328" width="10.85546875" style="95" customWidth="1"/>
    <col min="13329" max="13329" width="19.140625" style="95" customWidth="1"/>
    <col min="13330" max="13330" width="17.7109375" style="95" bestFit="1" customWidth="1"/>
    <col min="13331" max="13331" width="22.7109375" style="95" bestFit="1" customWidth="1"/>
    <col min="13332" max="13332" width="22.85546875" style="95" bestFit="1" customWidth="1"/>
    <col min="13333" max="13568" width="11.42578125" style="95" customWidth="1"/>
    <col min="13569" max="13569" width="4.28515625" style="95" customWidth="1"/>
    <col min="13570" max="13570" width="43.140625" style="95" customWidth="1"/>
    <col min="13571" max="13571" width="21.85546875" style="95" customWidth="1"/>
    <col min="13572" max="13572" width="17.85546875" style="95" customWidth="1"/>
    <col min="13573" max="13573" width="17.7109375" style="95" customWidth="1"/>
    <col min="13574" max="13574" width="19.7109375" style="95" customWidth="1"/>
    <col min="13575" max="13575" width="16.85546875" style="95" customWidth="1"/>
    <col min="13576" max="13576" width="14" style="95" customWidth="1"/>
    <col min="13577" max="13577" width="16.85546875" style="95" customWidth="1"/>
    <col min="13578" max="13578" width="9.85546875" style="95" customWidth="1"/>
    <col min="13579" max="13579" width="20.28515625" style="95" customWidth="1"/>
    <col min="13580" max="13580" width="14.28515625" style="95" customWidth="1"/>
    <col min="13581" max="13581" width="20.85546875" style="95" customWidth="1"/>
    <col min="13582" max="13582" width="20.28515625" style="95" bestFit="1" customWidth="1"/>
    <col min="13583" max="13583" width="18.7109375" style="95" customWidth="1"/>
    <col min="13584" max="13584" width="10.85546875" style="95" customWidth="1"/>
    <col min="13585" max="13585" width="19.140625" style="95" customWidth="1"/>
    <col min="13586" max="13586" width="17.7109375" style="95" bestFit="1" customWidth="1"/>
    <col min="13587" max="13587" width="22.7109375" style="95" bestFit="1" customWidth="1"/>
    <col min="13588" max="13588" width="22.85546875" style="95" bestFit="1" customWidth="1"/>
    <col min="13589" max="13824" width="11.42578125" style="95" customWidth="1"/>
    <col min="13825" max="13825" width="4.28515625" style="95" customWidth="1"/>
    <col min="13826" max="13826" width="43.140625" style="95" customWidth="1"/>
    <col min="13827" max="13827" width="21.85546875" style="95" customWidth="1"/>
    <col min="13828" max="13828" width="17.85546875" style="95" customWidth="1"/>
    <col min="13829" max="13829" width="17.7109375" style="95" customWidth="1"/>
    <col min="13830" max="13830" width="19.7109375" style="95" customWidth="1"/>
    <col min="13831" max="13831" width="16.85546875" style="95" customWidth="1"/>
    <col min="13832" max="13832" width="14" style="95" customWidth="1"/>
    <col min="13833" max="13833" width="16.85546875" style="95" customWidth="1"/>
    <col min="13834" max="13834" width="9.85546875" style="95" customWidth="1"/>
    <col min="13835" max="13835" width="20.28515625" style="95" customWidth="1"/>
    <col min="13836" max="13836" width="14.28515625" style="95" customWidth="1"/>
    <col min="13837" max="13837" width="20.85546875" style="95" customWidth="1"/>
    <col min="13838" max="13838" width="20.28515625" style="95" bestFit="1" customWidth="1"/>
    <col min="13839" max="13839" width="18.7109375" style="95" customWidth="1"/>
    <col min="13840" max="13840" width="10.85546875" style="95" customWidth="1"/>
    <col min="13841" max="13841" width="19.140625" style="95" customWidth="1"/>
    <col min="13842" max="13842" width="17.7109375" style="95" bestFit="1" customWidth="1"/>
    <col min="13843" max="13843" width="22.7109375" style="95" bestFit="1" customWidth="1"/>
    <col min="13844" max="13844" width="22.85546875" style="95" bestFit="1" customWidth="1"/>
    <col min="13845" max="14080" width="11.42578125" style="95" customWidth="1"/>
    <col min="14081" max="14081" width="4.28515625" style="95" customWidth="1"/>
    <col min="14082" max="14082" width="43.140625" style="95" customWidth="1"/>
    <col min="14083" max="14083" width="21.85546875" style="95" customWidth="1"/>
    <col min="14084" max="14084" width="17.85546875" style="95" customWidth="1"/>
    <col min="14085" max="14085" width="17.7109375" style="95" customWidth="1"/>
    <col min="14086" max="14086" width="19.7109375" style="95" customWidth="1"/>
    <col min="14087" max="14087" width="16.85546875" style="95" customWidth="1"/>
    <col min="14088" max="14088" width="14" style="95" customWidth="1"/>
    <col min="14089" max="14089" width="16.85546875" style="95" customWidth="1"/>
    <col min="14090" max="14090" width="9.85546875" style="95" customWidth="1"/>
    <col min="14091" max="14091" width="20.28515625" style="95" customWidth="1"/>
    <col min="14092" max="14092" width="14.28515625" style="95" customWidth="1"/>
    <col min="14093" max="14093" width="20.85546875" style="95" customWidth="1"/>
    <col min="14094" max="14094" width="20.28515625" style="95" bestFit="1" customWidth="1"/>
    <col min="14095" max="14095" width="18.7109375" style="95" customWidth="1"/>
    <col min="14096" max="14096" width="10.85546875" style="95" customWidth="1"/>
    <col min="14097" max="14097" width="19.140625" style="95" customWidth="1"/>
    <col min="14098" max="14098" width="17.7109375" style="95" bestFit="1" customWidth="1"/>
    <col min="14099" max="14099" width="22.7109375" style="95" bestFit="1" customWidth="1"/>
    <col min="14100" max="14100" width="22.85546875" style="95" bestFit="1" customWidth="1"/>
    <col min="14101" max="14336" width="11.42578125" style="95" customWidth="1"/>
    <col min="14337" max="14337" width="4.28515625" style="95" customWidth="1"/>
    <col min="14338" max="14338" width="43.140625" style="95" customWidth="1"/>
    <col min="14339" max="14339" width="21.85546875" style="95" customWidth="1"/>
    <col min="14340" max="14340" width="17.85546875" style="95" customWidth="1"/>
    <col min="14341" max="14341" width="17.7109375" style="95" customWidth="1"/>
    <col min="14342" max="14342" width="19.7109375" style="95" customWidth="1"/>
    <col min="14343" max="14343" width="16.85546875" style="95" customWidth="1"/>
    <col min="14344" max="14344" width="14" style="95" customWidth="1"/>
    <col min="14345" max="14345" width="16.85546875" style="95" customWidth="1"/>
    <col min="14346" max="14346" width="9.85546875" style="95" customWidth="1"/>
    <col min="14347" max="14347" width="20.28515625" style="95" customWidth="1"/>
    <col min="14348" max="14348" width="14.28515625" style="95" customWidth="1"/>
    <col min="14349" max="14349" width="20.85546875" style="95" customWidth="1"/>
    <col min="14350" max="14350" width="20.28515625" style="95" bestFit="1" customWidth="1"/>
    <col min="14351" max="14351" width="18.7109375" style="95" customWidth="1"/>
    <col min="14352" max="14352" width="10.85546875" style="95" customWidth="1"/>
    <col min="14353" max="14353" width="19.140625" style="95" customWidth="1"/>
    <col min="14354" max="14354" width="17.7109375" style="95" bestFit="1" customWidth="1"/>
    <col min="14355" max="14355" width="22.7109375" style="95" bestFit="1" customWidth="1"/>
    <col min="14356" max="14356" width="22.85546875" style="95" bestFit="1" customWidth="1"/>
    <col min="14357" max="14592" width="11.42578125" style="95" customWidth="1"/>
    <col min="14593" max="14593" width="4.28515625" style="95" customWidth="1"/>
    <col min="14594" max="14594" width="43.140625" style="95" customWidth="1"/>
    <col min="14595" max="14595" width="21.85546875" style="95" customWidth="1"/>
    <col min="14596" max="14596" width="17.85546875" style="95" customWidth="1"/>
    <col min="14597" max="14597" width="17.7109375" style="95" customWidth="1"/>
    <col min="14598" max="14598" width="19.7109375" style="95" customWidth="1"/>
    <col min="14599" max="14599" width="16.85546875" style="95" customWidth="1"/>
    <col min="14600" max="14600" width="14" style="95" customWidth="1"/>
    <col min="14601" max="14601" width="16.85546875" style="95" customWidth="1"/>
    <col min="14602" max="14602" width="9.85546875" style="95" customWidth="1"/>
    <col min="14603" max="14603" width="20.28515625" style="95" customWidth="1"/>
    <col min="14604" max="14604" width="14.28515625" style="95" customWidth="1"/>
    <col min="14605" max="14605" width="20.85546875" style="95" customWidth="1"/>
    <col min="14606" max="14606" width="20.28515625" style="95" bestFit="1" customWidth="1"/>
    <col min="14607" max="14607" width="18.7109375" style="95" customWidth="1"/>
    <col min="14608" max="14608" width="10.85546875" style="95" customWidth="1"/>
    <col min="14609" max="14609" width="19.140625" style="95" customWidth="1"/>
    <col min="14610" max="14610" width="17.7109375" style="95" bestFit="1" customWidth="1"/>
    <col min="14611" max="14611" width="22.7109375" style="95" bestFit="1" customWidth="1"/>
    <col min="14612" max="14612" width="22.85546875" style="95" bestFit="1" customWidth="1"/>
    <col min="14613" max="14848" width="11.42578125" style="95" customWidth="1"/>
    <col min="14849" max="14849" width="4.28515625" style="95" customWidth="1"/>
    <col min="14850" max="14850" width="43.140625" style="95" customWidth="1"/>
    <col min="14851" max="14851" width="21.85546875" style="95" customWidth="1"/>
    <col min="14852" max="14852" width="17.85546875" style="95" customWidth="1"/>
    <col min="14853" max="14853" width="17.7109375" style="95" customWidth="1"/>
    <col min="14854" max="14854" width="19.7109375" style="95" customWidth="1"/>
    <col min="14855" max="14855" width="16.85546875" style="95" customWidth="1"/>
    <col min="14856" max="14856" width="14" style="95" customWidth="1"/>
    <col min="14857" max="14857" width="16.85546875" style="95" customWidth="1"/>
    <col min="14858" max="14858" width="9.85546875" style="95" customWidth="1"/>
    <col min="14859" max="14859" width="20.28515625" style="95" customWidth="1"/>
    <col min="14860" max="14860" width="14.28515625" style="95" customWidth="1"/>
    <col min="14861" max="14861" width="20.85546875" style="95" customWidth="1"/>
    <col min="14862" max="14862" width="20.28515625" style="95" bestFit="1" customWidth="1"/>
    <col min="14863" max="14863" width="18.7109375" style="95" customWidth="1"/>
    <col min="14864" max="14864" width="10.85546875" style="95" customWidth="1"/>
    <col min="14865" max="14865" width="19.140625" style="95" customWidth="1"/>
    <col min="14866" max="14866" width="17.7109375" style="95" bestFit="1" customWidth="1"/>
    <col min="14867" max="14867" width="22.7109375" style="95" bestFit="1" customWidth="1"/>
    <col min="14868" max="14868" width="22.85546875" style="95" bestFit="1" customWidth="1"/>
    <col min="14869" max="15104" width="11.42578125" style="95" customWidth="1"/>
    <col min="15105" max="15105" width="4.28515625" style="95" customWidth="1"/>
    <col min="15106" max="15106" width="43.140625" style="95" customWidth="1"/>
    <col min="15107" max="15107" width="21.85546875" style="95" customWidth="1"/>
    <col min="15108" max="15108" width="17.85546875" style="95" customWidth="1"/>
    <col min="15109" max="15109" width="17.7109375" style="95" customWidth="1"/>
    <col min="15110" max="15110" width="19.7109375" style="95" customWidth="1"/>
    <col min="15111" max="15111" width="16.85546875" style="95" customWidth="1"/>
    <col min="15112" max="15112" width="14" style="95" customWidth="1"/>
    <col min="15113" max="15113" width="16.85546875" style="95" customWidth="1"/>
    <col min="15114" max="15114" width="9.85546875" style="95" customWidth="1"/>
    <col min="15115" max="15115" width="20.28515625" style="95" customWidth="1"/>
    <col min="15116" max="15116" width="14.28515625" style="95" customWidth="1"/>
    <col min="15117" max="15117" width="20.85546875" style="95" customWidth="1"/>
    <col min="15118" max="15118" width="20.28515625" style="95" bestFit="1" customWidth="1"/>
    <col min="15119" max="15119" width="18.7109375" style="95" customWidth="1"/>
    <col min="15120" max="15120" width="10.85546875" style="95" customWidth="1"/>
    <col min="15121" max="15121" width="19.140625" style="95" customWidth="1"/>
    <col min="15122" max="15122" width="17.7109375" style="95" bestFit="1" customWidth="1"/>
    <col min="15123" max="15123" width="22.7109375" style="95" bestFit="1" customWidth="1"/>
    <col min="15124" max="15124" width="22.85546875" style="95" bestFit="1" customWidth="1"/>
    <col min="15125" max="15360" width="11.42578125" style="95" customWidth="1"/>
    <col min="15361" max="15361" width="4.28515625" style="95" customWidth="1"/>
    <col min="15362" max="15362" width="43.140625" style="95" customWidth="1"/>
    <col min="15363" max="15363" width="21.85546875" style="95" customWidth="1"/>
    <col min="15364" max="15364" width="17.85546875" style="95" customWidth="1"/>
    <col min="15365" max="15365" width="17.7109375" style="95" customWidth="1"/>
    <col min="15366" max="15366" width="19.7109375" style="95" customWidth="1"/>
    <col min="15367" max="15367" width="16.85546875" style="95" customWidth="1"/>
    <col min="15368" max="15368" width="14" style="95" customWidth="1"/>
    <col min="15369" max="15369" width="16.85546875" style="95" customWidth="1"/>
    <col min="15370" max="15370" width="9.85546875" style="95" customWidth="1"/>
    <col min="15371" max="15371" width="20.28515625" style="95" customWidth="1"/>
    <col min="15372" max="15372" width="14.28515625" style="95" customWidth="1"/>
    <col min="15373" max="15373" width="20.85546875" style="95" customWidth="1"/>
    <col min="15374" max="15374" width="20.28515625" style="95" bestFit="1" customWidth="1"/>
    <col min="15375" max="15375" width="18.7109375" style="95" customWidth="1"/>
    <col min="15376" max="15376" width="10.85546875" style="95" customWidth="1"/>
    <col min="15377" max="15377" width="19.140625" style="95" customWidth="1"/>
    <col min="15378" max="15378" width="17.7109375" style="95" bestFit="1" customWidth="1"/>
    <col min="15379" max="15379" width="22.7109375" style="95" bestFit="1" customWidth="1"/>
    <col min="15380" max="15380" width="22.85546875" style="95" bestFit="1" customWidth="1"/>
    <col min="15381" max="15616" width="11.42578125" style="95" customWidth="1"/>
    <col min="15617" max="15617" width="4.28515625" style="95" customWidth="1"/>
    <col min="15618" max="15618" width="43.140625" style="95" customWidth="1"/>
    <col min="15619" max="15619" width="21.85546875" style="95" customWidth="1"/>
    <col min="15620" max="15620" width="17.85546875" style="95" customWidth="1"/>
    <col min="15621" max="15621" width="17.7109375" style="95" customWidth="1"/>
    <col min="15622" max="15622" width="19.7109375" style="95" customWidth="1"/>
    <col min="15623" max="15623" width="16.85546875" style="95" customWidth="1"/>
    <col min="15624" max="15624" width="14" style="95" customWidth="1"/>
    <col min="15625" max="15625" width="16.85546875" style="95" customWidth="1"/>
    <col min="15626" max="15626" width="9.85546875" style="95" customWidth="1"/>
    <col min="15627" max="15627" width="20.28515625" style="95" customWidth="1"/>
    <col min="15628" max="15628" width="14.28515625" style="95" customWidth="1"/>
    <col min="15629" max="15629" width="20.85546875" style="95" customWidth="1"/>
    <col min="15630" max="15630" width="20.28515625" style="95" bestFit="1" customWidth="1"/>
    <col min="15631" max="15631" width="18.7109375" style="95" customWidth="1"/>
    <col min="15632" max="15632" width="10.85546875" style="95" customWidth="1"/>
    <col min="15633" max="15633" width="19.140625" style="95" customWidth="1"/>
    <col min="15634" max="15634" width="17.7109375" style="95" bestFit="1" customWidth="1"/>
    <col min="15635" max="15635" width="22.7109375" style="95" bestFit="1" customWidth="1"/>
    <col min="15636" max="15636" width="22.85546875" style="95" bestFit="1" customWidth="1"/>
    <col min="15637" max="15872" width="11.42578125" style="95" customWidth="1"/>
    <col min="15873" max="15873" width="4.28515625" style="95" customWidth="1"/>
    <col min="15874" max="15874" width="43.140625" style="95" customWidth="1"/>
    <col min="15875" max="15875" width="21.85546875" style="95" customWidth="1"/>
    <col min="15876" max="15876" width="17.85546875" style="95" customWidth="1"/>
    <col min="15877" max="15877" width="17.7109375" style="95" customWidth="1"/>
    <col min="15878" max="15878" width="19.7109375" style="95" customWidth="1"/>
    <col min="15879" max="15879" width="16.85546875" style="95" customWidth="1"/>
    <col min="15880" max="15880" width="14" style="95" customWidth="1"/>
    <col min="15881" max="15881" width="16.85546875" style="95" customWidth="1"/>
    <col min="15882" max="15882" width="9.85546875" style="95" customWidth="1"/>
    <col min="15883" max="15883" width="20.28515625" style="95" customWidth="1"/>
    <col min="15884" max="15884" width="14.28515625" style="95" customWidth="1"/>
    <col min="15885" max="15885" width="20.85546875" style="95" customWidth="1"/>
    <col min="15886" max="15886" width="20.28515625" style="95" bestFit="1" customWidth="1"/>
    <col min="15887" max="15887" width="18.7109375" style="95" customWidth="1"/>
    <col min="15888" max="15888" width="10.85546875" style="95" customWidth="1"/>
    <col min="15889" max="15889" width="19.140625" style="95" customWidth="1"/>
    <col min="15890" max="15890" width="17.7109375" style="95" bestFit="1" customWidth="1"/>
    <col min="15891" max="15891" width="22.7109375" style="95" bestFit="1" customWidth="1"/>
    <col min="15892" max="15892" width="22.85546875" style="95" bestFit="1" customWidth="1"/>
    <col min="15893" max="16128" width="11.42578125" style="95" customWidth="1"/>
    <col min="16129" max="16129" width="4.28515625" style="95" customWidth="1"/>
    <col min="16130" max="16130" width="43.140625" style="95" customWidth="1"/>
    <col min="16131" max="16131" width="21.85546875" style="95" customWidth="1"/>
    <col min="16132" max="16132" width="17.85546875" style="95" customWidth="1"/>
    <col min="16133" max="16133" width="17.7109375" style="95" customWidth="1"/>
    <col min="16134" max="16134" width="19.7109375" style="95" customWidth="1"/>
    <col min="16135" max="16135" width="16.85546875" style="95" customWidth="1"/>
    <col min="16136" max="16136" width="14" style="95" customWidth="1"/>
    <col min="16137" max="16137" width="16.85546875" style="95" customWidth="1"/>
    <col min="16138" max="16138" width="9.85546875" style="95" customWidth="1"/>
    <col min="16139" max="16139" width="20.28515625" style="95" customWidth="1"/>
    <col min="16140" max="16140" width="14.28515625" style="95" customWidth="1"/>
    <col min="16141" max="16141" width="20.85546875" style="95" customWidth="1"/>
    <col min="16142" max="16142" width="20.28515625" style="95" bestFit="1" customWidth="1"/>
    <col min="16143" max="16143" width="18.7109375" style="95" customWidth="1"/>
    <col min="16144" max="16144" width="10.85546875" style="95" customWidth="1"/>
    <col min="16145" max="16145" width="19.140625" style="95" customWidth="1"/>
    <col min="16146" max="16146" width="17.7109375" style="95" bestFit="1" customWidth="1"/>
    <col min="16147" max="16147" width="22.7109375" style="95" bestFit="1" customWidth="1"/>
    <col min="16148" max="16148" width="22.85546875" style="95" bestFit="1" customWidth="1"/>
    <col min="16149" max="16384" width="11.42578125" style="95" customWidth="1"/>
  </cols>
  <sheetData>
    <row r="2" spans="1:17" ht="22.5" x14ac:dyDescent="0.25">
      <c r="A2" s="94">
        <v>782</v>
      </c>
      <c r="B2" s="710" t="s">
        <v>4002</v>
      </c>
      <c r="C2" s="711"/>
      <c r="D2" s="711"/>
      <c r="E2" s="711"/>
      <c r="F2" s="711"/>
      <c r="G2" s="711"/>
      <c r="H2" s="711"/>
      <c r="I2" s="711"/>
      <c r="J2" s="711"/>
      <c r="K2" s="711"/>
    </row>
    <row r="3" spans="1:17" ht="36" customHeight="1" x14ac:dyDescent="0.25">
      <c r="A3" s="712" t="s">
        <v>4003</v>
      </c>
      <c r="B3" s="712"/>
      <c r="C3" s="712"/>
      <c r="D3" s="712"/>
      <c r="E3" s="712"/>
      <c r="F3" s="712"/>
      <c r="G3" s="712"/>
      <c r="H3" s="712"/>
      <c r="I3" s="712"/>
      <c r="J3" s="712"/>
      <c r="K3" s="712"/>
    </row>
    <row r="4" spans="1:17" ht="11.1" customHeight="1" x14ac:dyDescent="0.25"/>
    <row r="5" spans="1:17" x14ac:dyDescent="0.25">
      <c r="B5" s="98" t="s">
        <v>4004</v>
      </c>
    </row>
    <row r="6" spans="1:17" x14ac:dyDescent="0.25">
      <c r="A6" s="99"/>
      <c r="B6" s="100" t="s">
        <v>4005</v>
      </c>
      <c r="C6" s="101"/>
      <c r="D6" s="101"/>
      <c r="E6" s="101"/>
      <c r="F6" s="102" t="s">
        <v>4006</v>
      </c>
      <c r="G6" s="103"/>
      <c r="H6" s="103"/>
      <c r="I6" s="103"/>
      <c r="J6" s="103"/>
      <c r="K6" s="103"/>
      <c r="O6" s="104"/>
      <c r="Q6" s="104"/>
    </row>
    <row r="7" spans="1:17" x14ac:dyDescent="0.25">
      <c r="A7" s="105"/>
      <c r="B7" s="106" t="s">
        <v>4007</v>
      </c>
      <c r="C7" s="104"/>
      <c r="D7" s="104"/>
      <c r="E7" s="104"/>
      <c r="F7" s="106" t="s">
        <v>4008</v>
      </c>
      <c r="O7" s="104"/>
      <c r="Q7" s="104"/>
    </row>
    <row r="8" spans="1:17" x14ac:dyDescent="0.25">
      <c r="A8" s="107"/>
      <c r="B8" s="106" t="s">
        <v>4009</v>
      </c>
      <c r="C8" s="104"/>
      <c r="D8" s="104"/>
      <c r="F8" s="106" t="s">
        <v>4010</v>
      </c>
      <c r="O8" s="104"/>
      <c r="Q8" s="104"/>
    </row>
    <row r="9" spans="1:17" x14ac:dyDescent="0.25">
      <c r="A9" s="108"/>
      <c r="B9" s="106" t="s">
        <v>4011</v>
      </c>
      <c r="F9" s="106" t="s">
        <v>4012</v>
      </c>
    </row>
    <row r="10" spans="1:17" x14ac:dyDescent="0.25">
      <c r="A10" s="109"/>
      <c r="B10" s="106" t="s">
        <v>4013</v>
      </c>
      <c r="E10" s="110"/>
      <c r="F10" s="106" t="s">
        <v>4014</v>
      </c>
    </row>
    <row r="11" spans="1:17" ht="15.75" thickBot="1" x14ac:dyDescent="0.3"/>
    <row r="12" spans="1:17" s="130" customFormat="1" ht="33.75" x14ac:dyDescent="0.25">
      <c r="A12" s="111"/>
      <c r="B12" s="112" t="s">
        <v>4015</v>
      </c>
      <c r="C12" s="113" t="s">
        <v>4016</v>
      </c>
      <c r="D12" s="113" t="s">
        <v>4017</v>
      </c>
      <c r="E12" s="113" t="s">
        <v>4018</v>
      </c>
      <c r="F12" s="113" t="s">
        <v>4019</v>
      </c>
      <c r="G12" s="113" t="s">
        <v>4020</v>
      </c>
      <c r="H12" s="113" t="s">
        <v>4021</v>
      </c>
      <c r="I12" s="113" t="s">
        <v>4022</v>
      </c>
      <c r="J12" s="113" t="s">
        <v>4023</v>
      </c>
      <c r="K12" s="114" t="s">
        <v>4024</v>
      </c>
      <c r="L12" s="436" t="s">
        <v>4669</v>
      </c>
      <c r="M12" s="436" t="s">
        <v>4671</v>
      </c>
    </row>
    <row r="13" spans="1:17" s="130" customFormat="1" ht="22.5" x14ac:dyDescent="0.25">
      <c r="A13" s="131" t="s">
        <v>4025</v>
      </c>
      <c r="B13" s="132" t="s">
        <v>4026</v>
      </c>
      <c r="C13" s="133" t="s">
        <v>4027</v>
      </c>
      <c r="D13" s="134" t="s">
        <v>4028</v>
      </c>
      <c r="E13" s="135">
        <v>320</v>
      </c>
      <c r="F13" s="136">
        <v>100</v>
      </c>
      <c r="G13" s="133" t="s">
        <v>3505</v>
      </c>
      <c r="H13" s="133" t="s">
        <v>4029</v>
      </c>
      <c r="I13" s="133" t="s">
        <v>4030</v>
      </c>
      <c r="J13" s="133" t="s">
        <v>4031</v>
      </c>
      <c r="K13" s="137" t="s">
        <v>4032</v>
      </c>
      <c r="L13" s="457"/>
      <c r="M13" s="457"/>
    </row>
    <row r="14" spans="1:17" s="130" customFormat="1" x14ac:dyDescent="0.25">
      <c r="A14" s="138">
        <v>2</v>
      </c>
      <c r="B14" s="132" t="s">
        <v>4033</v>
      </c>
      <c r="C14" s="133" t="s">
        <v>4034</v>
      </c>
      <c r="D14" s="134" t="s">
        <v>4028</v>
      </c>
      <c r="E14" s="135">
        <v>540</v>
      </c>
      <c r="F14" s="136">
        <v>100</v>
      </c>
      <c r="G14" s="133" t="s">
        <v>4035</v>
      </c>
      <c r="H14" s="133" t="s">
        <v>4036</v>
      </c>
      <c r="I14" s="133" t="s">
        <v>4037</v>
      </c>
      <c r="J14" s="133" t="s">
        <v>4031</v>
      </c>
      <c r="K14" s="137" t="s">
        <v>4038</v>
      </c>
      <c r="L14" s="457"/>
      <c r="M14" s="457"/>
    </row>
    <row r="15" spans="1:17" s="130" customFormat="1" x14ac:dyDescent="0.25">
      <c r="A15" s="138">
        <v>3</v>
      </c>
      <c r="B15" s="132" t="s">
        <v>4039</v>
      </c>
      <c r="C15" s="133" t="s">
        <v>4040</v>
      </c>
      <c r="D15" s="134" t="s">
        <v>4028</v>
      </c>
      <c r="E15" s="135">
        <v>555</v>
      </c>
      <c r="F15" s="136">
        <v>100</v>
      </c>
      <c r="G15" s="133" t="s">
        <v>4041</v>
      </c>
      <c r="H15" s="133" t="s">
        <v>4042</v>
      </c>
      <c r="I15" s="133" t="s">
        <v>4043</v>
      </c>
      <c r="J15" s="133" t="s">
        <v>4031</v>
      </c>
      <c r="K15" s="137" t="s">
        <v>4044</v>
      </c>
      <c r="L15" s="457"/>
      <c r="M15" s="457"/>
    </row>
    <row r="16" spans="1:17" s="130" customFormat="1" x14ac:dyDescent="0.25">
      <c r="A16" s="139">
        <v>4</v>
      </c>
      <c r="B16" s="140" t="s">
        <v>4045</v>
      </c>
      <c r="C16" s="141" t="s">
        <v>4046</v>
      </c>
      <c r="D16" s="142" t="s">
        <v>4028</v>
      </c>
      <c r="E16" s="143">
        <v>90</v>
      </c>
      <c r="F16" s="144">
        <v>100</v>
      </c>
      <c r="G16" s="141" t="s">
        <v>3385</v>
      </c>
      <c r="H16" s="141" t="s">
        <v>4047</v>
      </c>
      <c r="I16" s="141" t="s">
        <v>4048</v>
      </c>
      <c r="J16" s="141" t="s">
        <v>4031</v>
      </c>
      <c r="K16" s="145" t="s">
        <v>4049</v>
      </c>
      <c r="L16" s="457"/>
      <c r="M16" s="457"/>
    </row>
    <row r="17" spans="1:13" s="130" customFormat="1" x14ac:dyDescent="0.25">
      <c r="A17" s="139">
        <v>5</v>
      </c>
      <c r="B17" s="140" t="s">
        <v>4050</v>
      </c>
      <c r="C17" s="141" t="s">
        <v>4051</v>
      </c>
      <c r="D17" s="142" t="s">
        <v>4028</v>
      </c>
      <c r="E17" s="143">
        <v>135</v>
      </c>
      <c r="F17" s="144">
        <v>100</v>
      </c>
      <c r="G17" s="141" t="s">
        <v>4052</v>
      </c>
      <c r="H17" s="141" t="s">
        <v>4047</v>
      </c>
      <c r="I17" s="141" t="s">
        <v>4048</v>
      </c>
      <c r="J17" s="141" t="s">
        <v>4031</v>
      </c>
      <c r="K17" s="145" t="s">
        <v>4053</v>
      </c>
      <c r="L17" s="457"/>
      <c r="M17" s="457"/>
    </row>
    <row r="18" spans="1:13" s="130" customFormat="1" x14ac:dyDescent="0.25">
      <c r="A18" s="139">
        <v>6</v>
      </c>
      <c r="B18" s="140" t="s">
        <v>4054</v>
      </c>
      <c r="C18" s="141" t="s">
        <v>4055</v>
      </c>
      <c r="D18" s="142" t="s">
        <v>4028</v>
      </c>
      <c r="E18" s="143">
        <v>40</v>
      </c>
      <c r="F18" s="144">
        <v>100</v>
      </c>
      <c r="G18" s="141" t="s">
        <v>4056</v>
      </c>
      <c r="H18" s="141" t="s">
        <v>4057</v>
      </c>
      <c r="I18" s="141" t="s">
        <v>4058</v>
      </c>
      <c r="J18" s="141" t="s">
        <v>4059</v>
      </c>
      <c r="K18" s="145" t="s">
        <v>4060</v>
      </c>
      <c r="L18" s="457"/>
      <c r="M18" s="457"/>
    </row>
    <row r="19" spans="1:13" s="130" customFormat="1" x14ac:dyDescent="0.25">
      <c r="A19" s="139">
        <v>7</v>
      </c>
      <c r="B19" s="140" t="s">
        <v>4061</v>
      </c>
      <c r="C19" s="141" t="s">
        <v>4062</v>
      </c>
      <c r="D19" s="142" t="s">
        <v>4028</v>
      </c>
      <c r="E19" s="143">
        <v>95</v>
      </c>
      <c r="F19" s="144">
        <v>100</v>
      </c>
      <c r="G19" s="141" t="s">
        <v>4063</v>
      </c>
      <c r="H19" s="141" t="s">
        <v>4064</v>
      </c>
      <c r="I19" s="141" t="s">
        <v>4065</v>
      </c>
      <c r="J19" s="141" t="s">
        <v>4059</v>
      </c>
      <c r="K19" s="145" t="s">
        <v>4066</v>
      </c>
      <c r="L19" s="457"/>
      <c r="M19" s="457"/>
    </row>
    <row r="20" spans="1:13" s="130" customFormat="1" x14ac:dyDescent="0.25">
      <c r="A20" s="139">
        <v>8</v>
      </c>
      <c r="B20" s="140" t="s">
        <v>4067</v>
      </c>
      <c r="C20" s="141" t="s">
        <v>4068</v>
      </c>
      <c r="D20" s="142" t="s">
        <v>4028</v>
      </c>
      <c r="E20" s="143">
        <v>40</v>
      </c>
      <c r="F20" s="144">
        <v>100</v>
      </c>
      <c r="G20" s="141" t="s">
        <v>4056</v>
      </c>
      <c r="H20" s="141" t="s">
        <v>4057</v>
      </c>
      <c r="I20" s="141" t="s">
        <v>4058</v>
      </c>
      <c r="J20" s="141" t="s">
        <v>4059</v>
      </c>
      <c r="K20" s="145" t="s">
        <v>4069</v>
      </c>
      <c r="L20" s="457"/>
      <c r="M20" s="457"/>
    </row>
    <row r="21" spans="1:13" s="130" customFormat="1" x14ac:dyDescent="0.25">
      <c r="A21" s="139">
        <v>9</v>
      </c>
      <c r="B21" s="140" t="s">
        <v>4070</v>
      </c>
      <c r="C21" s="141" t="s">
        <v>4071</v>
      </c>
      <c r="D21" s="142" t="s">
        <v>4028</v>
      </c>
      <c r="E21" s="143">
        <v>49.5</v>
      </c>
      <c r="F21" s="144">
        <v>100</v>
      </c>
      <c r="G21" s="141" t="s">
        <v>3385</v>
      </c>
      <c r="H21" s="141" t="s">
        <v>4072</v>
      </c>
      <c r="I21" s="141" t="s">
        <v>4073</v>
      </c>
      <c r="J21" s="141" t="s">
        <v>4059</v>
      </c>
      <c r="K21" s="145" t="s">
        <v>4074</v>
      </c>
      <c r="L21" s="457"/>
      <c r="M21" s="457"/>
    </row>
    <row r="22" spans="1:13" s="130" customFormat="1" x14ac:dyDescent="0.25">
      <c r="A22" s="139">
        <v>10</v>
      </c>
      <c r="B22" s="140" t="s">
        <v>4075</v>
      </c>
      <c r="C22" s="141" t="s">
        <v>4076</v>
      </c>
      <c r="D22" s="142" t="s">
        <v>4028</v>
      </c>
      <c r="E22" s="143">
        <v>49.5</v>
      </c>
      <c r="F22" s="144">
        <v>100</v>
      </c>
      <c r="G22" s="141" t="s">
        <v>3385</v>
      </c>
      <c r="H22" s="141" t="s">
        <v>4077</v>
      </c>
      <c r="I22" s="141" t="s">
        <v>4078</v>
      </c>
      <c r="J22" s="141" t="s">
        <v>4059</v>
      </c>
      <c r="K22" s="145" t="s">
        <v>4079</v>
      </c>
      <c r="L22" s="457"/>
      <c r="M22" s="457"/>
    </row>
    <row r="23" spans="1:13" s="130" customFormat="1" x14ac:dyDescent="0.25">
      <c r="A23" s="146"/>
      <c r="B23" s="713" t="s">
        <v>4080</v>
      </c>
      <c r="C23" s="714"/>
      <c r="D23" s="715"/>
      <c r="E23" s="147">
        <f>SUM(E13:E22)</f>
        <v>1914</v>
      </c>
      <c r="F23" s="148"/>
      <c r="G23" s="149"/>
      <c r="H23" s="149"/>
      <c r="I23" s="149"/>
      <c r="J23" s="149"/>
      <c r="K23" s="150"/>
      <c r="L23" s="457"/>
      <c r="M23" s="457"/>
    </row>
    <row r="24" spans="1:13" s="130" customFormat="1" x14ac:dyDescent="0.25">
      <c r="A24" s="139">
        <v>11</v>
      </c>
      <c r="B24" s="140" t="s">
        <v>4081</v>
      </c>
      <c r="C24" s="141" t="s">
        <v>4082</v>
      </c>
      <c r="D24" s="151" t="s">
        <v>4028</v>
      </c>
      <c r="E24" s="143">
        <v>50</v>
      </c>
      <c r="F24" s="144">
        <v>100</v>
      </c>
      <c r="G24" s="141" t="s">
        <v>4083</v>
      </c>
      <c r="H24" s="141" t="s">
        <v>4084</v>
      </c>
      <c r="I24" s="141" t="s">
        <v>4085</v>
      </c>
      <c r="J24" s="141" t="s">
        <v>4059</v>
      </c>
      <c r="K24" s="145" t="s">
        <v>4086</v>
      </c>
      <c r="L24" s="457"/>
      <c r="M24" s="457"/>
    </row>
    <row r="25" spans="1:13" s="130" customFormat="1" x14ac:dyDescent="0.25">
      <c r="A25" s="139">
        <v>12</v>
      </c>
      <c r="B25" s="140" t="s">
        <v>4087</v>
      </c>
      <c r="C25" s="141" t="s">
        <v>4088</v>
      </c>
      <c r="D25" s="151" t="s">
        <v>4028</v>
      </c>
      <c r="E25" s="143">
        <v>135</v>
      </c>
      <c r="F25" s="144">
        <v>100</v>
      </c>
      <c r="G25" s="141" t="s">
        <v>4089</v>
      </c>
      <c r="H25" s="141" t="s">
        <v>4090</v>
      </c>
      <c r="I25" s="141" t="s">
        <v>4091</v>
      </c>
      <c r="J25" s="141" t="s">
        <v>4059</v>
      </c>
      <c r="K25" s="145" t="s">
        <v>4092</v>
      </c>
      <c r="L25" s="457"/>
      <c r="M25" s="457"/>
    </row>
    <row r="26" spans="1:13" s="130" customFormat="1" x14ac:dyDescent="0.25">
      <c r="A26" s="139">
        <v>13</v>
      </c>
      <c r="B26" s="132" t="s">
        <v>4093</v>
      </c>
      <c r="C26" s="133" t="s">
        <v>4094</v>
      </c>
      <c r="D26" s="152" t="s">
        <v>4028</v>
      </c>
      <c r="E26" s="135">
        <v>887</v>
      </c>
      <c r="F26" s="136">
        <v>100</v>
      </c>
      <c r="G26" s="133" t="s">
        <v>4041</v>
      </c>
      <c r="H26" s="133" t="s">
        <v>4095</v>
      </c>
      <c r="I26" s="133" t="s">
        <v>4096</v>
      </c>
      <c r="J26" s="133" t="s">
        <v>4097</v>
      </c>
      <c r="K26" s="137" t="s">
        <v>4098</v>
      </c>
      <c r="L26" s="457"/>
      <c r="M26" s="457"/>
    </row>
    <row r="27" spans="1:13" s="130" customFormat="1" x14ac:dyDescent="0.25">
      <c r="A27" s="139">
        <v>14</v>
      </c>
      <c r="B27" s="132" t="s">
        <v>4099</v>
      </c>
      <c r="C27" s="133" t="s">
        <v>4100</v>
      </c>
      <c r="D27" s="152" t="s">
        <v>4028</v>
      </c>
      <c r="E27" s="135">
        <v>96</v>
      </c>
      <c r="F27" s="136">
        <v>100</v>
      </c>
      <c r="G27" s="133" t="s">
        <v>4063</v>
      </c>
      <c r="H27" s="133" t="s">
        <v>4101</v>
      </c>
      <c r="I27" s="133" t="s">
        <v>4102</v>
      </c>
      <c r="J27" s="133" t="s">
        <v>4103</v>
      </c>
      <c r="K27" s="137" t="s">
        <v>4104</v>
      </c>
      <c r="L27" s="457"/>
      <c r="M27" s="457"/>
    </row>
    <row r="28" spans="1:13" s="130" customFormat="1" x14ac:dyDescent="0.25">
      <c r="A28" s="139">
        <v>15</v>
      </c>
      <c r="B28" s="132" t="s">
        <v>4105</v>
      </c>
      <c r="C28" s="133" t="s">
        <v>4106</v>
      </c>
      <c r="D28" s="152" t="s">
        <v>4028</v>
      </c>
      <c r="E28" s="135">
        <v>1060</v>
      </c>
      <c r="F28" s="136">
        <v>100</v>
      </c>
      <c r="G28" s="133" t="s">
        <v>4083</v>
      </c>
      <c r="H28" s="133" t="s">
        <v>4107</v>
      </c>
      <c r="I28" s="133" t="s">
        <v>4108</v>
      </c>
      <c r="J28" s="133" t="s">
        <v>4103</v>
      </c>
      <c r="K28" s="137" t="s">
        <v>4109</v>
      </c>
      <c r="L28" s="457"/>
      <c r="M28" s="457"/>
    </row>
    <row r="29" spans="1:13" s="130" customFormat="1" x14ac:dyDescent="0.25">
      <c r="A29" s="153" t="s">
        <v>4110</v>
      </c>
      <c r="B29" s="132" t="s">
        <v>4111</v>
      </c>
      <c r="C29" s="133" t="s">
        <v>4112</v>
      </c>
      <c r="D29" s="152" t="s">
        <v>4028</v>
      </c>
      <c r="E29" s="135">
        <v>225</v>
      </c>
      <c r="F29" s="136">
        <v>100</v>
      </c>
      <c r="G29" s="133" t="s">
        <v>4113</v>
      </c>
      <c r="H29" s="133" t="s">
        <v>4064</v>
      </c>
      <c r="I29" s="133" t="s">
        <v>4114</v>
      </c>
      <c r="J29" s="133" t="s">
        <v>4115</v>
      </c>
      <c r="K29" s="137" t="s">
        <v>4116</v>
      </c>
      <c r="L29" s="457"/>
      <c r="M29" s="457"/>
    </row>
    <row r="30" spans="1:13" s="130" customFormat="1" x14ac:dyDescent="0.25">
      <c r="A30" s="153">
        <v>17</v>
      </c>
      <c r="B30" s="132" t="s">
        <v>4117</v>
      </c>
      <c r="C30" s="133" t="s">
        <v>4118</v>
      </c>
      <c r="D30" s="152" t="s">
        <v>4028</v>
      </c>
      <c r="E30" s="135">
        <v>51</v>
      </c>
      <c r="F30" s="136">
        <v>100</v>
      </c>
      <c r="G30" s="133" t="s">
        <v>4119</v>
      </c>
      <c r="H30" s="133" t="s">
        <v>4120</v>
      </c>
      <c r="I30" s="133" t="s">
        <v>4121</v>
      </c>
      <c r="J30" s="133" t="s">
        <v>4103</v>
      </c>
      <c r="K30" s="137" t="s">
        <v>4122</v>
      </c>
      <c r="L30" s="457"/>
      <c r="M30" s="457"/>
    </row>
    <row r="31" spans="1:13" s="159" customFormat="1" x14ac:dyDescent="0.25">
      <c r="A31" s="154"/>
      <c r="B31" s="716" t="s">
        <v>4123</v>
      </c>
      <c r="C31" s="717"/>
      <c r="D31" s="718"/>
      <c r="E31" s="155">
        <f>SUM(E24:E30)</f>
        <v>2504</v>
      </c>
      <c r="F31" s="156"/>
      <c r="G31" s="157"/>
      <c r="H31" s="157"/>
      <c r="I31" s="157"/>
      <c r="J31" s="157"/>
      <c r="K31" s="158"/>
      <c r="L31" s="457"/>
      <c r="M31" s="457"/>
    </row>
    <row r="32" spans="1:13" s="130" customFormat="1" x14ac:dyDescent="0.25">
      <c r="A32" s="139">
        <v>18</v>
      </c>
      <c r="B32" s="132" t="s">
        <v>4124</v>
      </c>
      <c r="C32" s="133" t="s">
        <v>4125</v>
      </c>
      <c r="D32" s="152" t="s">
        <v>4028</v>
      </c>
      <c r="E32" s="135">
        <v>1124</v>
      </c>
      <c r="F32" s="136">
        <v>100</v>
      </c>
      <c r="G32" s="133" t="s">
        <v>3505</v>
      </c>
      <c r="H32" s="133" t="s">
        <v>4126</v>
      </c>
      <c r="I32" s="133" t="s">
        <v>4127</v>
      </c>
      <c r="J32" s="133" t="s">
        <v>4128</v>
      </c>
      <c r="K32" s="137" t="s">
        <v>4129</v>
      </c>
      <c r="L32" s="457"/>
      <c r="M32" s="457"/>
    </row>
    <row r="33" spans="1:13" s="130" customFormat="1" x14ac:dyDescent="0.25">
      <c r="A33" s="139">
        <v>19</v>
      </c>
      <c r="B33" s="132" t="s">
        <v>4130</v>
      </c>
      <c r="C33" s="133" t="s">
        <v>4131</v>
      </c>
      <c r="D33" s="152" t="s">
        <v>4028</v>
      </c>
      <c r="E33" s="135">
        <v>180</v>
      </c>
      <c r="F33" s="136">
        <v>100</v>
      </c>
      <c r="G33" s="133" t="s">
        <v>4089</v>
      </c>
      <c r="H33" s="133" t="s">
        <v>4132</v>
      </c>
      <c r="I33" s="133" t="s">
        <v>4133</v>
      </c>
      <c r="J33" s="133" t="s">
        <v>4134</v>
      </c>
      <c r="K33" s="137" t="s">
        <v>4129</v>
      </c>
      <c r="L33" s="457"/>
      <c r="M33" s="457"/>
    </row>
    <row r="34" spans="1:13" s="130" customFormat="1" ht="22.5" x14ac:dyDescent="0.25">
      <c r="A34" s="139">
        <v>20</v>
      </c>
      <c r="B34" s="132" t="s">
        <v>4135</v>
      </c>
      <c r="C34" s="133" t="s">
        <v>4136</v>
      </c>
      <c r="D34" s="152" t="s">
        <v>4028</v>
      </c>
      <c r="E34" s="135">
        <v>0</v>
      </c>
      <c r="F34" s="136">
        <v>100</v>
      </c>
      <c r="G34" s="133" t="s">
        <v>4089</v>
      </c>
      <c r="H34" s="133" t="s">
        <v>4137</v>
      </c>
      <c r="I34" s="133" t="s">
        <v>4133</v>
      </c>
      <c r="J34" s="133" t="s">
        <v>4134</v>
      </c>
      <c r="K34" s="137" t="s">
        <v>4129</v>
      </c>
      <c r="L34" s="457"/>
      <c r="M34" s="457"/>
    </row>
    <row r="35" spans="1:13" s="130" customFormat="1" x14ac:dyDescent="0.25">
      <c r="A35" s="139">
        <v>21</v>
      </c>
      <c r="B35" s="132" t="s">
        <v>4138</v>
      </c>
      <c r="C35" s="133" t="s">
        <v>4139</v>
      </c>
      <c r="D35" s="152" t="s">
        <v>4028</v>
      </c>
      <c r="E35" s="135">
        <v>830</v>
      </c>
      <c r="F35" s="136">
        <v>100</v>
      </c>
      <c r="G35" s="133" t="s">
        <v>4056</v>
      </c>
      <c r="H35" s="133" t="s">
        <v>4140</v>
      </c>
      <c r="I35" s="133" t="s">
        <v>4141</v>
      </c>
      <c r="J35" s="133" t="s">
        <v>4142</v>
      </c>
      <c r="K35" s="137" t="s">
        <v>4143</v>
      </c>
      <c r="L35" s="457"/>
      <c r="M35" s="457"/>
    </row>
    <row r="36" spans="1:13" s="130" customFormat="1" x14ac:dyDescent="0.25">
      <c r="A36" s="139">
        <v>22</v>
      </c>
      <c r="B36" s="132" t="s">
        <v>4144</v>
      </c>
      <c r="C36" s="133" t="s">
        <v>4145</v>
      </c>
      <c r="D36" s="152" t="s">
        <v>4028</v>
      </c>
      <c r="E36" s="135">
        <v>169</v>
      </c>
      <c r="F36" s="136">
        <v>100</v>
      </c>
      <c r="G36" s="133" t="s">
        <v>4146</v>
      </c>
      <c r="H36" s="133" t="s">
        <v>4147</v>
      </c>
      <c r="I36" s="133" t="s">
        <v>4148</v>
      </c>
      <c r="J36" s="133" t="s">
        <v>4149</v>
      </c>
      <c r="K36" s="137" t="s">
        <v>4150</v>
      </c>
      <c r="L36" s="457"/>
      <c r="M36" s="457"/>
    </row>
    <row r="37" spans="1:13" s="130" customFormat="1" ht="22.5" x14ac:dyDescent="0.25">
      <c r="A37" s="160" t="s">
        <v>4151</v>
      </c>
      <c r="B37" s="132" t="s">
        <v>4152</v>
      </c>
      <c r="C37" s="133" t="s">
        <v>4153</v>
      </c>
      <c r="D37" s="152" t="s">
        <v>4028</v>
      </c>
      <c r="E37" s="135">
        <v>265</v>
      </c>
      <c r="F37" s="136">
        <v>100</v>
      </c>
      <c r="G37" s="133" t="s">
        <v>3505</v>
      </c>
      <c r="H37" s="133" t="s">
        <v>4154</v>
      </c>
      <c r="I37" s="133" t="s">
        <v>4155</v>
      </c>
      <c r="J37" s="133" t="s">
        <v>4156</v>
      </c>
      <c r="K37" s="137" t="s">
        <v>4150</v>
      </c>
      <c r="L37" s="457"/>
      <c r="M37" s="457"/>
    </row>
    <row r="38" spans="1:13" s="130" customFormat="1" x14ac:dyDescent="0.25">
      <c r="A38" s="139">
        <v>23</v>
      </c>
      <c r="B38" s="132" t="s">
        <v>4157</v>
      </c>
      <c r="C38" s="133" t="s">
        <v>4158</v>
      </c>
      <c r="D38" s="152" t="s">
        <v>4028</v>
      </c>
      <c r="E38" s="135">
        <v>80</v>
      </c>
      <c r="F38" s="136">
        <v>100</v>
      </c>
      <c r="G38" s="133" t="s">
        <v>4159</v>
      </c>
      <c r="H38" s="133" t="s">
        <v>4160</v>
      </c>
      <c r="I38" s="133" t="s">
        <v>4161</v>
      </c>
      <c r="J38" s="133" t="s">
        <v>4134</v>
      </c>
      <c r="K38" s="137" t="s">
        <v>4162</v>
      </c>
      <c r="L38" s="457"/>
      <c r="M38" s="457"/>
    </row>
    <row r="39" spans="1:13" s="130" customFormat="1" x14ac:dyDescent="0.25">
      <c r="A39" s="139">
        <v>24</v>
      </c>
      <c r="B39" s="132" t="s">
        <v>4163</v>
      </c>
      <c r="C39" s="133" t="s">
        <v>4164</v>
      </c>
      <c r="D39" s="152" t="s">
        <v>4028</v>
      </c>
      <c r="E39" s="135">
        <v>520</v>
      </c>
      <c r="F39" s="136">
        <v>100</v>
      </c>
      <c r="G39" s="133" t="s">
        <v>4052</v>
      </c>
      <c r="H39" s="133" t="s">
        <v>4165</v>
      </c>
      <c r="I39" s="133" t="s">
        <v>4166</v>
      </c>
      <c r="J39" s="133" t="s">
        <v>4149</v>
      </c>
      <c r="K39" s="137" t="s">
        <v>4167</v>
      </c>
      <c r="L39" s="457"/>
      <c r="M39" s="457"/>
    </row>
    <row r="40" spans="1:13" s="130" customFormat="1" x14ac:dyDescent="0.25">
      <c r="A40" s="139">
        <v>25</v>
      </c>
      <c r="B40" s="132" t="s">
        <v>4168</v>
      </c>
      <c r="C40" s="133" t="s">
        <v>4169</v>
      </c>
      <c r="D40" s="152" t="s">
        <v>4028</v>
      </c>
      <c r="E40" s="135">
        <v>500</v>
      </c>
      <c r="F40" s="136">
        <v>100</v>
      </c>
      <c r="G40" s="133" t="s">
        <v>3505</v>
      </c>
      <c r="H40" s="133" t="s">
        <v>4029</v>
      </c>
      <c r="I40" s="133" t="s">
        <v>4170</v>
      </c>
      <c r="J40" s="133" t="s">
        <v>4171</v>
      </c>
      <c r="K40" s="137" t="s">
        <v>4172</v>
      </c>
      <c r="L40" s="457"/>
      <c r="M40" s="457"/>
    </row>
    <row r="41" spans="1:13" s="130" customFormat="1" x14ac:dyDescent="0.25">
      <c r="A41" s="160" t="s">
        <v>4173</v>
      </c>
      <c r="B41" s="132" t="s">
        <v>4174</v>
      </c>
      <c r="C41" s="133" t="s">
        <v>4112</v>
      </c>
      <c r="D41" s="152" t="s">
        <v>4028</v>
      </c>
      <c r="E41" s="135">
        <v>225</v>
      </c>
      <c r="F41" s="136">
        <v>100</v>
      </c>
      <c r="G41" s="133" t="s">
        <v>4113</v>
      </c>
      <c r="H41" s="133" t="s">
        <v>4064</v>
      </c>
      <c r="I41" s="133" t="s">
        <v>4114</v>
      </c>
      <c r="J41" s="133" t="s">
        <v>4115</v>
      </c>
      <c r="K41" s="137" t="s">
        <v>4175</v>
      </c>
      <c r="L41" s="457"/>
      <c r="M41" s="457"/>
    </row>
    <row r="42" spans="1:13" s="159" customFormat="1" x14ac:dyDescent="0.25">
      <c r="A42" s="154"/>
      <c r="B42" s="716" t="s">
        <v>4176</v>
      </c>
      <c r="C42" s="717"/>
      <c r="D42" s="718"/>
      <c r="E42" s="155">
        <f>SUM(E32:E41)</f>
        <v>3893</v>
      </c>
      <c r="F42" s="156"/>
      <c r="G42" s="157"/>
      <c r="H42" s="157"/>
      <c r="I42" s="157"/>
      <c r="J42" s="157"/>
      <c r="K42" s="158"/>
      <c r="L42" s="457"/>
      <c r="M42" s="457"/>
    </row>
    <row r="43" spans="1:13" s="130" customFormat="1" ht="22.5" x14ac:dyDescent="0.25">
      <c r="A43" s="139">
        <v>26</v>
      </c>
      <c r="B43" s="132" t="s">
        <v>4177</v>
      </c>
      <c r="C43" s="133" t="s">
        <v>4178</v>
      </c>
      <c r="D43" s="152" t="s">
        <v>4028</v>
      </c>
      <c r="E43" s="135">
        <v>147</v>
      </c>
      <c r="F43" s="136">
        <v>100</v>
      </c>
      <c r="G43" s="133" t="s">
        <v>4089</v>
      </c>
      <c r="H43" s="133" t="s">
        <v>4179</v>
      </c>
      <c r="I43" s="133" t="s">
        <v>4180</v>
      </c>
      <c r="J43" s="133" t="s">
        <v>4181</v>
      </c>
      <c r="K43" s="137" t="s">
        <v>4182</v>
      </c>
      <c r="L43" s="457"/>
      <c r="M43" s="457"/>
    </row>
    <row r="44" spans="1:13" s="130" customFormat="1" x14ac:dyDescent="0.25">
      <c r="A44" s="139">
        <v>27</v>
      </c>
      <c r="B44" s="132" t="s">
        <v>4183</v>
      </c>
      <c r="C44" s="133" t="s">
        <v>4184</v>
      </c>
      <c r="D44" s="152" t="s">
        <v>4028</v>
      </c>
      <c r="E44" s="135">
        <v>750</v>
      </c>
      <c r="F44" s="136">
        <v>100</v>
      </c>
      <c r="G44" s="133" t="s">
        <v>3505</v>
      </c>
      <c r="H44" s="133" t="s">
        <v>4185</v>
      </c>
      <c r="I44" s="133" t="s">
        <v>4186</v>
      </c>
      <c r="J44" s="133" t="s">
        <v>4187</v>
      </c>
      <c r="K44" s="137" t="s">
        <v>4188</v>
      </c>
      <c r="L44" s="457"/>
      <c r="M44" s="457"/>
    </row>
    <row r="45" spans="1:13" s="130" customFormat="1" x14ac:dyDescent="0.25">
      <c r="A45" s="139">
        <v>28</v>
      </c>
      <c r="B45" s="132" t="s">
        <v>4189</v>
      </c>
      <c r="C45" s="133" t="s">
        <v>4190</v>
      </c>
      <c r="D45" s="152" t="s">
        <v>4028</v>
      </c>
      <c r="E45" s="135">
        <v>600</v>
      </c>
      <c r="F45" s="136">
        <v>100</v>
      </c>
      <c r="G45" s="133" t="s">
        <v>4089</v>
      </c>
      <c r="H45" s="133" t="s">
        <v>4191</v>
      </c>
      <c r="I45" s="133" t="s">
        <v>4192</v>
      </c>
      <c r="J45" s="133" t="s">
        <v>4142</v>
      </c>
      <c r="K45" s="137" t="s">
        <v>4193</v>
      </c>
      <c r="L45" s="457"/>
      <c r="M45" s="457"/>
    </row>
    <row r="46" spans="1:13" s="130" customFormat="1" x14ac:dyDescent="0.25">
      <c r="A46" s="139">
        <v>29</v>
      </c>
      <c r="B46" s="132" t="s">
        <v>4194</v>
      </c>
      <c r="C46" s="133" t="s">
        <v>4195</v>
      </c>
      <c r="D46" s="152" t="s">
        <v>4028</v>
      </c>
      <c r="E46" s="135">
        <v>97</v>
      </c>
      <c r="F46" s="136">
        <v>100</v>
      </c>
      <c r="G46" s="133" t="s">
        <v>3474</v>
      </c>
      <c r="H46" s="133" t="s">
        <v>4196</v>
      </c>
      <c r="I46" s="133" t="s">
        <v>4197</v>
      </c>
      <c r="J46" s="133" t="s">
        <v>4198</v>
      </c>
      <c r="K46" s="137" t="s">
        <v>4199</v>
      </c>
      <c r="L46" s="457"/>
      <c r="M46" s="457"/>
    </row>
    <row r="47" spans="1:13" s="130" customFormat="1" x14ac:dyDescent="0.25">
      <c r="A47" s="139">
        <v>30</v>
      </c>
      <c r="B47" s="132" t="s">
        <v>4200</v>
      </c>
      <c r="C47" s="133" t="s">
        <v>4201</v>
      </c>
      <c r="D47" s="152" t="s">
        <v>4028</v>
      </c>
      <c r="E47" s="135">
        <v>328</v>
      </c>
      <c r="F47" s="136">
        <v>100</v>
      </c>
      <c r="G47" s="133" t="s">
        <v>4202</v>
      </c>
      <c r="H47" s="133" t="s">
        <v>4203</v>
      </c>
      <c r="I47" s="133" t="s">
        <v>4204</v>
      </c>
      <c r="J47" s="133" t="s">
        <v>4198</v>
      </c>
      <c r="K47" s="137" t="s">
        <v>4205</v>
      </c>
      <c r="L47" s="457"/>
      <c r="M47" s="457"/>
    </row>
    <row r="48" spans="1:13" s="130" customFormat="1" x14ac:dyDescent="0.25">
      <c r="A48" s="139">
        <v>31</v>
      </c>
      <c r="B48" s="132" t="s">
        <v>4206</v>
      </c>
      <c r="C48" s="133" t="s">
        <v>4207</v>
      </c>
      <c r="D48" s="152" t="s">
        <v>4028</v>
      </c>
      <c r="E48" s="135">
        <v>134</v>
      </c>
      <c r="F48" s="136">
        <v>100</v>
      </c>
      <c r="G48" s="133" t="s">
        <v>4202</v>
      </c>
      <c r="H48" s="133" t="s">
        <v>4208</v>
      </c>
      <c r="I48" s="133" t="s">
        <v>4209</v>
      </c>
      <c r="J48" s="133" t="s">
        <v>4210</v>
      </c>
      <c r="K48" s="137" t="s">
        <v>4211</v>
      </c>
      <c r="L48" s="457"/>
      <c r="M48" s="457"/>
    </row>
    <row r="49" spans="1:13" s="130" customFormat="1" x14ac:dyDescent="0.25">
      <c r="A49" s="153">
        <v>32</v>
      </c>
      <c r="B49" s="132" t="s">
        <v>4212</v>
      </c>
      <c r="C49" s="133" t="s">
        <v>4213</v>
      </c>
      <c r="D49" s="152" t="s">
        <v>4028</v>
      </c>
      <c r="E49" s="135">
        <v>528</v>
      </c>
      <c r="F49" s="136">
        <v>100</v>
      </c>
      <c r="G49" s="133" t="s">
        <v>4056</v>
      </c>
      <c r="H49" s="133" t="s">
        <v>4165</v>
      </c>
      <c r="I49" s="133" t="s">
        <v>4066</v>
      </c>
      <c r="J49" s="133" t="s">
        <v>4156</v>
      </c>
      <c r="K49" s="137" t="s">
        <v>4214</v>
      </c>
      <c r="L49" s="457"/>
      <c r="M49" s="457"/>
    </row>
    <row r="50" spans="1:13" s="159" customFormat="1" x14ac:dyDescent="0.25">
      <c r="A50" s="154"/>
      <c r="B50" s="716" t="s">
        <v>4215</v>
      </c>
      <c r="C50" s="717"/>
      <c r="D50" s="718"/>
      <c r="E50" s="155">
        <f>SUM(E43:E49)</f>
        <v>2584</v>
      </c>
      <c r="F50" s="156"/>
      <c r="G50" s="157"/>
      <c r="H50" s="157"/>
      <c r="I50" s="157"/>
      <c r="J50" s="157"/>
      <c r="K50" s="158"/>
      <c r="L50" s="457"/>
      <c r="M50" s="457"/>
    </row>
    <row r="51" spans="1:13" s="130" customFormat="1" x14ac:dyDescent="0.25">
      <c r="A51" s="153">
        <v>33</v>
      </c>
      <c r="B51" s="132" t="s">
        <v>4216</v>
      </c>
      <c r="C51" s="133" t="s">
        <v>4213</v>
      </c>
      <c r="D51" s="152" t="s">
        <v>4028</v>
      </c>
      <c r="E51" s="135">
        <v>528</v>
      </c>
      <c r="F51" s="136">
        <v>100</v>
      </c>
      <c r="G51" s="133" t="s">
        <v>4056</v>
      </c>
      <c r="H51" s="133" t="s">
        <v>4165</v>
      </c>
      <c r="I51" s="133" t="s">
        <v>4066</v>
      </c>
      <c r="J51" s="133" t="s">
        <v>4156</v>
      </c>
      <c r="K51" s="137" t="s">
        <v>4217</v>
      </c>
      <c r="L51" s="457"/>
      <c r="M51" s="457"/>
    </row>
    <row r="52" spans="1:13" s="130" customFormat="1" x14ac:dyDescent="0.25">
      <c r="A52" s="139">
        <v>34</v>
      </c>
      <c r="B52" s="132" t="s">
        <v>4218</v>
      </c>
      <c r="C52" s="133" t="s">
        <v>4219</v>
      </c>
      <c r="D52" s="152" t="s">
        <v>4028</v>
      </c>
      <c r="E52" s="135">
        <v>500</v>
      </c>
      <c r="F52" s="136">
        <v>100</v>
      </c>
      <c r="G52" s="133" t="s">
        <v>4220</v>
      </c>
      <c r="H52" s="133" t="s">
        <v>4179</v>
      </c>
      <c r="I52" s="133" t="s">
        <v>4221</v>
      </c>
      <c r="J52" s="133" t="s">
        <v>4222</v>
      </c>
      <c r="K52" s="137" t="s">
        <v>4223</v>
      </c>
      <c r="L52" s="457"/>
      <c r="M52" s="457"/>
    </row>
    <row r="53" spans="1:13" s="130" customFormat="1" x14ac:dyDescent="0.25">
      <c r="A53" s="139">
        <v>35</v>
      </c>
      <c r="B53" s="132" t="s">
        <v>4224</v>
      </c>
      <c r="C53" s="133" t="s">
        <v>4225</v>
      </c>
      <c r="D53" s="152" t="s">
        <v>4028</v>
      </c>
      <c r="E53" s="135">
        <v>250</v>
      </c>
      <c r="F53" s="136">
        <v>100</v>
      </c>
      <c r="G53" s="133" t="s">
        <v>4159</v>
      </c>
      <c r="H53" s="133" t="s">
        <v>4226</v>
      </c>
      <c r="I53" s="133" t="s">
        <v>4227</v>
      </c>
      <c r="J53" s="133" t="s">
        <v>4228</v>
      </c>
      <c r="K53" s="137" t="s">
        <v>4229</v>
      </c>
      <c r="L53" s="457"/>
      <c r="M53" s="457"/>
    </row>
    <row r="54" spans="1:13" s="130" customFormat="1" x14ac:dyDescent="0.25">
      <c r="A54" s="139">
        <v>36</v>
      </c>
      <c r="B54" s="132" t="s">
        <v>4230</v>
      </c>
      <c r="C54" s="133" t="s">
        <v>4231</v>
      </c>
      <c r="D54" s="152" t="s">
        <v>4028</v>
      </c>
      <c r="E54" s="135">
        <v>546</v>
      </c>
      <c r="F54" s="136">
        <v>100</v>
      </c>
      <c r="G54" s="133" t="s">
        <v>3385</v>
      </c>
      <c r="H54" s="133" t="s">
        <v>4232</v>
      </c>
      <c r="I54" s="133" t="s">
        <v>4233</v>
      </c>
      <c r="J54" s="133" t="s">
        <v>4234</v>
      </c>
      <c r="K54" s="137" t="s">
        <v>4235</v>
      </c>
      <c r="L54" s="457"/>
      <c r="M54" s="457"/>
    </row>
    <row r="55" spans="1:13" s="130" customFormat="1" ht="22.5" x14ac:dyDescent="0.25">
      <c r="A55" s="139">
        <v>37</v>
      </c>
      <c r="B55" s="132" t="s">
        <v>4236</v>
      </c>
      <c r="C55" s="133" t="s">
        <v>4237</v>
      </c>
      <c r="D55" s="152" t="s">
        <v>4028</v>
      </c>
      <c r="E55" s="135">
        <v>96</v>
      </c>
      <c r="F55" s="136">
        <v>100</v>
      </c>
      <c r="G55" s="133" t="s">
        <v>4052</v>
      </c>
      <c r="H55" s="133" t="s">
        <v>4238</v>
      </c>
      <c r="I55" s="133" t="s">
        <v>4239</v>
      </c>
      <c r="J55" s="133" t="s">
        <v>4210</v>
      </c>
      <c r="K55" s="137" t="s">
        <v>4240</v>
      </c>
      <c r="L55" s="457"/>
      <c r="M55" s="457"/>
    </row>
    <row r="56" spans="1:13" s="130" customFormat="1" x14ac:dyDescent="0.25">
      <c r="A56" s="139">
        <v>38</v>
      </c>
      <c r="B56" s="132" t="s">
        <v>4241</v>
      </c>
      <c r="C56" s="133" t="s">
        <v>4242</v>
      </c>
      <c r="D56" s="152" t="s">
        <v>4028</v>
      </c>
      <c r="E56" s="135">
        <v>95</v>
      </c>
      <c r="F56" s="136">
        <v>100</v>
      </c>
      <c r="G56" s="133" t="s">
        <v>4146</v>
      </c>
      <c r="H56" s="133" t="s">
        <v>4243</v>
      </c>
      <c r="I56" s="133" t="s">
        <v>4244</v>
      </c>
      <c r="J56" s="133" t="s">
        <v>4245</v>
      </c>
      <c r="K56" s="137" t="s">
        <v>4246</v>
      </c>
      <c r="L56" s="457"/>
      <c r="M56" s="457"/>
    </row>
    <row r="57" spans="1:13" s="159" customFormat="1" x14ac:dyDescent="0.25">
      <c r="A57" s="154"/>
      <c r="B57" s="716" t="s">
        <v>4247</v>
      </c>
      <c r="C57" s="717"/>
      <c r="D57" s="718"/>
      <c r="E57" s="155">
        <f>SUM(E51:E56)</f>
        <v>2015</v>
      </c>
      <c r="F57" s="156"/>
      <c r="G57" s="157"/>
      <c r="H57" s="157"/>
      <c r="I57" s="157"/>
      <c r="J57" s="157"/>
      <c r="K57" s="158"/>
      <c r="L57" s="457"/>
      <c r="M57" s="457"/>
    </row>
    <row r="58" spans="1:13" s="130" customFormat="1" x14ac:dyDescent="0.25">
      <c r="A58" s="139">
        <v>39</v>
      </c>
      <c r="B58" s="132" t="s">
        <v>4248</v>
      </c>
      <c r="C58" s="133" t="s">
        <v>4249</v>
      </c>
      <c r="D58" s="152" t="s">
        <v>4028</v>
      </c>
      <c r="E58" s="135">
        <v>17</v>
      </c>
      <c r="F58" s="136">
        <v>100</v>
      </c>
      <c r="G58" s="133" t="s">
        <v>4250</v>
      </c>
      <c r="H58" s="133" t="s">
        <v>4251</v>
      </c>
      <c r="I58" s="133" t="s">
        <v>4252</v>
      </c>
      <c r="J58" s="133" t="s">
        <v>4253</v>
      </c>
      <c r="K58" s="137" t="s">
        <v>4254</v>
      </c>
      <c r="L58" s="457"/>
      <c r="M58" s="457"/>
    </row>
    <row r="59" spans="1:13" s="130" customFormat="1" x14ac:dyDescent="0.25">
      <c r="A59" s="139">
        <v>40</v>
      </c>
      <c r="B59" s="132" t="s">
        <v>4255</v>
      </c>
      <c r="C59" s="133" t="s">
        <v>4256</v>
      </c>
      <c r="D59" s="152" t="s">
        <v>4028</v>
      </c>
      <c r="E59" s="135">
        <v>160</v>
      </c>
      <c r="F59" s="136">
        <v>100</v>
      </c>
      <c r="G59" s="133" t="s">
        <v>4257</v>
      </c>
      <c r="H59" s="133" t="s">
        <v>4258</v>
      </c>
      <c r="I59" s="133" t="s">
        <v>4259</v>
      </c>
      <c r="J59" s="133" t="s">
        <v>4260</v>
      </c>
      <c r="K59" s="137" t="s">
        <v>4261</v>
      </c>
      <c r="L59" s="457"/>
      <c r="M59" s="457"/>
    </row>
    <row r="60" spans="1:13" s="159" customFormat="1" x14ac:dyDescent="0.25">
      <c r="A60" s="154"/>
      <c r="B60" s="716" t="s">
        <v>4262</v>
      </c>
      <c r="C60" s="717"/>
      <c r="D60" s="718"/>
      <c r="E60" s="161">
        <f>SUM(E58:E59)</f>
        <v>177</v>
      </c>
      <c r="F60" s="162"/>
      <c r="G60" s="163"/>
      <c r="H60" s="163"/>
      <c r="I60" s="163"/>
      <c r="J60" s="163"/>
      <c r="K60" s="164"/>
      <c r="L60" s="457"/>
      <c r="M60" s="457"/>
    </row>
    <row r="61" spans="1:13" s="172" customFormat="1" ht="21" customHeight="1" x14ac:dyDescent="0.25">
      <c r="A61" s="165">
        <v>41</v>
      </c>
      <c r="B61" s="166" t="s">
        <v>4263</v>
      </c>
      <c r="C61" s="167" t="s">
        <v>4264</v>
      </c>
      <c r="D61" s="168" t="s">
        <v>4028</v>
      </c>
      <c r="E61" s="167">
        <v>93</v>
      </c>
      <c r="F61" s="167">
        <v>100</v>
      </c>
      <c r="G61" s="167" t="s">
        <v>4265</v>
      </c>
      <c r="H61" s="169">
        <v>39001</v>
      </c>
      <c r="I61" s="169" t="s">
        <v>4266</v>
      </c>
      <c r="J61" s="170" t="s">
        <v>4267</v>
      </c>
      <c r="K61" s="171" t="s">
        <v>4268</v>
      </c>
      <c r="L61" s="457"/>
      <c r="M61" s="457"/>
    </row>
    <row r="62" spans="1:13" s="130" customFormat="1" x14ac:dyDescent="0.25">
      <c r="A62" s="146"/>
      <c r="B62" s="713" t="s">
        <v>4269</v>
      </c>
      <c r="C62" s="714"/>
      <c r="D62" s="715"/>
      <c r="E62" s="147">
        <f>SUM(E61)</f>
        <v>93</v>
      </c>
      <c r="F62" s="173"/>
      <c r="G62" s="174"/>
      <c r="H62" s="174"/>
      <c r="I62" s="174"/>
      <c r="J62" s="174"/>
      <c r="K62" s="175"/>
      <c r="L62" s="457"/>
      <c r="M62" s="457"/>
    </row>
    <row r="63" spans="1:13" s="180" customFormat="1" ht="38.1" customHeight="1" x14ac:dyDescent="0.25">
      <c r="A63" s="165">
        <v>42</v>
      </c>
      <c r="B63" s="176" t="s">
        <v>4270</v>
      </c>
      <c r="C63" s="177" t="s">
        <v>4271</v>
      </c>
      <c r="D63" s="178" t="s">
        <v>4028</v>
      </c>
      <c r="E63" s="167">
        <v>530</v>
      </c>
      <c r="F63" s="167">
        <v>100</v>
      </c>
      <c r="G63" s="177" t="s">
        <v>4041</v>
      </c>
      <c r="H63" s="177" t="s">
        <v>4272</v>
      </c>
      <c r="I63" s="177" t="s">
        <v>4273</v>
      </c>
      <c r="J63" s="177" t="s">
        <v>4274</v>
      </c>
      <c r="K63" s="179" t="s">
        <v>4275</v>
      </c>
      <c r="L63" s="458"/>
      <c r="M63" s="458"/>
    </row>
    <row r="64" spans="1:13" s="180" customFormat="1" ht="25.5" x14ac:dyDescent="0.25">
      <c r="A64" s="111">
        <v>43</v>
      </c>
      <c r="B64" s="181" t="s">
        <v>4276</v>
      </c>
      <c r="C64" s="182" t="s">
        <v>4277</v>
      </c>
      <c r="D64" s="183" t="s">
        <v>4278</v>
      </c>
      <c r="E64" s="184">
        <v>400</v>
      </c>
      <c r="F64" s="184" t="s">
        <v>4279</v>
      </c>
      <c r="G64" s="182" t="s">
        <v>4052</v>
      </c>
      <c r="H64" s="182" t="s">
        <v>4280</v>
      </c>
      <c r="I64" s="182" t="s">
        <v>4281</v>
      </c>
      <c r="J64" s="182" t="s">
        <v>4282</v>
      </c>
      <c r="K64" s="185" t="s">
        <v>4283</v>
      </c>
      <c r="L64" s="458"/>
      <c r="M64" s="458"/>
    </row>
    <row r="65" spans="1:13" s="172" customFormat="1" ht="27.95" customHeight="1" x14ac:dyDescent="0.25">
      <c r="A65" s="165">
        <v>44</v>
      </c>
      <c r="B65" s="132" t="s">
        <v>4284</v>
      </c>
      <c r="C65" s="133" t="s">
        <v>4285</v>
      </c>
      <c r="D65" s="186" t="s">
        <v>4278</v>
      </c>
      <c r="E65" s="135">
        <v>120</v>
      </c>
      <c r="F65" s="133">
        <v>100</v>
      </c>
      <c r="G65" s="133" t="s">
        <v>3474</v>
      </c>
      <c r="H65" s="133" t="s">
        <v>4286</v>
      </c>
      <c r="I65" s="187" t="s">
        <v>4287</v>
      </c>
      <c r="J65" s="133" t="s">
        <v>4288</v>
      </c>
      <c r="K65" s="188" t="s">
        <v>4289</v>
      </c>
      <c r="L65" s="457"/>
      <c r="M65" s="457"/>
    </row>
    <row r="66" spans="1:13" s="130" customFormat="1" ht="26.1" customHeight="1" x14ac:dyDescent="0.25">
      <c r="A66" s="165">
        <v>45</v>
      </c>
      <c r="B66" s="132" t="s">
        <v>4290</v>
      </c>
      <c r="C66" s="133" t="s">
        <v>4291</v>
      </c>
      <c r="D66" s="134" t="s">
        <v>4278</v>
      </c>
      <c r="E66" s="136">
        <v>400</v>
      </c>
      <c r="F66" s="136">
        <v>100</v>
      </c>
      <c r="G66" s="133" t="s">
        <v>3474</v>
      </c>
      <c r="H66" s="133" t="s">
        <v>4292</v>
      </c>
      <c r="I66" s="133" t="s">
        <v>4293</v>
      </c>
      <c r="J66" s="133" t="s">
        <v>4294</v>
      </c>
      <c r="K66" s="137" t="s">
        <v>4295</v>
      </c>
      <c r="L66" s="457"/>
      <c r="M66" s="457"/>
    </row>
    <row r="67" spans="1:13" s="130" customFormat="1" ht="48.95" customHeight="1" x14ac:dyDescent="0.25">
      <c r="A67" s="165">
        <v>46</v>
      </c>
      <c r="B67" s="132" t="s">
        <v>4296</v>
      </c>
      <c r="C67" s="133" t="s">
        <v>4297</v>
      </c>
      <c r="D67" s="186" t="s">
        <v>4278</v>
      </c>
      <c r="E67" s="136">
        <v>590</v>
      </c>
      <c r="F67" s="136">
        <v>100</v>
      </c>
      <c r="G67" s="133" t="s">
        <v>3385</v>
      </c>
      <c r="H67" s="133" t="s">
        <v>4298</v>
      </c>
      <c r="I67" s="136" t="s">
        <v>4299</v>
      </c>
      <c r="J67" s="133" t="s">
        <v>4142</v>
      </c>
      <c r="K67" s="137" t="s">
        <v>4300</v>
      </c>
      <c r="L67" s="457"/>
      <c r="M67" s="457"/>
    </row>
    <row r="68" spans="1:13" s="159" customFormat="1" ht="15" customHeight="1" x14ac:dyDescent="0.25">
      <c r="A68" s="189"/>
      <c r="B68" s="719" t="s">
        <v>4301</v>
      </c>
      <c r="C68" s="720"/>
      <c r="D68" s="721"/>
      <c r="E68" s="190">
        <f>SUM(E63:E67)</f>
        <v>2040</v>
      </c>
      <c r="F68" s="191"/>
      <c r="G68" s="192"/>
      <c r="H68" s="192"/>
      <c r="I68" s="191"/>
      <c r="J68" s="192"/>
      <c r="K68" s="164"/>
      <c r="L68" s="457"/>
      <c r="M68" s="457"/>
    </row>
    <row r="69" spans="1:13" s="180" customFormat="1" ht="38.25" x14ac:dyDescent="0.25">
      <c r="A69" s="111">
        <v>47</v>
      </c>
      <c r="B69" s="193" t="s">
        <v>4302</v>
      </c>
      <c r="C69" s="194" t="s">
        <v>4277</v>
      </c>
      <c r="D69" s="195" t="s">
        <v>4278</v>
      </c>
      <c r="E69" s="196">
        <v>400</v>
      </c>
      <c r="F69" s="196" t="s">
        <v>4279</v>
      </c>
      <c r="G69" s="194" t="s">
        <v>4052</v>
      </c>
      <c r="H69" s="194" t="s">
        <v>4280</v>
      </c>
      <c r="I69" s="194" t="s">
        <v>4281</v>
      </c>
      <c r="J69" s="194" t="s">
        <v>4282</v>
      </c>
      <c r="K69" s="197" t="s">
        <v>4303</v>
      </c>
      <c r="L69" s="458"/>
      <c r="M69" s="458"/>
    </row>
    <row r="70" spans="1:13" s="201" customFormat="1" ht="17.100000000000001" customHeight="1" x14ac:dyDescent="0.25">
      <c r="A70" s="189">
        <v>48</v>
      </c>
      <c r="B70" s="132" t="s">
        <v>4304</v>
      </c>
      <c r="C70" s="133" t="s">
        <v>4305</v>
      </c>
      <c r="D70" s="186" t="s">
        <v>4278</v>
      </c>
      <c r="E70" s="198">
        <v>96</v>
      </c>
      <c r="F70" s="133">
        <v>100</v>
      </c>
      <c r="G70" s="133" t="s">
        <v>3385</v>
      </c>
      <c r="H70" s="199" t="s">
        <v>4306</v>
      </c>
      <c r="I70" s="200" t="s">
        <v>4307</v>
      </c>
      <c r="J70" s="194" t="s">
        <v>4308</v>
      </c>
      <c r="K70" s="179" t="s">
        <v>4309</v>
      </c>
      <c r="L70" s="459"/>
      <c r="M70" s="459"/>
    </row>
    <row r="71" spans="1:13" s="130" customFormat="1" ht="38.1" customHeight="1" x14ac:dyDescent="0.25">
      <c r="A71" s="139">
        <v>49</v>
      </c>
      <c r="B71" s="132" t="s">
        <v>4310</v>
      </c>
      <c r="C71" s="133" t="s">
        <v>4311</v>
      </c>
      <c r="D71" s="186" t="s">
        <v>4278</v>
      </c>
      <c r="E71" s="135" t="s">
        <v>4312</v>
      </c>
      <c r="F71" s="136">
        <v>100</v>
      </c>
      <c r="G71" s="133" t="s">
        <v>4052</v>
      </c>
      <c r="H71" s="133" t="s">
        <v>4313</v>
      </c>
      <c r="I71" s="202" t="s">
        <v>4314</v>
      </c>
      <c r="J71" s="133" t="s">
        <v>4253</v>
      </c>
      <c r="K71" s="137" t="s">
        <v>4315</v>
      </c>
      <c r="L71" s="457"/>
      <c r="M71" s="457"/>
    </row>
    <row r="72" spans="1:13" s="201" customFormat="1" ht="45.95" customHeight="1" x14ac:dyDescent="0.25">
      <c r="A72" s="189">
        <v>50</v>
      </c>
      <c r="B72" s="132" t="s">
        <v>4316</v>
      </c>
      <c r="C72" s="133" t="s">
        <v>4317</v>
      </c>
      <c r="D72" s="186" t="s">
        <v>4278</v>
      </c>
      <c r="E72" s="135">
        <v>163</v>
      </c>
      <c r="F72" s="133">
        <v>100</v>
      </c>
      <c r="G72" s="133" t="s">
        <v>3520</v>
      </c>
      <c r="H72" s="187" t="s">
        <v>4318</v>
      </c>
      <c r="I72" s="203" t="s">
        <v>4319</v>
      </c>
      <c r="J72" s="203" t="s">
        <v>4320</v>
      </c>
      <c r="K72" s="204">
        <v>40452</v>
      </c>
      <c r="L72" s="459"/>
      <c r="M72" s="459"/>
    </row>
    <row r="73" spans="1:13" s="201" customFormat="1" ht="30" customHeight="1" x14ac:dyDescent="0.25">
      <c r="A73" s="189">
        <v>51</v>
      </c>
      <c r="B73" s="132" t="s">
        <v>4321</v>
      </c>
      <c r="C73" s="133" t="s">
        <v>4322</v>
      </c>
      <c r="D73" s="186" t="s">
        <v>4278</v>
      </c>
      <c r="E73" s="135">
        <v>660</v>
      </c>
      <c r="F73" s="133">
        <v>100</v>
      </c>
      <c r="G73" s="133" t="s">
        <v>4323</v>
      </c>
      <c r="H73" s="133" t="s">
        <v>4324</v>
      </c>
      <c r="I73" s="187" t="s">
        <v>4325</v>
      </c>
      <c r="J73" s="133" t="s">
        <v>4315</v>
      </c>
      <c r="K73" s="205" t="s">
        <v>4326</v>
      </c>
      <c r="L73" s="459"/>
      <c r="M73" s="459"/>
    </row>
    <row r="74" spans="1:13" s="201" customFormat="1" ht="30" customHeight="1" x14ac:dyDescent="0.25">
      <c r="A74" s="189"/>
      <c r="B74" s="722" t="s">
        <v>4327</v>
      </c>
      <c r="C74" s="723"/>
      <c r="D74" s="724"/>
      <c r="E74" s="206">
        <f>SUM(E69+E70+E72+E73)</f>
        <v>1319</v>
      </c>
      <c r="F74" s="207"/>
      <c r="G74" s="207"/>
      <c r="H74" s="207"/>
      <c r="I74" s="208"/>
      <c r="J74" s="207"/>
      <c r="K74" s="209"/>
      <c r="L74" s="459"/>
      <c r="M74" s="459"/>
    </row>
    <row r="75" spans="1:13" s="172" customFormat="1" ht="26.1" customHeight="1" x14ac:dyDescent="0.25">
      <c r="A75" s="165">
        <v>52</v>
      </c>
      <c r="B75" s="132" t="s">
        <v>4328</v>
      </c>
      <c r="C75" s="133" t="s">
        <v>4329</v>
      </c>
      <c r="D75" s="210" t="s">
        <v>4278</v>
      </c>
      <c r="E75" s="198">
        <v>96</v>
      </c>
      <c r="F75" s="133">
        <v>100</v>
      </c>
      <c r="G75" s="133" t="s">
        <v>4052</v>
      </c>
      <c r="H75" s="194" t="s">
        <v>4330</v>
      </c>
      <c r="I75" s="200" t="s">
        <v>4331</v>
      </c>
      <c r="J75" s="211" t="s">
        <v>4332</v>
      </c>
      <c r="K75" s="179" t="s">
        <v>4333</v>
      </c>
      <c r="L75" s="457"/>
      <c r="M75" s="457"/>
    </row>
    <row r="76" spans="1:13" s="172" customFormat="1" ht="26.1" customHeight="1" x14ac:dyDescent="0.25">
      <c r="A76" s="189">
        <v>53</v>
      </c>
      <c r="B76" s="176" t="s">
        <v>4334</v>
      </c>
      <c r="C76" s="177" t="s">
        <v>4335</v>
      </c>
      <c r="D76" s="212" t="s">
        <v>4278</v>
      </c>
      <c r="E76" s="213">
        <v>200</v>
      </c>
      <c r="F76" s="177">
        <v>100</v>
      </c>
      <c r="G76" s="177" t="s">
        <v>4113</v>
      </c>
      <c r="H76" s="177" t="s">
        <v>4336</v>
      </c>
      <c r="I76" s="170" t="s">
        <v>4337</v>
      </c>
      <c r="J76" s="177" t="s">
        <v>4338</v>
      </c>
      <c r="K76" s="179" t="s">
        <v>4339</v>
      </c>
      <c r="L76" s="457"/>
      <c r="M76" s="457"/>
    </row>
    <row r="77" spans="1:13" s="172" customFormat="1" ht="26.1" customHeight="1" thickBot="1" x14ac:dyDescent="0.3">
      <c r="A77" s="189"/>
      <c r="B77" s="707" t="s">
        <v>4340</v>
      </c>
      <c r="C77" s="708"/>
      <c r="D77" s="709"/>
      <c r="E77" s="214">
        <f>SUM(E75:E76)</f>
        <v>296</v>
      </c>
      <c r="F77" s="215"/>
      <c r="G77" s="216"/>
      <c r="H77" s="216"/>
      <c r="I77" s="216"/>
      <c r="J77" s="216"/>
      <c r="K77" s="217"/>
      <c r="L77" s="457"/>
      <c r="M77" s="457"/>
    </row>
    <row r="78" spans="1:13" s="172" customFormat="1" ht="26.1" customHeight="1" x14ac:dyDescent="0.25">
      <c r="A78" s="189"/>
      <c r="B78" s="218" t="s">
        <v>4341</v>
      </c>
      <c r="C78" s="219" t="s">
        <v>4342</v>
      </c>
      <c r="D78" s="220" t="s">
        <v>4343</v>
      </c>
      <c r="E78" s="219">
        <v>200</v>
      </c>
      <c r="F78" s="219">
        <v>99</v>
      </c>
      <c r="G78" s="219" t="s">
        <v>4344</v>
      </c>
      <c r="H78" s="221" t="s">
        <v>4345</v>
      </c>
      <c r="I78" s="222" t="s">
        <v>4346</v>
      </c>
      <c r="J78" s="223" t="s">
        <v>4347</v>
      </c>
      <c r="K78" s="224">
        <v>2012</v>
      </c>
      <c r="L78" s="457" t="s">
        <v>4670</v>
      </c>
      <c r="M78" s="499">
        <v>2012</v>
      </c>
    </row>
    <row r="79" spans="1:13" s="172" customFormat="1" ht="26.1" customHeight="1" x14ac:dyDescent="0.25">
      <c r="A79" s="189"/>
      <c r="B79" s="225" t="s">
        <v>4348</v>
      </c>
      <c r="C79" s="226" t="s">
        <v>4349</v>
      </c>
      <c r="D79" s="220" t="s">
        <v>4343</v>
      </c>
      <c r="E79" s="226">
        <v>174</v>
      </c>
      <c r="F79" s="227">
        <v>100</v>
      </c>
      <c r="G79" s="226" t="s">
        <v>4350</v>
      </c>
      <c r="H79" s="222">
        <v>40527</v>
      </c>
      <c r="I79" s="222" t="s">
        <v>4351</v>
      </c>
      <c r="J79" s="222" t="s">
        <v>4352</v>
      </c>
      <c r="K79" s="228">
        <v>2012</v>
      </c>
      <c r="L79" s="457"/>
      <c r="M79" s="457"/>
    </row>
    <row r="80" spans="1:13" s="130" customFormat="1" ht="17.100000000000001" customHeight="1" thickBot="1" x14ac:dyDescent="0.3">
      <c r="A80" s="146"/>
      <c r="B80" s="707" t="s">
        <v>4353</v>
      </c>
      <c r="C80" s="708"/>
      <c r="D80" s="709"/>
      <c r="E80" s="214">
        <f>SUM(E78:E79)</f>
        <v>374</v>
      </c>
      <c r="F80" s="215"/>
      <c r="G80" s="216"/>
      <c r="H80" s="216"/>
      <c r="I80" s="216"/>
      <c r="J80" s="216"/>
      <c r="K80" s="217"/>
      <c r="L80" s="457"/>
      <c r="M80" s="457"/>
    </row>
    <row r="81" spans="1:20" s="130" customFormat="1" ht="17.100000000000001" customHeight="1" x14ac:dyDescent="0.25">
      <c r="A81" s="146"/>
      <c r="B81" s="229"/>
      <c r="C81" s="229"/>
      <c r="D81" s="230" t="s">
        <v>4354</v>
      </c>
      <c r="E81" s="231">
        <f>SUM(E16+E17+E18+E19+E20+E21+E22+E24+E25)</f>
        <v>684</v>
      </c>
      <c r="F81" s="232"/>
      <c r="G81" s="233"/>
      <c r="H81" s="233"/>
      <c r="I81" s="233"/>
      <c r="J81" s="233"/>
      <c r="K81" s="233"/>
      <c r="L81" s="457"/>
      <c r="M81" s="457"/>
    </row>
    <row r="82" spans="1:20" s="130" customFormat="1" ht="17.100000000000001" customHeight="1" x14ac:dyDescent="0.25">
      <c r="A82" s="146"/>
      <c r="B82" s="229"/>
      <c r="C82" s="229"/>
      <c r="D82" s="230" t="s">
        <v>4355</v>
      </c>
      <c r="E82" s="231">
        <f>SUM(E38+E46+E56+E61+E75)</f>
        <v>461</v>
      </c>
      <c r="F82" s="232"/>
      <c r="G82" s="233"/>
      <c r="H82" s="233"/>
      <c r="I82" s="233"/>
      <c r="J82" s="233"/>
      <c r="K82" s="233"/>
      <c r="L82" s="457"/>
      <c r="M82" s="457"/>
    </row>
    <row r="83" spans="1:20" s="130" customFormat="1" ht="17.100000000000001" customHeight="1" thickBot="1" x14ac:dyDescent="0.3">
      <c r="A83" s="146"/>
      <c r="B83" s="229"/>
      <c r="C83" s="229"/>
      <c r="D83" s="230" t="s">
        <v>4356</v>
      </c>
      <c r="E83" s="231">
        <f>(E84-E82)</f>
        <v>16748</v>
      </c>
      <c r="F83" s="232"/>
      <c r="G83" s="233"/>
      <c r="H83" s="233"/>
      <c r="I83" s="233"/>
      <c r="J83" s="233"/>
      <c r="K83" s="233"/>
      <c r="L83" s="457"/>
      <c r="M83" s="457"/>
    </row>
    <row r="84" spans="1:20" s="130" customFormat="1" ht="15.75" thickBot="1" x14ac:dyDescent="0.3">
      <c r="A84" s="146"/>
      <c r="B84" s="725" t="s">
        <v>4357</v>
      </c>
      <c r="C84" s="725"/>
      <c r="D84" s="725"/>
      <c r="E84" s="234">
        <f>$E$23 + $E$31 + $E$42 + $E$50 + $E$57 + $E$60+$E$62+$E$68+$E$74+$E$77+$E$80</f>
        <v>17209</v>
      </c>
      <c r="F84" s="235"/>
      <c r="G84" s="236"/>
      <c r="H84" s="236"/>
      <c r="I84" s="236"/>
      <c r="J84" s="236"/>
      <c r="K84" s="236"/>
      <c r="L84" s="457"/>
      <c r="M84" s="457"/>
    </row>
    <row r="85" spans="1:20" s="130" customFormat="1" ht="30" customHeight="1" thickBot="1" x14ac:dyDescent="0.3">
      <c r="A85" s="146"/>
      <c r="B85" s="237"/>
      <c r="C85" s="237"/>
      <c r="D85" s="237"/>
      <c r="E85" s="234"/>
      <c r="F85" s="235"/>
      <c r="G85" s="236"/>
      <c r="H85" s="236"/>
      <c r="I85" s="236"/>
      <c r="J85" s="236"/>
      <c r="K85" s="236"/>
      <c r="L85" s="457"/>
      <c r="M85" s="457"/>
    </row>
    <row r="86" spans="1:20" s="130" customFormat="1" ht="33.75" x14ac:dyDescent="0.25">
      <c r="A86" s="111"/>
      <c r="B86" s="238" t="s">
        <v>4358</v>
      </c>
      <c r="C86" s="239" t="s">
        <v>4016</v>
      </c>
      <c r="D86" s="239" t="s">
        <v>4017</v>
      </c>
      <c r="E86" s="239" t="s">
        <v>4018</v>
      </c>
      <c r="F86" s="240" t="s">
        <v>4019</v>
      </c>
      <c r="G86" s="239" t="s">
        <v>4020</v>
      </c>
      <c r="H86" s="239" t="s">
        <v>4021</v>
      </c>
      <c r="I86" s="240" t="s">
        <v>4022</v>
      </c>
      <c r="J86" s="240" t="s">
        <v>4023</v>
      </c>
      <c r="K86" s="241" t="s">
        <v>4024</v>
      </c>
      <c r="L86" s="457"/>
      <c r="M86" s="457"/>
    </row>
    <row r="87" spans="1:20" s="130" customFormat="1" ht="27.95" customHeight="1" x14ac:dyDescent="0.25">
      <c r="A87" s="139">
        <v>1</v>
      </c>
      <c r="B87" s="132" t="s">
        <v>4359</v>
      </c>
      <c r="C87" s="133" t="s">
        <v>4360</v>
      </c>
      <c r="D87" s="242" t="s">
        <v>4361</v>
      </c>
      <c r="E87" s="135">
        <v>140</v>
      </c>
      <c r="F87" s="136">
        <v>34</v>
      </c>
      <c r="G87" s="133" t="s">
        <v>4089</v>
      </c>
      <c r="H87" s="133" t="s">
        <v>4313</v>
      </c>
      <c r="I87" s="133" t="s">
        <v>4362</v>
      </c>
      <c r="J87" s="136" t="s">
        <v>4363</v>
      </c>
      <c r="K87" s="137" t="s">
        <v>4364</v>
      </c>
      <c r="L87" s="457" t="s">
        <v>4670</v>
      </c>
      <c r="M87" s="499">
        <v>2013</v>
      </c>
    </row>
    <row r="88" spans="1:20" s="130" customFormat="1" ht="27.95" customHeight="1" x14ac:dyDescent="0.25">
      <c r="A88" s="138">
        <v>2</v>
      </c>
      <c r="B88" s="132" t="s">
        <v>4365</v>
      </c>
      <c r="C88" s="133" t="s">
        <v>4366</v>
      </c>
      <c r="D88" s="243" t="s">
        <v>4361</v>
      </c>
      <c r="E88" s="136">
        <v>85</v>
      </c>
      <c r="F88" s="136">
        <v>15</v>
      </c>
      <c r="G88" s="133" t="s">
        <v>4265</v>
      </c>
      <c r="H88" s="187">
        <v>39085</v>
      </c>
      <c r="I88" s="133" t="s">
        <v>4367</v>
      </c>
      <c r="J88" s="133" t="s">
        <v>4368</v>
      </c>
      <c r="K88" s="244" t="s">
        <v>4369</v>
      </c>
      <c r="L88" s="457"/>
      <c r="M88" s="457"/>
    </row>
    <row r="89" spans="1:20" s="130" customFormat="1" ht="27.95" customHeight="1" x14ac:dyDescent="0.25">
      <c r="A89" s="245">
        <v>3</v>
      </c>
      <c r="B89" s="132" t="s">
        <v>4370</v>
      </c>
      <c r="C89" s="133" t="s">
        <v>4371</v>
      </c>
      <c r="D89" s="243" t="s">
        <v>4361</v>
      </c>
      <c r="E89" s="136">
        <v>600</v>
      </c>
      <c r="F89" s="246">
        <v>45</v>
      </c>
      <c r="G89" s="133" t="s">
        <v>4344</v>
      </c>
      <c r="H89" s="133" t="s">
        <v>4372</v>
      </c>
      <c r="I89" s="202" t="s">
        <v>4373</v>
      </c>
      <c r="J89" s="133">
        <v>2013</v>
      </c>
      <c r="K89" s="247" t="s">
        <v>4374</v>
      </c>
      <c r="L89" s="457" t="s">
        <v>4670</v>
      </c>
      <c r="M89" s="457">
        <v>2013</v>
      </c>
    </row>
    <row r="90" spans="1:20" s="130" customFormat="1" ht="27.95" customHeight="1" x14ac:dyDescent="0.25">
      <c r="A90" s="248">
        <v>4</v>
      </c>
      <c r="B90" s="249" t="s">
        <v>4375</v>
      </c>
      <c r="C90" s="250" t="s">
        <v>4376</v>
      </c>
      <c r="D90" s="251" t="s">
        <v>4361</v>
      </c>
      <c r="E90" s="135">
        <v>500</v>
      </c>
      <c r="F90" s="250">
        <v>35.6</v>
      </c>
      <c r="G90" s="250" t="s">
        <v>4202</v>
      </c>
      <c r="H90" s="133" t="s">
        <v>4377</v>
      </c>
      <c r="I90" s="252" t="s">
        <v>4378</v>
      </c>
      <c r="J90" s="250" t="s">
        <v>4369</v>
      </c>
      <c r="K90" s="253" t="s">
        <v>4369</v>
      </c>
      <c r="L90" s="457" t="s">
        <v>4670</v>
      </c>
      <c r="M90" s="499">
        <f>Scenarios!$B$44</f>
        <v>2017</v>
      </c>
    </row>
    <row r="91" spans="1:20" s="257" customFormat="1" ht="27.95" customHeight="1" x14ac:dyDescent="0.25">
      <c r="A91" s="245">
        <v>5</v>
      </c>
      <c r="B91" s="166" t="s">
        <v>4379</v>
      </c>
      <c r="C91" s="167" t="s">
        <v>4380</v>
      </c>
      <c r="D91" s="254" t="s">
        <v>4361</v>
      </c>
      <c r="E91" s="213">
        <v>145</v>
      </c>
      <c r="F91" s="167">
        <v>97.8</v>
      </c>
      <c r="G91" s="167" t="s">
        <v>4146</v>
      </c>
      <c r="H91" s="169" t="s">
        <v>4381</v>
      </c>
      <c r="I91" s="255" t="s">
        <v>4382</v>
      </c>
      <c r="J91" s="256" t="s">
        <v>4383</v>
      </c>
      <c r="K91" s="171" t="s">
        <v>4369</v>
      </c>
      <c r="L91" s="459" t="s">
        <v>4670</v>
      </c>
      <c r="M91" s="499">
        <f>Scenarios!$B$44</f>
        <v>2017</v>
      </c>
    </row>
    <row r="92" spans="1:20" s="201" customFormat="1" ht="30" customHeight="1" x14ac:dyDescent="0.25">
      <c r="A92" s="189">
        <v>6</v>
      </c>
      <c r="B92" s="166" t="s">
        <v>4384</v>
      </c>
      <c r="C92" s="167" t="s">
        <v>4385</v>
      </c>
      <c r="D92" s="254" t="s">
        <v>4361</v>
      </c>
      <c r="E92" s="258">
        <v>255</v>
      </c>
      <c r="F92" s="167">
        <v>95</v>
      </c>
      <c r="G92" s="167" t="s">
        <v>4146</v>
      </c>
      <c r="H92" s="199" t="s">
        <v>4386</v>
      </c>
      <c r="I92" s="200" t="s">
        <v>4387</v>
      </c>
      <c r="J92" s="194" t="s">
        <v>4388</v>
      </c>
      <c r="K92" s="259" t="s">
        <v>4389</v>
      </c>
      <c r="L92" s="459" t="s">
        <v>4670</v>
      </c>
      <c r="M92" s="459">
        <v>2012</v>
      </c>
    </row>
    <row r="93" spans="1:20" s="261" customFormat="1" ht="27" customHeight="1" x14ac:dyDescent="0.25">
      <c r="A93" s="138">
        <v>7</v>
      </c>
      <c r="B93" s="249" t="s">
        <v>4390</v>
      </c>
      <c r="C93" s="250" t="s">
        <v>4391</v>
      </c>
      <c r="D93" s="251" t="s">
        <v>4392</v>
      </c>
      <c r="E93" s="135">
        <v>630</v>
      </c>
      <c r="F93" s="250">
        <v>25</v>
      </c>
      <c r="G93" s="250" t="s">
        <v>4202</v>
      </c>
      <c r="H93" s="260">
        <v>40359</v>
      </c>
      <c r="I93" s="202" t="s">
        <v>4393</v>
      </c>
      <c r="J93" s="252" t="s">
        <v>4394</v>
      </c>
      <c r="K93" s="137" t="s">
        <v>4395</v>
      </c>
      <c r="L93" s="460" t="s">
        <v>4670</v>
      </c>
      <c r="M93" s="460">
        <v>2013</v>
      </c>
    </row>
    <row r="94" spans="1:20" s="261" customFormat="1" ht="27" customHeight="1" x14ac:dyDescent="0.25">
      <c r="A94" s="262">
        <v>8</v>
      </c>
      <c r="B94" s="249" t="s">
        <v>4396</v>
      </c>
      <c r="C94" s="250" t="s">
        <v>4397</v>
      </c>
      <c r="D94" s="251" t="s">
        <v>4361</v>
      </c>
      <c r="E94" s="135">
        <v>760</v>
      </c>
      <c r="F94" s="250">
        <v>36.1</v>
      </c>
      <c r="G94" s="250" t="s">
        <v>4041</v>
      </c>
      <c r="H94" s="199" t="s">
        <v>4398</v>
      </c>
      <c r="I94" s="200" t="s">
        <v>4399</v>
      </c>
      <c r="J94" s="211" t="s">
        <v>4364</v>
      </c>
      <c r="K94" s="263" t="s">
        <v>4364</v>
      </c>
      <c r="L94" s="460" t="s">
        <v>4670</v>
      </c>
      <c r="M94" s="460">
        <v>2013</v>
      </c>
      <c r="N94" s="115"/>
      <c r="O94" s="115"/>
      <c r="P94" s="115"/>
      <c r="Q94" s="115"/>
      <c r="R94" s="115"/>
      <c r="S94" s="115"/>
      <c r="T94" s="115"/>
    </row>
    <row r="95" spans="1:20" s="261" customFormat="1" ht="27" customHeight="1" x14ac:dyDescent="0.25">
      <c r="A95" s="264">
        <v>9</v>
      </c>
      <c r="B95" s="265" t="s">
        <v>4400</v>
      </c>
      <c r="C95" s="196" t="s">
        <v>4401</v>
      </c>
      <c r="D95" s="266" t="s">
        <v>4361</v>
      </c>
      <c r="E95" s="267">
        <v>250</v>
      </c>
      <c r="F95" s="196">
        <v>8</v>
      </c>
      <c r="G95" s="196" t="s">
        <v>4402</v>
      </c>
      <c r="H95" s="222" t="s">
        <v>4403</v>
      </c>
      <c r="I95" s="226" t="s">
        <v>4369</v>
      </c>
      <c r="J95" s="226" t="s">
        <v>4369</v>
      </c>
      <c r="K95" s="268" t="s">
        <v>4369</v>
      </c>
      <c r="L95" s="460"/>
      <c r="M95" s="460"/>
      <c r="N95" s="115"/>
      <c r="O95" s="115"/>
      <c r="P95" s="115"/>
      <c r="Q95" s="115"/>
      <c r="R95" s="115"/>
      <c r="S95" s="115"/>
      <c r="T95" s="115"/>
    </row>
    <row r="96" spans="1:20" s="130" customFormat="1" ht="26.1" customHeight="1" x14ac:dyDescent="0.25">
      <c r="A96" s="269">
        <v>10</v>
      </c>
      <c r="B96" s="265" t="s">
        <v>4404</v>
      </c>
      <c r="C96" s="196" t="s">
        <v>4405</v>
      </c>
      <c r="D96" s="266" t="s">
        <v>4361</v>
      </c>
      <c r="E96" s="267">
        <v>1000</v>
      </c>
      <c r="F96" s="196" t="s">
        <v>4406</v>
      </c>
      <c r="G96" s="196" t="s">
        <v>4407</v>
      </c>
      <c r="H96" s="199" t="s">
        <v>4408</v>
      </c>
      <c r="I96" s="194" t="s">
        <v>4409</v>
      </c>
      <c r="J96" s="196" t="s">
        <v>4369</v>
      </c>
      <c r="K96" s="179">
        <v>2015</v>
      </c>
      <c r="L96" s="457"/>
      <c r="M96" s="457"/>
    </row>
    <row r="97" spans="1:20" s="201" customFormat="1" ht="27.95" customHeight="1" x14ac:dyDescent="0.25">
      <c r="A97" s="269">
        <v>11</v>
      </c>
      <c r="B97" s="176" t="s">
        <v>4410</v>
      </c>
      <c r="C97" s="177" t="s">
        <v>4411</v>
      </c>
      <c r="D97" s="254" t="s">
        <v>4361</v>
      </c>
      <c r="E97" s="270">
        <v>370</v>
      </c>
      <c r="F97" s="177">
        <v>18</v>
      </c>
      <c r="G97" s="177" t="s">
        <v>4056</v>
      </c>
      <c r="H97" s="169" t="s">
        <v>4412</v>
      </c>
      <c r="I97" s="255" t="s">
        <v>4413</v>
      </c>
      <c r="J97" s="177" t="s">
        <v>4414</v>
      </c>
      <c r="K97" s="179" t="s">
        <v>4415</v>
      </c>
      <c r="L97" s="459"/>
      <c r="M97" s="459"/>
    </row>
    <row r="98" spans="1:20" s="130" customFormat="1" ht="27" customHeight="1" x14ac:dyDescent="0.25">
      <c r="A98" s="271">
        <v>12</v>
      </c>
      <c r="B98" s="265" t="s">
        <v>4416</v>
      </c>
      <c r="C98" s="196" t="s">
        <v>4417</v>
      </c>
      <c r="D98" s="266" t="s">
        <v>4361</v>
      </c>
      <c r="E98" s="267">
        <v>250</v>
      </c>
      <c r="F98" s="196">
        <v>15.3</v>
      </c>
      <c r="G98" s="196" t="s">
        <v>4407</v>
      </c>
      <c r="H98" s="199" t="s">
        <v>4418</v>
      </c>
      <c r="I98" s="194" t="s">
        <v>4419</v>
      </c>
      <c r="J98" s="196" t="s">
        <v>4369</v>
      </c>
      <c r="K98" s="272" t="s">
        <v>4369</v>
      </c>
      <c r="L98" s="457"/>
      <c r="M98" s="457"/>
    </row>
    <row r="99" spans="1:20" s="130" customFormat="1" ht="29.1" customHeight="1" x14ac:dyDescent="0.25">
      <c r="A99" s="189">
        <v>13</v>
      </c>
      <c r="B99" s="193" t="s">
        <v>4420</v>
      </c>
      <c r="C99" s="194" t="s">
        <v>4421</v>
      </c>
      <c r="D99" s="266" t="s">
        <v>4361</v>
      </c>
      <c r="E99" s="273">
        <v>850</v>
      </c>
      <c r="F99" s="194">
        <v>50</v>
      </c>
      <c r="G99" s="194" t="s">
        <v>4052</v>
      </c>
      <c r="H99" s="199" t="s">
        <v>4422</v>
      </c>
      <c r="I99" s="200" t="s">
        <v>4378</v>
      </c>
      <c r="J99" s="194" t="s">
        <v>4395</v>
      </c>
      <c r="K99" s="179" t="s">
        <v>4395</v>
      </c>
      <c r="L99" s="457" t="s">
        <v>4670</v>
      </c>
      <c r="M99" s="457">
        <v>2013</v>
      </c>
    </row>
    <row r="100" spans="1:20" s="201" customFormat="1" ht="27.95" customHeight="1" x14ac:dyDescent="0.25">
      <c r="A100" s="264">
        <v>14</v>
      </c>
      <c r="B100" s="274" t="s">
        <v>4423</v>
      </c>
      <c r="C100" s="275" t="s">
        <v>4424</v>
      </c>
      <c r="D100" s="276" t="s">
        <v>4361</v>
      </c>
      <c r="E100" s="277">
        <v>624</v>
      </c>
      <c r="F100" s="275">
        <v>10</v>
      </c>
      <c r="G100" s="275" t="s">
        <v>4041</v>
      </c>
      <c r="H100" s="221" t="s">
        <v>4345</v>
      </c>
      <c r="I100" s="199" t="s">
        <v>4346</v>
      </c>
      <c r="J100" s="275">
        <v>2013</v>
      </c>
      <c r="K100" s="263">
        <v>2016</v>
      </c>
      <c r="L100" s="459"/>
      <c r="M100" s="459"/>
    </row>
    <row r="101" spans="1:20" s="201" customFormat="1" ht="27.95" customHeight="1" x14ac:dyDescent="0.25">
      <c r="A101" s="269">
        <v>15</v>
      </c>
      <c r="B101" s="278" t="s">
        <v>4425</v>
      </c>
      <c r="C101" s="279" t="s">
        <v>4426</v>
      </c>
      <c r="D101" s="280" t="s">
        <v>4361</v>
      </c>
      <c r="E101" s="281">
        <v>36</v>
      </c>
      <c r="F101" s="282" t="s">
        <v>4427</v>
      </c>
      <c r="G101" s="279" t="s">
        <v>4428</v>
      </c>
      <c r="H101" s="222" t="s">
        <v>4429</v>
      </c>
      <c r="I101" s="196" t="s">
        <v>4363</v>
      </c>
      <c r="J101" s="226" t="s">
        <v>4363</v>
      </c>
      <c r="K101" s="272" t="s">
        <v>4363</v>
      </c>
      <c r="L101" s="459" t="s">
        <v>4670</v>
      </c>
      <c r="M101" s="499">
        <f>Scenarios!$B$44</f>
        <v>2017</v>
      </c>
    </row>
    <row r="102" spans="1:20" s="201" customFormat="1" ht="27.95" customHeight="1" x14ac:dyDescent="0.25">
      <c r="A102" s="283"/>
      <c r="B102" s="284"/>
      <c r="C102" s="726" t="s">
        <v>4430</v>
      </c>
      <c r="D102" s="727"/>
      <c r="E102" s="285">
        <f>SUM(E98+E97+E96+E95)</f>
        <v>1870</v>
      </c>
      <c r="F102" s="286"/>
      <c r="G102" s="286"/>
      <c r="H102" s="287"/>
      <c r="I102" s="288"/>
      <c r="J102" s="289"/>
      <c r="K102" s="290"/>
      <c r="L102" s="459"/>
      <c r="M102" s="459"/>
    </row>
    <row r="103" spans="1:20" ht="24" customHeight="1" thickBot="1" x14ac:dyDescent="0.3">
      <c r="A103" s="165"/>
      <c r="B103" s="728" t="s">
        <v>4431</v>
      </c>
      <c r="C103" s="729"/>
      <c r="D103" s="730"/>
      <c r="E103" s="291">
        <f>SUM(E87:E101)</f>
        <v>6495</v>
      </c>
      <c r="F103" s="215"/>
      <c r="G103" s="216"/>
      <c r="H103" s="292"/>
      <c r="I103" s="216"/>
      <c r="J103" s="216"/>
      <c r="K103" s="217"/>
      <c r="L103" s="460"/>
      <c r="M103" s="460"/>
    </row>
    <row r="104" spans="1:20" s="201" customFormat="1" ht="24" customHeight="1" x14ac:dyDescent="0.15">
      <c r="L104" s="459"/>
      <c r="M104" s="459"/>
      <c r="N104" s="293"/>
      <c r="O104" s="293"/>
      <c r="P104" s="293"/>
      <c r="Q104" s="293"/>
      <c r="R104" s="293"/>
      <c r="S104" s="293"/>
      <c r="T104" s="293"/>
    </row>
    <row r="105" spans="1:20" s="201" customFormat="1" ht="24" customHeight="1" thickBot="1" x14ac:dyDescent="0.3">
      <c r="L105" s="459"/>
      <c r="M105" s="459"/>
      <c r="N105" s="294"/>
      <c r="O105" s="294"/>
      <c r="P105" s="294"/>
      <c r="Q105" s="294"/>
      <c r="R105" s="294"/>
      <c r="S105" s="294"/>
      <c r="T105" s="294"/>
    </row>
    <row r="106" spans="1:20" s="257" customFormat="1" ht="29.1" customHeight="1" x14ac:dyDescent="0.25">
      <c r="A106" s="111"/>
      <c r="B106" s="238" t="s">
        <v>4432</v>
      </c>
      <c r="C106" s="239" t="s">
        <v>4016</v>
      </c>
      <c r="D106" s="239" t="s">
        <v>4017</v>
      </c>
      <c r="E106" s="239" t="s">
        <v>4018</v>
      </c>
      <c r="F106" s="240" t="s">
        <v>4433</v>
      </c>
      <c r="G106" s="239" t="s">
        <v>4020</v>
      </c>
      <c r="H106" s="239" t="s">
        <v>4021</v>
      </c>
      <c r="I106" s="240" t="s">
        <v>4022</v>
      </c>
      <c r="J106" s="240" t="s">
        <v>4023</v>
      </c>
      <c r="K106" s="241" t="s">
        <v>4024</v>
      </c>
      <c r="L106" s="459"/>
      <c r="M106" s="459"/>
    </row>
    <row r="107" spans="1:20" s="257" customFormat="1" ht="29.1" customHeight="1" x14ac:dyDescent="0.25">
      <c r="A107" s="130">
        <v>1</v>
      </c>
      <c r="B107" s="132" t="s">
        <v>4434</v>
      </c>
      <c r="C107" s="133" t="s">
        <v>4435</v>
      </c>
      <c r="D107" s="243" t="s">
        <v>4436</v>
      </c>
      <c r="E107" s="135">
        <v>563</v>
      </c>
      <c r="F107" s="133">
        <v>0</v>
      </c>
      <c r="G107" s="133" t="s">
        <v>4056</v>
      </c>
      <c r="H107" s="187" t="s">
        <v>4437</v>
      </c>
      <c r="I107" s="295" t="s">
        <v>4438</v>
      </c>
      <c r="J107" s="133" t="s">
        <v>4394</v>
      </c>
      <c r="K107" s="137" t="s">
        <v>4439</v>
      </c>
      <c r="L107" s="459" t="s">
        <v>4670</v>
      </c>
      <c r="M107" s="499">
        <f>Scenarios!$B$44</f>
        <v>2017</v>
      </c>
    </row>
    <row r="108" spans="1:20" s="296" customFormat="1" ht="21.95" customHeight="1" x14ac:dyDescent="0.25">
      <c r="A108" s="189">
        <v>2</v>
      </c>
      <c r="B108" s="132" t="s">
        <v>4440</v>
      </c>
      <c r="C108" s="133" t="s">
        <v>4441</v>
      </c>
      <c r="D108" s="242" t="s">
        <v>4442</v>
      </c>
      <c r="E108" s="198">
        <v>600</v>
      </c>
      <c r="F108" s="136" t="s">
        <v>4443</v>
      </c>
      <c r="G108" s="133" t="s">
        <v>4063</v>
      </c>
      <c r="H108" s="133" t="s">
        <v>4444</v>
      </c>
      <c r="I108" s="295" t="s">
        <v>4445</v>
      </c>
      <c r="J108" s="202" t="s">
        <v>4339</v>
      </c>
      <c r="K108" s="247" t="s">
        <v>4388</v>
      </c>
      <c r="L108" s="459" t="s">
        <v>4670</v>
      </c>
      <c r="M108" s="459">
        <v>2012</v>
      </c>
    </row>
    <row r="109" spans="1:20" s="296" customFormat="1" ht="39.950000000000003" customHeight="1" x14ac:dyDescent="0.25">
      <c r="A109" s="138">
        <v>3</v>
      </c>
      <c r="B109" s="297" t="s">
        <v>4446</v>
      </c>
      <c r="C109" s="196" t="s">
        <v>4447</v>
      </c>
      <c r="D109" s="266" t="s">
        <v>4442</v>
      </c>
      <c r="E109" s="135">
        <v>25</v>
      </c>
      <c r="F109" s="133">
        <v>0</v>
      </c>
      <c r="G109" s="136" t="s">
        <v>4448</v>
      </c>
      <c r="H109" s="187" t="s">
        <v>4381</v>
      </c>
      <c r="I109" s="295" t="s">
        <v>4445</v>
      </c>
      <c r="J109" s="133" t="s">
        <v>4449</v>
      </c>
      <c r="K109" s="247" t="s">
        <v>4450</v>
      </c>
      <c r="L109" s="459" t="s">
        <v>4670</v>
      </c>
      <c r="M109" s="459">
        <v>2013</v>
      </c>
    </row>
    <row r="110" spans="1:20" ht="33.950000000000003" customHeight="1" x14ac:dyDescent="0.25">
      <c r="A110" s="245">
        <v>4</v>
      </c>
      <c r="B110" s="265" t="s">
        <v>4451</v>
      </c>
      <c r="C110" s="196" t="s">
        <v>4452</v>
      </c>
      <c r="D110" s="266" t="s">
        <v>4442</v>
      </c>
      <c r="E110" s="135">
        <v>25</v>
      </c>
      <c r="F110" s="133">
        <v>0</v>
      </c>
      <c r="G110" s="136" t="s">
        <v>4448</v>
      </c>
      <c r="H110" s="187" t="s">
        <v>4381</v>
      </c>
      <c r="I110" s="203" t="s">
        <v>4453</v>
      </c>
      <c r="J110" s="133" t="s">
        <v>4449</v>
      </c>
      <c r="K110" s="137" t="s">
        <v>4450</v>
      </c>
      <c r="L110" s="460" t="s">
        <v>4670</v>
      </c>
      <c r="M110" s="460">
        <v>2013</v>
      </c>
    </row>
    <row r="111" spans="1:20" ht="33" customHeight="1" x14ac:dyDescent="0.25">
      <c r="A111" s="189">
        <v>5</v>
      </c>
      <c r="B111" s="298" t="s">
        <v>4454</v>
      </c>
      <c r="C111" s="299" t="s">
        <v>4455</v>
      </c>
      <c r="D111" s="300" t="s">
        <v>4442</v>
      </c>
      <c r="E111" s="301">
        <v>250</v>
      </c>
      <c r="F111" s="299" t="s">
        <v>4456</v>
      </c>
      <c r="G111" s="299" t="s">
        <v>3505</v>
      </c>
      <c r="H111" s="169" t="s">
        <v>4398</v>
      </c>
      <c r="I111" s="170" t="s">
        <v>4445</v>
      </c>
      <c r="J111" s="299" t="s">
        <v>4369</v>
      </c>
      <c r="K111" s="272" t="s">
        <v>4369</v>
      </c>
      <c r="L111" s="460"/>
      <c r="M111" s="460"/>
    </row>
    <row r="112" spans="1:20" s="257" customFormat="1" ht="29.1" customHeight="1" x14ac:dyDescent="0.25">
      <c r="A112" s="283">
        <v>6</v>
      </c>
      <c r="B112" s="166" t="s">
        <v>4457</v>
      </c>
      <c r="C112" s="167" t="s">
        <v>4458</v>
      </c>
      <c r="D112" s="254" t="s">
        <v>4442</v>
      </c>
      <c r="E112" s="302">
        <v>663.5</v>
      </c>
      <c r="F112" s="177">
        <v>80</v>
      </c>
      <c r="G112" s="177" t="s">
        <v>4056</v>
      </c>
      <c r="H112" s="169" t="s">
        <v>4459</v>
      </c>
      <c r="I112" s="303" t="s">
        <v>4445</v>
      </c>
      <c r="J112" s="167" t="s">
        <v>4369</v>
      </c>
      <c r="K112" s="272" t="s">
        <v>4369</v>
      </c>
      <c r="L112" s="459"/>
      <c r="M112" s="459"/>
    </row>
    <row r="113" spans="1:20" s="257" customFormat="1" ht="29.1" customHeight="1" x14ac:dyDescent="0.25">
      <c r="A113" s="269">
        <v>7</v>
      </c>
      <c r="B113" s="265" t="s">
        <v>4460</v>
      </c>
      <c r="C113" s="196" t="s">
        <v>4461</v>
      </c>
      <c r="D113" s="266" t="s">
        <v>4442</v>
      </c>
      <c r="E113" s="267">
        <v>150</v>
      </c>
      <c r="F113" s="196">
        <v>90</v>
      </c>
      <c r="G113" s="196" t="s">
        <v>4407</v>
      </c>
      <c r="H113" s="199">
        <v>40527</v>
      </c>
      <c r="I113" s="304" t="s">
        <v>4462</v>
      </c>
      <c r="J113" s="196" t="s">
        <v>4369</v>
      </c>
      <c r="K113" s="272" t="s">
        <v>4369</v>
      </c>
      <c r="L113" s="459"/>
      <c r="M113" s="459"/>
    </row>
    <row r="114" spans="1:20" s="257" customFormat="1" ht="29.1" customHeight="1" x14ac:dyDescent="0.25">
      <c r="A114" s="269">
        <v>8</v>
      </c>
      <c r="B114" s="265" t="s">
        <v>4463</v>
      </c>
      <c r="C114" s="196" t="s">
        <v>4464</v>
      </c>
      <c r="D114" s="266" t="s">
        <v>4442</v>
      </c>
      <c r="E114" s="267">
        <v>500</v>
      </c>
      <c r="F114" s="196" t="s">
        <v>4443</v>
      </c>
      <c r="G114" s="196" t="s">
        <v>4407</v>
      </c>
      <c r="H114" s="199">
        <v>40527</v>
      </c>
      <c r="I114" s="211" t="s">
        <v>4367</v>
      </c>
      <c r="J114" s="196" t="s">
        <v>4369</v>
      </c>
      <c r="K114" s="272" t="s">
        <v>4369</v>
      </c>
      <c r="L114" s="459"/>
      <c r="M114" s="459"/>
    </row>
    <row r="115" spans="1:20" s="257" customFormat="1" ht="33" customHeight="1" x14ac:dyDescent="0.25">
      <c r="A115" s="264">
        <v>9</v>
      </c>
      <c r="B115" s="249" t="s">
        <v>4465</v>
      </c>
      <c r="C115" s="305" t="s">
        <v>4466</v>
      </c>
      <c r="D115" s="306" t="s">
        <v>4442</v>
      </c>
      <c r="E115" s="307">
        <v>570</v>
      </c>
      <c r="F115" s="305" t="s">
        <v>4456</v>
      </c>
      <c r="G115" s="305" t="s">
        <v>4467</v>
      </c>
      <c r="H115" s="308" t="s">
        <v>4468</v>
      </c>
      <c r="I115" s="309" t="s">
        <v>4445</v>
      </c>
      <c r="J115" s="305"/>
      <c r="K115" s="310">
        <v>2013</v>
      </c>
      <c r="L115" s="459" t="s">
        <v>4670</v>
      </c>
      <c r="M115" s="459">
        <v>2013</v>
      </c>
    </row>
    <row r="116" spans="1:20" s="257" customFormat="1" ht="33" customHeight="1" x14ac:dyDescent="0.25">
      <c r="A116" s="189">
        <v>10</v>
      </c>
      <c r="B116" s="166" t="s">
        <v>4469</v>
      </c>
      <c r="C116" s="177" t="s">
        <v>4470</v>
      </c>
      <c r="D116" s="254" t="s">
        <v>4442</v>
      </c>
      <c r="E116" s="213">
        <v>85</v>
      </c>
      <c r="F116" s="167">
        <v>0</v>
      </c>
      <c r="G116" s="167" t="s">
        <v>4202</v>
      </c>
      <c r="H116" s="177" t="s">
        <v>4471</v>
      </c>
      <c r="I116" s="170" t="s">
        <v>4445</v>
      </c>
      <c r="J116" s="167" t="s">
        <v>4445</v>
      </c>
      <c r="K116" s="272" t="s">
        <v>4445</v>
      </c>
      <c r="L116" s="459" t="s">
        <v>4670</v>
      </c>
      <c r="M116" s="499">
        <f>Scenarios!$B$44</f>
        <v>2017</v>
      </c>
    </row>
    <row r="117" spans="1:20" s="257" customFormat="1" ht="33" customHeight="1" x14ac:dyDescent="0.25">
      <c r="A117" s="189">
        <v>11</v>
      </c>
      <c r="B117" s="132" t="s">
        <v>4472</v>
      </c>
      <c r="C117" s="133" t="s">
        <v>4473</v>
      </c>
      <c r="D117" s="243" t="s">
        <v>4442</v>
      </c>
      <c r="E117" s="198">
        <v>558</v>
      </c>
      <c r="F117" s="133">
        <v>0</v>
      </c>
      <c r="G117" s="133" t="s">
        <v>3385</v>
      </c>
      <c r="H117" s="187" t="s">
        <v>4474</v>
      </c>
      <c r="I117" s="295" t="s">
        <v>4445</v>
      </c>
      <c r="J117" s="136"/>
      <c r="K117" s="244" t="s">
        <v>4445</v>
      </c>
      <c r="L117" s="459"/>
      <c r="M117" s="459"/>
    </row>
    <row r="118" spans="1:20" s="130" customFormat="1" ht="21" customHeight="1" thickBot="1" x14ac:dyDescent="0.3">
      <c r="A118" s="165"/>
      <c r="B118" s="728" t="s">
        <v>4475</v>
      </c>
      <c r="C118" s="729"/>
      <c r="D118" s="730"/>
      <c r="E118" s="291">
        <f>SUM(E108+E109+E110+513+520+50+E116+50+E111+E112+E113+E114+E117)</f>
        <v>3989.5</v>
      </c>
      <c r="F118" s="215"/>
      <c r="G118" s="216"/>
      <c r="H118" s="292"/>
      <c r="I118" s="216"/>
      <c r="J118" s="216"/>
      <c r="K118" s="217"/>
      <c r="L118" s="436"/>
      <c r="M118" s="436"/>
    </row>
    <row r="119" spans="1:20" s="130" customFormat="1" ht="21" customHeight="1" x14ac:dyDescent="0.25">
      <c r="A119" s="165"/>
      <c r="B119" s="731" t="s">
        <v>4476</v>
      </c>
      <c r="C119" s="732"/>
      <c r="D119" s="733"/>
      <c r="E119" s="311">
        <f>SUM(E102+E111+E112+E113+E114)</f>
        <v>3433.5</v>
      </c>
      <c r="F119" s="312"/>
      <c r="G119" s="236"/>
      <c r="H119" s="313"/>
      <c r="I119" s="236"/>
      <c r="J119" s="236"/>
      <c r="K119" s="314"/>
      <c r="L119" s="436"/>
      <c r="M119" s="436"/>
    </row>
    <row r="120" spans="1:20" s="130" customFormat="1" ht="21" customHeight="1" thickBot="1" x14ac:dyDescent="0.3">
      <c r="A120" s="315"/>
      <c r="B120" s="728" t="s">
        <v>4477</v>
      </c>
      <c r="C120" s="729"/>
      <c r="D120" s="730"/>
      <c r="E120" s="291">
        <f>SUM(E103+E118)</f>
        <v>10484.5</v>
      </c>
      <c r="F120" s="316"/>
      <c r="G120" s="317"/>
      <c r="H120" s="318"/>
      <c r="I120" s="317"/>
      <c r="J120" s="317"/>
      <c r="K120" s="319"/>
      <c r="L120" s="436"/>
      <c r="M120" s="436"/>
    </row>
    <row r="121" spans="1:20" s="324" customFormat="1" ht="39" customHeight="1" thickBot="1" x14ac:dyDescent="0.3">
      <c r="A121" s="165"/>
      <c r="B121" s="320"/>
      <c r="C121" s="233"/>
      <c r="D121" s="321"/>
      <c r="E121" s="322"/>
      <c r="F121" s="232"/>
      <c r="G121" s="233"/>
      <c r="H121" s="323"/>
      <c r="I121" s="233"/>
      <c r="J121" s="233"/>
      <c r="K121" s="233"/>
      <c r="L121" s="130"/>
      <c r="M121" s="130"/>
      <c r="N121" s="130"/>
      <c r="O121" s="130"/>
      <c r="P121" s="130"/>
      <c r="Q121" s="130"/>
      <c r="R121" s="130"/>
      <c r="S121" s="130"/>
      <c r="T121" s="130"/>
    </row>
    <row r="122" spans="1:20" s="130" customFormat="1" ht="33.75" x14ac:dyDescent="0.25">
      <c r="A122" s="111"/>
      <c r="B122" s="238" t="s">
        <v>4478</v>
      </c>
      <c r="C122" s="325" t="s">
        <v>4016</v>
      </c>
      <c r="D122" s="325" t="s">
        <v>4017</v>
      </c>
      <c r="E122" s="325" t="s">
        <v>4018</v>
      </c>
      <c r="F122" s="326" t="s">
        <v>4019</v>
      </c>
      <c r="G122" s="325" t="s">
        <v>4020</v>
      </c>
      <c r="H122" s="325" t="s">
        <v>4021</v>
      </c>
      <c r="I122" s="326" t="s">
        <v>4022</v>
      </c>
      <c r="J122" s="326" t="s">
        <v>4023</v>
      </c>
      <c r="K122" s="327" t="s">
        <v>4024</v>
      </c>
    </row>
    <row r="123" spans="1:20" s="130" customFormat="1" ht="64.5" x14ac:dyDescent="0.25">
      <c r="A123" s="139">
        <v>1</v>
      </c>
      <c r="B123" s="132" t="s">
        <v>4479</v>
      </c>
      <c r="C123" s="133" t="s">
        <v>4480</v>
      </c>
      <c r="D123" s="328" t="s">
        <v>4481</v>
      </c>
      <c r="E123" s="135">
        <v>1200</v>
      </c>
      <c r="F123" s="136">
        <v>0</v>
      </c>
      <c r="G123" s="133" t="s">
        <v>4482</v>
      </c>
      <c r="H123" s="133" t="s">
        <v>4483</v>
      </c>
      <c r="I123" s="133" t="s">
        <v>4481</v>
      </c>
      <c r="J123" s="133" t="s">
        <v>4481</v>
      </c>
      <c r="K123" s="329" t="s">
        <v>4481</v>
      </c>
    </row>
    <row r="124" spans="1:20" s="130" customFormat="1" ht="17.100000000000001" customHeight="1" x14ac:dyDescent="0.25">
      <c r="A124" s="139">
        <v>2</v>
      </c>
      <c r="B124" s="132" t="s">
        <v>4484</v>
      </c>
      <c r="C124" s="133" t="s">
        <v>4485</v>
      </c>
      <c r="D124" s="328" t="s">
        <v>4481</v>
      </c>
      <c r="E124" s="135">
        <v>160</v>
      </c>
      <c r="F124" s="133" t="s">
        <v>4486</v>
      </c>
      <c r="G124" s="133" t="s">
        <v>3505</v>
      </c>
      <c r="H124" s="133" t="s">
        <v>4487</v>
      </c>
      <c r="I124" s="133" t="s">
        <v>4481</v>
      </c>
      <c r="J124" s="133" t="s">
        <v>4253</v>
      </c>
      <c r="K124" s="329" t="s">
        <v>4481</v>
      </c>
    </row>
    <row r="125" spans="1:20" s="130" customFormat="1" ht="63.95" customHeight="1" x14ac:dyDescent="0.25">
      <c r="A125" s="139">
        <v>3</v>
      </c>
      <c r="B125" s="297" t="s">
        <v>4488</v>
      </c>
      <c r="C125" s="133" t="s">
        <v>4489</v>
      </c>
      <c r="D125" s="330" t="s">
        <v>4481</v>
      </c>
      <c r="E125" s="135">
        <v>159</v>
      </c>
      <c r="F125" s="133">
        <v>0</v>
      </c>
      <c r="G125" s="133" t="s">
        <v>4265</v>
      </c>
      <c r="H125" s="133" t="s">
        <v>4280</v>
      </c>
      <c r="I125" s="133" t="s">
        <v>4490</v>
      </c>
      <c r="J125" s="133" t="s">
        <v>4491</v>
      </c>
      <c r="K125" s="329" t="s">
        <v>4492</v>
      </c>
      <c r="L125" s="201"/>
      <c r="M125" s="201"/>
      <c r="N125" s="201"/>
      <c r="O125" s="201"/>
      <c r="P125" s="201"/>
      <c r="Q125" s="201"/>
      <c r="R125" s="201"/>
      <c r="S125" s="201"/>
      <c r="T125" s="201"/>
    </row>
    <row r="126" spans="1:20" s="130" customFormat="1" ht="15.95" customHeight="1" x14ac:dyDescent="0.25">
      <c r="A126" s="139">
        <v>4</v>
      </c>
      <c r="B126" s="132" t="s">
        <v>4493</v>
      </c>
      <c r="C126" s="133" t="s">
        <v>4494</v>
      </c>
      <c r="D126" s="330" t="s">
        <v>4481</v>
      </c>
      <c r="E126" s="135">
        <v>520</v>
      </c>
      <c r="F126" s="133">
        <v>0</v>
      </c>
      <c r="G126" s="133" t="s">
        <v>4052</v>
      </c>
      <c r="H126" s="133" t="s">
        <v>4495</v>
      </c>
      <c r="I126" s="133" t="s">
        <v>4481</v>
      </c>
      <c r="J126" s="133" t="s">
        <v>4481</v>
      </c>
      <c r="K126" s="329" t="s">
        <v>4481</v>
      </c>
      <c r="L126" s="201"/>
      <c r="M126" s="201"/>
      <c r="N126" s="201"/>
      <c r="O126" s="201"/>
      <c r="P126" s="201"/>
      <c r="Q126" s="201"/>
      <c r="R126" s="201"/>
      <c r="S126" s="201"/>
      <c r="T126" s="201"/>
    </row>
    <row r="127" spans="1:20" s="201" customFormat="1" ht="18.95" customHeight="1" x14ac:dyDescent="0.25">
      <c r="A127" s="189"/>
      <c r="B127" s="719" t="s">
        <v>4496</v>
      </c>
      <c r="C127" s="734"/>
      <c r="D127" s="735"/>
      <c r="E127" s="331">
        <f>SUM(E123:E126)</f>
        <v>2039</v>
      </c>
      <c r="F127" s="332"/>
      <c r="G127" s="332"/>
      <c r="H127" s="333"/>
      <c r="I127" s="334"/>
      <c r="J127" s="332"/>
      <c r="K127" s="335"/>
      <c r="L127" s="180"/>
      <c r="M127" s="180"/>
      <c r="N127" s="180"/>
      <c r="O127" s="180"/>
      <c r="P127" s="180"/>
      <c r="Q127" s="180"/>
      <c r="R127" s="180"/>
      <c r="S127" s="180"/>
      <c r="T127" s="180"/>
    </row>
    <row r="128" spans="1:20" s="201" customFormat="1" ht="27.95" customHeight="1" x14ac:dyDescent="0.25">
      <c r="A128" s="160" t="s">
        <v>4497</v>
      </c>
      <c r="B128" s="132" t="s">
        <v>4498</v>
      </c>
      <c r="C128" s="133" t="s">
        <v>4499</v>
      </c>
      <c r="D128" s="336" t="s">
        <v>4500</v>
      </c>
      <c r="E128" s="135">
        <v>1120</v>
      </c>
      <c r="F128" s="136">
        <v>0</v>
      </c>
      <c r="G128" s="133" t="s">
        <v>4344</v>
      </c>
      <c r="H128" s="133" t="s">
        <v>4501</v>
      </c>
      <c r="I128" s="136" t="s">
        <v>4502</v>
      </c>
      <c r="J128" s="136" t="s">
        <v>4363</v>
      </c>
      <c r="K128" s="337" t="s">
        <v>4500</v>
      </c>
      <c r="L128" s="130"/>
      <c r="M128" s="130"/>
      <c r="N128" s="130"/>
      <c r="O128" s="130"/>
      <c r="P128" s="130"/>
      <c r="Q128" s="130"/>
      <c r="R128" s="130"/>
      <c r="S128" s="130"/>
      <c r="T128" s="130"/>
    </row>
    <row r="129" spans="1:20" s="180" customFormat="1" ht="30" customHeight="1" x14ac:dyDescent="0.25">
      <c r="A129" s="160" t="s">
        <v>4503</v>
      </c>
      <c r="B129" s="132" t="s">
        <v>4504</v>
      </c>
      <c r="C129" s="133" t="s">
        <v>4505</v>
      </c>
      <c r="D129" s="336" t="s">
        <v>4500</v>
      </c>
      <c r="E129" s="135">
        <v>1087</v>
      </c>
      <c r="F129" s="133">
        <v>0</v>
      </c>
      <c r="G129" s="133" t="s">
        <v>3474</v>
      </c>
      <c r="H129" s="133" t="s">
        <v>4506</v>
      </c>
      <c r="I129" s="133" t="s">
        <v>4507</v>
      </c>
      <c r="J129" s="133" t="s">
        <v>4508</v>
      </c>
      <c r="K129" s="337" t="s">
        <v>4509</v>
      </c>
      <c r="L129" s="130"/>
      <c r="M129" s="130"/>
      <c r="N129" s="130"/>
      <c r="O129" s="130"/>
      <c r="P129" s="130"/>
      <c r="Q129" s="130"/>
      <c r="R129" s="130"/>
      <c r="S129" s="130"/>
      <c r="T129" s="130"/>
    </row>
    <row r="130" spans="1:20" s="130" customFormat="1" ht="29.1" customHeight="1" x14ac:dyDescent="0.25">
      <c r="A130" s="338" t="s">
        <v>4510</v>
      </c>
      <c r="B130" s="132" t="s">
        <v>4511</v>
      </c>
      <c r="C130" s="133" t="s">
        <v>4512</v>
      </c>
      <c r="D130" s="339" t="s">
        <v>4509</v>
      </c>
      <c r="E130" s="135">
        <v>500</v>
      </c>
      <c r="F130" s="133">
        <v>0</v>
      </c>
      <c r="G130" s="133" t="s">
        <v>4513</v>
      </c>
      <c r="H130" s="133" t="s">
        <v>4514</v>
      </c>
      <c r="I130" s="133" t="s">
        <v>4507</v>
      </c>
      <c r="J130" s="133" t="s">
        <v>4515</v>
      </c>
      <c r="K130" s="340" t="s">
        <v>4509</v>
      </c>
    </row>
    <row r="131" spans="1:20" s="130" customFormat="1" ht="29.1" customHeight="1" x14ac:dyDescent="0.25">
      <c r="A131" s="338" t="s">
        <v>4516</v>
      </c>
      <c r="B131" s="132" t="s">
        <v>4517</v>
      </c>
      <c r="C131" s="133" t="s">
        <v>4518</v>
      </c>
      <c r="D131" s="339" t="s">
        <v>4509</v>
      </c>
      <c r="E131" s="135">
        <v>500</v>
      </c>
      <c r="F131" s="133">
        <v>0</v>
      </c>
      <c r="G131" s="133" t="s">
        <v>3505</v>
      </c>
      <c r="H131" s="133" t="s">
        <v>4165</v>
      </c>
      <c r="I131" s="133" t="s">
        <v>4507</v>
      </c>
      <c r="J131" s="133" t="s">
        <v>4519</v>
      </c>
      <c r="K131" s="340" t="s">
        <v>4509</v>
      </c>
    </row>
    <row r="132" spans="1:20" s="130" customFormat="1" ht="29.1" customHeight="1" x14ac:dyDescent="0.25">
      <c r="A132" s="338" t="s">
        <v>4520</v>
      </c>
      <c r="B132" s="132" t="s">
        <v>4521</v>
      </c>
      <c r="C132" s="133" t="s">
        <v>4522</v>
      </c>
      <c r="D132" s="339" t="s">
        <v>4509</v>
      </c>
      <c r="E132" s="135">
        <v>51</v>
      </c>
      <c r="F132" s="133">
        <v>0</v>
      </c>
      <c r="G132" s="133" t="s">
        <v>4523</v>
      </c>
      <c r="H132" s="133" t="s">
        <v>4524</v>
      </c>
      <c r="I132" s="133" t="s">
        <v>4507</v>
      </c>
      <c r="J132" s="133" t="s">
        <v>4525</v>
      </c>
      <c r="K132" s="340" t="s">
        <v>4509</v>
      </c>
    </row>
    <row r="133" spans="1:20" s="130" customFormat="1" ht="15" customHeight="1" x14ac:dyDescent="0.25">
      <c r="A133" s="338" t="s">
        <v>4526</v>
      </c>
      <c r="B133" s="140" t="s">
        <v>4527</v>
      </c>
      <c r="C133" s="141" t="s">
        <v>4528</v>
      </c>
      <c r="D133" s="341" t="s">
        <v>4507</v>
      </c>
      <c r="E133" s="143">
        <v>181</v>
      </c>
      <c r="F133" s="144">
        <v>0</v>
      </c>
      <c r="G133" s="141" t="s">
        <v>4056</v>
      </c>
      <c r="H133" s="141" t="s">
        <v>4072</v>
      </c>
      <c r="I133" s="141" t="s">
        <v>4507</v>
      </c>
      <c r="J133" s="141" t="s">
        <v>4507</v>
      </c>
      <c r="K133" s="342" t="s">
        <v>4507</v>
      </c>
    </row>
    <row r="134" spans="1:20" s="130" customFormat="1" ht="14.1" customHeight="1" x14ac:dyDescent="0.25">
      <c r="A134" s="338" t="s">
        <v>4529</v>
      </c>
      <c r="B134" s="140" t="s">
        <v>4530</v>
      </c>
      <c r="C134" s="141" t="s">
        <v>4531</v>
      </c>
      <c r="D134" s="341" t="s">
        <v>4507</v>
      </c>
      <c r="E134" s="143">
        <v>62</v>
      </c>
      <c r="F134" s="144">
        <v>0</v>
      </c>
      <c r="G134" s="141" t="s">
        <v>3385</v>
      </c>
      <c r="H134" s="141" t="s">
        <v>4532</v>
      </c>
      <c r="I134" s="141" t="s">
        <v>4507</v>
      </c>
      <c r="J134" s="141" t="s">
        <v>4507</v>
      </c>
      <c r="K134" s="342" t="s">
        <v>4507</v>
      </c>
    </row>
    <row r="135" spans="1:20" s="130" customFormat="1" ht="15" customHeight="1" x14ac:dyDescent="0.25">
      <c r="A135" s="338" t="s">
        <v>4533</v>
      </c>
      <c r="B135" s="132" t="s">
        <v>4534</v>
      </c>
      <c r="C135" s="133" t="s">
        <v>4535</v>
      </c>
      <c r="D135" s="339" t="s">
        <v>4507</v>
      </c>
      <c r="E135" s="135">
        <v>99</v>
      </c>
      <c r="F135" s="136">
        <v>0</v>
      </c>
      <c r="G135" s="133" t="s">
        <v>4063</v>
      </c>
      <c r="H135" s="133" t="s">
        <v>4536</v>
      </c>
      <c r="I135" s="133" t="s">
        <v>4507</v>
      </c>
      <c r="J135" s="133" t="s">
        <v>4507</v>
      </c>
      <c r="K135" s="340" t="s">
        <v>4507</v>
      </c>
    </row>
    <row r="136" spans="1:20" s="130" customFormat="1" ht="30.95" customHeight="1" x14ac:dyDescent="0.25">
      <c r="A136" s="338" t="s">
        <v>4537</v>
      </c>
      <c r="B136" s="132" t="s">
        <v>4538</v>
      </c>
      <c r="C136" s="133" t="s">
        <v>4539</v>
      </c>
      <c r="D136" s="339" t="s">
        <v>4509</v>
      </c>
      <c r="E136" s="135">
        <v>51</v>
      </c>
      <c r="F136" s="133">
        <v>37</v>
      </c>
      <c r="G136" s="133" t="s">
        <v>4119</v>
      </c>
      <c r="H136" s="133" t="s">
        <v>4120</v>
      </c>
      <c r="I136" s="133" t="s">
        <v>4540</v>
      </c>
      <c r="J136" s="133" t="s">
        <v>4541</v>
      </c>
      <c r="K136" s="340" t="s">
        <v>4509</v>
      </c>
    </row>
    <row r="137" spans="1:20" s="130" customFormat="1" ht="17.100000000000001" customHeight="1" x14ac:dyDescent="0.25">
      <c r="A137" s="131" t="s">
        <v>4542</v>
      </c>
      <c r="B137" s="132" t="s">
        <v>4543</v>
      </c>
      <c r="C137" s="133" t="s">
        <v>4544</v>
      </c>
      <c r="D137" s="336" t="s">
        <v>4545</v>
      </c>
      <c r="E137" s="135">
        <v>145</v>
      </c>
      <c r="F137" s="133">
        <v>0</v>
      </c>
      <c r="G137" s="133" t="s">
        <v>4546</v>
      </c>
      <c r="H137" s="133" t="s">
        <v>4547</v>
      </c>
      <c r="I137" s="136" t="s">
        <v>4502</v>
      </c>
      <c r="J137" s="136" t="s">
        <v>4502</v>
      </c>
      <c r="K137" s="337" t="s">
        <v>4545</v>
      </c>
    </row>
    <row r="138" spans="1:20" s="130" customFormat="1" ht="15.95" customHeight="1" x14ac:dyDescent="0.25">
      <c r="A138" s="160" t="s">
        <v>4548</v>
      </c>
      <c r="B138" s="132" t="s">
        <v>4549</v>
      </c>
      <c r="C138" s="133" t="s">
        <v>4550</v>
      </c>
      <c r="D138" s="336" t="s">
        <v>4551</v>
      </c>
      <c r="E138" s="135">
        <v>1100</v>
      </c>
      <c r="F138" s="133">
        <v>0</v>
      </c>
      <c r="G138" s="133" t="s">
        <v>4344</v>
      </c>
      <c r="H138" s="133" t="s">
        <v>4552</v>
      </c>
      <c r="I138" s="202" t="s">
        <v>4553</v>
      </c>
      <c r="J138" s="133" t="s">
        <v>4554</v>
      </c>
      <c r="K138" s="336" t="s">
        <v>4551</v>
      </c>
    </row>
    <row r="139" spans="1:20" s="296" customFormat="1" ht="29.1" customHeight="1" x14ac:dyDescent="0.25">
      <c r="A139" s="271" t="s">
        <v>4555</v>
      </c>
      <c r="B139" s="176" t="s">
        <v>4556</v>
      </c>
      <c r="C139" s="167" t="s">
        <v>4557</v>
      </c>
      <c r="D139" s="336" t="s">
        <v>4551</v>
      </c>
      <c r="E139" s="270">
        <v>709</v>
      </c>
      <c r="F139" s="177">
        <v>0</v>
      </c>
      <c r="G139" s="177" t="s">
        <v>4265</v>
      </c>
      <c r="H139" s="169" t="s">
        <v>4418</v>
      </c>
      <c r="I139" s="170" t="s">
        <v>4369</v>
      </c>
      <c r="J139" s="167" t="s">
        <v>4369</v>
      </c>
      <c r="K139" s="336" t="s">
        <v>4551</v>
      </c>
    </row>
    <row r="140" spans="1:20" s="130" customFormat="1" ht="18.95" customHeight="1" x14ac:dyDescent="0.25">
      <c r="A140" s="338"/>
      <c r="B140" s="719" t="s">
        <v>4558</v>
      </c>
      <c r="C140" s="734"/>
      <c r="D140" s="735"/>
      <c r="E140" s="343">
        <f>SUM(E128:E139)</f>
        <v>5605</v>
      </c>
      <c r="F140" s="192"/>
      <c r="G140" s="192"/>
      <c r="H140" s="192"/>
      <c r="I140" s="192"/>
      <c r="J140" s="192"/>
      <c r="K140" s="344"/>
    </row>
    <row r="141" spans="1:20" s="130" customFormat="1" ht="24" customHeight="1" thickBot="1" x14ac:dyDescent="0.3">
      <c r="A141" s="146"/>
      <c r="B141" s="707" t="s">
        <v>4559</v>
      </c>
      <c r="C141" s="708"/>
      <c r="D141" s="709"/>
      <c r="E141" s="345">
        <f>SUM(E127+E140)</f>
        <v>7644</v>
      </c>
      <c r="F141" s="216"/>
      <c r="G141" s="216"/>
      <c r="H141" s="216"/>
      <c r="I141" s="216"/>
      <c r="J141" s="216"/>
      <c r="K141" s="217"/>
    </row>
    <row r="142" spans="1:20" s="130" customFormat="1" x14ac:dyDescent="0.25">
      <c r="A142" s="146"/>
      <c r="B142" s="725" t="s">
        <v>4560</v>
      </c>
      <c r="C142" s="725"/>
      <c r="D142" s="725"/>
      <c r="E142" s="346">
        <f>E84+E120+E141</f>
        <v>35337.5</v>
      </c>
      <c r="F142" s="233"/>
      <c r="G142" s="233"/>
      <c r="H142" s="233"/>
      <c r="I142" s="233"/>
      <c r="J142" s="233"/>
      <c r="K142" s="233"/>
    </row>
    <row r="143" spans="1:20" s="130" customFormat="1" ht="15.75" thickBot="1" x14ac:dyDescent="0.3">
      <c r="A143" s="146"/>
      <c r="B143" s="347"/>
      <c r="C143" s="347"/>
      <c r="D143" s="347"/>
      <c r="E143" s="348"/>
      <c r="F143" s="233"/>
      <c r="G143" s="233"/>
      <c r="H143" s="233"/>
      <c r="I143" s="233"/>
      <c r="J143" s="233"/>
      <c r="K143" s="233"/>
      <c r="L143" s="95"/>
      <c r="M143" s="95"/>
      <c r="N143" s="95"/>
      <c r="O143" s="95"/>
      <c r="P143" s="95"/>
      <c r="Q143" s="95"/>
      <c r="R143" s="95"/>
      <c r="S143" s="95"/>
      <c r="T143" s="95"/>
    </row>
    <row r="144" spans="1:20" s="130" customFormat="1" ht="22.5" x14ac:dyDescent="0.25">
      <c r="A144" s="146"/>
      <c r="B144" s="238" t="s">
        <v>4561</v>
      </c>
      <c r="C144" s="325" t="s">
        <v>4016</v>
      </c>
      <c r="D144" s="325" t="s">
        <v>4562</v>
      </c>
      <c r="E144" s="325" t="s">
        <v>4018</v>
      </c>
      <c r="F144" s="325" t="s">
        <v>4563</v>
      </c>
      <c r="G144" s="325" t="s">
        <v>4020</v>
      </c>
      <c r="H144" s="325" t="s">
        <v>4564</v>
      </c>
      <c r="I144" s="325" t="s">
        <v>4565</v>
      </c>
      <c r="J144" s="325"/>
      <c r="K144" s="349"/>
      <c r="L144" s="261"/>
      <c r="M144" s="261"/>
      <c r="N144" s="261"/>
      <c r="O144" s="261"/>
      <c r="P144" s="261"/>
      <c r="Q144" s="261"/>
      <c r="R144" s="261"/>
      <c r="S144" s="261"/>
      <c r="T144" s="261"/>
    </row>
    <row r="145" spans="1:20" ht="18.95" customHeight="1" x14ac:dyDescent="0.25">
      <c r="A145" s="245" t="s">
        <v>4486</v>
      </c>
      <c r="B145" s="350" t="s">
        <v>4566</v>
      </c>
      <c r="C145" s="351" t="s">
        <v>4567</v>
      </c>
      <c r="D145" s="351" t="s">
        <v>4568</v>
      </c>
      <c r="E145" s="352">
        <v>116</v>
      </c>
      <c r="F145" s="351" t="s">
        <v>4569</v>
      </c>
      <c r="G145" s="351" t="s">
        <v>4344</v>
      </c>
      <c r="H145" s="351" t="s">
        <v>4570</v>
      </c>
      <c r="I145" s="353" t="s">
        <v>4571</v>
      </c>
      <c r="J145" s="354"/>
      <c r="K145" s="355"/>
    </row>
    <row r="146" spans="1:20" s="261" customFormat="1" ht="26.1" customHeight="1" x14ac:dyDescent="0.25">
      <c r="A146" s="189"/>
      <c r="B146" s="356" t="s">
        <v>4572</v>
      </c>
      <c r="C146" s="357" t="s">
        <v>4573</v>
      </c>
      <c r="D146" s="357" t="s">
        <v>4568</v>
      </c>
      <c r="E146" s="358">
        <v>100</v>
      </c>
      <c r="F146" s="357" t="s">
        <v>4574</v>
      </c>
      <c r="G146" s="357" t="s">
        <v>3385</v>
      </c>
      <c r="H146" s="357" t="s">
        <v>4575</v>
      </c>
      <c r="I146" s="359" t="s">
        <v>4576</v>
      </c>
      <c r="J146" s="360"/>
      <c r="K146" s="361"/>
      <c r="L146" s="130"/>
      <c r="M146" s="130"/>
      <c r="N146" s="130"/>
      <c r="O146" s="130"/>
      <c r="P146" s="130"/>
      <c r="Q146" s="130"/>
      <c r="R146" s="130"/>
      <c r="S146" s="130"/>
      <c r="T146" s="130"/>
    </row>
    <row r="147" spans="1:20" ht="18" customHeight="1" thickBot="1" x14ac:dyDescent="0.3">
      <c r="B147" s="362" t="s">
        <v>4577</v>
      </c>
      <c r="C147" s="363" t="s">
        <v>4578</v>
      </c>
      <c r="D147" s="363" t="s">
        <v>4579</v>
      </c>
      <c r="E147" s="363">
        <v>300</v>
      </c>
      <c r="F147" s="363" t="s">
        <v>4580</v>
      </c>
      <c r="G147" s="363" t="s">
        <v>4581</v>
      </c>
      <c r="H147" s="364">
        <v>38862</v>
      </c>
      <c r="I147" s="364">
        <v>40213</v>
      </c>
      <c r="J147" s="363"/>
      <c r="K147" s="365"/>
      <c r="L147" s="130"/>
      <c r="M147" s="130"/>
      <c r="N147" s="130"/>
      <c r="O147" s="130"/>
      <c r="P147" s="130"/>
      <c r="Q147" s="130"/>
      <c r="R147" s="130"/>
      <c r="S147" s="130"/>
      <c r="T147" s="130"/>
    </row>
    <row r="148" spans="1:20" s="130" customFormat="1" ht="21" customHeight="1" x14ac:dyDescent="0.25">
      <c r="A148" s="146"/>
      <c r="B148" s="725" t="s">
        <v>4582</v>
      </c>
      <c r="C148" s="725"/>
      <c r="D148" s="725"/>
      <c r="E148" s="348">
        <f>SUM(E145:E147)</f>
        <v>516</v>
      </c>
      <c r="F148" s="233"/>
      <c r="G148" s="233"/>
      <c r="H148" s="233"/>
      <c r="I148" s="233"/>
      <c r="J148" s="233"/>
      <c r="K148" s="233"/>
      <c r="L148" s="95"/>
      <c r="M148" s="95"/>
      <c r="N148" s="95"/>
      <c r="O148" s="95"/>
      <c r="P148" s="95"/>
      <c r="Q148" s="95"/>
      <c r="R148" s="95"/>
      <c r="S148" s="95"/>
      <c r="T148" s="95"/>
    </row>
    <row r="149" spans="1:20" s="130" customFormat="1" ht="30.95" customHeight="1" thickBot="1" x14ac:dyDescent="0.3">
      <c r="A149" s="146"/>
      <c r="B149" s="320"/>
      <c r="C149" s="233"/>
      <c r="D149" s="366"/>
      <c r="E149" s="348"/>
      <c r="F149" s="233"/>
      <c r="G149" s="233"/>
      <c r="H149" s="233"/>
      <c r="I149" s="233"/>
      <c r="J149" s="233"/>
      <c r="K149" s="233"/>
      <c r="L149" s="261"/>
      <c r="M149" s="261"/>
      <c r="N149" s="261"/>
      <c r="O149" s="261"/>
      <c r="P149" s="261"/>
      <c r="Q149" s="261"/>
      <c r="R149" s="261"/>
      <c r="S149" s="261"/>
      <c r="T149" s="261"/>
    </row>
    <row r="150" spans="1:20" ht="62.1" customHeight="1" x14ac:dyDescent="0.25">
      <c r="A150" s="269"/>
      <c r="B150" s="238" t="s">
        <v>4583</v>
      </c>
      <c r="C150" s="325" t="s">
        <v>4016</v>
      </c>
      <c r="D150" s="325" t="s">
        <v>4562</v>
      </c>
      <c r="E150" s="325" t="s">
        <v>4584</v>
      </c>
      <c r="F150" s="325" t="s">
        <v>4563</v>
      </c>
      <c r="G150" s="325" t="s">
        <v>4020</v>
      </c>
      <c r="H150" s="325" t="s">
        <v>4564</v>
      </c>
      <c r="I150" s="325" t="s">
        <v>4585</v>
      </c>
      <c r="J150" s="325"/>
      <c r="K150" s="349" t="s">
        <v>4586</v>
      </c>
    </row>
    <row r="151" spans="1:20" ht="96" customHeight="1" x14ac:dyDescent="0.25">
      <c r="A151" s="269">
        <v>1</v>
      </c>
      <c r="B151" s="367" t="s">
        <v>4587</v>
      </c>
      <c r="C151" s="368" t="s">
        <v>4588</v>
      </c>
      <c r="D151" s="369" t="s">
        <v>4568</v>
      </c>
      <c r="E151" s="370">
        <v>390</v>
      </c>
      <c r="F151" s="369" t="s">
        <v>4569</v>
      </c>
      <c r="G151" s="368" t="s">
        <v>4589</v>
      </c>
      <c r="H151" s="369" t="s">
        <v>4590</v>
      </c>
      <c r="I151" s="368" t="s">
        <v>4445</v>
      </c>
      <c r="J151" s="371"/>
      <c r="K151" s="372" t="s">
        <v>4445</v>
      </c>
    </row>
    <row r="152" spans="1:20" ht="24.95" customHeight="1" x14ac:dyDescent="0.25">
      <c r="A152" s="189">
        <v>2</v>
      </c>
      <c r="B152" s="373" t="s">
        <v>4591</v>
      </c>
      <c r="C152" s="368" t="s">
        <v>4592</v>
      </c>
      <c r="D152" s="368" t="s">
        <v>4568</v>
      </c>
      <c r="E152" s="374">
        <v>660</v>
      </c>
      <c r="F152" s="368" t="s">
        <v>4593</v>
      </c>
      <c r="G152" s="368" t="s">
        <v>4119</v>
      </c>
      <c r="H152" s="375" t="s">
        <v>4594</v>
      </c>
      <c r="I152" s="368" t="s">
        <v>4492</v>
      </c>
      <c r="J152" s="368"/>
      <c r="K152" s="372" t="s">
        <v>4445</v>
      </c>
    </row>
    <row r="153" spans="1:20" ht="24.95" customHeight="1" x14ac:dyDescent="0.25">
      <c r="A153" s="189">
        <v>3</v>
      </c>
      <c r="B153" s="373" t="s">
        <v>4595</v>
      </c>
      <c r="C153" s="368" t="s">
        <v>4596</v>
      </c>
      <c r="D153" s="368" t="s">
        <v>4579</v>
      </c>
      <c r="E153" s="374" t="s">
        <v>4597</v>
      </c>
      <c r="F153" s="368" t="s">
        <v>4598</v>
      </c>
      <c r="G153" s="368" t="s">
        <v>4599</v>
      </c>
      <c r="H153" s="375">
        <v>40760</v>
      </c>
      <c r="I153" s="376">
        <v>41126</v>
      </c>
      <c r="J153" s="368"/>
      <c r="K153" s="372" t="s">
        <v>4445</v>
      </c>
    </row>
    <row r="154" spans="1:20" ht="26.1" customHeight="1" x14ac:dyDescent="0.25">
      <c r="A154" s="189">
        <v>4</v>
      </c>
      <c r="B154" s="377" t="s">
        <v>4600</v>
      </c>
      <c r="C154" s="378" t="s">
        <v>4601</v>
      </c>
      <c r="D154" s="378" t="s">
        <v>4579</v>
      </c>
      <c r="E154" s="379">
        <v>300</v>
      </c>
      <c r="F154" s="378" t="s">
        <v>4598</v>
      </c>
      <c r="G154" s="378" t="s">
        <v>4602</v>
      </c>
      <c r="H154" s="380" t="s">
        <v>4603</v>
      </c>
      <c r="I154" s="378" t="s">
        <v>4445</v>
      </c>
      <c r="J154" s="381"/>
      <c r="K154" s="382" t="s">
        <v>4445</v>
      </c>
      <c r="L154" s="257"/>
      <c r="M154" s="257"/>
      <c r="N154" s="257"/>
      <c r="O154" s="257"/>
      <c r="P154" s="257"/>
      <c r="Q154" s="257"/>
      <c r="R154" s="257"/>
      <c r="S154" s="257"/>
      <c r="T154" s="257"/>
    </row>
    <row r="155" spans="1:20" ht="26.1" customHeight="1" x14ac:dyDescent="0.25">
      <c r="A155" s="269">
        <v>5</v>
      </c>
      <c r="B155" s="377" t="s">
        <v>4604</v>
      </c>
      <c r="C155" s="378" t="s">
        <v>4605</v>
      </c>
      <c r="D155" s="378" t="s">
        <v>4606</v>
      </c>
      <c r="E155" s="378">
        <v>100</v>
      </c>
      <c r="F155" s="378" t="s">
        <v>4598</v>
      </c>
      <c r="G155" s="378" t="s">
        <v>4607</v>
      </c>
      <c r="H155" s="383" t="s">
        <v>4608</v>
      </c>
      <c r="I155" s="381"/>
      <c r="J155" s="381"/>
      <c r="K155" s="384"/>
      <c r="L155" s="257"/>
      <c r="M155" s="257"/>
      <c r="N155" s="257"/>
      <c r="O155" s="257"/>
      <c r="P155" s="257"/>
      <c r="Q155" s="257"/>
      <c r="R155" s="257"/>
      <c r="S155" s="257"/>
      <c r="T155" s="257"/>
    </row>
    <row r="156" spans="1:20" s="201" customFormat="1" ht="29.1" customHeight="1" x14ac:dyDescent="0.25">
      <c r="A156" s="262">
        <v>6</v>
      </c>
      <c r="B156" s="385" t="s">
        <v>4609</v>
      </c>
      <c r="C156" s="386" t="s">
        <v>4610</v>
      </c>
      <c r="D156" s="386" t="s">
        <v>4611</v>
      </c>
      <c r="E156" s="386" t="s">
        <v>4612</v>
      </c>
      <c r="F156" s="386" t="s">
        <v>4593</v>
      </c>
      <c r="G156" s="386" t="s">
        <v>4613</v>
      </c>
      <c r="H156" s="383" t="s">
        <v>4614</v>
      </c>
      <c r="I156" s="387"/>
      <c r="J156" s="387"/>
      <c r="K156" s="388"/>
      <c r="L156" s="95"/>
      <c r="M156" s="95"/>
      <c r="N156" s="95"/>
      <c r="O156" s="95"/>
      <c r="P156" s="95"/>
      <c r="Q156" s="95"/>
      <c r="R156" s="95"/>
      <c r="S156" s="95"/>
      <c r="T156" s="95"/>
    </row>
    <row r="157" spans="1:20" s="201" customFormat="1" ht="29.1" customHeight="1" x14ac:dyDescent="0.25">
      <c r="A157" s="269">
        <v>7</v>
      </c>
      <c r="B157" s="389" t="s">
        <v>4615</v>
      </c>
      <c r="C157" s="390" t="s">
        <v>4616</v>
      </c>
      <c r="D157" s="390" t="s">
        <v>4568</v>
      </c>
      <c r="E157" s="391" t="s">
        <v>4617</v>
      </c>
      <c r="F157" s="390" t="s">
        <v>4618</v>
      </c>
      <c r="G157" s="390" t="s">
        <v>4056</v>
      </c>
      <c r="H157" s="392" t="s">
        <v>4619</v>
      </c>
      <c r="I157" s="393" t="s">
        <v>4620</v>
      </c>
      <c r="J157" s="394"/>
      <c r="K157" s="395" t="s">
        <v>4620</v>
      </c>
      <c r="L157" s="95"/>
      <c r="M157" s="95"/>
      <c r="N157" s="95"/>
      <c r="O157" s="95"/>
      <c r="P157" s="95"/>
      <c r="Q157" s="95"/>
      <c r="R157" s="95"/>
      <c r="S157" s="95"/>
      <c r="T157" s="95"/>
    </row>
    <row r="158" spans="1:20" s="257" customFormat="1" ht="29.1" customHeight="1" x14ac:dyDescent="0.25">
      <c r="A158" s="269">
        <v>8</v>
      </c>
      <c r="B158" s="377" t="s">
        <v>4621</v>
      </c>
      <c r="C158" s="378" t="s">
        <v>4622</v>
      </c>
      <c r="D158" s="378" t="s">
        <v>4579</v>
      </c>
      <c r="E158" s="396" t="s">
        <v>4623</v>
      </c>
      <c r="F158" s="378" t="s">
        <v>4598</v>
      </c>
      <c r="G158" s="378" t="s">
        <v>4624</v>
      </c>
      <c r="H158" s="383" t="s">
        <v>4625</v>
      </c>
      <c r="I158" s="328" t="s">
        <v>4620</v>
      </c>
      <c r="J158" s="378"/>
      <c r="K158" s="397" t="s">
        <v>4620</v>
      </c>
      <c r="L158" s="95"/>
      <c r="M158" s="95"/>
      <c r="N158" s="95"/>
      <c r="O158" s="95"/>
      <c r="P158" s="95"/>
      <c r="Q158" s="95"/>
      <c r="R158" s="95"/>
      <c r="S158" s="95"/>
      <c r="T158" s="95"/>
    </row>
    <row r="159" spans="1:20" ht="21.95" customHeight="1" x14ac:dyDescent="0.25">
      <c r="A159" s="189">
        <v>9</v>
      </c>
      <c r="B159" s="398" t="s">
        <v>4626</v>
      </c>
      <c r="C159" s="399" t="s">
        <v>4627</v>
      </c>
      <c r="D159" s="399" t="s">
        <v>4568</v>
      </c>
      <c r="E159" s="400">
        <v>500</v>
      </c>
      <c r="F159" s="399" t="s">
        <v>4593</v>
      </c>
      <c r="G159" s="399" t="s">
        <v>4052</v>
      </c>
      <c r="H159" s="399" t="s">
        <v>4628</v>
      </c>
      <c r="I159" s="401" t="s">
        <v>4629</v>
      </c>
      <c r="J159" s="402"/>
      <c r="K159" s="382" t="s">
        <v>4445</v>
      </c>
      <c r="L159" s="201"/>
      <c r="M159" s="201"/>
      <c r="N159" s="201"/>
      <c r="O159" s="201"/>
      <c r="P159" s="201"/>
      <c r="Q159" s="201"/>
      <c r="R159" s="201"/>
      <c r="S159" s="201"/>
      <c r="T159" s="201"/>
    </row>
    <row r="160" spans="1:20" s="201" customFormat="1" ht="29.1" customHeight="1" thickBot="1" x14ac:dyDescent="0.3">
      <c r="A160" s="189">
        <v>10</v>
      </c>
      <c r="B160" s="403" t="s">
        <v>4630</v>
      </c>
      <c r="C160" s="404" t="s">
        <v>4631</v>
      </c>
      <c r="D160" s="405" t="s">
        <v>4568</v>
      </c>
      <c r="E160" s="406">
        <v>550</v>
      </c>
      <c r="F160" s="407" t="s">
        <v>4569</v>
      </c>
      <c r="G160" s="407" t="s">
        <v>4041</v>
      </c>
      <c r="H160" s="408" t="s">
        <v>4632</v>
      </c>
      <c r="I160" s="409" t="s">
        <v>4629</v>
      </c>
      <c r="J160" s="410"/>
      <c r="K160" s="411" t="s">
        <v>4445</v>
      </c>
      <c r="L160" s="261"/>
      <c r="M160" s="261"/>
      <c r="N160" s="261"/>
      <c r="O160" s="261"/>
      <c r="P160" s="261"/>
      <c r="Q160" s="261"/>
      <c r="R160" s="261"/>
      <c r="S160" s="261"/>
      <c r="T160" s="261"/>
    </row>
    <row r="161" spans="1:20" s="261" customFormat="1" ht="29.1" customHeight="1" x14ac:dyDescent="0.25">
      <c r="A161" s="189"/>
      <c r="B161" s="741" t="s">
        <v>4633</v>
      </c>
      <c r="C161" s="741"/>
      <c r="D161" s="741"/>
      <c r="E161" s="412">
        <f>SUM(E151+E152+E154+E155+E159+E160)</f>
        <v>2500</v>
      </c>
      <c r="F161" s="233"/>
      <c r="G161" s="233"/>
      <c r="H161" s="233"/>
      <c r="I161" s="233"/>
      <c r="J161" s="232"/>
      <c r="K161" s="233"/>
    </row>
    <row r="162" spans="1:20" s="261" customFormat="1" ht="12.95" customHeight="1" x14ac:dyDescent="0.25">
      <c r="A162" s="189"/>
      <c r="B162" s="742" t="s">
        <v>4634</v>
      </c>
      <c r="C162" s="742"/>
      <c r="D162" s="742"/>
      <c r="E162" s="413">
        <f>SUM(500+750)</f>
        <v>1250</v>
      </c>
      <c r="F162" s="233"/>
      <c r="G162" s="233"/>
      <c r="H162" s="233"/>
      <c r="I162" s="233"/>
      <c r="J162" s="232"/>
      <c r="K162" s="233"/>
    </row>
    <row r="163" spans="1:20" s="261" customFormat="1" ht="12.95" customHeight="1" x14ac:dyDescent="0.25">
      <c r="A163" s="189"/>
      <c r="B163" s="414"/>
      <c r="C163" s="743"/>
      <c r="D163" s="743"/>
      <c r="E163" s="413"/>
      <c r="F163" s="233"/>
      <c r="G163" s="233"/>
      <c r="H163" s="233"/>
      <c r="I163" s="233"/>
      <c r="J163" s="232"/>
      <c r="K163" s="233"/>
    </row>
    <row r="164" spans="1:20" s="261" customFormat="1" ht="12.95" customHeight="1" x14ac:dyDescent="0.25">
      <c r="A164" s="189"/>
      <c r="B164" s="744" t="s">
        <v>4635</v>
      </c>
      <c r="C164" s="744"/>
      <c r="D164" s="744"/>
      <c r="E164" s="413">
        <f>SUM($E$161+$E$162-656-250)</f>
        <v>2844</v>
      </c>
      <c r="F164" s="233"/>
      <c r="G164" s="233"/>
      <c r="H164" s="233"/>
      <c r="I164" s="233"/>
      <c r="J164" s="232"/>
      <c r="K164" s="233"/>
      <c r="L164" s="95"/>
      <c r="M164" s="95"/>
      <c r="N164" s="95"/>
      <c r="O164" s="95"/>
      <c r="P164" s="95"/>
      <c r="Q164" s="95"/>
      <c r="R164" s="95"/>
      <c r="S164" s="95"/>
      <c r="T164" s="95"/>
    </row>
    <row r="165" spans="1:20" s="261" customFormat="1" ht="29.1" customHeight="1" thickBot="1" x14ac:dyDescent="0.3">
      <c r="A165" s="189"/>
      <c r="B165" s="347"/>
      <c r="C165" s="347"/>
      <c r="D165" s="347"/>
      <c r="E165" s="415"/>
      <c r="F165" s="233"/>
      <c r="G165" s="233"/>
      <c r="H165" s="233"/>
      <c r="I165" s="233"/>
      <c r="J165" s="232"/>
      <c r="K165" s="233"/>
      <c r="L165" s="95"/>
      <c r="M165" s="95"/>
      <c r="N165" s="95"/>
      <c r="O165" s="95"/>
      <c r="P165" s="95"/>
      <c r="Q165" s="95"/>
      <c r="R165" s="95"/>
      <c r="S165" s="95"/>
      <c r="T165" s="95"/>
    </row>
    <row r="166" spans="1:20" ht="29.1" customHeight="1" x14ac:dyDescent="0.25">
      <c r="A166" s="269"/>
      <c r="B166" s="238" t="s">
        <v>4636</v>
      </c>
      <c r="C166" s="325" t="s">
        <v>4637</v>
      </c>
      <c r="D166" s="325" t="s">
        <v>4638</v>
      </c>
      <c r="E166" s="325" t="s">
        <v>4639</v>
      </c>
      <c r="F166" s="325" t="s">
        <v>4563</v>
      </c>
      <c r="G166" s="325" t="s">
        <v>4020</v>
      </c>
      <c r="H166" s="325" t="s">
        <v>4640</v>
      </c>
      <c r="I166" s="325"/>
      <c r="J166" s="325"/>
      <c r="K166" s="349"/>
    </row>
    <row r="167" spans="1:20" ht="29.1" customHeight="1" x14ac:dyDescent="0.25">
      <c r="A167" s="269">
        <v>1</v>
      </c>
      <c r="B167" s="416" t="s">
        <v>4641</v>
      </c>
      <c r="C167" s="417" t="s">
        <v>4606</v>
      </c>
      <c r="D167" s="417" t="s">
        <v>4642</v>
      </c>
      <c r="E167" s="417">
        <v>235</v>
      </c>
      <c r="F167" s="417" t="s">
        <v>4598</v>
      </c>
      <c r="G167" s="417" t="s">
        <v>4643</v>
      </c>
      <c r="H167" s="418" t="s">
        <v>4644</v>
      </c>
      <c r="I167" s="419"/>
      <c r="J167" s="419"/>
      <c r="K167" s="420"/>
    </row>
    <row r="168" spans="1:20" ht="29.1" customHeight="1" thickBot="1" x14ac:dyDescent="0.3">
      <c r="A168" s="269">
        <v>2</v>
      </c>
      <c r="B168" s="421" t="s">
        <v>4645</v>
      </c>
      <c r="C168" s="422" t="s">
        <v>4606</v>
      </c>
      <c r="D168" s="422" t="s">
        <v>4646</v>
      </c>
      <c r="E168" s="422">
        <v>150</v>
      </c>
      <c r="F168" s="422" t="s">
        <v>4598</v>
      </c>
      <c r="G168" s="422" t="s">
        <v>4647</v>
      </c>
      <c r="H168" s="423" t="s">
        <v>4364</v>
      </c>
      <c r="I168" s="424"/>
      <c r="J168" s="424"/>
      <c r="K168" s="425"/>
    </row>
    <row r="169" spans="1:20" ht="29.1" customHeight="1" x14ac:dyDescent="0.25">
      <c r="A169" s="189"/>
      <c r="B169" s="725" t="s">
        <v>4648</v>
      </c>
      <c r="C169" s="725"/>
      <c r="D169" s="725"/>
      <c r="E169" s="346">
        <f>SUM(E167:E168)</f>
        <v>385</v>
      </c>
      <c r="F169" s="233"/>
      <c r="G169" s="233"/>
      <c r="H169" s="323"/>
      <c r="I169" s="232"/>
      <c r="J169" s="232"/>
      <c r="K169" s="232"/>
    </row>
    <row r="170" spans="1:20" ht="29.1" customHeight="1" thickBot="1" x14ac:dyDescent="0.3">
      <c r="B170" s="426"/>
      <c r="C170" s="427"/>
      <c r="D170" s="427"/>
      <c r="E170" s="428"/>
      <c r="F170" s="428"/>
      <c r="G170" s="428"/>
      <c r="H170" s="428"/>
      <c r="I170" s="428"/>
      <c r="J170" s="428"/>
      <c r="K170" s="428"/>
    </row>
    <row r="171" spans="1:20" ht="29.1" customHeight="1" thickTop="1" x14ac:dyDescent="0.25">
      <c r="B171" s="745" t="s">
        <v>4649</v>
      </c>
      <c r="C171" s="746"/>
      <c r="D171" s="747"/>
      <c r="F171" s="748" t="s">
        <v>4650</v>
      </c>
      <c r="G171" s="749"/>
      <c r="H171" s="749"/>
      <c r="I171" s="749"/>
      <c r="J171" s="749"/>
      <c r="K171" s="750"/>
    </row>
    <row r="172" spans="1:20" ht="36.950000000000003" customHeight="1" x14ac:dyDescent="0.25">
      <c r="B172" s="751" t="s">
        <v>4651</v>
      </c>
      <c r="C172" s="752"/>
      <c r="D172" s="753"/>
      <c r="F172" s="429" t="s">
        <v>4593</v>
      </c>
      <c r="G172" s="739" t="s">
        <v>4652</v>
      </c>
      <c r="H172" s="739"/>
      <c r="I172" s="739"/>
      <c r="J172" s="739"/>
      <c r="K172" s="740"/>
    </row>
    <row r="173" spans="1:20" ht="32.1" customHeight="1" x14ac:dyDescent="0.25">
      <c r="B173" s="736" t="s">
        <v>4653</v>
      </c>
      <c r="C173" s="737"/>
      <c r="D173" s="738"/>
      <c r="F173" s="429" t="s">
        <v>4569</v>
      </c>
      <c r="G173" s="739" t="s">
        <v>4654</v>
      </c>
      <c r="H173" s="739"/>
      <c r="I173" s="739"/>
      <c r="J173" s="739"/>
      <c r="K173" s="740"/>
    </row>
    <row r="174" spans="1:20" ht="12" customHeight="1" x14ac:dyDescent="0.25">
      <c r="B174" s="736" t="s">
        <v>4655</v>
      </c>
      <c r="C174" s="737"/>
      <c r="D174" s="738"/>
      <c r="F174" s="429" t="s">
        <v>4618</v>
      </c>
      <c r="G174" s="739" t="s">
        <v>4656</v>
      </c>
      <c r="H174" s="739"/>
      <c r="I174" s="739"/>
      <c r="J174" s="739"/>
      <c r="K174" s="740"/>
    </row>
    <row r="175" spans="1:20" ht="12" customHeight="1" x14ac:dyDescent="0.25">
      <c r="B175" s="759" t="s">
        <v>4657</v>
      </c>
      <c r="C175" s="760"/>
      <c r="D175" s="761"/>
      <c r="F175" s="429" t="s">
        <v>4658</v>
      </c>
      <c r="G175" s="739" t="s">
        <v>4659</v>
      </c>
      <c r="H175" s="739"/>
      <c r="I175" s="739"/>
      <c r="J175" s="739"/>
      <c r="K175" s="740"/>
    </row>
    <row r="176" spans="1:20" x14ac:dyDescent="0.25">
      <c r="B176" s="736" t="s">
        <v>4660</v>
      </c>
      <c r="C176" s="737"/>
      <c r="D176" s="738"/>
      <c r="F176" s="429" t="s">
        <v>4574</v>
      </c>
      <c r="G176" s="739" t="s">
        <v>4661</v>
      </c>
      <c r="H176" s="739"/>
      <c r="I176" s="739"/>
      <c r="J176" s="739"/>
      <c r="K176" s="740"/>
    </row>
    <row r="177" spans="2:11" ht="12" customHeight="1" x14ac:dyDescent="0.25">
      <c r="B177" s="736" t="s">
        <v>4662</v>
      </c>
      <c r="C177" s="737"/>
      <c r="D177" s="738"/>
      <c r="F177" s="429" t="s">
        <v>4481</v>
      </c>
      <c r="G177" s="739" t="s">
        <v>4663</v>
      </c>
      <c r="H177" s="739"/>
      <c r="I177" s="739"/>
      <c r="J177" s="739"/>
      <c r="K177" s="740"/>
    </row>
    <row r="178" spans="2:11" ht="12" customHeight="1" thickBot="1" x14ac:dyDescent="0.3">
      <c r="B178" s="736" t="s">
        <v>4664</v>
      </c>
      <c r="C178" s="737"/>
      <c r="D178" s="738"/>
      <c r="F178" s="430" t="s">
        <v>4665</v>
      </c>
      <c r="G178" s="754" t="s">
        <v>4666</v>
      </c>
      <c r="H178" s="754"/>
      <c r="I178" s="754"/>
      <c r="J178" s="754"/>
      <c r="K178" s="755"/>
    </row>
    <row r="179" spans="2:11" ht="12.95" customHeight="1" thickTop="1" x14ac:dyDescent="0.25">
      <c r="B179" s="736" t="s">
        <v>4667</v>
      </c>
      <c r="C179" s="737"/>
      <c r="D179" s="738"/>
      <c r="H179" s="428"/>
      <c r="I179" s="428"/>
      <c r="J179" s="428"/>
    </row>
    <row r="180" spans="2:11" ht="12" customHeight="1" thickBot="1" x14ac:dyDescent="0.3">
      <c r="B180" s="756" t="s">
        <v>4668</v>
      </c>
      <c r="C180" s="757"/>
      <c r="D180" s="758"/>
    </row>
    <row r="181" spans="2:11" ht="12.95" customHeight="1" x14ac:dyDescent="0.25"/>
    <row r="182" spans="2:11" ht="12.95" customHeight="1" x14ac:dyDescent="0.25"/>
  </sheetData>
  <mergeCells count="47">
    <mergeCell ref="B178:D178"/>
    <mergeCell ref="G178:K178"/>
    <mergeCell ref="B179:D179"/>
    <mergeCell ref="B180:D180"/>
    <mergeCell ref="B175:D175"/>
    <mergeCell ref="G175:K175"/>
    <mergeCell ref="B176:D176"/>
    <mergeCell ref="G176:K176"/>
    <mergeCell ref="B177:D177"/>
    <mergeCell ref="G177:K177"/>
    <mergeCell ref="B174:D174"/>
    <mergeCell ref="G174:K174"/>
    <mergeCell ref="B161:D161"/>
    <mergeCell ref="B162:D162"/>
    <mergeCell ref="C163:D163"/>
    <mergeCell ref="B164:D164"/>
    <mergeCell ref="B169:D169"/>
    <mergeCell ref="B171:D171"/>
    <mergeCell ref="F171:K171"/>
    <mergeCell ref="B172:D172"/>
    <mergeCell ref="G172:K172"/>
    <mergeCell ref="B173:D173"/>
    <mergeCell ref="G173:K173"/>
    <mergeCell ref="B148:D148"/>
    <mergeCell ref="B80:D80"/>
    <mergeCell ref="B84:D84"/>
    <mergeCell ref="C102:D102"/>
    <mergeCell ref="B103:D103"/>
    <mergeCell ref="B118:D118"/>
    <mergeCell ref="B119:D119"/>
    <mergeCell ref="B120:D120"/>
    <mergeCell ref="B127:D127"/>
    <mergeCell ref="B140:D140"/>
    <mergeCell ref="B141:D141"/>
    <mergeCell ref="B142:D142"/>
    <mergeCell ref="B77:D77"/>
    <mergeCell ref="B2:K2"/>
    <mergeCell ref="A3:K3"/>
    <mergeCell ref="B23:D23"/>
    <mergeCell ref="B31:D31"/>
    <mergeCell ref="B42:D42"/>
    <mergeCell ref="B50:D50"/>
    <mergeCell ref="B57:D57"/>
    <mergeCell ref="B60:D60"/>
    <mergeCell ref="B62:D62"/>
    <mergeCell ref="B68:D68"/>
    <mergeCell ref="B74:D74"/>
  </mergeCells>
  <pageMargins left="0.7" right="0.7" top="0.75" bottom="0.75" header="0.3" footer="0.3"/>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B2:I47"/>
  <sheetViews>
    <sheetView zoomScale="80" zoomScaleNormal="80" workbookViewId="0">
      <selection activeCell="G34" sqref="G34"/>
    </sheetView>
  </sheetViews>
  <sheetFormatPr defaultColWidth="8.85546875" defaultRowHeight="12.75" x14ac:dyDescent="0.2"/>
  <cols>
    <col min="1" max="1" width="8.85546875" style="18"/>
    <col min="2" max="2" width="26.42578125" style="19" customWidth="1"/>
    <col min="3" max="3" width="15.140625" style="18" customWidth="1"/>
    <col min="4" max="4" width="25.7109375" style="18" customWidth="1"/>
    <col min="5" max="5" width="12" style="18" customWidth="1"/>
    <col min="6" max="6" width="15.85546875" style="18" customWidth="1"/>
    <col min="7" max="7" width="17.42578125" style="32" customWidth="1"/>
    <col min="8" max="8" width="27.42578125" style="32" customWidth="1"/>
    <col min="9" max="9" width="75.85546875" style="19" customWidth="1"/>
    <col min="10" max="10" width="8.85546875" style="18"/>
    <col min="11" max="11" width="9.85546875" style="18" customWidth="1"/>
    <col min="12" max="12" width="6.140625" style="18" customWidth="1"/>
    <col min="13" max="13" width="5.42578125" style="18" customWidth="1"/>
    <col min="14" max="14" width="5.7109375" style="18" customWidth="1"/>
    <col min="15" max="15" width="5.28515625" style="18" customWidth="1"/>
    <col min="16" max="16" width="5.7109375" style="18" customWidth="1"/>
    <col min="17" max="17" width="6.28515625" style="18" customWidth="1"/>
    <col min="18" max="18" width="6.140625" style="18" customWidth="1"/>
    <col min="19" max="19" width="6" style="18" customWidth="1"/>
    <col min="20" max="20" width="6.7109375" style="18" customWidth="1"/>
    <col min="21" max="257" width="8.85546875" style="18"/>
    <col min="258" max="258" width="26.42578125" style="18" customWidth="1"/>
    <col min="259" max="259" width="15.140625" style="18" customWidth="1"/>
    <col min="260" max="260" width="25.7109375" style="18" customWidth="1"/>
    <col min="261" max="261" width="12" style="18" customWidth="1"/>
    <col min="262" max="262" width="15.85546875" style="18" customWidth="1"/>
    <col min="263" max="263" width="17.42578125" style="18" customWidth="1"/>
    <col min="264" max="264" width="35.42578125" style="18" customWidth="1"/>
    <col min="265" max="266" width="8.85546875" style="18"/>
    <col min="267" max="267" width="9.85546875" style="18" customWidth="1"/>
    <col min="268" max="268" width="6.140625" style="18" customWidth="1"/>
    <col min="269" max="269" width="5.42578125" style="18" customWidth="1"/>
    <col min="270" max="270" width="5.7109375" style="18" customWidth="1"/>
    <col min="271" max="271" width="5.28515625" style="18" customWidth="1"/>
    <col min="272" max="272" width="5.7109375" style="18" customWidth="1"/>
    <col min="273" max="273" width="6.28515625" style="18" customWidth="1"/>
    <col min="274" max="274" width="6.140625" style="18" customWidth="1"/>
    <col min="275" max="275" width="6" style="18" customWidth="1"/>
    <col min="276" max="276" width="6.7109375" style="18" customWidth="1"/>
    <col min="277" max="513" width="8.85546875" style="18"/>
    <col min="514" max="514" width="26.42578125" style="18" customWidth="1"/>
    <col min="515" max="515" width="15.140625" style="18" customWidth="1"/>
    <col min="516" max="516" width="25.7109375" style="18" customWidth="1"/>
    <col min="517" max="517" width="12" style="18" customWidth="1"/>
    <col min="518" max="518" width="15.85546875" style="18" customWidth="1"/>
    <col min="519" max="519" width="17.42578125" style="18" customWidth="1"/>
    <col min="520" max="520" width="35.42578125" style="18" customWidth="1"/>
    <col min="521" max="522" width="8.85546875" style="18"/>
    <col min="523" max="523" width="9.85546875" style="18" customWidth="1"/>
    <col min="524" max="524" width="6.140625" style="18" customWidth="1"/>
    <col min="525" max="525" width="5.42578125" style="18" customWidth="1"/>
    <col min="526" max="526" width="5.7109375" style="18" customWidth="1"/>
    <col min="527" max="527" width="5.28515625" style="18" customWidth="1"/>
    <col min="528" max="528" width="5.7109375" style="18" customWidth="1"/>
    <col min="529" max="529" width="6.28515625" style="18" customWidth="1"/>
    <col min="530" max="530" width="6.140625" style="18" customWidth="1"/>
    <col min="531" max="531" width="6" style="18" customWidth="1"/>
    <col min="532" max="532" width="6.7109375" style="18" customWidth="1"/>
    <col min="533" max="769" width="8.85546875" style="18"/>
    <col min="770" max="770" width="26.42578125" style="18" customWidth="1"/>
    <col min="771" max="771" width="15.140625" style="18" customWidth="1"/>
    <col min="772" max="772" width="25.7109375" style="18" customWidth="1"/>
    <col min="773" max="773" width="12" style="18" customWidth="1"/>
    <col min="774" max="774" width="15.85546875" style="18" customWidth="1"/>
    <col min="775" max="775" width="17.42578125" style="18" customWidth="1"/>
    <col min="776" max="776" width="35.42578125" style="18" customWidth="1"/>
    <col min="777" max="778" width="8.85546875" style="18"/>
    <col min="779" max="779" width="9.85546875" style="18" customWidth="1"/>
    <col min="780" max="780" width="6.140625" style="18" customWidth="1"/>
    <col min="781" max="781" width="5.42578125" style="18" customWidth="1"/>
    <col min="782" max="782" width="5.7109375" style="18" customWidth="1"/>
    <col min="783" max="783" width="5.28515625" style="18" customWidth="1"/>
    <col min="784" max="784" width="5.7109375" style="18" customWidth="1"/>
    <col min="785" max="785" width="6.28515625" style="18" customWidth="1"/>
    <col min="786" max="786" width="6.140625" style="18" customWidth="1"/>
    <col min="787" max="787" width="6" style="18" customWidth="1"/>
    <col min="788" max="788" width="6.7109375" style="18" customWidth="1"/>
    <col min="789" max="1025" width="8.85546875" style="18"/>
    <col min="1026" max="1026" width="26.42578125" style="18" customWidth="1"/>
    <col min="1027" max="1027" width="15.140625" style="18" customWidth="1"/>
    <col min="1028" max="1028" width="25.7109375" style="18" customWidth="1"/>
    <col min="1029" max="1029" width="12" style="18" customWidth="1"/>
    <col min="1030" max="1030" width="15.85546875" style="18" customWidth="1"/>
    <col min="1031" max="1031" width="17.42578125" style="18" customWidth="1"/>
    <col min="1032" max="1032" width="35.42578125" style="18" customWidth="1"/>
    <col min="1033" max="1034" width="8.85546875" style="18"/>
    <col min="1035" max="1035" width="9.85546875" style="18" customWidth="1"/>
    <col min="1036" max="1036" width="6.140625" style="18" customWidth="1"/>
    <col min="1037" max="1037" width="5.42578125" style="18" customWidth="1"/>
    <col min="1038" max="1038" width="5.7109375" style="18" customWidth="1"/>
    <col min="1039" max="1039" width="5.28515625" style="18" customWidth="1"/>
    <col min="1040" max="1040" width="5.7109375" style="18" customWidth="1"/>
    <col min="1041" max="1041" width="6.28515625" style="18" customWidth="1"/>
    <col min="1042" max="1042" width="6.140625" style="18" customWidth="1"/>
    <col min="1043" max="1043" width="6" style="18" customWidth="1"/>
    <col min="1044" max="1044" width="6.7109375" style="18" customWidth="1"/>
    <col min="1045" max="1281" width="8.85546875" style="18"/>
    <col min="1282" max="1282" width="26.42578125" style="18" customWidth="1"/>
    <col min="1283" max="1283" width="15.140625" style="18" customWidth="1"/>
    <col min="1284" max="1284" width="25.7109375" style="18" customWidth="1"/>
    <col min="1285" max="1285" width="12" style="18" customWidth="1"/>
    <col min="1286" max="1286" width="15.85546875" style="18" customWidth="1"/>
    <col min="1287" max="1287" width="17.42578125" style="18" customWidth="1"/>
    <col min="1288" max="1288" width="35.42578125" style="18" customWidth="1"/>
    <col min="1289" max="1290" width="8.85546875" style="18"/>
    <col min="1291" max="1291" width="9.85546875" style="18" customWidth="1"/>
    <col min="1292" max="1292" width="6.140625" style="18" customWidth="1"/>
    <col min="1293" max="1293" width="5.42578125" style="18" customWidth="1"/>
    <col min="1294" max="1294" width="5.7109375" style="18" customWidth="1"/>
    <col min="1295" max="1295" width="5.28515625" style="18" customWidth="1"/>
    <col min="1296" max="1296" width="5.7109375" style="18" customWidth="1"/>
    <col min="1297" max="1297" width="6.28515625" style="18" customWidth="1"/>
    <col min="1298" max="1298" width="6.140625" style="18" customWidth="1"/>
    <col min="1299" max="1299" width="6" style="18" customWidth="1"/>
    <col min="1300" max="1300" width="6.7109375" style="18" customWidth="1"/>
    <col min="1301" max="1537" width="8.85546875" style="18"/>
    <col min="1538" max="1538" width="26.42578125" style="18" customWidth="1"/>
    <col min="1539" max="1539" width="15.140625" style="18" customWidth="1"/>
    <col min="1540" max="1540" width="25.7109375" style="18" customWidth="1"/>
    <col min="1541" max="1541" width="12" style="18" customWidth="1"/>
    <col min="1542" max="1542" width="15.85546875" style="18" customWidth="1"/>
    <col min="1543" max="1543" width="17.42578125" style="18" customWidth="1"/>
    <col min="1544" max="1544" width="35.42578125" style="18" customWidth="1"/>
    <col min="1545" max="1546" width="8.85546875" style="18"/>
    <col min="1547" max="1547" width="9.85546875" style="18" customWidth="1"/>
    <col min="1548" max="1548" width="6.140625" style="18" customWidth="1"/>
    <col min="1549" max="1549" width="5.42578125" style="18" customWidth="1"/>
    <col min="1550" max="1550" width="5.7109375" style="18" customWidth="1"/>
    <col min="1551" max="1551" width="5.28515625" style="18" customWidth="1"/>
    <col min="1552" max="1552" width="5.7109375" style="18" customWidth="1"/>
    <col min="1553" max="1553" width="6.28515625" style="18" customWidth="1"/>
    <col min="1554" max="1554" width="6.140625" style="18" customWidth="1"/>
    <col min="1555" max="1555" width="6" style="18" customWidth="1"/>
    <col min="1556" max="1556" width="6.7109375" style="18" customWidth="1"/>
    <col min="1557" max="1793" width="8.85546875" style="18"/>
    <col min="1794" max="1794" width="26.42578125" style="18" customWidth="1"/>
    <col min="1795" max="1795" width="15.140625" style="18" customWidth="1"/>
    <col min="1796" max="1796" width="25.7109375" style="18" customWidth="1"/>
    <col min="1797" max="1797" width="12" style="18" customWidth="1"/>
    <col min="1798" max="1798" width="15.85546875" style="18" customWidth="1"/>
    <col min="1799" max="1799" width="17.42578125" style="18" customWidth="1"/>
    <col min="1800" max="1800" width="35.42578125" style="18" customWidth="1"/>
    <col min="1801" max="1802" width="8.85546875" style="18"/>
    <col min="1803" max="1803" width="9.85546875" style="18" customWidth="1"/>
    <col min="1804" max="1804" width="6.140625" style="18" customWidth="1"/>
    <col min="1805" max="1805" width="5.42578125" style="18" customWidth="1"/>
    <col min="1806" max="1806" width="5.7109375" style="18" customWidth="1"/>
    <col min="1807" max="1807" width="5.28515625" style="18" customWidth="1"/>
    <col min="1808" max="1808" width="5.7109375" style="18" customWidth="1"/>
    <col min="1809" max="1809" width="6.28515625" style="18" customWidth="1"/>
    <col min="1810" max="1810" width="6.140625" style="18" customWidth="1"/>
    <col min="1811" max="1811" width="6" style="18" customWidth="1"/>
    <col min="1812" max="1812" width="6.7109375" style="18" customWidth="1"/>
    <col min="1813" max="2049" width="8.85546875" style="18"/>
    <col min="2050" max="2050" width="26.42578125" style="18" customWidth="1"/>
    <col min="2051" max="2051" width="15.140625" style="18" customWidth="1"/>
    <col min="2052" max="2052" width="25.7109375" style="18" customWidth="1"/>
    <col min="2053" max="2053" width="12" style="18" customWidth="1"/>
    <col min="2054" max="2054" width="15.85546875" style="18" customWidth="1"/>
    <col min="2055" max="2055" width="17.42578125" style="18" customWidth="1"/>
    <col min="2056" max="2056" width="35.42578125" style="18" customWidth="1"/>
    <col min="2057" max="2058" width="8.85546875" style="18"/>
    <col min="2059" max="2059" width="9.85546875" style="18" customWidth="1"/>
    <col min="2060" max="2060" width="6.140625" style="18" customWidth="1"/>
    <col min="2061" max="2061" width="5.42578125" style="18" customWidth="1"/>
    <col min="2062" max="2062" width="5.7109375" style="18" customWidth="1"/>
    <col min="2063" max="2063" width="5.28515625" style="18" customWidth="1"/>
    <col min="2064" max="2064" width="5.7109375" style="18" customWidth="1"/>
    <col min="2065" max="2065" width="6.28515625" style="18" customWidth="1"/>
    <col min="2066" max="2066" width="6.140625" style="18" customWidth="1"/>
    <col min="2067" max="2067" width="6" style="18" customWidth="1"/>
    <col min="2068" max="2068" width="6.7109375" style="18" customWidth="1"/>
    <col min="2069" max="2305" width="8.85546875" style="18"/>
    <col min="2306" max="2306" width="26.42578125" style="18" customWidth="1"/>
    <col min="2307" max="2307" width="15.140625" style="18" customWidth="1"/>
    <col min="2308" max="2308" width="25.7109375" style="18" customWidth="1"/>
    <col min="2309" max="2309" width="12" style="18" customWidth="1"/>
    <col min="2310" max="2310" width="15.85546875" style="18" customWidth="1"/>
    <col min="2311" max="2311" width="17.42578125" style="18" customWidth="1"/>
    <col min="2312" max="2312" width="35.42578125" style="18" customWidth="1"/>
    <col min="2313" max="2314" width="8.85546875" style="18"/>
    <col min="2315" max="2315" width="9.85546875" style="18" customWidth="1"/>
    <col min="2316" max="2316" width="6.140625" style="18" customWidth="1"/>
    <col min="2317" max="2317" width="5.42578125" style="18" customWidth="1"/>
    <col min="2318" max="2318" width="5.7109375" style="18" customWidth="1"/>
    <col min="2319" max="2319" width="5.28515625" style="18" customWidth="1"/>
    <col min="2320" max="2320" width="5.7109375" style="18" customWidth="1"/>
    <col min="2321" max="2321" width="6.28515625" style="18" customWidth="1"/>
    <col min="2322" max="2322" width="6.140625" style="18" customWidth="1"/>
    <col min="2323" max="2323" width="6" style="18" customWidth="1"/>
    <col min="2324" max="2324" width="6.7109375" style="18" customWidth="1"/>
    <col min="2325" max="2561" width="8.85546875" style="18"/>
    <col min="2562" max="2562" width="26.42578125" style="18" customWidth="1"/>
    <col min="2563" max="2563" width="15.140625" style="18" customWidth="1"/>
    <col min="2564" max="2564" width="25.7109375" style="18" customWidth="1"/>
    <col min="2565" max="2565" width="12" style="18" customWidth="1"/>
    <col min="2566" max="2566" width="15.85546875" style="18" customWidth="1"/>
    <col min="2567" max="2567" width="17.42578125" style="18" customWidth="1"/>
    <col min="2568" max="2568" width="35.42578125" style="18" customWidth="1"/>
    <col min="2569" max="2570" width="8.85546875" style="18"/>
    <col min="2571" max="2571" width="9.85546875" style="18" customWidth="1"/>
    <col min="2572" max="2572" width="6.140625" style="18" customWidth="1"/>
    <col min="2573" max="2573" width="5.42578125" style="18" customWidth="1"/>
    <col min="2574" max="2574" width="5.7109375" style="18" customWidth="1"/>
    <col min="2575" max="2575" width="5.28515625" style="18" customWidth="1"/>
    <col min="2576" max="2576" width="5.7109375" style="18" customWidth="1"/>
    <col min="2577" max="2577" width="6.28515625" style="18" customWidth="1"/>
    <col min="2578" max="2578" width="6.140625" style="18" customWidth="1"/>
    <col min="2579" max="2579" width="6" style="18" customWidth="1"/>
    <col min="2580" max="2580" width="6.7109375" style="18" customWidth="1"/>
    <col min="2581" max="2817" width="8.85546875" style="18"/>
    <col min="2818" max="2818" width="26.42578125" style="18" customWidth="1"/>
    <col min="2819" max="2819" width="15.140625" style="18" customWidth="1"/>
    <col min="2820" max="2820" width="25.7109375" style="18" customWidth="1"/>
    <col min="2821" max="2821" width="12" style="18" customWidth="1"/>
    <col min="2822" max="2822" width="15.85546875" style="18" customWidth="1"/>
    <col min="2823" max="2823" width="17.42578125" style="18" customWidth="1"/>
    <col min="2824" max="2824" width="35.42578125" style="18" customWidth="1"/>
    <col min="2825" max="2826" width="8.85546875" style="18"/>
    <col min="2827" max="2827" width="9.85546875" style="18" customWidth="1"/>
    <col min="2828" max="2828" width="6.140625" style="18" customWidth="1"/>
    <col min="2829" max="2829" width="5.42578125" style="18" customWidth="1"/>
    <col min="2830" max="2830" width="5.7109375" style="18" customWidth="1"/>
    <col min="2831" max="2831" width="5.28515625" style="18" customWidth="1"/>
    <col min="2832" max="2832" width="5.7109375" style="18" customWidth="1"/>
    <col min="2833" max="2833" width="6.28515625" style="18" customWidth="1"/>
    <col min="2834" max="2834" width="6.140625" style="18" customWidth="1"/>
    <col min="2835" max="2835" width="6" style="18" customWidth="1"/>
    <col min="2836" max="2836" width="6.7109375" style="18" customWidth="1"/>
    <col min="2837" max="3073" width="8.85546875" style="18"/>
    <col min="3074" max="3074" width="26.42578125" style="18" customWidth="1"/>
    <col min="3075" max="3075" width="15.140625" style="18" customWidth="1"/>
    <col min="3076" max="3076" width="25.7109375" style="18" customWidth="1"/>
    <col min="3077" max="3077" width="12" style="18" customWidth="1"/>
    <col min="3078" max="3078" width="15.85546875" style="18" customWidth="1"/>
    <col min="3079" max="3079" width="17.42578125" style="18" customWidth="1"/>
    <col min="3080" max="3080" width="35.42578125" style="18" customWidth="1"/>
    <col min="3081" max="3082" width="8.85546875" style="18"/>
    <col min="3083" max="3083" width="9.85546875" style="18" customWidth="1"/>
    <col min="3084" max="3084" width="6.140625" style="18" customWidth="1"/>
    <col min="3085" max="3085" width="5.42578125" style="18" customWidth="1"/>
    <col min="3086" max="3086" width="5.7109375" style="18" customWidth="1"/>
    <col min="3087" max="3087" width="5.28515625" style="18" customWidth="1"/>
    <col min="3088" max="3088" width="5.7109375" style="18" customWidth="1"/>
    <col min="3089" max="3089" width="6.28515625" style="18" customWidth="1"/>
    <col min="3090" max="3090" width="6.140625" style="18" customWidth="1"/>
    <col min="3091" max="3091" width="6" style="18" customWidth="1"/>
    <col min="3092" max="3092" width="6.7109375" style="18" customWidth="1"/>
    <col min="3093" max="3329" width="8.85546875" style="18"/>
    <col min="3330" max="3330" width="26.42578125" style="18" customWidth="1"/>
    <col min="3331" max="3331" width="15.140625" style="18" customWidth="1"/>
    <col min="3332" max="3332" width="25.7109375" style="18" customWidth="1"/>
    <col min="3333" max="3333" width="12" style="18" customWidth="1"/>
    <col min="3334" max="3334" width="15.85546875" style="18" customWidth="1"/>
    <col min="3335" max="3335" width="17.42578125" style="18" customWidth="1"/>
    <col min="3336" max="3336" width="35.42578125" style="18" customWidth="1"/>
    <col min="3337" max="3338" width="8.85546875" style="18"/>
    <col min="3339" max="3339" width="9.85546875" style="18" customWidth="1"/>
    <col min="3340" max="3340" width="6.140625" style="18" customWidth="1"/>
    <col min="3341" max="3341" width="5.42578125" style="18" customWidth="1"/>
    <col min="3342" max="3342" width="5.7109375" style="18" customWidth="1"/>
    <col min="3343" max="3343" width="5.28515625" style="18" customWidth="1"/>
    <col min="3344" max="3344" width="5.7109375" style="18" customWidth="1"/>
    <col min="3345" max="3345" width="6.28515625" style="18" customWidth="1"/>
    <col min="3346" max="3346" width="6.140625" style="18" customWidth="1"/>
    <col min="3347" max="3347" width="6" style="18" customWidth="1"/>
    <col min="3348" max="3348" width="6.7109375" style="18" customWidth="1"/>
    <col min="3349" max="3585" width="8.85546875" style="18"/>
    <col min="3586" max="3586" width="26.42578125" style="18" customWidth="1"/>
    <col min="3587" max="3587" width="15.140625" style="18" customWidth="1"/>
    <col min="3588" max="3588" width="25.7109375" style="18" customWidth="1"/>
    <col min="3589" max="3589" width="12" style="18" customWidth="1"/>
    <col min="3590" max="3590" width="15.85546875" style="18" customWidth="1"/>
    <col min="3591" max="3591" width="17.42578125" style="18" customWidth="1"/>
    <col min="3592" max="3592" width="35.42578125" style="18" customWidth="1"/>
    <col min="3593" max="3594" width="8.85546875" style="18"/>
    <col min="3595" max="3595" width="9.85546875" style="18" customWidth="1"/>
    <col min="3596" max="3596" width="6.140625" style="18" customWidth="1"/>
    <col min="3597" max="3597" width="5.42578125" style="18" customWidth="1"/>
    <col min="3598" max="3598" width="5.7109375" style="18" customWidth="1"/>
    <col min="3599" max="3599" width="5.28515625" style="18" customWidth="1"/>
    <col min="3600" max="3600" width="5.7109375" style="18" customWidth="1"/>
    <col min="3601" max="3601" width="6.28515625" style="18" customWidth="1"/>
    <col min="3602" max="3602" width="6.140625" style="18" customWidth="1"/>
    <col min="3603" max="3603" width="6" style="18" customWidth="1"/>
    <col min="3604" max="3604" width="6.7109375" style="18" customWidth="1"/>
    <col min="3605" max="3841" width="8.85546875" style="18"/>
    <col min="3842" max="3842" width="26.42578125" style="18" customWidth="1"/>
    <col min="3843" max="3843" width="15.140625" style="18" customWidth="1"/>
    <col min="3844" max="3844" width="25.7109375" style="18" customWidth="1"/>
    <col min="3845" max="3845" width="12" style="18" customWidth="1"/>
    <col min="3846" max="3846" width="15.85546875" style="18" customWidth="1"/>
    <col min="3847" max="3847" width="17.42578125" style="18" customWidth="1"/>
    <col min="3848" max="3848" width="35.42578125" style="18" customWidth="1"/>
    <col min="3849" max="3850" width="8.85546875" style="18"/>
    <col min="3851" max="3851" width="9.85546875" style="18" customWidth="1"/>
    <col min="3852" max="3852" width="6.140625" style="18" customWidth="1"/>
    <col min="3853" max="3853" width="5.42578125" style="18" customWidth="1"/>
    <col min="3854" max="3854" width="5.7109375" style="18" customWidth="1"/>
    <col min="3855" max="3855" width="5.28515625" style="18" customWidth="1"/>
    <col min="3856" max="3856" width="5.7109375" style="18" customWidth="1"/>
    <col min="3857" max="3857" width="6.28515625" style="18" customWidth="1"/>
    <col min="3858" max="3858" width="6.140625" style="18" customWidth="1"/>
    <col min="3859" max="3859" width="6" style="18" customWidth="1"/>
    <col min="3860" max="3860" width="6.7109375" style="18" customWidth="1"/>
    <col min="3861" max="4097" width="8.85546875" style="18"/>
    <col min="4098" max="4098" width="26.42578125" style="18" customWidth="1"/>
    <col min="4099" max="4099" width="15.140625" style="18" customWidth="1"/>
    <col min="4100" max="4100" width="25.7109375" style="18" customWidth="1"/>
    <col min="4101" max="4101" width="12" style="18" customWidth="1"/>
    <col min="4102" max="4102" width="15.85546875" style="18" customWidth="1"/>
    <col min="4103" max="4103" width="17.42578125" style="18" customWidth="1"/>
    <col min="4104" max="4104" width="35.42578125" style="18" customWidth="1"/>
    <col min="4105" max="4106" width="8.85546875" style="18"/>
    <col min="4107" max="4107" width="9.85546875" style="18" customWidth="1"/>
    <col min="4108" max="4108" width="6.140625" style="18" customWidth="1"/>
    <col min="4109" max="4109" width="5.42578125" style="18" customWidth="1"/>
    <col min="4110" max="4110" width="5.7109375" style="18" customWidth="1"/>
    <col min="4111" max="4111" width="5.28515625" style="18" customWidth="1"/>
    <col min="4112" max="4112" width="5.7109375" style="18" customWidth="1"/>
    <col min="4113" max="4113" width="6.28515625" style="18" customWidth="1"/>
    <col min="4114" max="4114" width="6.140625" style="18" customWidth="1"/>
    <col min="4115" max="4115" width="6" style="18" customWidth="1"/>
    <col min="4116" max="4116" width="6.7109375" style="18" customWidth="1"/>
    <col min="4117" max="4353" width="8.85546875" style="18"/>
    <col min="4354" max="4354" width="26.42578125" style="18" customWidth="1"/>
    <col min="4355" max="4355" width="15.140625" style="18" customWidth="1"/>
    <col min="4356" max="4356" width="25.7109375" style="18" customWidth="1"/>
    <col min="4357" max="4357" width="12" style="18" customWidth="1"/>
    <col min="4358" max="4358" width="15.85546875" style="18" customWidth="1"/>
    <col min="4359" max="4359" width="17.42578125" style="18" customWidth="1"/>
    <col min="4360" max="4360" width="35.42578125" style="18" customWidth="1"/>
    <col min="4361" max="4362" width="8.85546875" style="18"/>
    <col min="4363" max="4363" width="9.85546875" style="18" customWidth="1"/>
    <col min="4364" max="4364" width="6.140625" style="18" customWidth="1"/>
    <col min="4365" max="4365" width="5.42578125" style="18" customWidth="1"/>
    <col min="4366" max="4366" width="5.7109375" style="18" customWidth="1"/>
    <col min="4367" max="4367" width="5.28515625" style="18" customWidth="1"/>
    <col min="4368" max="4368" width="5.7109375" style="18" customWidth="1"/>
    <col min="4369" max="4369" width="6.28515625" style="18" customWidth="1"/>
    <col min="4370" max="4370" width="6.140625" style="18" customWidth="1"/>
    <col min="4371" max="4371" width="6" style="18" customWidth="1"/>
    <col min="4372" max="4372" width="6.7109375" style="18" customWidth="1"/>
    <col min="4373" max="4609" width="8.85546875" style="18"/>
    <col min="4610" max="4610" width="26.42578125" style="18" customWidth="1"/>
    <col min="4611" max="4611" width="15.140625" style="18" customWidth="1"/>
    <col min="4612" max="4612" width="25.7109375" style="18" customWidth="1"/>
    <col min="4613" max="4613" width="12" style="18" customWidth="1"/>
    <col min="4614" max="4614" width="15.85546875" style="18" customWidth="1"/>
    <col min="4615" max="4615" width="17.42578125" style="18" customWidth="1"/>
    <col min="4616" max="4616" width="35.42578125" style="18" customWidth="1"/>
    <col min="4617" max="4618" width="8.85546875" style="18"/>
    <col min="4619" max="4619" width="9.85546875" style="18" customWidth="1"/>
    <col min="4620" max="4620" width="6.140625" style="18" customWidth="1"/>
    <col min="4621" max="4621" width="5.42578125" style="18" customWidth="1"/>
    <col min="4622" max="4622" width="5.7109375" style="18" customWidth="1"/>
    <col min="4623" max="4623" width="5.28515625" style="18" customWidth="1"/>
    <col min="4624" max="4624" width="5.7109375" style="18" customWidth="1"/>
    <col min="4625" max="4625" width="6.28515625" style="18" customWidth="1"/>
    <col min="4626" max="4626" width="6.140625" style="18" customWidth="1"/>
    <col min="4627" max="4627" width="6" style="18" customWidth="1"/>
    <col min="4628" max="4628" width="6.7109375" style="18" customWidth="1"/>
    <col min="4629" max="4865" width="8.85546875" style="18"/>
    <col min="4866" max="4866" width="26.42578125" style="18" customWidth="1"/>
    <col min="4867" max="4867" width="15.140625" style="18" customWidth="1"/>
    <col min="4868" max="4868" width="25.7109375" style="18" customWidth="1"/>
    <col min="4869" max="4869" width="12" style="18" customWidth="1"/>
    <col min="4870" max="4870" width="15.85546875" style="18" customWidth="1"/>
    <col min="4871" max="4871" width="17.42578125" style="18" customWidth="1"/>
    <col min="4872" max="4872" width="35.42578125" style="18" customWidth="1"/>
    <col min="4873" max="4874" width="8.85546875" style="18"/>
    <col min="4875" max="4875" width="9.85546875" style="18" customWidth="1"/>
    <col min="4876" max="4876" width="6.140625" style="18" customWidth="1"/>
    <col min="4877" max="4877" width="5.42578125" style="18" customWidth="1"/>
    <col min="4878" max="4878" width="5.7109375" style="18" customWidth="1"/>
    <col min="4879" max="4879" width="5.28515625" style="18" customWidth="1"/>
    <col min="4880" max="4880" width="5.7109375" style="18" customWidth="1"/>
    <col min="4881" max="4881" width="6.28515625" style="18" customWidth="1"/>
    <col min="4882" max="4882" width="6.140625" style="18" customWidth="1"/>
    <col min="4883" max="4883" width="6" style="18" customWidth="1"/>
    <col min="4884" max="4884" width="6.7109375" style="18" customWidth="1"/>
    <col min="4885" max="5121" width="8.85546875" style="18"/>
    <col min="5122" max="5122" width="26.42578125" style="18" customWidth="1"/>
    <col min="5123" max="5123" width="15.140625" style="18" customWidth="1"/>
    <col min="5124" max="5124" width="25.7109375" style="18" customWidth="1"/>
    <col min="5125" max="5125" width="12" style="18" customWidth="1"/>
    <col min="5126" max="5126" width="15.85546875" style="18" customWidth="1"/>
    <col min="5127" max="5127" width="17.42578125" style="18" customWidth="1"/>
    <col min="5128" max="5128" width="35.42578125" style="18" customWidth="1"/>
    <col min="5129" max="5130" width="8.85546875" style="18"/>
    <col min="5131" max="5131" width="9.85546875" style="18" customWidth="1"/>
    <col min="5132" max="5132" width="6.140625" style="18" customWidth="1"/>
    <col min="5133" max="5133" width="5.42578125" style="18" customWidth="1"/>
    <col min="5134" max="5134" width="5.7109375" style="18" customWidth="1"/>
    <col min="5135" max="5135" width="5.28515625" style="18" customWidth="1"/>
    <col min="5136" max="5136" width="5.7109375" style="18" customWidth="1"/>
    <col min="5137" max="5137" width="6.28515625" style="18" customWidth="1"/>
    <col min="5138" max="5138" width="6.140625" style="18" customWidth="1"/>
    <col min="5139" max="5139" width="6" style="18" customWidth="1"/>
    <col min="5140" max="5140" width="6.7109375" style="18" customWidth="1"/>
    <col min="5141" max="5377" width="8.85546875" style="18"/>
    <col min="5378" max="5378" width="26.42578125" style="18" customWidth="1"/>
    <col min="5379" max="5379" width="15.140625" style="18" customWidth="1"/>
    <col min="5380" max="5380" width="25.7109375" style="18" customWidth="1"/>
    <col min="5381" max="5381" width="12" style="18" customWidth="1"/>
    <col min="5382" max="5382" width="15.85546875" style="18" customWidth="1"/>
    <col min="5383" max="5383" width="17.42578125" style="18" customWidth="1"/>
    <col min="5384" max="5384" width="35.42578125" style="18" customWidth="1"/>
    <col min="5385" max="5386" width="8.85546875" style="18"/>
    <col min="5387" max="5387" width="9.85546875" style="18" customWidth="1"/>
    <col min="5388" max="5388" width="6.140625" style="18" customWidth="1"/>
    <col min="5389" max="5389" width="5.42578125" style="18" customWidth="1"/>
    <col min="5390" max="5390" width="5.7109375" style="18" customWidth="1"/>
    <col min="5391" max="5391" width="5.28515625" style="18" customWidth="1"/>
    <col min="5392" max="5392" width="5.7109375" style="18" customWidth="1"/>
    <col min="5393" max="5393" width="6.28515625" style="18" customWidth="1"/>
    <col min="5394" max="5394" width="6.140625" style="18" customWidth="1"/>
    <col min="5395" max="5395" width="6" style="18" customWidth="1"/>
    <col min="5396" max="5396" width="6.7109375" style="18" customWidth="1"/>
    <col min="5397" max="5633" width="8.85546875" style="18"/>
    <col min="5634" max="5634" width="26.42578125" style="18" customWidth="1"/>
    <col min="5635" max="5635" width="15.140625" style="18" customWidth="1"/>
    <col min="5636" max="5636" width="25.7109375" style="18" customWidth="1"/>
    <col min="5637" max="5637" width="12" style="18" customWidth="1"/>
    <col min="5638" max="5638" width="15.85546875" style="18" customWidth="1"/>
    <col min="5639" max="5639" width="17.42578125" style="18" customWidth="1"/>
    <col min="5640" max="5640" width="35.42578125" style="18" customWidth="1"/>
    <col min="5641" max="5642" width="8.85546875" style="18"/>
    <col min="5643" max="5643" width="9.85546875" style="18" customWidth="1"/>
    <col min="5644" max="5644" width="6.140625" style="18" customWidth="1"/>
    <col min="5645" max="5645" width="5.42578125" style="18" customWidth="1"/>
    <col min="5646" max="5646" width="5.7109375" style="18" customWidth="1"/>
    <col min="5647" max="5647" width="5.28515625" style="18" customWidth="1"/>
    <col min="5648" max="5648" width="5.7109375" style="18" customWidth="1"/>
    <col min="5649" max="5649" width="6.28515625" style="18" customWidth="1"/>
    <col min="5650" max="5650" width="6.140625" style="18" customWidth="1"/>
    <col min="5651" max="5651" width="6" style="18" customWidth="1"/>
    <col min="5652" max="5652" width="6.7109375" style="18" customWidth="1"/>
    <col min="5653" max="5889" width="8.85546875" style="18"/>
    <col min="5890" max="5890" width="26.42578125" style="18" customWidth="1"/>
    <col min="5891" max="5891" width="15.140625" style="18" customWidth="1"/>
    <col min="5892" max="5892" width="25.7109375" style="18" customWidth="1"/>
    <col min="5893" max="5893" width="12" style="18" customWidth="1"/>
    <col min="5894" max="5894" width="15.85546875" style="18" customWidth="1"/>
    <col min="5895" max="5895" width="17.42578125" style="18" customWidth="1"/>
    <col min="5896" max="5896" width="35.42578125" style="18" customWidth="1"/>
    <col min="5897" max="5898" width="8.85546875" style="18"/>
    <col min="5899" max="5899" width="9.85546875" style="18" customWidth="1"/>
    <col min="5900" max="5900" width="6.140625" style="18" customWidth="1"/>
    <col min="5901" max="5901" width="5.42578125" style="18" customWidth="1"/>
    <col min="5902" max="5902" width="5.7109375" style="18" customWidth="1"/>
    <col min="5903" max="5903" width="5.28515625" style="18" customWidth="1"/>
    <col min="5904" max="5904" width="5.7109375" style="18" customWidth="1"/>
    <col min="5905" max="5905" width="6.28515625" style="18" customWidth="1"/>
    <col min="5906" max="5906" width="6.140625" style="18" customWidth="1"/>
    <col min="5907" max="5907" width="6" style="18" customWidth="1"/>
    <col min="5908" max="5908" width="6.7109375" style="18" customWidth="1"/>
    <col min="5909" max="6145" width="8.85546875" style="18"/>
    <col min="6146" max="6146" width="26.42578125" style="18" customWidth="1"/>
    <col min="6147" max="6147" width="15.140625" style="18" customWidth="1"/>
    <col min="6148" max="6148" width="25.7109375" style="18" customWidth="1"/>
    <col min="6149" max="6149" width="12" style="18" customWidth="1"/>
    <col min="6150" max="6150" width="15.85546875" style="18" customWidth="1"/>
    <col min="6151" max="6151" width="17.42578125" style="18" customWidth="1"/>
    <col min="6152" max="6152" width="35.42578125" style="18" customWidth="1"/>
    <col min="6153" max="6154" width="8.85546875" style="18"/>
    <col min="6155" max="6155" width="9.85546875" style="18" customWidth="1"/>
    <col min="6156" max="6156" width="6.140625" style="18" customWidth="1"/>
    <col min="6157" max="6157" width="5.42578125" style="18" customWidth="1"/>
    <col min="6158" max="6158" width="5.7109375" style="18" customWidth="1"/>
    <col min="6159" max="6159" width="5.28515625" style="18" customWidth="1"/>
    <col min="6160" max="6160" width="5.7109375" style="18" customWidth="1"/>
    <col min="6161" max="6161" width="6.28515625" style="18" customWidth="1"/>
    <col min="6162" max="6162" width="6.140625" style="18" customWidth="1"/>
    <col min="6163" max="6163" width="6" style="18" customWidth="1"/>
    <col min="6164" max="6164" width="6.7109375" style="18" customWidth="1"/>
    <col min="6165" max="6401" width="8.85546875" style="18"/>
    <col min="6402" max="6402" width="26.42578125" style="18" customWidth="1"/>
    <col min="6403" max="6403" width="15.140625" style="18" customWidth="1"/>
    <col min="6404" max="6404" width="25.7109375" style="18" customWidth="1"/>
    <col min="6405" max="6405" width="12" style="18" customWidth="1"/>
    <col min="6406" max="6406" width="15.85546875" style="18" customWidth="1"/>
    <col min="6407" max="6407" width="17.42578125" style="18" customWidth="1"/>
    <col min="6408" max="6408" width="35.42578125" style="18" customWidth="1"/>
    <col min="6409" max="6410" width="8.85546875" style="18"/>
    <col min="6411" max="6411" width="9.85546875" style="18" customWidth="1"/>
    <col min="6412" max="6412" width="6.140625" style="18" customWidth="1"/>
    <col min="6413" max="6413" width="5.42578125" style="18" customWidth="1"/>
    <col min="6414" max="6414" width="5.7109375" style="18" customWidth="1"/>
    <col min="6415" max="6415" width="5.28515625" style="18" customWidth="1"/>
    <col min="6416" max="6416" width="5.7109375" style="18" customWidth="1"/>
    <col min="6417" max="6417" width="6.28515625" style="18" customWidth="1"/>
    <col min="6418" max="6418" width="6.140625" style="18" customWidth="1"/>
    <col min="6419" max="6419" width="6" style="18" customWidth="1"/>
    <col min="6420" max="6420" width="6.7109375" style="18" customWidth="1"/>
    <col min="6421" max="6657" width="8.85546875" style="18"/>
    <col min="6658" max="6658" width="26.42578125" style="18" customWidth="1"/>
    <col min="6659" max="6659" width="15.140625" style="18" customWidth="1"/>
    <col min="6660" max="6660" width="25.7109375" style="18" customWidth="1"/>
    <col min="6661" max="6661" width="12" style="18" customWidth="1"/>
    <col min="6662" max="6662" width="15.85546875" style="18" customWidth="1"/>
    <col min="6663" max="6663" width="17.42578125" style="18" customWidth="1"/>
    <col min="6664" max="6664" width="35.42578125" style="18" customWidth="1"/>
    <col min="6665" max="6666" width="8.85546875" style="18"/>
    <col min="6667" max="6667" width="9.85546875" style="18" customWidth="1"/>
    <col min="6668" max="6668" width="6.140625" style="18" customWidth="1"/>
    <col min="6669" max="6669" width="5.42578125" style="18" customWidth="1"/>
    <col min="6670" max="6670" width="5.7109375" style="18" customWidth="1"/>
    <col min="6671" max="6671" width="5.28515625" style="18" customWidth="1"/>
    <col min="6672" max="6672" width="5.7109375" style="18" customWidth="1"/>
    <col min="6673" max="6673" width="6.28515625" style="18" customWidth="1"/>
    <col min="6674" max="6674" width="6.140625" style="18" customWidth="1"/>
    <col min="6675" max="6675" width="6" style="18" customWidth="1"/>
    <col min="6676" max="6676" width="6.7109375" style="18" customWidth="1"/>
    <col min="6677" max="6913" width="8.85546875" style="18"/>
    <col min="6914" max="6914" width="26.42578125" style="18" customWidth="1"/>
    <col min="6915" max="6915" width="15.140625" style="18" customWidth="1"/>
    <col min="6916" max="6916" width="25.7109375" style="18" customWidth="1"/>
    <col min="6917" max="6917" width="12" style="18" customWidth="1"/>
    <col min="6918" max="6918" width="15.85546875" style="18" customWidth="1"/>
    <col min="6919" max="6919" width="17.42578125" style="18" customWidth="1"/>
    <col min="6920" max="6920" width="35.42578125" style="18" customWidth="1"/>
    <col min="6921" max="6922" width="8.85546875" style="18"/>
    <col min="6923" max="6923" width="9.85546875" style="18" customWidth="1"/>
    <col min="6924" max="6924" width="6.140625" style="18" customWidth="1"/>
    <col min="6925" max="6925" width="5.42578125" style="18" customWidth="1"/>
    <col min="6926" max="6926" width="5.7109375" style="18" customWidth="1"/>
    <col min="6927" max="6927" width="5.28515625" style="18" customWidth="1"/>
    <col min="6928" max="6928" width="5.7109375" style="18" customWidth="1"/>
    <col min="6929" max="6929" width="6.28515625" style="18" customWidth="1"/>
    <col min="6930" max="6930" width="6.140625" style="18" customWidth="1"/>
    <col min="6931" max="6931" width="6" style="18" customWidth="1"/>
    <col min="6932" max="6932" width="6.7109375" style="18" customWidth="1"/>
    <col min="6933" max="7169" width="8.85546875" style="18"/>
    <col min="7170" max="7170" width="26.42578125" style="18" customWidth="1"/>
    <col min="7171" max="7171" width="15.140625" style="18" customWidth="1"/>
    <col min="7172" max="7172" width="25.7109375" style="18" customWidth="1"/>
    <col min="7173" max="7173" width="12" style="18" customWidth="1"/>
    <col min="7174" max="7174" width="15.85546875" style="18" customWidth="1"/>
    <col min="7175" max="7175" width="17.42578125" style="18" customWidth="1"/>
    <col min="7176" max="7176" width="35.42578125" style="18" customWidth="1"/>
    <col min="7177" max="7178" width="8.85546875" style="18"/>
    <col min="7179" max="7179" width="9.85546875" style="18" customWidth="1"/>
    <col min="7180" max="7180" width="6.140625" style="18" customWidth="1"/>
    <col min="7181" max="7181" width="5.42578125" style="18" customWidth="1"/>
    <col min="7182" max="7182" width="5.7109375" style="18" customWidth="1"/>
    <col min="7183" max="7183" width="5.28515625" style="18" customWidth="1"/>
    <col min="7184" max="7184" width="5.7109375" style="18" customWidth="1"/>
    <col min="7185" max="7185" width="6.28515625" style="18" customWidth="1"/>
    <col min="7186" max="7186" width="6.140625" style="18" customWidth="1"/>
    <col min="7187" max="7187" width="6" style="18" customWidth="1"/>
    <col min="7188" max="7188" width="6.7109375" style="18" customWidth="1"/>
    <col min="7189" max="7425" width="8.85546875" style="18"/>
    <col min="7426" max="7426" width="26.42578125" style="18" customWidth="1"/>
    <col min="7427" max="7427" width="15.140625" style="18" customWidth="1"/>
    <col min="7428" max="7428" width="25.7109375" style="18" customWidth="1"/>
    <col min="7429" max="7429" width="12" style="18" customWidth="1"/>
    <col min="7430" max="7430" width="15.85546875" style="18" customWidth="1"/>
    <col min="7431" max="7431" width="17.42578125" style="18" customWidth="1"/>
    <col min="7432" max="7432" width="35.42578125" style="18" customWidth="1"/>
    <col min="7433" max="7434" width="8.85546875" style="18"/>
    <col min="7435" max="7435" width="9.85546875" style="18" customWidth="1"/>
    <col min="7436" max="7436" width="6.140625" style="18" customWidth="1"/>
    <col min="7437" max="7437" width="5.42578125" style="18" customWidth="1"/>
    <col min="7438" max="7438" width="5.7109375" style="18" customWidth="1"/>
    <col min="7439" max="7439" width="5.28515625" style="18" customWidth="1"/>
    <col min="7440" max="7440" width="5.7109375" style="18" customWidth="1"/>
    <col min="7441" max="7441" width="6.28515625" style="18" customWidth="1"/>
    <col min="7442" max="7442" width="6.140625" style="18" customWidth="1"/>
    <col min="7443" max="7443" width="6" style="18" customWidth="1"/>
    <col min="7444" max="7444" width="6.7109375" style="18" customWidth="1"/>
    <col min="7445" max="7681" width="8.85546875" style="18"/>
    <col min="7682" max="7682" width="26.42578125" style="18" customWidth="1"/>
    <col min="7683" max="7683" width="15.140625" style="18" customWidth="1"/>
    <col min="7684" max="7684" width="25.7109375" style="18" customWidth="1"/>
    <col min="7685" max="7685" width="12" style="18" customWidth="1"/>
    <col min="7686" max="7686" width="15.85546875" style="18" customWidth="1"/>
    <col min="7687" max="7687" width="17.42578125" style="18" customWidth="1"/>
    <col min="7688" max="7688" width="35.42578125" style="18" customWidth="1"/>
    <col min="7689" max="7690" width="8.85546875" style="18"/>
    <col min="7691" max="7691" width="9.85546875" style="18" customWidth="1"/>
    <col min="7692" max="7692" width="6.140625" style="18" customWidth="1"/>
    <col min="7693" max="7693" width="5.42578125" style="18" customWidth="1"/>
    <col min="7694" max="7694" width="5.7109375" style="18" customWidth="1"/>
    <col min="7695" max="7695" width="5.28515625" style="18" customWidth="1"/>
    <col min="7696" max="7696" width="5.7109375" style="18" customWidth="1"/>
    <col min="7697" max="7697" width="6.28515625" style="18" customWidth="1"/>
    <col min="7698" max="7698" width="6.140625" style="18" customWidth="1"/>
    <col min="7699" max="7699" width="6" style="18" customWidth="1"/>
    <col min="7700" max="7700" width="6.7109375" style="18" customWidth="1"/>
    <col min="7701" max="7937" width="8.85546875" style="18"/>
    <col min="7938" max="7938" width="26.42578125" style="18" customWidth="1"/>
    <col min="7939" max="7939" width="15.140625" style="18" customWidth="1"/>
    <col min="7940" max="7940" width="25.7109375" style="18" customWidth="1"/>
    <col min="7941" max="7941" width="12" style="18" customWidth="1"/>
    <col min="7942" max="7942" width="15.85546875" style="18" customWidth="1"/>
    <col min="7943" max="7943" width="17.42578125" style="18" customWidth="1"/>
    <col min="7944" max="7944" width="35.42578125" style="18" customWidth="1"/>
    <col min="7945" max="7946" width="8.85546875" style="18"/>
    <col min="7947" max="7947" width="9.85546875" style="18" customWidth="1"/>
    <col min="7948" max="7948" width="6.140625" style="18" customWidth="1"/>
    <col min="7949" max="7949" width="5.42578125" style="18" customWidth="1"/>
    <col min="7950" max="7950" width="5.7109375" style="18" customWidth="1"/>
    <col min="7951" max="7951" width="5.28515625" style="18" customWidth="1"/>
    <col min="7952" max="7952" width="5.7109375" style="18" customWidth="1"/>
    <col min="7953" max="7953" width="6.28515625" style="18" customWidth="1"/>
    <col min="7954" max="7954" width="6.140625" style="18" customWidth="1"/>
    <col min="7955" max="7955" width="6" style="18" customWidth="1"/>
    <col min="7956" max="7956" width="6.7109375" style="18" customWidth="1"/>
    <col min="7957" max="8193" width="8.85546875" style="18"/>
    <col min="8194" max="8194" width="26.42578125" style="18" customWidth="1"/>
    <col min="8195" max="8195" width="15.140625" style="18" customWidth="1"/>
    <col min="8196" max="8196" width="25.7109375" style="18" customWidth="1"/>
    <col min="8197" max="8197" width="12" style="18" customWidth="1"/>
    <col min="8198" max="8198" width="15.85546875" style="18" customWidth="1"/>
    <col min="8199" max="8199" width="17.42578125" style="18" customWidth="1"/>
    <col min="8200" max="8200" width="35.42578125" style="18" customWidth="1"/>
    <col min="8201" max="8202" width="8.85546875" style="18"/>
    <col min="8203" max="8203" width="9.85546875" style="18" customWidth="1"/>
    <col min="8204" max="8204" width="6.140625" style="18" customWidth="1"/>
    <col min="8205" max="8205" width="5.42578125" style="18" customWidth="1"/>
    <col min="8206" max="8206" width="5.7109375" style="18" customWidth="1"/>
    <col min="8207" max="8207" width="5.28515625" style="18" customWidth="1"/>
    <col min="8208" max="8208" width="5.7109375" style="18" customWidth="1"/>
    <col min="8209" max="8209" width="6.28515625" style="18" customWidth="1"/>
    <col min="8210" max="8210" width="6.140625" style="18" customWidth="1"/>
    <col min="8211" max="8211" width="6" style="18" customWidth="1"/>
    <col min="8212" max="8212" width="6.7109375" style="18" customWidth="1"/>
    <col min="8213" max="8449" width="8.85546875" style="18"/>
    <col min="8450" max="8450" width="26.42578125" style="18" customWidth="1"/>
    <col min="8451" max="8451" width="15.140625" style="18" customWidth="1"/>
    <col min="8452" max="8452" width="25.7109375" style="18" customWidth="1"/>
    <col min="8453" max="8453" width="12" style="18" customWidth="1"/>
    <col min="8454" max="8454" width="15.85546875" style="18" customWidth="1"/>
    <col min="8455" max="8455" width="17.42578125" style="18" customWidth="1"/>
    <col min="8456" max="8456" width="35.42578125" style="18" customWidth="1"/>
    <col min="8457" max="8458" width="8.85546875" style="18"/>
    <col min="8459" max="8459" width="9.85546875" style="18" customWidth="1"/>
    <col min="8460" max="8460" width="6.140625" style="18" customWidth="1"/>
    <col min="8461" max="8461" width="5.42578125" style="18" customWidth="1"/>
    <col min="8462" max="8462" width="5.7109375" style="18" customWidth="1"/>
    <col min="8463" max="8463" width="5.28515625" style="18" customWidth="1"/>
    <col min="8464" max="8464" width="5.7109375" style="18" customWidth="1"/>
    <col min="8465" max="8465" width="6.28515625" style="18" customWidth="1"/>
    <col min="8466" max="8466" width="6.140625" style="18" customWidth="1"/>
    <col min="8467" max="8467" width="6" style="18" customWidth="1"/>
    <col min="8468" max="8468" width="6.7109375" style="18" customWidth="1"/>
    <col min="8469" max="8705" width="8.85546875" style="18"/>
    <col min="8706" max="8706" width="26.42578125" style="18" customWidth="1"/>
    <col min="8707" max="8707" width="15.140625" style="18" customWidth="1"/>
    <col min="8708" max="8708" width="25.7109375" style="18" customWidth="1"/>
    <col min="8709" max="8709" width="12" style="18" customWidth="1"/>
    <col min="8710" max="8710" width="15.85546875" style="18" customWidth="1"/>
    <col min="8711" max="8711" width="17.42578125" style="18" customWidth="1"/>
    <col min="8712" max="8712" width="35.42578125" style="18" customWidth="1"/>
    <col min="8713" max="8714" width="8.85546875" style="18"/>
    <col min="8715" max="8715" width="9.85546875" style="18" customWidth="1"/>
    <col min="8716" max="8716" width="6.140625" style="18" customWidth="1"/>
    <col min="8717" max="8717" width="5.42578125" style="18" customWidth="1"/>
    <col min="8718" max="8718" width="5.7109375" style="18" customWidth="1"/>
    <col min="8719" max="8719" width="5.28515625" style="18" customWidth="1"/>
    <col min="8720" max="8720" width="5.7109375" style="18" customWidth="1"/>
    <col min="8721" max="8721" width="6.28515625" style="18" customWidth="1"/>
    <col min="8722" max="8722" width="6.140625" style="18" customWidth="1"/>
    <col min="8723" max="8723" width="6" style="18" customWidth="1"/>
    <col min="8724" max="8724" width="6.7109375" style="18" customWidth="1"/>
    <col min="8725" max="8961" width="8.85546875" style="18"/>
    <col min="8962" max="8962" width="26.42578125" style="18" customWidth="1"/>
    <col min="8963" max="8963" width="15.140625" style="18" customWidth="1"/>
    <col min="8964" max="8964" width="25.7109375" style="18" customWidth="1"/>
    <col min="8965" max="8965" width="12" style="18" customWidth="1"/>
    <col min="8966" max="8966" width="15.85546875" style="18" customWidth="1"/>
    <col min="8967" max="8967" width="17.42578125" style="18" customWidth="1"/>
    <col min="8968" max="8968" width="35.42578125" style="18" customWidth="1"/>
    <col min="8969" max="8970" width="8.85546875" style="18"/>
    <col min="8971" max="8971" width="9.85546875" style="18" customWidth="1"/>
    <col min="8972" max="8972" width="6.140625" style="18" customWidth="1"/>
    <col min="8973" max="8973" width="5.42578125" style="18" customWidth="1"/>
    <col min="8974" max="8974" width="5.7109375" style="18" customWidth="1"/>
    <col min="8975" max="8975" width="5.28515625" style="18" customWidth="1"/>
    <col min="8976" max="8976" width="5.7109375" style="18" customWidth="1"/>
    <col min="8977" max="8977" width="6.28515625" style="18" customWidth="1"/>
    <col min="8978" max="8978" width="6.140625" style="18" customWidth="1"/>
    <col min="8979" max="8979" width="6" style="18" customWidth="1"/>
    <col min="8980" max="8980" width="6.7109375" style="18" customWidth="1"/>
    <col min="8981" max="9217" width="8.85546875" style="18"/>
    <col min="9218" max="9218" width="26.42578125" style="18" customWidth="1"/>
    <col min="9219" max="9219" width="15.140625" style="18" customWidth="1"/>
    <col min="9220" max="9220" width="25.7109375" style="18" customWidth="1"/>
    <col min="9221" max="9221" width="12" style="18" customWidth="1"/>
    <col min="9222" max="9222" width="15.85546875" style="18" customWidth="1"/>
    <col min="9223" max="9223" width="17.42578125" style="18" customWidth="1"/>
    <col min="9224" max="9224" width="35.42578125" style="18" customWidth="1"/>
    <col min="9225" max="9226" width="8.85546875" style="18"/>
    <col min="9227" max="9227" width="9.85546875" style="18" customWidth="1"/>
    <col min="9228" max="9228" width="6.140625" style="18" customWidth="1"/>
    <col min="9229" max="9229" width="5.42578125" style="18" customWidth="1"/>
    <col min="9230" max="9230" width="5.7109375" style="18" customWidth="1"/>
    <col min="9231" max="9231" width="5.28515625" style="18" customWidth="1"/>
    <col min="9232" max="9232" width="5.7109375" style="18" customWidth="1"/>
    <col min="9233" max="9233" width="6.28515625" style="18" customWidth="1"/>
    <col min="9234" max="9234" width="6.140625" style="18" customWidth="1"/>
    <col min="9235" max="9235" width="6" style="18" customWidth="1"/>
    <col min="9236" max="9236" width="6.7109375" style="18" customWidth="1"/>
    <col min="9237" max="9473" width="8.85546875" style="18"/>
    <col min="9474" max="9474" width="26.42578125" style="18" customWidth="1"/>
    <col min="9475" max="9475" width="15.140625" style="18" customWidth="1"/>
    <col min="9476" max="9476" width="25.7109375" style="18" customWidth="1"/>
    <col min="9477" max="9477" width="12" style="18" customWidth="1"/>
    <col min="9478" max="9478" width="15.85546875" style="18" customWidth="1"/>
    <col min="9479" max="9479" width="17.42578125" style="18" customWidth="1"/>
    <col min="9480" max="9480" width="35.42578125" style="18" customWidth="1"/>
    <col min="9481" max="9482" width="8.85546875" style="18"/>
    <col min="9483" max="9483" width="9.85546875" style="18" customWidth="1"/>
    <col min="9484" max="9484" width="6.140625" style="18" customWidth="1"/>
    <col min="9485" max="9485" width="5.42578125" style="18" customWidth="1"/>
    <col min="9486" max="9486" width="5.7109375" style="18" customWidth="1"/>
    <col min="9487" max="9487" width="5.28515625" style="18" customWidth="1"/>
    <col min="9488" max="9488" width="5.7109375" style="18" customWidth="1"/>
    <col min="9489" max="9489" width="6.28515625" style="18" customWidth="1"/>
    <col min="9490" max="9490" width="6.140625" style="18" customWidth="1"/>
    <col min="9491" max="9491" width="6" style="18" customWidth="1"/>
    <col min="9492" max="9492" width="6.7109375" style="18" customWidth="1"/>
    <col min="9493" max="9729" width="8.85546875" style="18"/>
    <col min="9730" max="9730" width="26.42578125" style="18" customWidth="1"/>
    <col min="9731" max="9731" width="15.140625" style="18" customWidth="1"/>
    <col min="9732" max="9732" width="25.7109375" style="18" customWidth="1"/>
    <col min="9733" max="9733" width="12" style="18" customWidth="1"/>
    <col min="9734" max="9734" width="15.85546875" style="18" customWidth="1"/>
    <col min="9735" max="9735" width="17.42578125" style="18" customWidth="1"/>
    <col min="9736" max="9736" width="35.42578125" style="18" customWidth="1"/>
    <col min="9737" max="9738" width="8.85546875" style="18"/>
    <col min="9739" max="9739" width="9.85546875" style="18" customWidth="1"/>
    <col min="9740" max="9740" width="6.140625" style="18" customWidth="1"/>
    <col min="9741" max="9741" width="5.42578125" style="18" customWidth="1"/>
    <col min="9742" max="9742" width="5.7109375" style="18" customWidth="1"/>
    <col min="9743" max="9743" width="5.28515625" style="18" customWidth="1"/>
    <col min="9744" max="9744" width="5.7109375" style="18" customWidth="1"/>
    <col min="9745" max="9745" width="6.28515625" style="18" customWidth="1"/>
    <col min="9746" max="9746" width="6.140625" style="18" customWidth="1"/>
    <col min="9747" max="9747" width="6" style="18" customWidth="1"/>
    <col min="9748" max="9748" width="6.7109375" style="18" customWidth="1"/>
    <col min="9749" max="9985" width="8.85546875" style="18"/>
    <col min="9986" max="9986" width="26.42578125" style="18" customWidth="1"/>
    <col min="9987" max="9987" width="15.140625" style="18" customWidth="1"/>
    <col min="9988" max="9988" width="25.7109375" style="18" customWidth="1"/>
    <col min="9989" max="9989" width="12" style="18" customWidth="1"/>
    <col min="9990" max="9990" width="15.85546875" style="18" customWidth="1"/>
    <col min="9991" max="9991" width="17.42578125" style="18" customWidth="1"/>
    <col min="9992" max="9992" width="35.42578125" style="18" customWidth="1"/>
    <col min="9993" max="9994" width="8.85546875" style="18"/>
    <col min="9995" max="9995" width="9.85546875" style="18" customWidth="1"/>
    <col min="9996" max="9996" width="6.140625" style="18" customWidth="1"/>
    <col min="9997" max="9997" width="5.42578125" style="18" customWidth="1"/>
    <col min="9998" max="9998" width="5.7109375" style="18" customWidth="1"/>
    <col min="9999" max="9999" width="5.28515625" style="18" customWidth="1"/>
    <col min="10000" max="10000" width="5.7109375" style="18" customWidth="1"/>
    <col min="10001" max="10001" width="6.28515625" style="18" customWidth="1"/>
    <col min="10002" max="10002" width="6.140625" style="18" customWidth="1"/>
    <col min="10003" max="10003" width="6" style="18" customWidth="1"/>
    <col min="10004" max="10004" width="6.7109375" style="18" customWidth="1"/>
    <col min="10005" max="10241" width="8.85546875" style="18"/>
    <col min="10242" max="10242" width="26.42578125" style="18" customWidth="1"/>
    <col min="10243" max="10243" width="15.140625" style="18" customWidth="1"/>
    <col min="10244" max="10244" width="25.7109375" style="18" customWidth="1"/>
    <col min="10245" max="10245" width="12" style="18" customWidth="1"/>
    <col min="10246" max="10246" width="15.85546875" style="18" customWidth="1"/>
    <col min="10247" max="10247" width="17.42578125" style="18" customWidth="1"/>
    <col min="10248" max="10248" width="35.42578125" style="18" customWidth="1"/>
    <col min="10249" max="10250" width="8.85546875" style="18"/>
    <col min="10251" max="10251" width="9.85546875" style="18" customWidth="1"/>
    <col min="10252" max="10252" width="6.140625" style="18" customWidth="1"/>
    <col min="10253" max="10253" width="5.42578125" style="18" customWidth="1"/>
    <col min="10254" max="10254" width="5.7109375" style="18" customWidth="1"/>
    <col min="10255" max="10255" width="5.28515625" style="18" customWidth="1"/>
    <col min="10256" max="10256" width="5.7109375" style="18" customWidth="1"/>
    <col min="10257" max="10257" width="6.28515625" style="18" customWidth="1"/>
    <col min="10258" max="10258" width="6.140625" style="18" customWidth="1"/>
    <col min="10259" max="10259" width="6" style="18" customWidth="1"/>
    <col min="10260" max="10260" width="6.7109375" style="18" customWidth="1"/>
    <col min="10261" max="10497" width="8.85546875" style="18"/>
    <col min="10498" max="10498" width="26.42578125" style="18" customWidth="1"/>
    <col min="10499" max="10499" width="15.140625" style="18" customWidth="1"/>
    <col min="10500" max="10500" width="25.7109375" style="18" customWidth="1"/>
    <col min="10501" max="10501" width="12" style="18" customWidth="1"/>
    <col min="10502" max="10502" width="15.85546875" style="18" customWidth="1"/>
    <col min="10503" max="10503" width="17.42578125" style="18" customWidth="1"/>
    <col min="10504" max="10504" width="35.42578125" style="18" customWidth="1"/>
    <col min="10505" max="10506" width="8.85546875" style="18"/>
    <col min="10507" max="10507" width="9.85546875" style="18" customWidth="1"/>
    <col min="10508" max="10508" width="6.140625" style="18" customWidth="1"/>
    <col min="10509" max="10509" width="5.42578125" style="18" customWidth="1"/>
    <col min="10510" max="10510" width="5.7109375" style="18" customWidth="1"/>
    <col min="10511" max="10511" width="5.28515625" style="18" customWidth="1"/>
    <col min="10512" max="10512" width="5.7109375" style="18" customWidth="1"/>
    <col min="10513" max="10513" width="6.28515625" style="18" customWidth="1"/>
    <col min="10514" max="10514" width="6.140625" style="18" customWidth="1"/>
    <col min="10515" max="10515" width="6" style="18" customWidth="1"/>
    <col min="10516" max="10516" width="6.7109375" style="18" customWidth="1"/>
    <col min="10517" max="10753" width="8.85546875" style="18"/>
    <col min="10754" max="10754" width="26.42578125" style="18" customWidth="1"/>
    <col min="10755" max="10755" width="15.140625" style="18" customWidth="1"/>
    <col min="10756" max="10756" width="25.7109375" style="18" customWidth="1"/>
    <col min="10757" max="10757" width="12" style="18" customWidth="1"/>
    <col min="10758" max="10758" width="15.85546875" style="18" customWidth="1"/>
    <col min="10759" max="10759" width="17.42578125" style="18" customWidth="1"/>
    <col min="10760" max="10760" width="35.42578125" style="18" customWidth="1"/>
    <col min="10761" max="10762" width="8.85546875" style="18"/>
    <col min="10763" max="10763" width="9.85546875" style="18" customWidth="1"/>
    <col min="10764" max="10764" width="6.140625" style="18" customWidth="1"/>
    <col min="10765" max="10765" width="5.42578125" style="18" customWidth="1"/>
    <col min="10766" max="10766" width="5.7109375" style="18" customWidth="1"/>
    <col min="10767" max="10767" width="5.28515625" style="18" customWidth="1"/>
    <col min="10768" max="10768" width="5.7109375" style="18" customWidth="1"/>
    <col min="10769" max="10769" width="6.28515625" style="18" customWidth="1"/>
    <col min="10770" max="10770" width="6.140625" style="18" customWidth="1"/>
    <col min="10771" max="10771" width="6" style="18" customWidth="1"/>
    <col min="10772" max="10772" width="6.7109375" style="18" customWidth="1"/>
    <col min="10773" max="11009" width="8.85546875" style="18"/>
    <col min="11010" max="11010" width="26.42578125" style="18" customWidth="1"/>
    <col min="11011" max="11011" width="15.140625" style="18" customWidth="1"/>
    <col min="11012" max="11012" width="25.7109375" style="18" customWidth="1"/>
    <col min="11013" max="11013" width="12" style="18" customWidth="1"/>
    <col min="11014" max="11014" width="15.85546875" style="18" customWidth="1"/>
    <col min="11015" max="11015" width="17.42578125" style="18" customWidth="1"/>
    <col min="11016" max="11016" width="35.42578125" style="18" customWidth="1"/>
    <col min="11017" max="11018" width="8.85546875" style="18"/>
    <col min="11019" max="11019" width="9.85546875" style="18" customWidth="1"/>
    <col min="11020" max="11020" width="6.140625" style="18" customWidth="1"/>
    <col min="11021" max="11021" width="5.42578125" style="18" customWidth="1"/>
    <col min="11022" max="11022" width="5.7109375" style="18" customWidth="1"/>
    <col min="11023" max="11023" width="5.28515625" style="18" customWidth="1"/>
    <col min="11024" max="11024" width="5.7109375" style="18" customWidth="1"/>
    <col min="11025" max="11025" width="6.28515625" style="18" customWidth="1"/>
    <col min="11026" max="11026" width="6.140625" style="18" customWidth="1"/>
    <col min="11027" max="11027" width="6" style="18" customWidth="1"/>
    <col min="11028" max="11028" width="6.7109375" style="18" customWidth="1"/>
    <col min="11029" max="11265" width="8.85546875" style="18"/>
    <col min="11266" max="11266" width="26.42578125" style="18" customWidth="1"/>
    <col min="11267" max="11267" width="15.140625" style="18" customWidth="1"/>
    <col min="11268" max="11268" width="25.7109375" style="18" customWidth="1"/>
    <col min="11269" max="11269" width="12" style="18" customWidth="1"/>
    <col min="11270" max="11270" width="15.85546875" style="18" customWidth="1"/>
    <col min="11271" max="11271" width="17.42578125" style="18" customWidth="1"/>
    <col min="11272" max="11272" width="35.42578125" style="18" customWidth="1"/>
    <col min="11273" max="11274" width="8.85546875" style="18"/>
    <col min="11275" max="11275" width="9.85546875" style="18" customWidth="1"/>
    <col min="11276" max="11276" width="6.140625" style="18" customWidth="1"/>
    <col min="11277" max="11277" width="5.42578125" style="18" customWidth="1"/>
    <col min="11278" max="11278" width="5.7109375" style="18" customWidth="1"/>
    <col min="11279" max="11279" width="5.28515625" style="18" customWidth="1"/>
    <col min="11280" max="11280" width="5.7109375" style="18" customWidth="1"/>
    <col min="11281" max="11281" width="6.28515625" style="18" customWidth="1"/>
    <col min="11282" max="11282" width="6.140625" style="18" customWidth="1"/>
    <col min="11283" max="11283" width="6" style="18" customWidth="1"/>
    <col min="11284" max="11284" width="6.7109375" style="18" customWidth="1"/>
    <col min="11285" max="11521" width="8.85546875" style="18"/>
    <col min="11522" max="11522" width="26.42578125" style="18" customWidth="1"/>
    <col min="11523" max="11523" width="15.140625" style="18" customWidth="1"/>
    <col min="11524" max="11524" width="25.7109375" style="18" customWidth="1"/>
    <col min="11525" max="11525" width="12" style="18" customWidth="1"/>
    <col min="11526" max="11526" width="15.85546875" style="18" customWidth="1"/>
    <col min="11527" max="11527" width="17.42578125" style="18" customWidth="1"/>
    <col min="11528" max="11528" width="35.42578125" style="18" customWidth="1"/>
    <col min="11529" max="11530" width="8.85546875" style="18"/>
    <col min="11531" max="11531" width="9.85546875" style="18" customWidth="1"/>
    <col min="11532" max="11532" width="6.140625" style="18" customWidth="1"/>
    <col min="11533" max="11533" width="5.42578125" style="18" customWidth="1"/>
    <col min="11534" max="11534" width="5.7109375" style="18" customWidth="1"/>
    <col min="11535" max="11535" width="5.28515625" style="18" customWidth="1"/>
    <col min="11536" max="11536" width="5.7109375" style="18" customWidth="1"/>
    <col min="11537" max="11537" width="6.28515625" style="18" customWidth="1"/>
    <col min="11538" max="11538" width="6.140625" style="18" customWidth="1"/>
    <col min="11539" max="11539" width="6" style="18" customWidth="1"/>
    <col min="11540" max="11540" width="6.7109375" style="18" customWidth="1"/>
    <col min="11541" max="11777" width="8.85546875" style="18"/>
    <col min="11778" max="11778" width="26.42578125" style="18" customWidth="1"/>
    <col min="11779" max="11779" width="15.140625" style="18" customWidth="1"/>
    <col min="11780" max="11780" width="25.7109375" style="18" customWidth="1"/>
    <col min="11781" max="11781" width="12" style="18" customWidth="1"/>
    <col min="11782" max="11782" width="15.85546875" style="18" customWidth="1"/>
    <col min="11783" max="11783" width="17.42578125" style="18" customWidth="1"/>
    <col min="11784" max="11784" width="35.42578125" style="18" customWidth="1"/>
    <col min="11785" max="11786" width="8.85546875" style="18"/>
    <col min="11787" max="11787" width="9.85546875" style="18" customWidth="1"/>
    <col min="11788" max="11788" width="6.140625" style="18" customWidth="1"/>
    <col min="11789" max="11789" width="5.42578125" style="18" customWidth="1"/>
    <col min="11790" max="11790" width="5.7109375" style="18" customWidth="1"/>
    <col min="11791" max="11791" width="5.28515625" style="18" customWidth="1"/>
    <col min="11792" max="11792" width="5.7109375" style="18" customWidth="1"/>
    <col min="11793" max="11793" width="6.28515625" style="18" customWidth="1"/>
    <col min="11794" max="11794" width="6.140625" style="18" customWidth="1"/>
    <col min="11795" max="11795" width="6" style="18" customWidth="1"/>
    <col min="11796" max="11796" width="6.7109375" style="18" customWidth="1"/>
    <col min="11797" max="12033" width="8.85546875" style="18"/>
    <col min="12034" max="12034" width="26.42578125" style="18" customWidth="1"/>
    <col min="12035" max="12035" width="15.140625" style="18" customWidth="1"/>
    <col min="12036" max="12036" width="25.7109375" style="18" customWidth="1"/>
    <col min="12037" max="12037" width="12" style="18" customWidth="1"/>
    <col min="12038" max="12038" width="15.85546875" style="18" customWidth="1"/>
    <col min="12039" max="12039" width="17.42578125" style="18" customWidth="1"/>
    <col min="12040" max="12040" width="35.42578125" style="18" customWidth="1"/>
    <col min="12041" max="12042" width="8.85546875" style="18"/>
    <col min="12043" max="12043" width="9.85546875" style="18" customWidth="1"/>
    <col min="12044" max="12044" width="6.140625" style="18" customWidth="1"/>
    <col min="12045" max="12045" width="5.42578125" style="18" customWidth="1"/>
    <col min="12046" max="12046" width="5.7109375" style="18" customWidth="1"/>
    <col min="12047" max="12047" width="5.28515625" style="18" customWidth="1"/>
    <col min="12048" max="12048" width="5.7109375" style="18" customWidth="1"/>
    <col min="12049" max="12049" width="6.28515625" style="18" customWidth="1"/>
    <col min="12050" max="12050" width="6.140625" style="18" customWidth="1"/>
    <col min="12051" max="12051" width="6" style="18" customWidth="1"/>
    <col min="12052" max="12052" width="6.7109375" style="18" customWidth="1"/>
    <col min="12053" max="12289" width="8.85546875" style="18"/>
    <col min="12290" max="12290" width="26.42578125" style="18" customWidth="1"/>
    <col min="12291" max="12291" width="15.140625" style="18" customWidth="1"/>
    <col min="12292" max="12292" width="25.7109375" style="18" customWidth="1"/>
    <col min="12293" max="12293" width="12" style="18" customWidth="1"/>
    <col min="12294" max="12294" width="15.85546875" style="18" customWidth="1"/>
    <col min="12295" max="12295" width="17.42578125" style="18" customWidth="1"/>
    <col min="12296" max="12296" width="35.42578125" style="18" customWidth="1"/>
    <col min="12297" max="12298" width="8.85546875" style="18"/>
    <col min="12299" max="12299" width="9.85546875" style="18" customWidth="1"/>
    <col min="12300" max="12300" width="6.140625" style="18" customWidth="1"/>
    <col min="12301" max="12301" width="5.42578125" style="18" customWidth="1"/>
    <col min="12302" max="12302" width="5.7109375" style="18" customWidth="1"/>
    <col min="12303" max="12303" width="5.28515625" style="18" customWidth="1"/>
    <col min="12304" max="12304" width="5.7109375" style="18" customWidth="1"/>
    <col min="12305" max="12305" width="6.28515625" style="18" customWidth="1"/>
    <col min="12306" max="12306" width="6.140625" style="18" customWidth="1"/>
    <col min="12307" max="12307" width="6" style="18" customWidth="1"/>
    <col min="12308" max="12308" width="6.7109375" style="18" customWidth="1"/>
    <col min="12309" max="12545" width="8.85546875" style="18"/>
    <col min="12546" max="12546" width="26.42578125" style="18" customWidth="1"/>
    <col min="12547" max="12547" width="15.140625" style="18" customWidth="1"/>
    <col min="12548" max="12548" width="25.7109375" style="18" customWidth="1"/>
    <col min="12549" max="12549" width="12" style="18" customWidth="1"/>
    <col min="12550" max="12550" width="15.85546875" style="18" customWidth="1"/>
    <col min="12551" max="12551" width="17.42578125" style="18" customWidth="1"/>
    <col min="12552" max="12552" width="35.42578125" style="18" customWidth="1"/>
    <col min="12553" max="12554" width="8.85546875" style="18"/>
    <col min="12555" max="12555" width="9.85546875" style="18" customWidth="1"/>
    <col min="12556" max="12556" width="6.140625" style="18" customWidth="1"/>
    <col min="12557" max="12557" width="5.42578125" style="18" customWidth="1"/>
    <col min="12558" max="12558" width="5.7109375" style="18" customWidth="1"/>
    <col min="12559" max="12559" width="5.28515625" style="18" customWidth="1"/>
    <col min="12560" max="12560" width="5.7109375" style="18" customWidth="1"/>
    <col min="12561" max="12561" width="6.28515625" style="18" customWidth="1"/>
    <col min="12562" max="12562" width="6.140625" style="18" customWidth="1"/>
    <col min="12563" max="12563" width="6" style="18" customWidth="1"/>
    <col min="12564" max="12564" width="6.7109375" style="18" customWidth="1"/>
    <col min="12565" max="12801" width="8.85546875" style="18"/>
    <col min="12802" max="12802" width="26.42578125" style="18" customWidth="1"/>
    <col min="12803" max="12803" width="15.140625" style="18" customWidth="1"/>
    <col min="12804" max="12804" width="25.7109375" style="18" customWidth="1"/>
    <col min="12805" max="12805" width="12" style="18" customWidth="1"/>
    <col min="12806" max="12806" width="15.85546875" style="18" customWidth="1"/>
    <col min="12807" max="12807" width="17.42578125" style="18" customWidth="1"/>
    <col min="12808" max="12808" width="35.42578125" style="18" customWidth="1"/>
    <col min="12809" max="12810" width="8.85546875" style="18"/>
    <col min="12811" max="12811" width="9.85546875" style="18" customWidth="1"/>
    <col min="12812" max="12812" width="6.140625" style="18" customWidth="1"/>
    <col min="12813" max="12813" width="5.42578125" style="18" customWidth="1"/>
    <col min="12814" max="12814" width="5.7109375" style="18" customWidth="1"/>
    <col min="12815" max="12815" width="5.28515625" style="18" customWidth="1"/>
    <col min="12816" max="12816" width="5.7109375" style="18" customWidth="1"/>
    <col min="12817" max="12817" width="6.28515625" style="18" customWidth="1"/>
    <col min="12818" max="12818" width="6.140625" style="18" customWidth="1"/>
    <col min="12819" max="12819" width="6" style="18" customWidth="1"/>
    <col min="12820" max="12820" width="6.7109375" style="18" customWidth="1"/>
    <col min="12821" max="13057" width="8.85546875" style="18"/>
    <col min="13058" max="13058" width="26.42578125" style="18" customWidth="1"/>
    <col min="13059" max="13059" width="15.140625" style="18" customWidth="1"/>
    <col min="13060" max="13060" width="25.7109375" style="18" customWidth="1"/>
    <col min="13061" max="13061" width="12" style="18" customWidth="1"/>
    <col min="13062" max="13062" width="15.85546875" style="18" customWidth="1"/>
    <col min="13063" max="13063" width="17.42578125" style="18" customWidth="1"/>
    <col min="13064" max="13064" width="35.42578125" style="18" customWidth="1"/>
    <col min="13065" max="13066" width="8.85546875" style="18"/>
    <col min="13067" max="13067" width="9.85546875" style="18" customWidth="1"/>
    <col min="13068" max="13068" width="6.140625" style="18" customWidth="1"/>
    <col min="13069" max="13069" width="5.42578125" style="18" customWidth="1"/>
    <col min="13070" max="13070" width="5.7109375" style="18" customWidth="1"/>
    <col min="13071" max="13071" width="5.28515625" style="18" customWidth="1"/>
    <col min="13072" max="13072" width="5.7109375" style="18" customWidth="1"/>
    <col min="13073" max="13073" width="6.28515625" style="18" customWidth="1"/>
    <col min="13074" max="13074" width="6.140625" style="18" customWidth="1"/>
    <col min="13075" max="13075" width="6" style="18" customWidth="1"/>
    <col min="13076" max="13076" width="6.7109375" style="18" customWidth="1"/>
    <col min="13077" max="13313" width="8.85546875" style="18"/>
    <col min="13314" max="13314" width="26.42578125" style="18" customWidth="1"/>
    <col min="13315" max="13315" width="15.140625" style="18" customWidth="1"/>
    <col min="13316" max="13316" width="25.7109375" style="18" customWidth="1"/>
    <col min="13317" max="13317" width="12" style="18" customWidth="1"/>
    <col min="13318" max="13318" width="15.85546875" style="18" customWidth="1"/>
    <col min="13319" max="13319" width="17.42578125" style="18" customWidth="1"/>
    <col min="13320" max="13320" width="35.42578125" style="18" customWidth="1"/>
    <col min="13321" max="13322" width="8.85546875" style="18"/>
    <col min="13323" max="13323" width="9.85546875" style="18" customWidth="1"/>
    <col min="13324" max="13324" width="6.140625" style="18" customWidth="1"/>
    <col min="13325" max="13325" width="5.42578125" style="18" customWidth="1"/>
    <col min="13326" max="13326" width="5.7109375" style="18" customWidth="1"/>
    <col min="13327" max="13327" width="5.28515625" style="18" customWidth="1"/>
    <col min="13328" max="13328" width="5.7109375" style="18" customWidth="1"/>
    <col min="13329" max="13329" width="6.28515625" style="18" customWidth="1"/>
    <col min="13330" max="13330" width="6.140625" style="18" customWidth="1"/>
    <col min="13331" max="13331" width="6" style="18" customWidth="1"/>
    <col min="13332" max="13332" width="6.7109375" style="18" customWidth="1"/>
    <col min="13333" max="13569" width="8.85546875" style="18"/>
    <col min="13570" max="13570" width="26.42578125" style="18" customWidth="1"/>
    <col min="13571" max="13571" width="15.140625" style="18" customWidth="1"/>
    <col min="13572" max="13572" width="25.7109375" style="18" customWidth="1"/>
    <col min="13573" max="13573" width="12" style="18" customWidth="1"/>
    <col min="13574" max="13574" width="15.85546875" style="18" customWidth="1"/>
    <col min="13575" max="13575" width="17.42578125" style="18" customWidth="1"/>
    <col min="13576" max="13576" width="35.42578125" style="18" customWidth="1"/>
    <col min="13577" max="13578" width="8.85546875" style="18"/>
    <col min="13579" max="13579" width="9.85546875" style="18" customWidth="1"/>
    <col min="13580" max="13580" width="6.140625" style="18" customWidth="1"/>
    <col min="13581" max="13581" width="5.42578125" style="18" customWidth="1"/>
    <col min="13582" max="13582" width="5.7109375" style="18" customWidth="1"/>
    <col min="13583" max="13583" width="5.28515625" style="18" customWidth="1"/>
    <col min="13584" max="13584" width="5.7109375" style="18" customWidth="1"/>
    <col min="13585" max="13585" width="6.28515625" style="18" customWidth="1"/>
    <col min="13586" max="13586" width="6.140625" style="18" customWidth="1"/>
    <col min="13587" max="13587" width="6" style="18" customWidth="1"/>
    <col min="13588" max="13588" width="6.7109375" style="18" customWidth="1"/>
    <col min="13589" max="13825" width="8.85546875" style="18"/>
    <col min="13826" max="13826" width="26.42578125" style="18" customWidth="1"/>
    <col min="13827" max="13827" width="15.140625" style="18" customWidth="1"/>
    <col min="13828" max="13828" width="25.7109375" style="18" customWidth="1"/>
    <col min="13829" max="13829" width="12" style="18" customWidth="1"/>
    <col min="13830" max="13830" width="15.85546875" style="18" customWidth="1"/>
    <col min="13831" max="13831" width="17.42578125" style="18" customWidth="1"/>
    <col min="13832" max="13832" width="35.42578125" style="18" customWidth="1"/>
    <col min="13833" max="13834" width="8.85546875" style="18"/>
    <col min="13835" max="13835" width="9.85546875" style="18" customWidth="1"/>
    <col min="13836" max="13836" width="6.140625" style="18" customWidth="1"/>
    <col min="13837" max="13837" width="5.42578125" style="18" customWidth="1"/>
    <col min="13838" max="13838" width="5.7109375" style="18" customWidth="1"/>
    <col min="13839" max="13839" width="5.28515625" style="18" customWidth="1"/>
    <col min="13840" max="13840" width="5.7109375" style="18" customWidth="1"/>
    <col min="13841" max="13841" width="6.28515625" style="18" customWidth="1"/>
    <col min="13842" max="13842" width="6.140625" style="18" customWidth="1"/>
    <col min="13843" max="13843" width="6" style="18" customWidth="1"/>
    <col min="13844" max="13844" width="6.7109375" style="18" customWidth="1"/>
    <col min="13845" max="14081" width="8.85546875" style="18"/>
    <col min="14082" max="14082" width="26.42578125" style="18" customWidth="1"/>
    <col min="14083" max="14083" width="15.140625" style="18" customWidth="1"/>
    <col min="14084" max="14084" width="25.7109375" style="18" customWidth="1"/>
    <col min="14085" max="14085" width="12" style="18" customWidth="1"/>
    <col min="14086" max="14086" width="15.85546875" style="18" customWidth="1"/>
    <col min="14087" max="14087" width="17.42578125" style="18" customWidth="1"/>
    <col min="14088" max="14088" width="35.42578125" style="18" customWidth="1"/>
    <col min="14089" max="14090" width="8.85546875" style="18"/>
    <col min="14091" max="14091" width="9.85546875" style="18" customWidth="1"/>
    <col min="14092" max="14092" width="6.140625" style="18" customWidth="1"/>
    <col min="14093" max="14093" width="5.42578125" style="18" customWidth="1"/>
    <col min="14094" max="14094" width="5.7109375" style="18" customWidth="1"/>
    <col min="14095" max="14095" width="5.28515625" style="18" customWidth="1"/>
    <col min="14096" max="14096" width="5.7109375" style="18" customWidth="1"/>
    <col min="14097" max="14097" width="6.28515625" style="18" customWidth="1"/>
    <col min="14098" max="14098" width="6.140625" style="18" customWidth="1"/>
    <col min="14099" max="14099" width="6" style="18" customWidth="1"/>
    <col min="14100" max="14100" width="6.7109375" style="18" customWidth="1"/>
    <col min="14101" max="14337" width="8.85546875" style="18"/>
    <col min="14338" max="14338" width="26.42578125" style="18" customWidth="1"/>
    <col min="14339" max="14339" width="15.140625" style="18" customWidth="1"/>
    <col min="14340" max="14340" width="25.7109375" style="18" customWidth="1"/>
    <col min="14341" max="14341" width="12" style="18" customWidth="1"/>
    <col min="14342" max="14342" width="15.85546875" style="18" customWidth="1"/>
    <col min="14343" max="14343" width="17.42578125" style="18" customWidth="1"/>
    <col min="14344" max="14344" width="35.42578125" style="18" customWidth="1"/>
    <col min="14345" max="14346" width="8.85546875" style="18"/>
    <col min="14347" max="14347" width="9.85546875" style="18" customWidth="1"/>
    <col min="14348" max="14348" width="6.140625" style="18" customWidth="1"/>
    <col min="14349" max="14349" width="5.42578125" style="18" customWidth="1"/>
    <col min="14350" max="14350" width="5.7109375" style="18" customWidth="1"/>
    <col min="14351" max="14351" width="5.28515625" style="18" customWidth="1"/>
    <col min="14352" max="14352" width="5.7109375" style="18" customWidth="1"/>
    <col min="14353" max="14353" width="6.28515625" style="18" customWidth="1"/>
    <col min="14354" max="14354" width="6.140625" style="18" customWidth="1"/>
    <col min="14355" max="14355" width="6" style="18" customWidth="1"/>
    <col min="14356" max="14356" width="6.7109375" style="18" customWidth="1"/>
    <col min="14357" max="14593" width="8.85546875" style="18"/>
    <col min="14594" max="14594" width="26.42578125" style="18" customWidth="1"/>
    <col min="14595" max="14595" width="15.140625" style="18" customWidth="1"/>
    <col min="14596" max="14596" width="25.7109375" style="18" customWidth="1"/>
    <col min="14597" max="14597" width="12" style="18" customWidth="1"/>
    <col min="14598" max="14598" width="15.85546875" style="18" customWidth="1"/>
    <col min="14599" max="14599" width="17.42578125" style="18" customWidth="1"/>
    <col min="14600" max="14600" width="35.42578125" style="18" customWidth="1"/>
    <col min="14601" max="14602" width="8.85546875" style="18"/>
    <col min="14603" max="14603" width="9.85546875" style="18" customWidth="1"/>
    <col min="14604" max="14604" width="6.140625" style="18" customWidth="1"/>
    <col min="14605" max="14605" width="5.42578125" style="18" customWidth="1"/>
    <col min="14606" max="14606" width="5.7109375" style="18" customWidth="1"/>
    <col min="14607" max="14607" width="5.28515625" style="18" customWidth="1"/>
    <col min="14608" max="14608" width="5.7109375" style="18" customWidth="1"/>
    <col min="14609" max="14609" width="6.28515625" style="18" customWidth="1"/>
    <col min="14610" max="14610" width="6.140625" style="18" customWidth="1"/>
    <col min="14611" max="14611" width="6" style="18" customWidth="1"/>
    <col min="14612" max="14612" width="6.7109375" style="18" customWidth="1"/>
    <col min="14613" max="14849" width="8.85546875" style="18"/>
    <col min="14850" max="14850" width="26.42578125" style="18" customWidth="1"/>
    <col min="14851" max="14851" width="15.140625" style="18" customWidth="1"/>
    <col min="14852" max="14852" width="25.7109375" style="18" customWidth="1"/>
    <col min="14853" max="14853" width="12" style="18" customWidth="1"/>
    <col min="14854" max="14854" width="15.85546875" style="18" customWidth="1"/>
    <col min="14855" max="14855" width="17.42578125" style="18" customWidth="1"/>
    <col min="14856" max="14856" width="35.42578125" style="18" customWidth="1"/>
    <col min="14857" max="14858" width="8.85546875" style="18"/>
    <col min="14859" max="14859" width="9.85546875" style="18" customWidth="1"/>
    <col min="14860" max="14860" width="6.140625" style="18" customWidth="1"/>
    <col min="14861" max="14861" width="5.42578125" style="18" customWidth="1"/>
    <col min="14862" max="14862" width="5.7109375" style="18" customWidth="1"/>
    <col min="14863" max="14863" width="5.28515625" style="18" customWidth="1"/>
    <col min="14864" max="14864" width="5.7109375" style="18" customWidth="1"/>
    <col min="14865" max="14865" width="6.28515625" style="18" customWidth="1"/>
    <col min="14866" max="14866" width="6.140625" style="18" customWidth="1"/>
    <col min="14867" max="14867" width="6" style="18" customWidth="1"/>
    <col min="14868" max="14868" width="6.7109375" style="18" customWidth="1"/>
    <col min="14869" max="15105" width="8.85546875" style="18"/>
    <col min="15106" max="15106" width="26.42578125" style="18" customWidth="1"/>
    <col min="15107" max="15107" width="15.140625" style="18" customWidth="1"/>
    <col min="15108" max="15108" width="25.7109375" style="18" customWidth="1"/>
    <col min="15109" max="15109" width="12" style="18" customWidth="1"/>
    <col min="15110" max="15110" width="15.85546875" style="18" customWidth="1"/>
    <col min="15111" max="15111" width="17.42578125" style="18" customWidth="1"/>
    <col min="15112" max="15112" width="35.42578125" style="18" customWidth="1"/>
    <col min="15113" max="15114" width="8.85546875" style="18"/>
    <col min="15115" max="15115" width="9.85546875" style="18" customWidth="1"/>
    <col min="15116" max="15116" width="6.140625" style="18" customWidth="1"/>
    <col min="15117" max="15117" width="5.42578125" style="18" customWidth="1"/>
    <col min="15118" max="15118" width="5.7109375" style="18" customWidth="1"/>
    <col min="15119" max="15119" width="5.28515625" style="18" customWidth="1"/>
    <col min="15120" max="15120" width="5.7109375" style="18" customWidth="1"/>
    <col min="15121" max="15121" width="6.28515625" style="18" customWidth="1"/>
    <col min="15122" max="15122" width="6.140625" style="18" customWidth="1"/>
    <col min="15123" max="15123" width="6" style="18" customWidth="1"/>
    <col min="15124" max="15124" width="6.7109375" style="18" customWidth="1"/>
    <col min="15125" max="15361" width="8.85546875" style="18"/>
    <col min="15362" max="15362" width="26.42578125" style="18" customWidth="1"/>
    <col min="15363" max="15363" width="15.140625" style="18" customWidth="1"/>
    <col min="15364" max="15364" width="25.7109375" style="18" customWidth="1"/>
    <col min="15365" max="15365" width="12" style="18" customWidth="1"/>
    <col min="15366" max="15366" width="15.85546875" style="18" customWidth="1"/>
    <col min="15367" max="15367" width="17.42578125" style="18" customWidth="1"/>
    <col min="15368" max="15368" width="35.42578125" style="18" customWidth="1"/>
    <col min="15369" max="15370" width="8.85546875" style="18"/>
    <col min="15371" max="15371" width="9.85546875" style="18" customWidth="1"/>
    <col min="15372" max="15372" width="6.140625" style="18" customWidth="1"/>
    <col min="15373" max="15373" width="5.42578125" style="18" customWidth="1"/>
    <col min="15374" max="15374" width="5.7109375" style="18" customWidth="1"/>
    <col min="15375" max="15375" width="5.28515625" style="18" customWidth="1"/>
    <col min="15376" max="15376" width="5.7109375" style="18" customWidth="1"/>
    <col min="15377" max="15377" width="6.28515625" style="18" customWidth="1"/>
    <col min="15378" max="15378" width="6.140625" style="18" customWidth="1"/>
    <col min="15379" max="15379" width="6" style="18" customWidth="1"/>
    <col min="15380" max="15380" width="6.7109375" style="18" customWidth="1"/>
    <col min="15381" max="15617" width="8.85546875" style="18"/>
    <col min="15618" max="15618" width="26.42578125" style="18" customWidth="1"/>
    <col min="15619" max="15619" width="15.140625" style="18" customWidth="1"/>
    <col min="15620" max="15620" width="25.7109375" style="18" customWidth="1"/>
    <col min="15621" max="15621" width="12" style="18" customWidth="1"/>
    <col min="15622" max="15622" width="15.85546875" style="18" customWidth="1"/>
    <col min="15623" max="15623" width="17.42578125" style="18" customWidth="1"/>
    <col min="15624" max="15624" width="35.42578125" style="18" customWidth="1"/>
    <col min="15625" max="15626" width="8.85546875" style="18"/>
    <col min="15627" max="15627" width="9.85546875" style="18" customWidth="1"/>
    <col min="15628" max="15628" width="6.140625" style="18" customWidth="1"/>
    <col min="15629" max="15629" width="5.42578125" style="18" customWidth="1"/>
    <col min="15630" max="15630" width="5.7109375" style="18" customWidth="1"/>
    <col min="15631" max="15631" width="5.28515625" style="18" customWidth="1"/>
    <col min="15632" max="15632" width="5.7109375" style="18" customWidth="1"/>
    <col min="15633" max="15633" width="6.28515625" style="18" customWidth="1"/>
    <col min="15634" max="15634" width="6.140625" style="18" customWidth="1"/>
    <col min="15635" max="15635" width="6" style="18" customWidth="1"/>
    <col min="15636" max="15636" width="6.7109375" style="18" customWidth="1"/>
    <col min="15637" max="15873" width="8.85546875" style="18"/>
    <col min="15874" max="15874" width="26.42578125" style="18" customWidth="1"/>
    <col min="15875" max="15875" width="15.140625" style="18" customWidth="1"/>
    <col min="15876" max="15876" width="25.7109375" style="18" customWidth="1"/>
    <col min="15877" max="15877" width="12" style="18" customWidth="1"/>
    <col min="15878" max="15878" width="15.85546875" style="18" customWidth="1"/>
    <col min="15879" max="15879" width="17.42578125" style="18" customWidth="1"/>
    <col min="15880" max="15880" width="35.42578125" style="18" customWidth="1"/>
    <col min="15881" max="15882" width="8.85546875" style="18"/>
    <col min="15883" max="15883" width="9.85546875" style="18" customWidth="1"/>
    <col min="15884" max="15884" width="6.140625" style="18" customWidth="1"/>
    <col min="15885" max="15885" width="5.42578125" style="18" customWidth="1"/>
    <col min="15886" max="15886" width="5.7109375" style="18" customWidth="1"/>
    <col min="15887" max="15887" width="5.28515625" style="18" customWidth="1"/>
    <col min="15888" max="15888" width="5.7109375" style="18" customWidth="1"/>
    <col min="15889" max="15889" width="6.28515625" style="18" customWidth="1"/>
    <col min="15890" max="15890" width="6.140625" style="18" customWidth="1"/>
    <col min="15891" max="15891" width="6" style="18" customWidth="1"/>
    <col min="15892" max="15892" width="6.7109375" style="18" customWidth="1"/>
    <col min="15893" max="16129" width="8.85546875" style="18"/>
    <col min="16130" max="16130" width="26.42578125" style="18" customWidth="1"/>
    <col min="16131" max="16131" width="15.140625" style="18" customWidth="1"/>
    <col min="16132" max="16132" width="25.7109375" style="18" customWidth="1"/>
    <col min="16133" max="16133" width="12" style="18" customWidth="1"/>
    <col min="16134" max="16134" width="15.85546875" style="18" customWidth="1"/>
    <col min="16135" max="16135" width="17.42578125" style="18" customWidth="1"/>
    <col min="16136" max="16136" width="35.42578125" style="18" customWidth="1"/>
    <col min="16137" max="16138" width="8.85546875" style="18"/>
    <col min="16139" max="16139" width="9.85546875" style="18" customWidth="1"/>
    <col min="16140" max="16140" width="6.140625" style="18" customWidth="1"/>
    <col min="16141" max="16141" width="5.42578125" style="18" customWidth="1"/>
    <col min="16142" max="16142" width="5.7109375" style="18" customWidth="1"/>
    <col min="16143" max="16143" width="5.28515625" style="18" customWidth="1"/>
    <col min="16144" max="16144" width="5.7109375" style="18" customWidth="1"/>
    <col min="16145" max="16145" width="6.28515625" style="18" customWidth="1"/>
    <col min="16146" max="16146" width="6.140625" style="18" customWidth="1"/>
    <col min="16147" max="16147" width="6" style="18" customWidth="1"/>
    <col min="16148" max="16148" width="6.7109375" style="18" customWidth="1"/>
    <col min="16149" max="16384" width="8.85546875" style="18"/>
  </cols>
  <sheetData>
    <row r="2" spans="2:9" x14ac:dyDescent="0.2">
      <c r="B2" s="39" t="s">
        <v>3375</v>
      </c>
    </row>
    <row r="3" spans="2:9" ht="13.5" thickBot="1" x14ac:dyDescent="0.25">
      <c r="B3" s="39"/>
    </row>
    <row r="4" spans="2:9" ht="15" x14ac:dyDescent="0.25">
      <c r="B4" s="35" t="s">
        <v>3376</v>
      </c>
      <c r="C4" s="36" t="s">
        <v>3377</v>
      </c>
      <c r="D4" s="36" t="s">
        <v>3378</v>
      </c>
      <c r="E4" s="36" t="s">
        <v>3379</v>
      </c>
      <c r="F4" s="36" t="s">
        <v>3380</v>
      </c>
      <c r="G4" s="37" t="s">
        <v>3381</v>
      </c>
      <c r="H4" s="40" t="s">
        <v>3412</v>
      </c>
      <c r="I4" s="38" t="s">
        <v>3392</v>
      </c>
    </row>
    <row r="5" spans="2:9" x14ac:dyDescent="0.2">
      <c r="B5" s="27" t="s">
        <v>399</v>
      </c>
      <c r="C5" s="26" t="s">
        <v>388</v>
      </c>
      <c r="D5" s="22" t="s">
        <v>3387</v>
      </c>
      <c r="E5" s="23">
        <v>174.56</v>
      </c>
      <c r="F5" s="21" t="s">
        <v>3384</v>
      </c>
      <c r="G5" s="33">
        <v>44196</v>
      </c>
      <c r="H5" s="681">
        <f>G5</f>
        <v>44196</v>
      </c>
      <c r="I5" s="24"/>
    </row>
    <row r="6" spans="2:9" x14ac:dyDescent="0.2">
      <c r="B6" s="27" t="s">
        <v>405</v>
      </c>
      <c r="C6" s="26" t="s">
        <v>388</v>
      </c>
      <c r="D6" s="22" t="s">
        <v>3387</v>
      </c>
      <c r="E6" s="23">
        <v>175</v>
      </c>
      <c r="F6" s="21" t="s">
        <v>3384</v>
      </c>
      <c r="G6" s="33">
        <v>44196</v>
      </c>
      <c r="H6" s="681">
        <f t="shared" ref="H6:H10" si="0">G6</f>
        <v>44196</v>
      </c>
      <c r="I6" s="24"/>
    </row>
    <row r="7" spans="2:9" x14ac:dyDescent="0.2">
      <c r="B7" s="27" t="s">
        <v>461</v>
      </c>
      <c r="C7" s="26" t="s">
        <v>388</v>
      </c>
      <c r="D7" s="22" t="s">
        <v>3387</v>
      </c>
      <c r="E7" s="23">
        <v>332.18</v>
      </c>
      <c r="F7" s="21" t="s">
        <v>3384</v>
      </c>
      <c r="G7" s="33">
        <v>44196</v>
      </c>
      <c r="H7" s="681">
        <f t="shared" si="0"/>
        <v>44196</v>
      </c>
      <c r="I7" s="24"/>
    </row>
    <row r="8" spans="2:9" x14ac:dyDescent="0.2">
      <c r="B8" s="27" t="s">
        <v>468</v>
      </c>
      <c r="C8" s="26" t="s">
        <v>388</v>
      </c>
      <c r="D8" s="22" t="s">
        <v>3387</v>
      </c>
      <c r="E8" s="23">
        <v>335.67</v>
      </c>
      <c r="F8" s="21" t="s">
        <v>3384</v>
      </c>
      <c r="G8" s="33">
        <v>44196</v>
      </c>
      <c r="H8" s="681">
        <f t="shared" si="0"/>
        <v>44196</v>
      </c>
      <c r="I8" s="24"/>
    </row>
    <row r="9" spans="2:9" x14ac:dyDescent="0.2">
      <c r="B9" s="27" t="s">
        <v>2281</v>
      </c>
      <c r="C9" s="26" t="s">
        <v>388</v>
      </c>
      <c r="D9" s="22" t="s">
        <v>3387</v>
      </c>
      <c r="E9" s="23">
        <v>497.97</v>
      </c>
      <c r="F9" s="21" t="s">
        <v>3384</v>
      </c>
      <c r="G9" s="33">
        <v>44196</v>
      </c>
      <c r="H9" s="681">
        <f t="shared" si="0"/>
        <v>44196</v>
      </c>
      <c r="I9" s="24"/>
    </row>
    <row r="10" spans="2:9" x14ac:dyDescent="0.2">
      <c r="B10" s="27" t="s">
        <v>528</v>
      </c>
      <c r="C10" s="26" t="s">
        <v>388</v>
      </c>
      <c r="D10" s="22" t="s">
        <v>3387</v>
      </c>
      <c r="E10" s="23">
        <v>495</v>
      </c>
      <c r="F10" s="21" t="s">
        <v>3384</v>
      </c>
      <c r="G10" s="33">
        <v>44196</v>
      </c>
      <c r="H10" s="681">
        <f t="shared" si="0"/>
        <v>44196</v>
      </c>
      <c r="I10" s="24"/>
    </row>
    <row r="11" spans="2:9" x14ac:dyDescent="0.2">
      <c r="B11" s="20" t="s">
        <v>3390</v>
      </c>
      <c r="C11" s="21" t="s">
        <v>4950</v>
      </c>
      <c r="D11" s="22" t="s">
        <v>3382</v>
      </c>
      <c r="E11" s="23">
        <v>337</v>
      </c>
      <c r="F11" s="21" t="s">
        <v>3384</v>
      </c>
      <c r="G11" s="33">
        <v>43100</v>
      </c>
      <c r="H11" s="41">
        <v>41639</v>
      </c>
      <c r="I11" s="24" t="s">
        <v>4702</v>
      </c>
    </row>
    <row r="12" spans="2:9" x14ac:dyDescent="0.2">
      <c r="B12" s="20" t="s">
        <v>3391</v>
      </c>
      <c r="C12" s="21" t="s">
        <v>4950</v>
      </c>
      <c r="D12" s="22" t="s">
        <v>3382</v>
      </c>
      <c r="E12" s="23">
        <v>337</v>
      </c>
      <c r="F12" s="21" t="s">
        <v>3384</v>
      </c>
      <c r="G12" s="33">
        <v>43100</v>
      </c>
      <c r="H12" s="41">
        <v>41639</v>
      </c>
      <c r="I12" s="24" t="s">
        <v>4702</v>
      </c>
    </row>
    <row r="13" spans="2:9" x14ac:dyDescent="0.2">
      <c r="B13" s="20" t="s">
        <v>1160</v>
      </c>
      <c r="C13" s="21" t="s">
        <v>6</v>
      </c>
      <c r="D13" s="22" t="s">
        <v>3383</v>
      </c>
      <c r="E13" s="23">
        <v>1122</v>
      </c>
      <c r="F13" s="21" t="s">
        <v>30</v>
      </c>
      <c r="G13" s="33">
        <v>45657</v>
      </c>
      <c r="H13" s="41">
        <v>42005</v>
      </c>
      <c r="I13" s="24" t="s">
        <v>4709</v>
      </c>
    </row>
    <row r="14" spans="2:9" x14ac:dyDescent="0.2">
      <c r="B14" s="20" t="s">
        <v>1307</v>
      </c>
      <c r="C14" s="21" t="s">
        <v>6</v>
      </c>
      <c r="D14" s="22" t="s">
        <v>3383</v>
      </c>
      <c r="E14" s="23">
        <v>1118</v>
      </c>
      <c r="F14" s="21" t="s">
        <v>30</v>
      </c>
      <c r="G14" s="33">
        <v>45657</v>
      </c>
      <c r="H14" s="41">
        <v>42005</v>
      </c>
      <c r="I14" s="24" t="s">
        <v>4709</v>
      </c>
    </row>
    <row r="15" spans="2:9" x14ac:dyDescent="0.2">
      <c r="B15" s="20" t="s">
        <v>3424</v>
      </c>
      <c r="C15" s="21" t="s">
        <v>4951</v>
      </c>
      <c r="D15" s="22" t="s">
        <v>3387</v>
      </c>
      <c r="E15" s="23">
        <v>335</v>
      </c>
      <c r="F15" s="21" t="s">
        <v>3384</v>
      </c>
      <c r="G15" s="33">
        <v>42369</v>
      </c>
      <c r="H15" s="681">
        <f>G15</f>
        <v>42369</v>
      </c>
      <c r="I15" s="24"/>
    </row>
    <row r="16" spans="2:9" x14ac:dyDescent="0.2">
      <c r="B16" s="20" t="s">
        <v>3393</v>
      </c>
      <c r="C16" s="21" t="s">
        <v>4951</v>
      </c>
      <c r="D16" s="22" t="s">
        <v>3387</v>
      </c>
      <c r="E16" s="23">
        <v>335</v>
      </c>
      <c r="F16" s="21" t="s">
        <v>3384</v>
      </c>
      <c r="G16" s="33">
        <v>42369</v>
      </c>
      <c r="H16" s="681">
        <f>G16</f>
        <v>42369</v>
      </c>
      <c r="I16" s="25"/>
    </row>
    <row r="17" spans="2:9" x14ac:dyDescent="0.2">
      <c r="B17" s="20" t="s">
        <v>3394</v>
      </c>
      <c r="C17" s="21" t="s">
        <v>4951</v>
      </c>
      <c r="D17" s="22" t="s">
        <v>3385</v>
      </c>
      <c r="E17" s="23">
        <v>14</v>
      </c>
      <c r="F17" s="21" t="s">
        <v>3389</v>
      </c>
      <c r="G17" s="33">
        <v>43100</v>
      </c>
      <c r="H17" s="681">
        <f t="shared" ref="H17:H43" si="1">G17</f>
        <v>43100</v>
      </c>
      <c r="I17" s="24"/>
    </row>
    <row r="18" spans="2:9" x14ac:dyDescent="0.2">
      <c r="B18" s="20" t="s">
        <v>382</v>
      </c>
      <c r="C18" s="21" t="s">
        <v>4951</v>
      </c>
      <c r="D18" s="22" t="s">
        <v>3385</v>
      </c>
      <c r="E18" s="23">
        <v>106</v>
      </c>
      <c r="F18" s="21" t="s">
        <v>3384</v>
      </c>
      <c r="G18" s="33">
        <v>43100</v>
      </c>
      <c r="H18" s="681">
        <f t="shared" si="1"/>
        <v>43100</v>
      </c>
      <c r="I18" s="24"/>
    </row>
    <row r="19" spans="2:9" x14ac:dyDescent="0.2">
      <c r="B19" s="20" t="s">
        <v>403</v>
      </c>
      <c r="C19" s="21" t="s">
        <v>4951</v>
      </c>
      <c r="D19" s="22" t="s">
        <v>3385</v>
      </c>
      <c r="E19" s="23">
        <v>103</v>
      </c>
      <c r="F19" s="21" t="s">
        <v>3384</v>
      </c>
      <c r="G19" s="33">
        <v>43100</v>
      </c>
      <c r="H19" s="681">
        <f t="shared" si="1"/>
        <v>43100</v>
      </c>
      <c r="I19" s="24"/>
    </row>
    <row r="20" spans="2:9" x14ac:dyDescent="0.2">
      <c r="B20" s="20" t="s">
        <v>426</v>
      </c>
      <c r="C20" s="21" t="s">
        <v>4951</v>
      </c>
      <c r="D20" s="22" t="s">
        <v>3385</v>
      </c>
      <c r="E20" s="23">
        <v>109</v>
      </c>
      <c r="F20" s="21" t="s">
        <v>3384</v>
      </c>
      <c r="G20" s="33">
        <v>43100</v>
      </c>
      <c r="H20" s="681">
        <f t="shared" si="1"/>
        <v>43100</v>
      </c>
      <c r="I20" s="24"/>
    </row>
    <row r="21" spans="2:9" x14ac:dyDescent="0.2">
      <c r="B21" s="20" t="s">
        <v>694</v>
      </c>
      <c r="C21" s="21" t="s">
        <v>4951</v>
      </c>
      <c r="D21" s="22" t="s">
        <v>3385</v>
      </c>
      <c r="E21" s="23">
        <v>299</v>
      </c>
      <c r="F21" s="21" t="s">
        <v>3384</v>
      </c>
      <c r="G21" s="33">
        <v>43100</v>
      </c>
      <c r="H21" s="681">
        <f t="shared" si="1"/>
        <v>43100</v>
      </c>
      <c r="I21" s="24"/>
    </row>
    <row r="22" spans="2:9" x14ac:dyDescent="0.2">
      <c r="B22" s="20" t="s">
        <v>741</v>
      </c>
      <c r="C22" s="21" t="s">
        <v>4951</v>
      </c>
      <c r="D22" s="22" t="s">
        <v>3385</v>
      </c>
      <c r="E22" s="23">
        <v>329</v>
      </c>
      <c r="F22" s="21" t="s">
        <v>3384</v>
      </c>
      <c r="G22" s="33">
        <v>43100</v>
      </c>
      <c r="H22" s="681">
        <f t="shared" si="1"/>
        <v>43100</v>
      </c>
      <c r="I22" s="24"/>
    </row>
    <row r="23" spans="2:9" x14ac:dyDescent="0.2">
      <c r="B23" s="20" t="s">
        <v>3395</v>
      </c>
      <c r="C23" s="21" t="s">
        <v>2367</v>
      </c>
      <c r="D23" s="22" t="s">
        <v>3387</v>
      </c>
      <c r="E23" s="23">
        <v>225.75</v>
      </c>
      <c r="F23" s="21" t="s">
        <v>3384</v>
      </c>
      <c r="G23" s="33">
        <v>44196</v>
      </c>
      <c r="H23" s="681">
        <f t="shared" si="1"/>
        <v>44196</v>
      </c>
      <c r="I23" s="24"/>
    </row>
    <row r="24" spans="2:9" x14ac:dyDescent="0.2">
      <c r="B24" s="20" t="s">
        <v>3396</v>
      </c>
      <c r="C24" s="21" t="s">
        <v>2367</v>
      </c>
      <c r="D24" s="22" t="s">
        <v>3387</v>
      </c>
      <c r="E24" s="23">
        <v>225.8</v>
      </c>
      <c r="F24" s="21" t="s">
        <v>3384</v>
      </c>
      <c r="G24" s="33">
        <v>44196</v>
      </c>
      <c r="H24" s="681">
        <f t="shared" si="1"/>
        <v>44196</v>
      </c>
      <c r="I24" s="24"/>
    </row>
    <row r="25" spans="2:9" ht="25.5" x14ac:dyDescent="0.2">
      <c r="B25" s="20" t="s">
        <v>3397</v>
      </c>
      <c r="C25" s="21" t="s">
        <v>2367</v>
      </c>
      <c r="D25" s="22" t="s">
        <v>3387</v>
      </c>
      <c r="E25" s="23">
        <v>225</v>
      </c>
      <c r="F25" s="21" t="s">
        <v>3384</v>
      </c>
      <c r="G25" s="33">
        <v>41274</v>
      </c>
      <c r="H25" s="681">
        <f t="shared" si="1"/>
        <v>41274</v>
      </c>
      <c r="I25" s="24" t="s">
        <v>4735</v>
      </c>
    </row>
    <row r="26" spans="2:9" ht="25.5" x14ac:dyDescent="0.2">
      <c r="B26" s="20" t="s">
        <v>3398</v>
      </c>
      <c r="C26" s="21" t="s">
        <v>2367</v>
      </c>
      <c r="D26" s="22" t="s">
        <v>3387</v>
      </c>
      <c r="E26" s="23">
        <v>227</v>
      </c>
      <c r="F26" s="21" t="s">
        <v>3384</v>
      </c>
      <c r="G26" s="33">
        <v>41274</v>
      </c>
      <c r="H26" s="681">
        <f t="shared" si="1"/>
        <v>41274</v>
      </c>
      <c r="I26" s="24" t="s">
        <v>4735</v>
      </c>
    </row>
    <row r="27" spans="2:9" x14ac:dyDescent="0.2">
      <c r="B27" s="20" t="s">
        <v>3399</v>
      </c>
      <c r="C27" s="21" t="s">
        <v>4950</v>
      </c>
      <c r="D27" s="22" t="s">
        <v>3388</v>
      </c>
      <c r="E27" s="23">
        <v>215</v>
      </c>
      <c r="F27" s="21" t="s">
        <v>3384</v>
      </c>
      <c r="G27" s="33">
        <v>44196</v>
      </c>
      <c r="H27" s="681">
        <f t="shared" si="1"/>
        <v>44196</v>
      </c>
      <c r="I27" s="24"/>
    </row>
    <row r="28" spans="2:9" x14ac:dyDescent="0.2">
      <c r="B28" s="20" t="s">
        <v>3400</v>
      </c>
      <c r="C28" s="21" t="s">
        <v>4950</v>
      </c>
      <c r="D28" s="22" t="s">
        <v>3388</v>
      </c>
      <c r="E28" s="23">
        <v>215.29</v>
      </c>
      <c r="F28" s="21" t="s">
        <v>3384</v>
      </c>
      <c r="G28" s="33">
        <v>44196</v>
      </c>
      <c r="H28" s="681">
        <f t="shared" si="1"/>
        <v>44196</v>
      </c>
      <c r="I28" s="24"/>
    </row>
    <row r="29" spans="2:9" x14ac:dyDescent="0.2">
      <c r="B29" s="20" t="s">
        <v>3401</v>
      </c>
      <c r="C29" s="21" t="s">
        <v>4950</v>
      </c>
      <c r="D29" s="22" t="s">
        <v>3388</v>
      </c>
      <c r="E29" s="23">
        <v>130</v>
      </c>
      <c r="F29" s="21" t="s">
        <v>3389</v>
      </c>
      <c r="G29" s="33">
        <v>44196</v>
      </c>
      <c r="H29" s="681">
        <f t="shared" si="1"/>
        <v>44196</v>
      </c>
      <c r="I29" s="24"/>
    </row>
    <row r="30" spans="2:9" x14ac:dyDescent="0.2">
      <c r="B30" s="20" t="s">
        <v>472</v>
      </c>
      <c r="C30" s="21" t="s">
        <v>4952</v>
      </c>
      <c r="D30" s="22" t="s">
        <v>3383</v>
      </c>
      <c r="E30" s="23">
        <v>325</v>
      </c>
      <c r="F30" s="21" t="s">
        <v>3384</v>
      </c>
      <c r="G30" s="33">
        <v>42369</v>
      </c>
      <c r="H30" s="681">
        <f t="shared" si="1"/>
        <v>42369</v>
      </c>
      <c r="I30" s="24"/>
    </row>
    <row r="31" spans="2:9" x14ac:dyDescent="0.2">
      <c r="B31" s="20" t="s">
        <v>484</v>
      </c>
      <c r="C31" s="21" t="s">
        <v>4952</v>
      </c>
      <c r="D31" s="22" t="s">
        <v>3383</v>
      </c>
      <c r="E31" s="23">
        <v>325</v>
      </c>
      <c r="F31" s="21" t="s">
        <v>3384</v>
      </c>
      <c r="G31" s="33">
        <v>42369</v>
      </c>
      <c r="H31" s="681">
        <f t="shared" si="1"/>
        <v>42369</v>
      </c>
      <c r="I31" s="24"/>
    </row>
    <row r="32" spans="2:9" x14ac:dyDescent="0.2">
      <c r="B32" s="20" t="s">
        <v>3406</v>
      </c>
      <c r="C32" s="21" t="s">
        <v>4952</v>
      </c>
      <c r="D32" s="22" t="s">
        <v>3383</v>
      </c>
      <c r="E32" s="23">
        <v>510</v>
      </c>
      <c r="F32" s="21" t="s">
        <v>3386</v>
      </c>
      <c r="G32" s="33">
        <v>43100</v>
      </c>
      <c r="H32" s="681">
        <f t="shared" si="1"/>
        <v>43100</v>
      </c>
      <c r="I32" s="24"/>
    </row>
    <row r="33" spans="2:9" x14ac:dyDescent="0.2">
      <c r="B33" s="20" t="s">
        <v>3407</v>
      </c>
      <c r="C33" s="21" t="s">
        <v>4952</v>
      </c>
      <c r="D33" s="22" t="s">
        <v>3383</v>
      </c>
      <c r="E33" s="23">
        <v>510</v>
      </c>
      <c r="F33" s="21" t="s">
        <v>3386</v>
      </c>
      <c r="G33" s="33">
        <v>43100</v>
      </c>
      <c r="H33" s="681">
        <f t="shared" si="1"/>
        <v>43100</v>
      </c>
      <c r="I33" s="24"/>
    </row>
    <row r="34" spans="2:9" x14ac:dyDescent="0.2">
      <c r="B34" s="20" t="s">
        <v>3408</v>
      </c>
      <c r="C34" s="21" t="s">
        <v>4952</v>
      </c>
      <c r="D34" s="22" t="s">
        <v>3383</v>
      </c>
      <c r="E34" s="23">
        <v>754.33</v>
      </c>
      <c r="F34" s="21" t="s">
        <v>3384</v>
      </c>
      <c r="G34" s="33">
        <v>43100</v>
      </c>
      <c r="H34" s="681">
        <f t="shared" si="1"/>
        <v>43100</v>
      </c>
      <c r="I34" s="24"/>
    </row>
    <row r="35" spans="2:9" x14ac:dyDescent="0.2">
      <c r="B35" s="20" t="s">
        <v>3409</v>
      </c>
      <c r="C35" s="21" t="s">
        <v>4952</v>
      </c>
      <c r="D35" s="22" t="s">
        <v>3383</v>
      </c>
      <c r="E35" s="23">
        <v>755.7</v>
      </c>
      <c r="F35" s="21" t="s">
        <v>3384</v>
      </c>
      <c r="G35" s="33">
        <v>43100</v>
      </c>
      <c r="H35" s="681">
        <f t="shared" si="1"/>
        <v>43100</v>
      </c>
      <c r="I35" s="24"/>
    </row>
    <row r="36" spans="2:9" x14ac:dyDescent="0.2">
      <c r="B36" s="20" t="s">
        <v>669</v>
      </c>
      <c r="C36" s="21" t="s">
        <v>4950</v>
      </c>
      <c r="D36" s="22" t="s">
        <v>3388</v>
      </c>
      <c r="E36" s="23">
        <v>741.27</v>
      </c>
      <c r="F36" s="21" t="s">
        <v>3384</v>
      </c>
      <c r="G36" s="33">
        <v>44196</v>
      </c>
      <c r="H36" s="33">
        <v>44196</v>
      </c>
      <c r="I36" s="24" t="s">
        <v>3423</v>
      </c>
    </row>
    <row r="37" spans="2:9" x14ac:dyDescent="0.2">
      <c r="B37" s="20" t="s">
        <v>672</v>
      </c>
      <c r="C37" s="21" t="s">
        <v>4950</v>
      </c>
      <c r="D37" s="22" t="s">
        <v>3388</v>
      </c>
      <c r="E37" s="23">
        <v>775</v>
      </c>
      <c r="F37" s="21" t="s">
        <v>3384</v>
      </c>
      <c r="G37" s="33">
        <v>44196</v>
      </c>
      <c r="H37" s="33">
        <v>44196</v>
      </c>
      <c r="I37" s="24" t="s">
        <v>3423</v>
      </c>
    </row>
    <row r="38" spans="2:9" x14ac:dyDescent="0.2">
      <c r="B38" s="20" t="s">
        <v>453</v>
      </c>
      <c r="C38" s="21" t="s">
        <v>4953</v>
      </c>
      <c r="D38" s="22" t="s">
        <v>3382</v>
      </c>
      <c r="E38" s="23">
        <v>312</v>
      </c>
      <c r="F38" s="21" t="s">
        <v>3384</v>
      </c>
      <c r="G38" s="33">
        <v>43100</v>
      </c>
      <c r="H38" s="681">
        <f t="shared" si="1"/>
        <v>43100</v>
      </c>
      <c r="I38" s="24"/>
    </row>
    <row r="39" spans="2:9" x14ac:dyDescent="0.2">
      <c r="B39" s="20" t="s">
        <v>466</v>
      </c>
      <c r="C39" s="21" t="s">
        <v>4953</v>
      </c>
      <c r="D39" s="22" t="s">
        <v>3382</v>
      </c>
      <c r="E39" s="23">
        <v>317</v>
      </c>
      <c r="F39" s="21" t="s">
        <v>3384</v>
      </c>
      <c r="G39" s="33">
        <v>43100</v>
      </c>
      <c r="H39" s="681">
        <f t="shared" si="1"/>
        <v>43100</v>
      </c>
      <c r="I39" s="24"/>
    </row>
    <row r="40" spans="2:9" x14ac:dyDescent="0.2">
      <c r="B40" s="20" t="s">
        <v>3402</v>
      </c>
      <c r="C40" s="21" t="s">
        <v>388</v>
      </c>
      <c r="D40" s="22" t="s">
        <v>3387</v>
      </c>
      <c r="E40" s="23">
        <v>178.87</v>
      </c>
      <c r="F40" s="21" t="s">
        <v>3384</v>
      </c>
      <c r="G40" s="33">
        <v>44196</v>
      </c>
      <c r="H40" s="681">
        <f t="shared" si="1"/>
        <v>44196</v>
      </c>
      <c r="I40" s="24"/>
    </row>
    <row r="41" spans="2:9" x14ac:dyDescent="0.2">
      <c r="B41" s="20" t="s">
        <v>3403</v>
      </c>
      <c r="C41" s="21" t="s">
        <v>388</v>
      </c>
      <c r="D41" s="22" t="s">
        <v>3387</v>
      </c>
      <c r="E41" s="23">
        <v>175</v>
      </c>
      <c r="F41" s="21" t="s">
        <v>3384</v>
      </c>
      <c r="G41" s="33">
        <v>44196</v>
      </c>
      <c r="H41" s="681">
        <f t="shared" si="1"/>
        <v>44196</v>
      </c>
      <c r="I41" s="24"/>
    </row>
    <row r="42" spans="2:9" x14ac:dyDescent="0.2">
      <c r="B42" s="20" t="s">
        <v>3404</v>
      </c>
      <c r="C42" s="21" t="s">
        <v>388</v>
      </c>
      <c r="D42" s="22" t="s">
        <v>3387</v>
      </c>
      <c r="E42" s="23">
        <v>493.24</v>
      </c>
      <c r="F42" s="21" t="s">
        <v>3384</v>
      </c>
      <c r="G42" s="33">
        <v>44196</v>
      </c>
      <c r="H42" s="681">
        <f t="shared" si="1"/>
        <v>44196</v>
      </c>
      <c r="I42" s="24"/>
    </row>
    <row r="43" spans="2:9" x14ac:dyDescent="0.2">
      <c r="B43" s="20" t="s">
        <v>3405</v>
      </c>
      <c r="C43" s="21" t="s">
        <v>388</v>
      </c>
      <c r="D43" s="22" t="s">
        <v>3387</v>
      </c>
      <c r="E43" s="23">
        <v>495.9</v>
      </c>
      <c r="F43" s="21" t="s">
        <v>3384</v>
      </c>
      <c r="G43" s="33">
        <v>44196</v>
      </c>
      <c r="H43" s="681">
        <f t="shared" si="1"/>
        <v>44196</v>
      </c>
      <c r="I43" s="24"/>
    </row>
    <row r="44" spans="2:9" ht="25.5" x14ac:dyDescent="0.2">
      <c r="B44" s="20" t="s">
        <v>3410</v>
      </c>
      <c r="C44" s="21" t="s">
        <v>4954</v>
      </c>
      <c r="D44" s="22" t="s">
        <v>3387</v>
      </c>
      <c r="E44" s="23">
        <v>1122</v>
      </c>
      <c r="F44" s="21" t="s">
        <v>30</v>
      </c>
      <c r="G44" s="33">
        <v>44926</v>
      </c>
      <c r="H44" s="41">
        <v>42005</v>
      </c>
      <c r="I44" s="24" t="s">
        <v>4710</v>
      </c>
    </row>
    <row r="45" spans="2:9" ht="26.25" thickBot="1" x14ac:dyDescent="0.25">
      <c r="B45" s="29" t="s">
        <v>3411</v>
      </c>
      <c r="C45" s="28" t="s">
        <v>4954</v>
      </c>
      <c r="D45" s="30" t="s">
        <v>3387</v>
      </c>
      <c r="E45" s="31">
        <v>1124</v>
      </c>
      <c r="F45" s="28" t="s">
        <v>30</v>
      </c>
      <c r="G45" s="34">
        <v>44926</v>
      </c>
      <c r="H45" s="682">
        <v>42005</v>
      </c>
      <c r="I45" s="683" t="s">
        <v>4710</v>
      </c>
    </row>
    <row r="46" spans="2:9" x14ac:dyDescent="0.2">
      <c r="E46" s="461"/>
    </row>
    <row r="47" spans="2:9" x14ac:dyDescent="0.2">
      <c r="E47" s="461"/>
    </row>
  </sheetData>
  <sortState ref="B6:H52">
    <sortCondition ref="B51"/>
  </sortState>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99"/>
  </sheetPr>
  <dimension ref="A1:P463"/>
  <sheetViews>
    <sheetView zoomScale="80" zoomScaleNormal="80" workbookViewId="0"/>
  </sheetViews>
  <sheetFormatPr defaultRowHeight="15" x14ac:dyDescent="0.25"/>
  <cols>
    <col min="2" max="2" width="14.85546875" customWidth="1"/>
    <col min="3" max="3" width="7.85546875" customWidth="1"/>
    <col min="4" max="4" width="39.5703125" customWidth="1"/>
  </cols>
  <sheetData>
    <row r="1" spans="1:16" s="491" customFormat="1" ht="15.75" x14ac:dyDescent="0.25">
      <c r="A1" s="541" t="s">
        <v>4794</v>
      </c>
      <c r="B1" s="541"/>
      <c r="C1" s="541"/>
      <c r="D1" s="541"/>
      <c r="E1" s="542"/>
      <c r="F1" s="542"/>
      <c r="G1" s="542"/>
      <c r="H1" s="542"/>
      <c r="I1" s="542"/>
      <c r="J1" s="542"/>
      <c r="K1" s="542"/>
      <c r="L1" s="542"/>
      <c r="M1" s="542"/>
      <c r="N1" s="542"/>
      <c r="O1" s="542"/>
      <c r="P1" s="542"/>
    </row>
    <row r="2" spans="1:16" x14ac:dyDescent="0.25">
      <c r="A2" s="17"/>
      <c r="B2" s="17"/>
      <c r="C2" s="17"/>
      <c r="D2" s="17"/>
      <c r="E2" s="17"/>
      <c r="F2" s="17"/>
      <c r="G2" s="17"/>
      <c r="H2" s="17"/>
      <c r="I2" s="17"/>
      <c r="J2" s="17"/>
      <c r="K2" s="17"/>
      <c r="L2" s="17"/>
      <c r="M2" s="17"/>
      <c r="N2" s="17"/>
      <c r="O2" s="17"/>
      <c r="P2" s="17"/>
    </row>
    <row r="3" spans="1:16" x14ac:dyDescent="0.25">
      <c r="A3" s="17" t="s">
        <v>3432</v>
      </c>
      <c r="B3" s="17" t="s">
        <v>4795</v>
      </c>
      <c r="C3" s="17"/>
      <c r="D3" s="17"/>
      <c r="E3" s="536">
        <v>2011</v>
      </c>
      <c r="F3" s="536">
        <v>2012</v>
      </c>
      <c r="G3" s="536">
        <v>2013</v>
      </c>
      <c r="H3" s="536">
        <v>2014</v>
      </c>
      <c r="I3" s="536">
        <v>2015</v>
      </c>
      <c r="J3" s="536">
        <v>2016</v>
      </c>
      <c r="K3" s="536">
        <v>2017</v>
      </c>
      <c r="L3" s="536">
        <v>2018</v>
      </c>
      <c r="M3" s="536">
        <v>2019</v>
      </c>
      <c r="N3" s="536">
        <v>2020</v>
      </c>
      <c r="O3" s="536">
        <v>2021</v>
      </c>
      <c r="P3" s="536">
        <v>2022</v>
      </c>
    </row>
    <row r="4" spans="1:16" x14ac:dyDescent="0.25">
      <c r="A4" s="17"/>
      <c r="B4" s="17"/>
      <c r="C4" s="17"/>
      <c r="D4" s="17" t="s">
        <v>4796</v>
      </c>
      <c r="E4" s="537">
        <v>0</v>
      </c>
      <c r="F4" s="537">
        <v>0</v>
      </c>
      <c r="G4" s="537">
        <v>0</v>
      </c>
      <c r="H4" s="537">
        <v>74.505474711067734</v>
      </c>
      <c r="I4" s="537">
        <v>164.83417984825087</v>
      </c>
      <c r="J4" s="537">
        <v>274.38176782010595</v>
      </c>
      <c r="K4" s="537">
        <v>337.92986562780425</v>
      </c>
      <c r="L4" s="537">
        <v>370.03025050141957</v>
      </c>
      <c r="M4" s="537">
        <v>395.07035776565704</v>
      </c>
      <c r="N4" s="537">
        <v>410.5648163849649</v>
      </c>
      <c r="O4" s="537">
        <v>417.43035468104665</v>
      </c>
      <c r="P4" s="537">
        <v>421.76994755686383</v>
      </c>
    </row>
    <row r="5" spans="1:16" x14ac:dyDescent="0.25">
      <c r="A5" s="17"/>
      <c r="B5" s="17"/>
      <c r="C5" s="17"/>
      <c r="D5" s="115" t="s">
        <v>4797</v>
      </c>
      <c r="E5" s="537">
        <v>11.989084335914153</v>
      </c>
      <c r="F5" s="537">
        <v>23.927078308303972</v>
      </c>
      <c r="G5" s="537">
        <v>37.700635848030231</v>
      </c>
      <c r="H5" s="537">
        <v>67.024840298976571</v>
      </c>
      <c r="I5" s="537">
        <v>154.46435492806751</v>
      </c>
      <c r="J5" s="537">
        <v>244.70602051158156</v>
      </c>
      <c r="K5" s="537">
        <v>333.53482950537273</v>
      </c>
      <c r="L5" s="537">
        <v>407.00653073497796</v>
      </c>
      <c r="M5" s="537">
        <v>470.4833451766491</v>
      </c>
      <c r="N5" s="537">
        <v>528.6809429043642</v>
      </c>
      <c r="O5" s="537">
        <v>586.88544898414182</v>
      </c>
      <c r="P5" s="537">
        <v>645.05785664209247</v>
      </c>
    </row>
    <row r="6" spans="1:16" x14ac:dyDescent="0.25">
      <c r="A6" s="17"/>
      <c r="B6" s="17"/>
      <c r="C6" s="17"/>
      <c r="D6" s="17" t="s">
        <v>4798</v>
      </c>
      <c r="E6" s="537">
        <v>1.5164145516593304</v>
      </c>
      <c r="F6" s="537">
        <v>3.740823952018455</v>
      </c>
      <c r="G6" s="537">
        <v>5.9149504804375592</v>
      </c>
      <c r="H6" s="537">
        <v>18.330666806458645</v>
      </c>
      <c r="I6" s="537">
        <v>52.597646815800672</v>
      </c>
      <c r="J6" s="537">
        <v>93.29411604868892</v>
      </c>
      <c r="K6" s="537">
        <v>132.81628024124075</v>
      </c>
      <c r="L6" s="537">
        <v>171.29633219271969</v>
      </c>
      <c r="M6" s="537">
        <v>208.86565963187363</v>
      </c>
      <c r="N6" s="537">
        <v>245.6495126546163</v>
      </c>
      <c r="O6" s="537">
        <v>281.76346837711304</v>
      </c>
      <c r="P6" s="537">
        <v>317.31146795327732</v>
      </c>
    </row>
    <row r="7" spans="1:16" x14ac:dyDescent="0.25">
      <c r="A7" s="17"/>
      <c r="B7" s="17"/>
      <c r="C7" s="17"/>
      <c r="D7" s="538" t="s">
        <v>4799</v>
      </c>
      <c r="E7" s="537">
        <v>13.505498887573484</v>
      </c>
      <c r="F7" s="537">
        <v>27.667902260322428</v>
      </c>
      <c r="G7" s="537">
        <v>43.615586328467792</v>
      </c>
      <c r="H7" s="537">
        <v>159.86098181650297</v>
      </c>
      <c r="I7" s="537">
        <v>371.89618159211904</v>
      </c>
      <c r="J7" s="537">
        <v>612.38190438037645</v>
      </c>
      <c r="K7" s="537">
        <v>804.28097537441772</v>
      </c>
      <c r="L7" s="537">
        <v>948.33311342911713</v>
      </c>
      <c r="M7" s="537">
        <v>1074.4193625741798</v>
      </c>
      <c r="N7" s="537">
        <v>1184.8952719439453</v>
      </c>
      <c r="O7" s="537">
        <v>1286.0792720423015</v>
      </c>
      <c r="P7" s="537">
        <v>1384.1392721522336</v>
      </c>
    </row>
    <row r="8" spans="1:16" x14ac:dyDescent="0.25">
      <c r="A8" s="17"/>
      <c r="B8" s="17"/>
      <c r="C8" s="17"/>
      <c r="D8" s="17"/>
      <c r="E8" s="17"/>
      <c r="F8" s="17"/>
      <c r="G8" s="17"/>
      <c r="H8" s="17"/>
      <c r="I8" s="17"/>
      <c r="J8" s="17"/>
      <c r="K8" s="17"/>
      <c r="L8" s="17"/>
      <c r="M8" s="17"/>
      <c r="N8" s="17"/>
      <c r="O8" s="17"/>
      <c r="P8" s="17"/>
    </row>
    <row r="9" spans="1:16" x14ac:dyDescent="0.25">
      <c r="A9" s="17"/>
      <c r="B9" s="17"/>
      <c r="C9" s="17"/>
      <c r="D9" s="115" t="s">
        <v>4800</v>
      </c>
      <c r="E9" s="537">
        <v>0</v>
      </c>
      <c r="F9" s="537">
        <v>0</v>
      </c>
      <c r="G9" s="537">
        <v>0</v>
      </c>
      <c r="H9" s="537">
        <v>0</v>
      </c>
      <c r="I9" s="537">
        <v>0</v>
      </c>
      <c r="J9" s="537">
        <v>0</v>
      </c>
      <c r="K9" s="537">
        <v>0</v>
      </c>
      <c r="L9" s="537">
        <v>0</v>
      </c>
      <c r="M9" s="537">
        <v>0</v>
      </c>
      <c r="N9" s="537">
        <v>0</v>
      </c>
      <c r="O9" s="537">
        <v>0</v>
      </c>
      <c r="P9" s="537">
        <v>0</v>
      </c>
    </row>
    <row r="10" spans="1:16" x14ac:dyDescent="0.25">
      <c r="A10" s="17"/>
      <c r="B10" s="17"/>
      <c r="C10" s="17"/>
      <c r="D10" s="115" t="s">
        <v>4801</v>
      </c>
      <c r="E10" s="537">
        <v>0</v>
      </c>
      <c r="F10" s="537">
        <v>0</v>
      </c>
      <c r="G10" s="537">
        <v>51.560110000000002</v>
      </c>
      <c r="H10" s="537">
        <v>82.784606449999984</v>
      </c>
      <c r="I10" s="537">
        <v>113.78956645</v>
      </c>
      <c r="J10" s="537">
        <v>147.09900794999999</v>
      </c>
      <c r="K10" s="537">
        <v>179.49501399999997</v>
      </c>
      <c r="L10" s="537">
        <v>204.68773529999999</v>
      </c>
      <c r="M10" s="537">
        <v>226.38029179999998</v>
      </c>
      <c r="N10" s="537">
        <v>245.82567744999997</v>
      </c>
      <c r="O10" s="537">
        <v>261.98169474999997</v>
      </c>
      <c r="P10" s="537">
        <v>275.84261655</v>
      </c>
    </row>
    <row r="11" spans="1:16" x14ac:dyDescent="0.25">
      <c r="A11" s="17"/>
      <c r="B11" s="17"/>
      <c r="C11" s="17"/>
      <c r="D11" s="115" t="s">
        <v>4802</v>
      </c>
      <c r="E11" s="537">
        <v>0</v>
      </c>
      <c r="F11" s="537">
        <v>0</v>
      </c>
      <c r="G11" s="537">
        <v>44.295412499999998</v>
      </c>
      <c r="H11" s="537">
        <v>88.590824999999995</v>
      </c>
      <c r="I11" s="537">
        <v>132.88623749999999</v>
      </c>
      <c r="J11" s="537">
        <v>176.35290799999999</v>
      </c>
      <c r="K11" s="537">
        <v>206.36045919999998</v>
      </c>
      <c r="L11" s="537">
        <v>222.37270254999999</v>
      </c>
      <c r="M11" s="537">
        <v>233.25719074999998</v>
      </c>
      <c r="N11" s="537">
        <v>240.55295134999997</v>
      </c>
      <c r="O11" s="537">
        <v>246.13495374999999</v>
      </c>
      <c r="P11" s="537">
        <v>250.31807449999997</v>
      </c>
    </row>
    <row r="12" spans="1:16" x14ac:dyDescent="0.25">
      <c r="A12" s="17"/>
      <c r="B12" s="17"/>
      <c r="C12" s="17"/>
      <c r="D12" s="115" t="s">
        <v>4803</v>
      </c>
      <c r="E12" s="537">
        <v>0</v>
      </c>
      <c r="F12" s="537">
        <v>0</v>
      </c>
      <c r="G12" s="537">
        <v>20.186372349999999</v>
      </c>
      <c r="H12" s="537">
        <v>45.008128149999997</v>
      </c>
      <c r="I12" s="537">
        <v>78.909173599999988</v>
      </c>
      <c r="J12" s="537">
        <v>122.17363184999999</v>
      </c>
      <c r="K12" s="537">
        <v>175.38022674999999</v>
      </c>
      <c r="L12" s="537">
        <v>236.72671519999997</v>
      </c>
      <c r="M12" s="537">
        <v>303.05522404999999</v>
      </c>
      <c r="N12" s="537">
        <v>369.24629640000001</v>
      </c>
      <c r="O12" s="537">
        <v>428.78151104999995</v>
      </c>
      <c r="P12" s="537">
        <v>477.20342809999994</v>
      </c>
    </row>
    <row r="13" spans="1:16" x14ac:dyDescent="0.25">
      <c r="A13" s="17"/>
      <c r="B13" s="17"/>
      <c r="C13" s="17"/>
      <c r="D13" s="115" t="s">
        <v>4804</v>
      </c>
      <c r="E13" s="537">
        <v>0</v>
      </c>
      <c r="F13" s="537">
        <v>0</v>
      </c>
      <c r="G13" s="537">
        <v>175.18556509999999</v>
      </c>
      <c r="H13" s="537">
        <v>345.91936085000003</v>
      </c>
      <c r="I13" s="537">
        <v>513.23460629999988</v>
      </c>
      <c r="J13" s="537">
        <v>680.35415839999996</v>
      </c>
      <c r="K13" s="537">
        <v>841.09536869999999</v>
      </c>
      <c r="L13" s="537">
        <v>996.54166564999991</v>
      </c>
      <c r="M13" s="537">
        <v>1148.5972111999999</v>
      </c>
      <c r="N13" s="537">
        <v>1302.5916022500001</v>
      </c>
      <c r="O13" s="537">
        <v>1460.4415046500001</v>
      </c>
      <c r="P13" s="537">
        <v>1627.0468084500001</v>
      </c>
    </row>
    <row r="14" spans="1:16" x14ac:dyDescent="0.25">
      <c r="A14" s="17"/>
      <c r="B14" s="17"/>
      <c r="C14" s="17"/>
      <c r="D14" s="17" t="s">
        <v>4805</v>
      </c>
      <c r="E14" s="537">
        <v>0</v>
      </c>
      <c r="F14" s="537">
        <v>0</v>
      </c>
      <c r="G14" s="537">
        <v>11.433281298883346</v>
      </c>
      <c r="H14" s="537">
        <v>23.356188756238446</v>
      </c>
      <c r="I14" s="537">
        <v>24.679163081931343</v>
      </c>
      <c r="J14" s="537">
        <v>26.313292945921038</v>
      </c>
      <c r="K14" s="537">
        <v>28.227402896345048</v>
      </c>
      <c r="L14" s="537">
        <v>29.916493381295119</v>
      </c>
      <c r="M14" s="537">
        <v>31.781755049346355</v>
      </c>
      <c r="N14" s="537">
        <v>33.690370889642047</v>
      </c>
      <c r="O14" s="537">
        <v>35.635657215405232</v>
      </c>
      <c r="P14" s="537">
        <v>37.640131836177652</v>
      </c>
    </row>
    <row r="15" spans="1:16" x14ac:dyDescent="0.25">
      <c r="A15" s="17"/>
      <c r="B15" s="17"/>
      <c r="C15" s="17"/>
      <c r="D15" s="538" t="s">
        <v>4806</v>
      </c>
      <c r="E15" s="537">
        <v>0</v>
      </c>
      <c r="F15" s="537">
        <v>0</v>
      </c>
      <c r="G15" s="537">
        <v>302.66074124888337</v>
      </c>
      <c r="H15" s="537">
        <v>585.65910920623844</v>
      </c>
      <c r="I15" s="537">
        <v>863.49874693193124</v>
      </c>
      <c r="J15" s="537">
        <v>1152.2929991459209</v>
      </c>
      <c r="K15" s="537">
        <v>1430.5584715463449</v>
      </c>
      <c r="L15" s="537">
        <v>1690.245312081295</v>
      </c>
      <c r="M15" s="537">
        <v>1943.0716728493462</v>
      </c>
      <c r="N15" s="537">
        <v>2191.9068983396423</v>
      </c>
      <c r="O15" s="537">
        <v>2432.9753214154052</v>
      </c>
      <c r="P15" s="537">
        <v>2668.0510594361776</v>
      </c>
    </row>
    <row r="16" spans="1:16" x14ac:dyDescent="0.25">
      <c r="A16" s="17"/>
      <c r="B16" s="17"/>
      <c r="C16" s="17"/>
      <c r="D16" s="17"/>
      <c r="E16" s="537"/>
      <c r="F16" s="537"/>
      <c r="G16" s="537"/>
      <c r="H16" s="537"/>
      <c r="I16" s="537"/>
      <c r="J16" s="537"/>
      <c r="K16" s="537"/>
      <c r="L16" s="537"/>
      <c r="M16" s="537"/>
      <c r="N16" s="537"/>
      <c r="O16" s="537"/>
      <c r="P16" s="537"/>
    </row>
    <row r="17" spans="1:16" x14ac:dyDescent="0.25">
      <c r="A17" s="17"/>
      <c r="B17" s="17"/>
      <c r="C17" s="17"/>
      <c r="D17" s="538" t="s">
        <v>4807</v>
      </c>
      <c r="E17" s="537">
        <v>0</v>
      </c>
      <c r="F17" s="537">
        <v>0</v>
      </c>
      <c r="G17" s="537">
        <v>0</v>
      </c>
      <c r="H17" s="537">
        <v>0</v>
      </c>
      <c r="I17" s="537">
        <v>0</v>
      </c>
      <c r="J17" s="537">
        <v>0</v>
      </c>
      <c r="K17" s="537">
        <v>0</v>
      </c>
      <c r="L17" s="537">
        <v>0</v>
      </c>
      <c r="M17" s="537">
        <v>0</v>
      </c>
      <c r="N17" s="537">
        <v>0</v>
      </c>
      <c r="O17" s="537">
        <v>0</v>
      </c>
      <c r="P17" s="537">
        <v>0</v>
      </c>
    </row>
    <row r="18" spans="1:16" x14ac:dyDescent="0.25">
      <c r="A18" s="17"/>
      <c r="B18" s="17"/>
      <c r="C18" s="17"/>
      <c r="D18" s="17"/>
      <c r="E18" s="17"/>
      <c r="F18" s="17"/>
      <c r="G18" s="17"/>
      <c r="H18" s="17"/>
      <c r="I18" s="17"/>
      <c r="J18" s="17"/>
      <c r="K18" s="17"/>
      <c r="L18" s="17"/>
      <c r="M18" s="17"/>
      <c r="N18" s="17"/>
      <c r="O18" s="17"/>
      <c r="P18" s="17"/>
    </row>
    <row r="19" spans="1:16" x14ac:dyDescent="0.25">
      <c r="A19" s="17"/>
      <c r="B19" s="17"/>
      <c r="C19" s="17"/>
      <c r="D19" s="539" t="s">
        <v>4808</v>
      </c>
      <c r="E19" s="540">
        <v>13.505498887573484</v>
      </c>
      <c r="F19" s="540">
        <v>27.667902260322428</v>
      </c>
      <c r="G19" s="540">
        <v>346.27632757735114</v>
      </c>
      <c r="H19" s="540">
        <v>745.52009102274144</v>
      </c>
      <c r="I19" s="540">
        <v>1235.3949285240503</v>
      </c>
      <c r="J19" s="540">
        <v>1764.6749035262974</v>
      </c>
      <c r="K19" s="540">
        <v>2234.8394469207624</v>
      </c>
      <c r="L19" s="540">
        <v>2638.5784255104122</v>
      </c>
      <c r="M19" s="540">
        <v>3017.4910354235262</v>
      </c>
      <c r="N19" s="540">
        <v>3376.8021702835877</v>
      </c>
      <c r="O19" s="540">
        <v>3719.0545934577067</v>
      </c>
      <c r="P19" s="540">
        <v>4052.190331588411</v>
      </c>
    </row>
    <row r="20" spans="1:16" ht="30" x14ac:dyDescent="0.25">
      <c r="A20" s="17"/>
      <c r="B20" s="17"/>
      <c r="C20" s="17"/>
      <c r="D20" s="496" t="s">
        <v>4809</v>
      </c>
      <c r="E20" s="537">
        <v>1.0848313626991519</v>
      </c>
      <c r="F20" s="537">
        <v>5.5416766016222248</v>
      </c>
      <c r="G20" s="537">
        <v>156.91879703488655</v>
      </c>
      <c r="H20" s="537">
        <v>371.84756250593296</v>
      </c>
      <c r="I20" s="537">
        <v>747.97601782686957</v>
      </c>
      <c r="J20" s="537">
        <v>1279.753593338221</v>
      </c>
      <c r="K20" s="537">
        <v>1832.214331826136</v>
      </c>
      <c r="L20" s="537">
        <v>2226.3839921182539</v>
      </c>
      <c r="M20" s="537">
        <v>2611.254388116633</v>
      </c>
      <c r="N20" s="537">
        <v>2909.9796061154716</v>
      </c>
      <c r="O20" s="537">
        <v>2968.4433303843052</v>
      </c>
      <c r="P20" s="537">
        <v>2988.6457022619561</v>
      </c>
    </row>
    <row r="21" spans="1:16" x14ac:dyDescent="0.25">
      <c r="A21" s="17"/>
      <c r="B21" s="17"/>
      <c r="C21" s="17"/>
      <c r="D21" s="17"/>
      <c r="E21" s="17"/>
      <c r="F21" s="17"/>
      <c r="G21" s="17"/>
      <c r="H21" s="17"/>
      <c r="I21" s="17"/>
      <c r="J21" s="17"/>
      <c r="K21" s="17"/>
      <c r="L21" s="17"/>
      <c r="M21" s="17"/>
      <c r="N21" s="17"/>
      <c r="O21" s="17"/>
      <c r="P21" s="17"/>
    </row>
    <row r="22" spans="1:16" x14ac:dyDescent="0.25">
      <c r="A22" s="17" t="s">
        <v>3432</v>
      </c>
      <c r="B22" s="17" t="s">
        <v>4810</v>
      </c>
      <c r="C22" s="17"/>
      <c r="D22" s="17"/>
      <c r="E22" s="536">
        <v>2011</v>
      </c>
      <c r="F22" s="536">
        <v>2012</v>
      </c>
      <c r="G22" s="536">
        <v>2013</v>
      </c>
      <c r="H22" s="536">
        <v>2014</v>
      </c>
      <c r="I22" s="536">
        <v>2015</v>
      </c>
      <c r="J22" s="536">
        <v>2016</v>
      </c>
      <c r="K22" s="536">
        <v>2017</v>
      </c>
      <c r="L22" s="536">
        <v>2018</v>
      </c>
      <c r="M22" s="536">
        <v>2019</v>
      </c>
      <c r="N22" s="536">
        <v>2020</v>
      </c>
      <c r="O22" s="536">
        <v>2021</v>
      </c>
      <c r="P22" s="536">
        <v>2022</v>
      </c>
    </row>
    <row r="23" spans="1:16" x14ac:dyDescent="0.25">
      <c r="A23" s="17"/>
      <c r="B23" s="17"/>
      <c r="C23" s="17"/>
      <c r="D23" s="17" t="s">
        <v>4796</v>
      </c>
      <c r="E23" s="537">
        <v>0</v>
      </c>
      <c r="F23" s="537">
        <v>0</v>
      </c>
      <c r="G23" s="537">
        <v>0</v>
      </c>
      <c r="H23" s="537">
        <v>6.4467344913267031</v>
      </c>
      <c r="I23" s="537">
        <v>17.659073146454059</v>
      </c>
      <c r="J23" s="537">
        <v>30.365327003712466</v>
      </c>
      <c r="K23" s="537">
        <v>37.833066309223476</v>
      </c>
      <c r="L23" s="537">
        <v>42.140886366601563</v>
      </c>
      <c r="M23" s="537">
        <v>45.495992376179899</v>
      </c>
      <c r="N23" s="537">
        <v>46.955223282062718</v>
      </c>
      <c r="O23" s="537">
        <v>47.539904846292437</v>
      </c>
      <c r="P23" s="537">
        <v>48.10146714312755</v>
      </c>
    </row>
    <row r="24" spans="1:16" x14ac:dyDescent="0.25">
      <c r="A24" s="17"/>
      <c r="B24" s="17"/>
      <c r="C24" s="17"/>
      <c r="D24" s="115" t="s">
        <v>4797</v>
      </c>
      <c r="E24" s="537">
        <v>0</v>
      </c>
      <c r="F24" s="537">
        <v>1.4316360002071153</v>
      </c>
      <c r="G24" s="537">
        <v>2.9057113542313031</v>
      </c>
      <c r="H24" s="537">
        <v>7.172547538900635</v>
      </c>
      <c r="I24" s="537">
        <v>31.728380132044848</v>
      </c>
      <c r="J24" s="537">
        <v>56.553905405699957</v>
      </c>
      <c r="K24" s="537">
        <v>81.235485631640387</v>
      </c>
      <c r="L24" s="537">
        <v>104.2669390105564</v>
      </c>
      <c r="M24" s="537">
        <v>126.38073219117101</v>
      </c>
      <c r="N24" s="537">
        <v>148.0190505690866</v>
      </c>
      <c r="O24" s="537">
        <v>169.64466753065642</v>
      </c>
      <c r="P24" s="537">
        <v>191.26875667785993</v>
      </c>
    </row>
    <row r="25" spans="1:16" x14ac:dyDescent="0.25">
      <c r="A25" s="17"/>
      <c r="B25" s="17"/>
      <c r="C25" s="17"/>
      <c r="D25" s="17" t="s">
        <v>4798</v>
      </c>
      <c r="E25" s="537">
        <v>0</v>
      </c>
      <c r="F25" s="537">
        <v>0.88825501253104688</v>
      </c>
      <c r="G25" s="537">
        <v>1.7562732274044461</v>
      </c>
      <c r="H25" s="537">
        <v>5.5951082788501534</v>
      </c>
      <c r="I25" s="537">
        <v>15.544831869036452</v>
      </c>
      <c r="J25" s="537">
        <v>27.43818070248858</v>
      </c>
      <c r="K25" s="537">
        <v>38.999136766858911</v>
      </c>
      <c r="L25" s="537">
        <v>50.265994408620585</v>
      </c>
      <c r="M25" s="537">
        <v>61.276631609364557</v>
      </c>
      <c r="N25" s="537">
        <v>72.06697063649267</v>
      </c>
      <c r="O25" s="537">
        <v>82.669988588978114</v>
      </c>
      <c r="P25" s="537">
        <v>93.115196209362779</v>
      </c>
    </row>
    <row r="26" spans="1:16" x14ac:dyDescent="0.25">
      <c r="A26" s="17"/>
      <c r="B26" s="17"/>
      <c r="C26" s="17"/>
      <c r="D26" s="538" t="s">
        <v>4799</v>
      </c>
      <c r="E26" s="537">
        <v>0</v>
      </c>
      <c r="F26" s="537">
        <v>2.3198910127381622</v>
      </c>
      <c r="G26" s="537">
        <v>4.6619845816357497</v>
      </c>
      <c r="H26" s="537">
        <v>19.214390309077494</v>
      </c>
      <c r="I26" s="537">
        <v>64.932285147535367</v>
      </c>
      <c r="J26" s="537">
        <v>114.357413111901</v>
      </c>
      <c r="K26" s="537">
        <v>158.06768870772277</v>
      </c>
      <c r="L26" s="537">
        <v>196.67381978577856</v>
      </c>
      <c r="M26" s="537">
        <v>233.15335617671545</v>
      </c>
      <c r="N26" s="537">
        <v>267.04124448764196</v>
      </c>
      <c r="O26" s="537">
        <v>299.85456096592696</v>
      </c>
      <c r="P26" s="537">
        <v>332.48542003035027</v>
      </c>
    </row>
    <row r="27" spans="1:16" x14ac:dyDescent="0.25">
      <c r="A27" s="17"/>
      <c r="B27" s="17"/>
      <c r="C27" s="17"/>
      <c r="D27" s="17"/>
      <c r="E27" s="17"/>
      <c r="F27" s="17"/>
      <c r="G27" s="17"/>
      <c r="H27" s="17"/>
      <c r="I27" s="17"/>
      <c r="J27" s="17"/>
      <c r="K27" s="17"/>
      <c r="L27" s="17"/>
      <c r="M27" s="17"/>
      <c r="N27" s="17"/>
      <c r="O27" s="17"/>
      <c r="P27" s="17"/>
    </row>
    <row r="28" spans="1:16" x14ac:dyDescent="0.25">
      <c r="A28" s="17"/>
      <c r="B28" s="17"/>
      <c r="C28" s="17"/>
      <c r="D28" s="115" t="s">
        <v>4800</v>
      </c>
      <c r="E28" s="537">
        <v>0</v>
      </c>
      <c r="F28" s="537">
        <v>0</v>
      </c>
      <c r="G28" s="537">
        <v>0</v>
      </c>
      <c r="H28" s="537">
        <v>0</v>
      </c>
      <c r="I28" s="537">
        <v>0</v>
      </c>
      <c r="J28" s="537">
        <v>0</v>
      </c>
      <c r="K28" s="537">
        <v>0</v>
      </c>
      <c r="L28" s="537">
        <v>0</v>
      </c>
      <c r="M28" s="537">
        <v>0</v>
      </c>
      <c r="N28" s="537">
        <v>0</v>
      </c>
      <c r="O28" s="537">
        <v>0</v>
      </c>
      <c r="P28" s="537">
        <v>0</v>
      </c>
    </row>
    <row r="29" spans="1:16" x14ac:dyDescent="0.25">
      <c r="A29" s="17"/>
      <c r="B29" s="17"/>
      <c r="C29" s="17"/>
      <c r="D29" s="115" t="s">
        <v>4801</v>
      </c>
      <c r="E29" s="537">
        <v>0</v>
      </c>
      <c r="F29" s="537">
        <v>0</v>
      </c>
      <c r="G29" s="537">
        <v>8.6592500000000001</v>
      </c>
      <c r="H29" s="537">
        <v>15.385249999999999</v>
      </c>
      <c r="I29" s="537">
        <v>21.980149999999998</v>
      </c>
      <c r="J29" s="537">
        <v>29.168800000000001</v>
      </c>
      <c r="K29" s="537">
        <v>36.276699999999998</v>
      </c>
      <c r="L29" s="537">
        <v>42.331049999999998</v>
      </c>
      <c r="M29" s="537">
        <v>47.804949999999998</v>
      </c>
      <c r="N29" s="537">
        <v>52.98245</v>
      </c>
      <c r="O29" s="537">
        <v>57.632699999999993</v>
      </c>
      <c r="P29" s="537">
        <v>61.921000000000006</v>
      </c>
    </row>
    <row r="30" spans="1:16" x14ac:dyDescent="0.25">
      <c r="A30" s="17"/>
      <c r="B30" s="17"/>
      <c r="C30" s="17"/>
      <c r="D30" s="115" t="s">
        <v>4802</v>
      </c>
      <c r="E30" s="537">
        <v>0</v>
      </c>
      <c r="F30" s="537">
        <v>0</v>
      </c>
      <c r="G30" s="537">
        <v>10.723599999999999</v>
      </c>
      <c r="H30" s="537">
        <v>21.448150000000002</v>
      </c>
      <c r="I30" s="537">
        <v>32.171750000000003</v>
      </c>
      <c r="J30" s="537">
        <v>42.694899999999997</v>
      </c>
      <c r="K30" s="537">
        <v>49.959549999999993</v>
      </c>
      <c r="L30" s="537">
        <v>53.836500000000001</v>
      </c>
      <c r="M30" s="537">
        <v>56.471800000000002</v>
      </c>
      <c r="N30" s="537">
        <v>58.237849999999995</v>
      </c>
      <c r="O30" s="537">
        <v>59.589699999999993</v>
      </c>
      <c r="P30" s="537">
        <v>60.602399999999996</v>
      </c>
    </row>
    <row r="31" spans="1:16" x14ac:dyDescent="0.25">
      <c r="A31" s="17"/>
      <c r="B31" s="17"/>
      <c r="C31" s="17"/>
      <c r="D31" s="115" t="s">
        <v>4803</v>
      </c>
      <c r="E31" s="537">
        <v>0</v>
      </c>
      <c r="F31" s="537">
        <v>0</v>
      </c>
      <c r="G31" s="537">
        <v>10.15455</v>
      </c>
      <c r="H31" s="537">
        <v>7.3805499999999995</v>
      </c>
      <c r="I31" s="537">
        <v>11.1929</v>
      </c>
      <c r="J31" s="537">
        <v>15.787099999999997</v>
      </c>
      <c r="K31" s="537">
        <v>20.584599999999998</v>
      </c>
      <c r="L31" s="537">
        <v>25.339349999999996</v>
      </c>
      <c r="M31" s="537">
        <v>29.943049999999996</v>
      </c>
      <c r="N31" s="537">
        <v>34.488799999999998</v>
      </c>
      <c r="O31" s="537">
        <v>38.82555</v>
      </c>
      <c r="P31" s="537">
        <v>42.947599999999994</v>
      </c>
    </row>
    <row r="32" spans="1:16" x14ac:dyDescent="0.25">
      <c r="A32" s="17"/>
      <c r="B32" s="17"/>
      <c r="C32" s="17"/>
      <c r="D32" s="115" t="s">
        <v>4804</v>
      </c>
      <c r="E32" s="537">
        <v>0</v>
      </c>
      <c r="F32" s="537">
        <v>0</v>
      </c>
      <c r="G32" s="537">
        <v>26.162999999999997</v>
      </c>
      <c r="H32" s="537">
        <v>51.74935</v>
      </c>
      <c r="I32" s="537">
        <v>76.888249999999999</v>
      </c>
      <c r="J32" s="537">
        <v>102.06514999999999</v>
      </c>
      <c r="K32" s="537">
        <v>126.21984999999999</v>
      </c>
      <c r="L32" s="537">
        <v>149.47395</v>
      </c>
      <c r="M32" s="537">
        <v>171.98229999999998</v>
      </c>
      <c r="N32" s="537">
        <v>194.57329999999999</v>
      </c>
      <c r="O32" s="537">
        <v>217.40749999999997</v>
      </c>
      <c r="P32" s="537">
        <v>241.27624999999998</v>
      </c>
    </row>
    <row r="33" spans="1:16" x14ac:dyDescent="0.25">
      <c r="A33" s="17"/>
      <c r="B33" s="17"/>
      <c r="C33" s="17"/>
      <c r="D33" s="17" t="s">
        <v>4805</v>
      </c>
      <c r="E33" s="537">
        <v>0</v>
      </c>
      <c r="F33" s="537">
        <v>0</v>
      </c>
      <c r="G33" s="537">
        <v>0</v>
      </c>
      <c r="H33" s="537">
        <v>0</v>
      </c>
      <c r="I33" s="537">
        <v>0</v>
      </c>
      <c r="J33" s="537">
        <v>0</v>
      </c>
      <c r="K33" s="537">
        <v>0</v>
      </c>
      <c r="L33" s="537">
        <v>0</v>
      </c>
      <c r="M33" s="537">
        <v>0</v>
      </c>
      <c r="N33" s="537">
        <v>0</v>
      </c>
      <c r="O33" s="537">
        <v>0</v>
      </c>
      <c r="P33" s="537">
        <v>0</v>
      </c>
    </row>
    <row r="34" spans="1:16" x14ac:dyDescent="0.25">
      <c r="A34" s="17"/>
      <c r="B34" s="17"/>
      <c r="C34" s="17"/>
      <c r="D34" s="538" t="s">
        <v>4806</v>
      </c>
      <c r="E34" s="537">
        <v>0</v>
      </c>
      <c r="F34" s="537">
        <v>0</v>
      </c>
      <c r="G34" s="537">
        <v>55.700399999999995</v>
      </c>
      <c r="H34" s="537">
        <v>95.963300000000004</v>
      </c>
      <c r="I34" s="537">
        <v>142.23304999999999</v>
      </c>
      <c r="J34" s="537">
        <v>189.71594999999996</v>
      </c>
      <c r="K34" s="537">
        <v>233.04069999999996</v>
      </c>
      <c r="L34" s="537">
        <v>270.98085000000003</v>
      </c>
      <c r="M34" s="537">
        <v>306.20209999999997</v>
      </c>
      <c r="N34" s="537">
        <v>340.28239999999994</v>
      </c>
      <c r="O34" s="537">
        <v>373.45544999999993</v>
      </c>
      <c r="P34" s="537">
        <v>406.74725000000001</v>
      </c>
    </row>
    <row r="35" spans="1:16" x14ac:dyDescent="0.25">
      <c r="A35" s="17"/>
      <c r="B35" s="17"/>
      <c r="C35" s="17"/>
      <c r="D35" s="17"/>
      <c r="E35" s="537"/>
      <c r="F35" s="537"/>
      <c r="G35" s="537"/>
      <c r="H35" s="537"/>
      <c r="I35" s="537"/>
      <c r="J35" s="537"/>
      <c r="K35" s="537"/>
      <c r="L35" s="537"/>
      <c r="M35" s="537"/>
      <c r="N35" s="537"/>
      <c r="O35" s="537"/>
      <c r="P35" s="537"/>
    </row>
    <row r="36" spans="1:16" x14ac:dyDescent="0.25">
      <c r="A36" s="17"/>
      <c r="B36" s="17"/>
      <c r="C36" s="17"/>
      <c r="D36" s="538" t="s">
        <v>4807</v>
      </c>
      <c r="E36" s="537">
        <v>0</v>
      </c>
      <c r="F36" s="537">
        <v>0</v>
      </c>
      <c r="G36" s="537">
        <v>0</v>
      </c>
      <c r="H36" s="537">
        <v>0</v>
      </c>
      <c r="I36" s="537">
        <v>0</v>
      </c>
      <c r="J36" s="537">
        <v>0</v>
      </c>
      <c r="K36" s="537">
        <v>0</v>
      </c>
      <c r="L36" s="537">
        <v>0</v>
      </c>
      <c r="M36" s="537">
        <v>0</v>
      </c>
      <c r="N36" s="537">
        <v>0</v>
      </c>
      <c r="O36" s="537">
        <v>7.3848623304085095</v>
      </c>
      <c r="P36" s="537">
        <v>26.326545620006243</v>
      </c>
    </row>
    <row r="37" spans="1:16" x14ac:dyDescent="0.25">
      <c r="A37" s="17"/>
      <c r="B37" s="17"/>
      <c r="C37" s="17"/>
      <c r="D37" s="17"/>
      <c r="E37" s="17"/>
      <c r="F37" s="17"/>
      <c r="G37" s="17"/>
      <c r="H37" s="17"/>
      <c r="I37" s="17"/>
      <c r="J37" s="17"/>
      <c r="K37" s="17"/>
      <c r="L37" s="17"/>
      <c r="M37" s="17"/>
      <c r="N37" s="17"/>
      <c r="O37" s="17"/>
      <c r="P37" s="17"/>
    </row>
    <row r="38" spans="1:16" x14ac:dyDescent="0.25">
      <c r="A38" s="17"/>
      <c r="B38" s="17"/>
      <c r="C38" s="17"/>
      <c r="D38" s="539" t="s">
        <v>4808</v>
      </c>
      <c r="E38" s="540">
        <v>0</v>
      </c>
      <c r="F38" s="540">
        <v>2.3198910127381622</v>
      </c>
      <c r="G38" s="540">
        <v>60.362384581635744</v>
      </c>
      <c r="H38" s="540">
        <v>115.17769030907749</v>
      </c>
      <c r="I38" s="540">
        <v>207.16533514753536</v>
      </c>
      <c r="J38" s="540">
        <v>304.07336311190096</v>
      </c>
      <c r="K38" s="540">
        <v>391.10838870772272</v>
      </c>
      <c r="L38" s="540">
        <v>467.65466978577859</v>
      </c>
      <c r="M38" s="540">
        <v>539.35545617671539</v>
      </c>
      <c r="N38" s="540">
        <v>607.3236444876419</v>
      </c>
      <c r="O38" s="540">
        <v>680.69487329633546</v>
      </c>
      <c r="P38" s="540">
        <v>765.55921565035646</v>
      </c>
    </row>
    <row r="39" spans="1:16" ht="30" x14ac:dyDescent="0.25">
      <c r="A39" s="17"/>
      <c r="B39" s="17"/>
      <c r="C39" s="17"/>
      <c r="D39" s="496" t="s">
        <v>4809</v>
      </c>
      <c r="E39" s="537">
        <v>0</v>
      </c>
      <c r="F39" s="537">
        <v>0.6542558786325916</v>
      </c>
      <c r="G39" s="537">
        <v>30.093224631662565</v>
      </c>
      <c r="H39" s="537">
        <v>61.186826926422853</v>
      </c>
      <c r="I39" s="537">
        <v>143.63385543549185</v>
      </c>
      <c r="J39" s="537">
        <v>245.52729319670777</v>
      </c>
      <c r="K39" s="537">
        <v>344.78402390603407</v>
      </c>
      <c r="L39" s="537">
        <v>425.25567368258572</v>
      </c>
      <c r="M39" s="537">
        <v>498.28630695261393</v>
      </c>
      <c r="N39" s="537">
        <v>544.93998660658315</v>
      </c>
      <c r="O39" s="537">
        <v>552.30060944366642</v>
      </c>
      <c r="P39" s="537">
        <v>561.02403687747164</v>
      </c>
    </row>
    <row r="40" spans="1:16" x14ac:dyDescent="0.25">
      <c r="A40" s="17"/>
      <c r="B40" s="17"/>
      <c r="C40" s="17"/>
      <c r="D40" s="17"/>
      <c r="E40" s="17"/>
      <c r="F40" s="17"/>
      <c r="G40" s="17"/>
      <c r="H40" s="17"/>
      <c r="I40" s="17"/>
      <c r="J40" s="17"/>
      <c r="K40" s="17"/>
      <c r="L40" s="17"/>
      <c r="M40" s="17"/>
      <c r="N40" s="17"/>
      <c r="O40" s="17"/>
      <c r="P40" s="17"/>
    </row>
    <row r="41" spans="1:16" x14ac:dyDescent="0.25">
      <c r="A41" s="17" t="s">
        <v>7</v>
      </c>
      <c r="B41" s="17" t="s">
        <v>4795</v>
      </c>
      <c r="C41" s="17"/>
      <c r="D41" s="17"/>
      <c r="E41" s="536">
        <v>2011</v>
      </c>
      <c r="F41" s="536">
        <v>2012</v>
      </c>
      <c r="G41" s="536">
        <v>2013</v>
      </c>
      <c r="H41" s="536">
        <v>2014</v>
      </c>
      <c r="I41" s="536">
        <v>2015</v>
      </c>
      <c r="J41" s="536">
        <v>2016</v>
      </c>
      <c r="K41" s="536">
        <v>2017</v>
      </c>
      <c r="L41" s="536">
        <v>2018</v>
      </c>
      <c r="M41" s="536">
        <v>2019</v>
      </c>
      <c r="N41" s="536">
        <v>2020</v>
      </c>
      <c r="O41" s="536">
        <v>2021</v>
      </c>
      <c r="P41" s="536">
        <v>2022</v>
      </c>
    </row>
    <row r="42" spans="1:16" x14ac:dyDescent="0.25">
      <c r="A42" s="17"/>
      <c r="B42" s="17"/>
      <c r="C42" s="17"/>
      <c r="D42" s="17" t="s">
        <v>4796</v>
      </c>
      <c r="E42" s="537">
        <v>0</v>
      </c>
      <c r="F42" s="537">
        <v>0</v>
      </c>
      <c r="G42" s="537">
        <v>0</v>
      </c>
      <c r="H42" s="537">
        <v>76.847274808140824</v>
      </c>
      <c r="I42" s="537">
        <v>170.01512393144128</v>
      </c>
      <c r="J42" s="537">
        <v>283.00592937344163</v>
      </c>
      <c r="K42" s="537">
        <v>348.55142324085222</v>
      </c>
      <c r="L42" s="537">
        <v>381.66076329131374</v>
      </c>
      <c r="M42" s="537">
        <v>407.48791239173192</v>
      </c>
      <c r="N42" s="537">
        <v>423.46938119169437</v>
      </c>
      <c r="O42" s="537">
        <v>430.5507119286749</v>
      </c>
      <c r="P42" s="537">
        <v>435.0267036269579</v>
      </c>
    </row>
    <row r="43" spans="1:16" x14ac:dyDescent="0.25">
      <c r="A43" s="17"/>
      <c r="B43" s="17"/>
      <c r="C43" s="17"/>
      <c r="D43" s="115" t="s">
        <v>4797</v>
      </c>
      <c r="E43" s="537">
        <v>12.365916226061023</v>
      </c>
      <c r="F43" s="537">
        <v>24.679136254681147</v>
      </c>
      <c r="G43" s="537">
        <v>38.885613905428201</v>
      </c>
      <c r="H43" s="537">
        <v>69.324278391922391</v>
      </c>
      <c r="I43" s="537">
        <v>150.59486160541385</v>
      </c>
      <c r="J43" s="537">
        <v>234.82926953302567</v>
      </c>
      <c r="K43" s="537">
        <v>317.57285888999468</v>
      </c>
      <c r="L43" s="537">
        <v>384.5136984696212</v>
      </c>
      <c r="M43" s="537">
        <v>441.12700621292646</v>
      </c>
      <c r="N43" s="537">
        <v>492.28558105267507</v>
      </c>
      <c r="O43" s="537">
        <v>543.60636010501275</v>
      </c>
      <c r="P43" s="537">
        <v>594.9010043834669</v>
      </c>
    </row>
    <row r="44" spans="1:16" x14ac:dyDescent="0.25">
      <c r="A44" s="17"/>
      <c r="B44" s="17"/>
      <c r="C44" s="17"/>
      <c r="D44" s="17" t="s">
        <v>4798</v>
      </c>
      <c r="E44" s="537">
        <v>1.5640773544003399</v>
      </c>
      <c r="F44" s="537">
        <v>3.8584027195914756</v>
      </c>
      <c r="G44" s="537">
        <v>6.1008647593947485</v>
      </c>
      <c r="H44" s="537">
        <v>18.906822551700849</v>
      </c>
      <c r="I44" s="537">
        <v>54.250856528197311</v>
      </c>
      <c r="J44" s="537">
        <v>96.226466602341802</v>
      </c>
      <c r="K44" s="537">
        <v>136.99086176250478</v>
      </c>
      <c r="L44" s="537">
        <v>176.68038979268542</v>
      </c>
      <c r="M44" s="537">
        <v>215.43056810199579</v>
      </c>
      <c r="N44" s="537">
        <v>253.37058355325038</v>
      </c>
      <c r="O44" s="537">
        <v>290.61964599568421</v>
      </c>
      <c r="P44" s="537">
        <v>327.28496358345831</v>
      </c>
    </row>
    <row r="45" spans="1:16" x14ac:dyDescent="0.25">
      <c r="A45" s="17"/>
      <c r="B45" s="17"/>
      <c r="C45" s="17"/>
      <c r="D45" s="538" t="s">
        <v>4799</v>
      </c>
      <c r="E45" s="537">
        <v>13.929993580461362</v>
      </c>
      <c r="F45" s="537">
        <v>28.537538974272621</v>
      </c>
      <c r="G45" s="537">
        <v>44.986478664822947</v>
      </c>
      <c r="H45" s="537">
        <v>165.07837575176407</v>
      </c>
      <c r="I45" s="537">
        <v>374.8608420650524</v>
      </c>
      <c r="J45" s="537">
        <v>614.06166550880914</v>
      </c>
      <c r="K45" s="537">
        <v>803.11514389335173</v>
      </c>
      <c r="L45" s="537">
        <v>942.85485155362039</v>
      </c>
      <c r="M45" s="537">
        <v>1064.0454867066542</v>
      </c>
      <c r="N45" s="537">
        <v>1169.1255457976197</v>
      </c>
      <c r="O45" s="537">
        <v>1264.7767180293718</v>
      </c>
      <c r="P45" s="537">
        <v>1357.212671593883</v>
      </c>
    </row>
    <row r="46" spans="1:16" x14ac:dyDescent="0.25">
      <c r="A46" s="17"/>
      <c r="B46" s="17"/>
      <c r="C46" s="17"/>
      <c r="D46" s="17"/>
      <c r="E46" s="17"/>
      <c r="F46" s="17"/>
      <c r="G46" s="17"/>
      <c r="H46" s="17"/>
      <c r="I46" s="17"/>
      <c r="J46" s="17"/>
      <c r="K46" s="17"/>
      <c r="L46" s="17"/>
      <c r="M46" s="17"/>
      <c r="N46" s="17"/>
      <c r="O46" s="17"/>
      <c r="P46" s="17"/>
    </row>
    <row r="47" spans="1:16" x14ac:dyDescent="0.25">
      <c r="A47" s="17"/>
      <c r="B47" s="17"/>
      <c r="C47" s="17"/>
      <c r="D47" s="115" t="s">
        <v>4800</v>
      </c>
      <c r="E47" s="537">
        <v>0</v>
      </c>
      <c r="F47" s="537">
        <v>0</v>
      </c>
      <c r="G47" s="537">
        <v>0</v>
      </c>
      <c r="H47" s="537">
        <v>0</v>
      </c>
      <c r="I47" s="537">
        <v>0</v>
      </c>
      <c r="J47" s="537">
        <v>0</v>
      </c>
      <c r="K47" s="537">
        <v>0</v>
      </c>
      <c r="L47" s="537">
        <v>0</v>
      </c>
      <c r="M47" s="537">
        <v>0</v>
      </c>
      <c r="N47" s="537">
        <v>0</v>
      </c>
      <c r="O47" s="537">
        <v>0</v>
      </c>
      <c r="P47" s="537">
        <v>0</v>
      </c>
    </row>
    <row r="48" spans="1:16" x14ac:dyDescent="0.25">
      <c r="A48" s="17"/>
      <c r="B48" s="17"/>
      <c r="C48" s="17"/>
      <c r="D48" s="115" t="s">
        <v>4801</v>
      </c>
      <c r="E48" s="537">
        <v>0</v>
      </c>
      <c r="F48" s="537">
        <v>0</v>
      </c>
      <c r="G48" s="537">
        <v>61.150186149999996</v>
      </c>
      <c r="H48" s="537">
        <v>119.99860685</v>
      </c>
      <c r="I48" s="537">
        <v>181.60902145</v>
      </c>
      <c r="J48" s="537">
        <v>245.8193837</v>
      </c>
      <c r="K48" s="537">
        <v>309.58866949999998</v>
      </c>
      <c r="L48" s="537">
        <v>358.05970724999997</v>
      </c>
      <c r="M48" s="537">
        <v>391.41320499999995</v>
      </c>
      <c r="N48" s="537">
        <v>419.05455319999999</v>
      </c>
      <c r="O48" s="537">
        <v>442.33481144999996</v>
      </c>
      <c r="P48" s="537">
        <v>460.60452364999998</v>
      </c>
    </row>
    <row r="49" spans="1:16" x14ac:dyDescent="0.25">
      <c r="A49" s="17"/>
      <c r="B49" s="17"/>
      <c r="C49" s="17"/>
      <c r="D49" s="115" t="s">
        <v>4802</v>
      </c>
      <c r="E49" s="537">
        <v>0</v>
      </c>
      <c r="F49" s="537">
        <v>0</v>
      </c>
      <c r="G49" s="537">
        <v>32.400224999999999</v>
      </c>
      <c r="H49" s="537">
        <v>64.800449999999998</v>
      </c>
      <c r="I49" s="537">
        <v>97.200675000000004</v>
      </c>
      <c r="J49" s="537">
        <v>126.8572734</v>
      </c>
      <c r="K49" s="537">
        <v>147.31636510000001</v>
      </c>
      <c r="L49" s="537">
        <v>158.22242969999999</v>
      </c>
      <c r="M49" s="537">
        <v>165.62443449999998</v>
      </c>
      <c r="N49" s="537">
        <v>170.57412925</v>
      </c>
      <c r="O49" s="537">
        <v>174.34711884999999</v>
      </c>
      <c r="P49" s="537">
        <v>177.1550842</v>
      </c>
    </row>
    <row r="50" spans="1:16" x14ac:dyDescent="0.25">
      <c r="A50" s="17"/>
      <c r="B50" s="17"/>
      <c r="C50" s="17"/>
      <c r="D50" s="115" t="s">
        <v>4803</v>
      </c>
      <c r="E50" s="537">
        <v>0</v>
      </c>
      <c r="F50" s="537">
        <v>0</v>
      </c>
      <c r="G50" s="537">
        <v>19.23510885</v>
      </c>
      <c r="H50" s="537">
        <v>44.80906135</v>
      </c>
      <c r="I50" s="537">
        <v>81.328161449999996</v>
      </c>
      <c r="J50" s="537">
        <v>129.05570925000001</v>
      </c>
      <c r="K50" s="537">
        <v>188.24827979999998</v>
      </c>
      <c r="L50" s="537">
        <v>256.06194644999999</v>
      </c>
      <c r="M50" s="537">
        <v>328.11288859999996</v>
      </c>
      <c r="N50" s="537">
        <v>396.99618684999996</v>
      </c>
      <c r="O50" s="537">
        <v>456.03361480000001</v>
      </c>
      <c r="P50" s="537">
        <v>502.24928794999994</v>
      </c>
    </row>
    <row r="51" spans="1:16" x14ac:dyDescent="0.25">
      <c r="A51" s="17"/>
      <c r="B51" s="17"/>
      <c r="C51" s="17"/>
      <c r="D51" s="115" t="s">
        <v>4804</v>
      </c>
      <c r="E51" s="537">
        <v>0</v>
      </c>
      <c r="F51" s="537">
        <v>0</v>
      </c>
      <c r="G51" s="537">
        <v>103.30159114999999</v>
      </c>
      <c r="H51" s="537">
        <v>228.69761634999998</v>
      </c>
      <c r="I51" s="537">
        <v>354.76615509999999</v>
      </c>
      <c r="J51" s="537">
        <v>477.00756185</v>
      </c>
      <c r="K51" s="537">
        <v>594.73515474999999</v>
      </c>
      <c r="L51" s="537">
        <v>712.44223335000004</v>
      </c>
      <c r="M51" s="537">
        <v>825.17781660000003</v>
      </c>
      <c r="N51" s="537">
        <v>935.6812285499999</v>
      </c>
      <c r="O51" s="537">
        <v>1041.7317872000001</v>
      </c>
      <c r="P51" s="537">
        <v>1145.8923588499999</v>
      </c>
    </row>
    <row r="52" spans="1:16" x14ac:dyDescent="0.25">
      <c r="A52" s="17"/>
      <c r="B52" s="17"/>
      <c r="C52" s="17"/>
      <c r="D52" s="17" t="s">
        <v>4805</v>
      </c>
      <c r="E52" s="537">
        <v>0</v>
      </c>
      <c r="F52" s="537">
        <v>0</v>
      </c>
      <c r="G52" s="537">
        <v>10.584119964309016</v>
      </c>
      <c r="H52" s="537">
        <v>21.713056220839341</v>
      </c>
      <c r="I52" s="537">
        <v>23.137726453643154</v>
      </c>
      <c r="J52" s="537">
        <v>24.892836398435211</v>
      </c>
      <c r="K52" s="537">
        <v>26.944671172632596</v>
      </c>
      <c r="L52" s="537">
        <v>28.768562756757539</v>
      </c>
      <c r="M52" s="537">
        <v>30.775662784693225</v>
      </c>
      <c r="N52" s="537">
        <v>32.819833067649057</v>
      </c>
      <c r="O52" s="537">
        <v>34.921870131927299</v>
      </c>
      <c r="P52" s="537">
        <v>37.06650524583916</v>
      </c>
    </row>
    <row r="53" spans="1:16" x14ac:dyDescent="0.25">
      <c r="A53" s="17"/>
      <c r="B53" s="17"/>
      <c r="C53" s="17"/>
      <c r="D53" s="538" t="s">
        <v>4806</v>
      </c>
      <c r="E53" s="537">
        <v>0</v>
      </c>
      <c r="F53" s="537">
        <v>0</v>
      </c>
      <c r="G53" s="537">
        <v>226.67123111430902</v>
      </c>
      <c r="H53" s="537">
        <v>480.01879077083936</v>
      </c>
      <c r="I53" s="537">
        <v>738.04173945364312</v>
      </c>
      <c r="J53" s="537">
        <v>1003.6327645984352</v>
      </c>
      <c r="K53" s="537">
        <v>1266.8331403226325</v>
      </c>
      <c r="L53" s="537">
        <v>1513.5548795067575</v>
      </c>
      <c r="M53" s="537">
        <v>1741.1040074846931</v>
      </c>
      <c r="N53" s="537">
        <v>1955.1259309176489</v>
      </c>
      <c r="O53" s="537">
        <v>2149.3692024319275</v>
      </c>
      <c r="P53" s="537">
        <v>2322.9677598958392</v>
      </c>
    </row>
    <row r="54" spans="1:16" x14ac:dyDescent="0.25">
      <c r="A54" s="17"/>
      <c r="B54" s="17"/>
      <c r="C54" s="17"/>
      <c r="D54" s="17"/>
      <c r="E54" s="537"/>
      <c r="F54" s="537"/>
      <c r="G54" s="537"/>
      <c r="H54" s="537"/>
      <c r="I54" s="537"/>
      <c r="J54" s="537"/>
      <c r="K54" s="537"/>
      <c r="L54" s="537"/>
      <c r="M54" s="537"/>
      <c r="N54" s="537"/>
      <c r="O54" s="537"/>
      <c r="P54" s="537"/>
    </row>
    <row r="55" spans="1:16" x14ac:dyDescent="0.25">
      <c r="A55" s="17"/>
      <c r="B55" s="17"/>
      <c r="C55" s="17"/>
      <c r="D55" s="538" t="s">
        <v>4807</v>
      </c>
      <c r="E55" s="537">
        <v>0</v>
      </c>
      <c r="F55" s="537">
        <v>0</v>
      </c>
      <c r="G55" s="537">
        <v>0</v>
      </c>
      <c r="H55" s="537">
        <v>0</v>
      </c>
      <c r="I55" s="537">
        <v>0</v>
      </c>
      <c r="J55" s="537">
        <v>0</v>
      </c>
      <c r="K55" s="537">
        <v>0</v>
      </c>
      <c r="L55" s="537">
        <v>0</v>
      </c>
      <c r="M55" s="537">
        <v>0</v>
      </c>
      <c r="N55" s="537">
        <v>187.1950040996835</v>
      </c>
      <c r="O55" s="537">
        <v>375.19310616393705</v>
      </c>
      <c r="P55" s="537">
        <v>541.33641529105944</v>
      </c>
    </row>
    <row r="56" spans="1:16" x14ac:dyDescent="0.25">
      <c r="A56" s="17"/>
      <c r="B56" s="17"/>
      <c r="C56" s="17"/>
      <c r="D56" s="17"/>
      <c r="E56" s="17"/>
      <c r="F56" s="17"/>
      <c r="G56" s="17"/>
      <c r="H56" s="17"/>
      <c r="I56" s="17"/>
      <c r="J56" s="17"/>
      <c r="K56" s="17"/>
      <c r="L56" s="17"/>
      <c r="M56" s="17"/>
      <c r="N56" s="17"/>
      <c r="O56" s="17"/>
      <c r="P56" s="17"/>
    </row>
    <row r="57" spans="1:16" x14ac:dyDescent="0.25">
      <c r="A57" s="17"/>
      <c r="B57" s="17"/>
      <c r="C57" s="17"/>
      <c r="D57" s="539" t="s">
        <v>4808</v>
      </c>
      <c r="E57" s="540">
        <v>13.929993580461362</v>
      </c>
      <c r="F57" s="540">
        <v>28.537538974272621</v>
      </c>
      <c r="G57" s="540">
        <v>271.65770977913195</v>
      </c>
      <c r="H57" s="540">
        <v>645.0971665226034</v>
      </c>
      <c r="I57" s="540">
        <v>1112.9025815186956</v>
      </c>
      <c r="J57" s="540">
        <v>1617.6944301072444</v>
      </c>
      <c r="K57" s="540">
        <v>2069.9482842159841</v>
      </c>
      <c r="L57" s="540">
        <v>2456.4097310603779</v>
      </c>
      <c r="M57" s="540">
        <v>2805.149494191347</v>
      </c>
      <c r="N57" s="540">
        <v>3311.4464808149523</v>
      </c>
      <c r="O57" s="540">
        <v>3789.3390266252363</v>
      </c>
      <c r="P57" s="540">
        <v>4221.5168467807816</v>
      </c>
    </row>
    <row r="58" spans="1:16" ht="30" x14ac:dyDescent="0.25">
      <c r="A58" s="17"/>
      <c r="B58" s="17"/>
      <c r="C58" s="17"/>
      <c r="D58" s="496" t="s">
        <v>4809</v>
      </c>
      <c r="E58" s="537">
        <v>1.1189289669400306</v>
      </c>
      <c r="F58" s="537">
        <v>5.7158584165016446</v>
      </c>
      <c r="G58" s="537">
        <v>207.73862569313457</v>
      </c>
      <c r="H58" s="537">
        <v>365.82628086210553</v>
      </c>
      <c r="I58" s="537">
        <v>740.83175386080597</v>
      </c>
      <c r="J58" s="537">
        <v>1282.6587850109938</v>
      </c>
      <c r="K58" s="537">
        <v>1843.8336005741721</v>
      </c>
      <c r="L58" s="537">
        <v>2341.8534857713612</v>
      </c>
      <c r="M58" s="537">
        <v>2732.9807273897186</v>
      </c>
      <c r="N58" s="537">
        <v>3036.1327975793838</v>
      </c>
      <c r="O58" s="537">
        <v>3110.292107058006</v>
      </c>
      <c r="P58" s="537">
        <v>3146.4773856780348</v>
      </c>
    </row>
    <row r="59" spans="1:16" x14ac:dyDescent="0.25">
      <c r="A59" s="17"/>
      <c r="B59" s="17"/>
      <c r="C59" s="17"/>
      <c r="D59" s="17"/>
      <c r="E59" s="17"/>
      <c r="F59" s="17"/>
      <c r="G59" s="17"/>
      <c r="H59" s="17"/>
      <c r="I59" s="17"/>
      <c r="J59" s="17"/>
      <c r="K59" s="17"/>
      <c r="L59" s="17"/>
      <c r="M59" s="17"/>
      <c r="N59" s="17"/>
      <c r="O59" s="17"/>
      <c r="P59" s="17"/>
    </row>
    <row r="60" spans="1:16" x14ac:dyDescent="0.25">
      <c r="A60" s="17" t="s">
        <v>7</v>
      </c>
      <c r="B60" s="17" t="s">
        <v>4810</v>
      </c>
      <c r="C60" s="17"/>
      <c r="D60" s="17"/>
      <c r="E60" s="536">
        <v>2011</v>
      </c>
      <c r="F60" s="536">
        <v>2012</v>
      </c>
      <c r="G60" s="536">
        <v>2013</v>
      </c>
      <c r="H60" s="536">
        <v>2014</v>
      </c>
      <c r="I60" s="536">
        <v>2015</v>
      </c>
      <c r="J60" s="536">
        <v>2016</v>
      </c>
      <c r="K60" s="536">
        <v>2017</v>
      </c>
      <c r="L60" s="536">
        <v>2018</v>
      </c>
      <c r="M60" s="536">
        <v>2019</v>
      </c>
      <c r="N60" s="536">
        <v>2020</v>
      </c>
      <c r="O60" s="536">
        <v>2021</v>
      </c>
      <c r="P60" s="536">
        <v>2022</v>
      </c>
    </row>
    <row r="61" spans="1:16" x14ac:dyDescent="0.25">
      <c r="A61" s="17"/>
      <c r="B61" s="17"/>
      <c r="C61" s="17"/>
      <c r="D61" s="17" t="s">
        <v>4796</v>
      </c>
      <c r="E61" s="537">
        <v>0</v>
      </c>
      <c r="F61" s="537">
        <v>0</v>
      </c>
      <c r="G61" s="537">
        <v>0</v>
      </c>
      <c r="H61" s="537">
        <v>6.6493634057271471</v>
      </c>
      <c r="I61" s="537">
        <v>18.214119864416169</v>
      </c>
      <c r="J61" s="537">
        <v>31.319747145329082</v>
      </c>
      <c r="K61" s="537">
        <v>39.022206821368307</v>
      </c>
      <c r="L61" s="537">
        <v>43.465427041857403</v>
      </c>
      <c r="M61" s="537">
        <v>46.925988222473713</v>
      </c>
      <c r="N61" s="537">
        <v>48.431084577711765</v>
      </c>
      <c r="O61" s="537">
        <v>49.03414341353367</v>
      </c>
      <c r="P61" s="537">
        <v>49.613356314520239</v>
      </c>
    </row>
    <row r="62" spans="1:16" x14ac:dyDescent="0.25">
      <c r="A62" s="17"/>
      <c r="B62" s="17"/>
      <c r="C62" s="17"/>
      <c r="D62" s="115" t="s">
        <v>4797</v>
      </c>
      <c r="E62" s="537">
        <v>0</v>
      </c>
      <c r="F62" s="537">
        <v>1.4766341072222007</v>
      </c>
      <c r="G62" s="537">
        <v>2.9970414901413616</v>
      </c>
      <c r="H62" s="537">
        <v>8.2917650248197674</v>
      </c>
      <c r="I62" s="537">
        <v>31.672821065863893</v>
      </c>
      <c r="J62" s="537">
        <v>55.333622980856582</v>
      </c>
      <c r="K62" s="537">
        <v>78.775252306618611</v>
      </c>
      <c r="L62" s="537">
        <v>100.55671035909724</v>
      </c>
      <c r="M62" s="537">
        <v>121.4415213667764</v>
      </c>
      <c r="N62" s="537">
        <v>141.81580369108269</v>
      </c>
      <c r="O62" s="537">
        <v>162.31410821501143</v>
      </c>
      <c r="P62" s="537">
        <v>182.78048311680672</v>
      </c>
    </row>
    <row r="63" spans="1:16" x14ac:dyDescent="0.25">
      <c r="A63" s="17"/>
      <c r="B63" s="17"/>
      <c r="C63" s="17"/>
      <c r="D63" s="17" t="s">
        <v>4798</v>
      </c>
      <c r="E63" s="537">
        <v>0</v>
      </c>
      <c r="F63" s="537">
        <v>0.91617397664257783</v>
      </c>
      <c r="G63" s="537">
        <v>1.8114750878096344</v>
      </c>
      <c r="H63" s="537">
        <v>5.7709695180591893</v>
      </c>
      <c r="I63" s="537">
        <v>16.033425343825588</v>
      </c>
      <c r="J63" s="537">
        <v>28.300596981047665</v>
      </c>
      <c r="K63" s="537">
        <v>40.224928329432913</v>
      </c>
      <c r="L63" s="537">
        <v>51.845917374578114</v>
      </c>
      <c r="M63" s="537">
        <v>63.202632650329754</v>
      </c>
      <c r="N63" s="537">
        <v>74.332125505806346</v>
      </c>
      <c r="O63" s="537">
        <v>85.268409551376763</v>
      </c>
      <c r="P63" s="537">
        <v>96.041923089067822</v>
      </c>
    </row>
    <row r="64" spans="1:16" x14ac:dyDescent="0.25">
      <c r="A64" s="17"/>
      <c r="B64" s="17"/>
      <c r="C64" s="17"/>
      <c r="D64" s="538" t="s">
        <v>4799</v>
      </c>
      <c r="E64" s="537">
        <v>0</v>
      </c>
      <c r="F64" s="537">
        <v>2.3928080838647787</v>
      </c>
      <c r="G64" s="537">
        <v>4.8085165779509964</v>
      </c>
      <c r="H64" s="537">
        <v>20.712097948606104</v>
      </c>
      <c r="I64" s="537">
        <v>65.920366274105646</v>
      </c>
      <c r="J64" s="537">
        <v>114.95396710723332</v>
      </c>
      <c r="K64" s="537">
        <v>158.02238745741982</v>
      </c>
      <c r="L64" s="537">
        <v>195.86805477553276</v>
      </c>
      <c r="M64" s="537">
        <v>231.57014223957987</v>
      </c>
      <c r="N64" s="537">
        <v>264.57901377460081</v>
      </c>
      <c r="O64" s="537">
        <v>296.61666117992183</v>
      </c>
      <c r="P64" s="537">
        <v>328.4357625203948</v>
      </c>
    </row>
    <row r="65" spans="1:16" x14ac:dyDescent="0.25">
      <c r="A65" s="17"/>
      <c r="B65" s="17"/>
      <c r="C65" s="17"/>
      <c r="D65" s="17"/>
      <c r="E65" s="17"/>
      <c r="F65" s="17"/>
      <c r="G65" s="17"/>
      <c r="H65" s="17"/>
      <c r="I65" s="17"/>
      <c r="J65" s="17"/>
      <c r="K65" s="17"/>
      <c r="L65" s="17"/>
      <c r="M65" s="17"/>
      <c r="N65" s="17"/>
      <c r="O65" s="17"/>
      <c r="P65" s="17"/>
    </row>
    <row r="66" spans="1:16" x14ac:dyDescent="0.25">
      <c r="A66" s="17"/>
      <c r="B66" s="17"/>
      <c r="C66" s="17"/>
      <c r="D66" s="115" t="s">
        <v>4800</v>
      </c>
      <c r="E66" s="537">
        <v>0</v>
      </c>
      <c r="F66" s="537">
        <v>0</v>
      </c>
      <c r="G66" s="537">
        <v>0</v>
      </c>
      <c r="H66" s="537">
        <v>0</v>
      </c>
      <c r="I66" s="537">
        <v>0</v>
      </c>
      <c r="J66" s="537">
        <v>0</v>
      </c>
      <c r="K66" s="537">
        <v>0</v>
      </c>
      <c r="L66" s="537">
        <v>0</v>
      </c>
      <c r="M66" s="537">
        <v>0</v>
      </c>
      <c r="N66" s="537">
        <v>0</v>
      </c>
      <c r="O66" s="537">
        <v>0</v>
      </c>
      <c r="P66" s="537">
        <v>0</v>
      </c>
    </row>
    <row r="67" spans="1:16" x14ac:dyDescent="0.25">
      <c r="A67" s="17"/>
      <c r="B67" s="17"/>
      <c r="C67" s="17"/>
      <c r="D67" s="115" t="s">
        <v>4801</v>
      </c>
      <c r="E67" s="537">
        <v>0</v>
      </c>
      <c r="F67" s="537">
        <v>0</v>
      </c>
      <c r="G67" s="537">
        <v>18.106999999999999</v>
      </c>
      <c r="H67" s="537">
        <v>34.118299999999998</v>
      </c>
      <c r="I67" s="537">
        <v>49.371499999999997</v>
      </c>
      <c r="J67" s="537">
        <v>63.973949999999988</v>
      </c>
      <c r="K67" s="537">
        <v>78.108049999999992</v>
      </c>
      <c r="L67" s="537">
        <v>88.910499999999999</v>
      </c>
      <c r="M67" s="537">
        <v>95.793249999999986</v>
      </c>
      <c r="N67" s="537">
        <v>101.5436</v>
      </c>
      <c r="O67" s="537">
        <v>106.41045</v>
      </c>
      <c r="P67" s="537">
        <v>110.24464999999999</v>
      </c>
    </row>
    <row r="68" spans="1:16" x14ac:dyDescent="0.25">
      <c r="A68" s="17"/>
      <c r="B68" s="17"/>
      <c r="C68" s="17"/>
      <c r="D68" s="115" t="s">
        <v>4802</v>
      </c>
      <c r="E68" s="537">
        <v>0</v>
      </c>
      <c r="F68" s="537">
        <v>0</v>
      </c>
      <c r="G68" s="537">
        <v>9.3964499999999997</v>
      </c>
      <c r="H68" s="537">
        <v>18.791949999999996</v>
      </c>
      <c r="I68" s="537">
        <v>28.188399999999998</v>
      </c>
      <c r="J68" s="537">
        <v>36.78875</v>
      </c>
      <c r="K68" s="537">
        <v>42.721499999999999</v>
      </c>
      <c r="L68" s="537">
        <v>45.884049999999995</v>
      </c>
      <c r="M68" s="537">
        <v>48.031049999999993</v>
      </c>
      <c r="N68" s="537">
        <v>49.466499999999996</v>
      </c>
      <c r="O68" s="537">
        <v>50.560899999999997</v>
      </c>
      <c r="P68" s="537">
        <v>51.375050000000002</v>
      </c>
    </row>
    <row r="69" spans="1:16" x14ac:dyDescent="0.25">
      <c r="A69" s="17"/>
      <c r="B69" s="17"/>
      <c r="C69" s="17"/>
      <c r="D69" s="115" t="s">
        <v>4803</v>
      </c>
      <c r="E69" s="537">
        <v>0</v>
      </c>
      <c r="F69" s="537">
        <v>0</v>
      </c>
      <c r="G69" s="537">
        <v>5.20695</v>
      </c>
      <c r="H69" s="537">
        <v>4.7138999999999998</v>
      </c>
      <c r="I69" s="537">
        <v>7.6627000000000001</v>
      </c>
      <c r="J69" s="537">
        <v>10.975350000000001</v>
      </c>
      <c r="K69" s="537">
        <v>14.4818</v>
      </c>
      <c r="L69" s="537">
        <v>18.012949999999996</v>
      </c>
      <c r="M69" s="537">
        <v>21.491849999999999</v>
      </c>
      <c r="N69" s="537">
        <v>24.985949999999999</v>
      </c>
      <c r="O69" s="537">
        <v>28.36985</v>
      </c>
      <c r="P69" s="537">
        <v>31.63025</v>
      </c>
    </row>
    <row r="70" spans="1:16" x14ac:dyDescent="0.25">
      <c r="A70" s="17"/>
      <c r="B70" s="17"/>
      <c r="C70" s="17"/>
      <c r="D70" s="115" t="s">
        <v>4804</v>
      </c>
      <c r="E70" s="537">
        <v>0</v>
      </c>
      <c r="F70" s="537">
        <v>0</v>
      </c>
      <c r="G70" s="537">
        <v>17.6662</v>
      </c>
      <c r="H70" s="537">
        <v>39.595999999999997</v>
      </c>
      <c r="I70" s="537">
        <v>61.836449999999992</v>
      </c>
      <c r="J70" s="537">
        <v>83.512599999999992</v>
      </c>
      <c r="K70" s="537">
        <v>104.46294999999999</v>
      </c>
      <c r="L70" s="537">
        <v>125.3677</v>
      </c>
      <c r="M70" s="537">
        <v>145.28064999999998</v>
      </c>
      <c r="N70" s="537">
        <v>164.654</v>
      </c>
      <c r="O70" s="537">
        <v>183.29964999999999</v>
      </c>
      <c r="P70" s="537">
        <v>201.48264999999998</v>
      </c>
    </row>
    <row r="71" spans="1:16" x14ac:dyDescent="0.25">
      <c r="A71" s="17"/>
      <c r="B71" s="17"/>
      <c r="C71" s="17"/>
      <c r="D71" s="17" t="s">
        <v>4805</v>
      </c>
      <c r="E71" s="537">
        <v>0</v>
      </c>
      <c r="F71" s="537">
        <v>0</v>
      </c>
      <c r="G71" s="537">
        <v>0</v>
      </c>
      <c r="H71" s="537">
        <v>0</v>
      </c>
      <c r="I71" s="537">
        <v>0</v>
      </c>
      <c r="J71" s="537">
        <v>0</v>
      </c>
      <c r="K71" s="537">
        <v>0</v>
      </c>
      <c r="L71" s="537">
        <v>0</v>
      </c>
      <c r="M71" s="537">
        <v>0</v>
      </c>
      <c r="N71" s="537">
        <v>0</v>
      </c>
      <c r="O71" s="537">
        <v>0</v>
      </c>
      <c r="P71" s="537">
        <v>0</v>
      </c>
    </row>
    <row r="72" spans="1:16" x14ac:dyDescent="0.25">
      <c r="A72" s="17"/>
      <c r="B72" s="17"/>
      <c r="C72" s="17"/>
      <c r="D72" s="538" t="s">
        <v>4806</v>
      </c>
      <c r="E72" s="537">
        <v>0</v>
      </c>
      <c r="F72" s="537">
        <v>0</v>
      </c>
      <c r="G72" s="537">
        <v>50.376599999999996</v>
      </c>
      <c r="H72" s="537">
        <v>97.22014999999999</v>
      </c>
      <c r="I72" s="537">
        <v>147.05904999999998</v>
      </c>
      <c r="J72" s="537">
        <v>195.25065000000001</v>
      </c>
      <c r="K72" s="537">
        <v>239.77429999999998</v>
      </c>
      <c r="L72" s="537">
        <v>278.17519999999996</v>
      </c>
      <c r="M72" s="537">
        <v>310.59679999999997</v>
      </c>
      <c r="N72" s="537">
        <v>340.65004999999996</v>
      </c>
      <c r="O72" s="537">
        <v>368.64085</v>
      </c>
      <c r="P72" s="537">
        <v>394.73259999999993</v>
      </c>
    </row>
    <row r="73" spans="1:16" x14ac:dyDescent="0.25">
      <c r="A73" s="17"/>
      <c r="B73" s="17"/>
      <c r="C73" s="17"/>
      <c r="D73" s="17"/>
      <c r="E73" s="537"/>
      <c r="F73" s="537"/>
      <c r="G73" s="537"/>
      <c r="H73" s="537"/>
      <c r="I73" s="537"/>
      <c r="J73" s="537"/>
      <c r="K73" s="537"/>
      <c r="L73" s="537"/>
      <c r="M73" s="537"/>
      <c r="N73" s="537"/>
      <c r="O73" s="537"/>
      <c r="P73" s="537"/>
    </row>
    <row r="74" spans="1:16" x14ac:dyDescent="0.25">
      <c r="A74" s="17"/>
      <c r="B74" s="17"/>
      <c r="C74" s="17"/>
      <c r="D74" s="538" t="s">
        <v>4807</v>
      </c>
      <c r="E74" s="537">
        <v>0</v>
      </c>
      <c r="F74" s="537">
        <v>0</v>
      </c>
      <c r="G74" s="537">
        <v>0</v>
      </c>
      <c r="H74" s="537">
        <v>28.234473774047842</v>
      </c>
      <c r="I74" s="537">
        <v>70.271588193499895</v>
      </c>
      <c r="J74" s="537">
        <v>89.473240935818467</v>
      </c>
      <c r="K74" s="537">
        <v>96.642884835348809</v>
      </c>
      <c r="L74" s="537">
        <v>81.659471651940635</v>
      </c>
      <c r="M74" s="537">
        <v>129.27933062783177</v>
      </c>
      <c r="N74" s="537">
        <v>176.90426638463862</v>
      </c>
      <c r="O74" s="537">
        <v>215.41435052086661</v>
      </c>
      <c r="P74" s="537">
        <v>250.00348153590244</v>
      </c>
    </row>
    <row r="75" spans="1:16" x14ac:dyDescent="0.25">
      <c r="A75" s="17"/>
      <c r="B75" s="17"/>
      <c r="C75" s="17"/>
      <c r="D75" s="17"/>
      <c r="E75" s="17"/>
      <c r="F75" s="17"/>
      <c r="G75" s="17"/>
      <c r="H75" s="17"/>
      <c r="I75" s="17"/>
      <c r="J75" s="17"/>
      <c r="K75" s="17"/>
      <c r="L75" s="17"/>
      <c r="M75" s="17"/>
      <c r="N75" s="17"/>
      <c r="O75" s="17"/>
      <c r="P75" s="17"/>
    </row>
    <row r="76" spans="1:16" x14ac:dyDescent="0.25">
      <c r="A76" s="17"/>
      <c r="B76" s="17"/>
      <c r="C76" s="17"/>
      <c r="D76" s="539" t="s">
        <v>4808</v>
      </c>
      <c r="E76" s="540">
        <v>0</v>
      </c>
      <c r="F76" s="540">
        <v>2.3928080838647787</v>
      </c>
      <c r="G76" s="540">
        <v>55.185116577950993</v>
      </c>
      <c r="H76" s="540">
        <v>146.16672172265393</v>
      </c>
      <c r="I76" s="540">
        <v>283.25100446760553</v>
      </c>
      <c r="J76" s="540">
        <v>399.6778580430518</v>
      </c>
      <c r="K76" s="540">
        <v>494.43957229276862</v>
      </c>
      <c r="L76" s="540">
        <v>555.70272642747341</v>
      </c>
      <c r="M76" s="540">
        <v>671.44627286741161</v>
      </c>
      <c r="N76" s="540">
        <v>782.13333015923934</v>
      </c>
      <c r="O76" s="540">
        <v>880.67186170078844</v>
      </c>
      <c r="P76" s="540">
        <v>973.17184405629723</v>
      </c>
    </row>
    <row r="77" spans="1:16" ht="30" x14ac:dyDescent="0.25">
      <c r="A77" s="17"/>
      <c r="B77" s="17"/>
      <c r="C77" s="17"/>
      <c r="D77" s="496" t="s">
        <v>4809</v>
      </c>
      <c r="E77" s="537">
        <v>0</v>
      </c>
      <c r="F77" s="537">
        <v>0.67481995779636073</v>
      </c>
      <c r="G77" s="537">
        <v>44.868488649096903</v>
      </c>
      <c r="H77" s="537">
        <v>73.486568742496914</v>
      </c>
      <c r="I77" s="537">
        <v>162.64699320048169</v>
      </c>
      <c r="J77" s="537">
        <v>272.52547868224678</v>
      </c>
      <c r="K77" s="537">
        <v>377.3175519528013</v>
      </c>
      <c r="L77" s="537">
        <v>472.57861006878773</v>
      </c>
      <c r="M77" s="537">
        <v>543.26710642230864</v>
      </c>
      <c r="N77" s="537">
        <v>585.04840700348996</v>
      </c>
      <c r="O77" s="537">
        <v>586.71843270765703</v>
      </c>
      <c r="P77" s="537">
        <v>591.07213956993792</v>
      </c>
    </row>
    <row r="78" spans="1:16" x14ac:dyDescent="0.25">
      <c r="A78" s="17"/>
      <c r="B78" s="17"/>
      <c r="C78" s="17"/>
      <c r="D78" s="17"/>
      <c r="E78" s="17"/>
      <c r="F78" s="17"/>
      <c r="G78" s="17"/>
      <c r="H78" s="17"/>
      <c r="I78" s="17"/>
      <c r="J78" s="17"/>
      <c r="K78" s="17"/>
      <c r="L78" s="17"/>
      <c r="M78" s="17"/>
      <c r="N78" s="17"/>
      <c r="O78" s="17"/>
      <c r="P78" s="17"/>
    </row>
    <row r="79" spans="1:16" x14ac:dyDescent="0.25">
      <c r="A79" s="17" t="s">
        <v>162</v>
      </c>
      <c r="B79" s="17" t="s">
        <v>4795</v>
      </c>
      <c r="C79" s="17"/>
      <c r="D79" s="17"/>
      <c r="E79" s="536">
        <v>2011</v>
      </c>
      <c r="F79" s="536">
        <v>2012</v>
      </c>
      <c r="G79" s="536">
        <v>2013</v>
      </c>
      <c r="H79" s="536">
        <v>2014</v>
      </c>
      <c r="I79" s="536">
        <v>2015</v>
      </c>
      <c r="J79" s="536">
        <v>2016</v>
      </c>
      <c r="K79" s="536">
        <v>2017</v>
      </c>
      <c r="L79" s="536">
        <v>2018</v>
      </c>
      <c r="M79" s="536">
        <v>2019</v>
      </c>
      <c r="N79" s="536">
        <v>2020</v>
      </c>
      <c r="O79" s="536">
        <v>2021</v>
      </c>
      <c r="P79" s="536">
        <v>2022</v>
      </c>
    </row>
    <row r="80" spans="1:16" x14ac:dyDescent="0.25">
      <c r="A80" s="17"/>
      <c r="B80" s="17"/>
      <c r="C80" s="17"/>
      <c r="D80" s="17" t="s">
        <v>4796</v>
      </c>
      <c r="E80" s="537">
        <v>0</v>
      </c>
      <c r="F80" s="537">
        <v>0</v>
      </c>
      <c r="G80" s="537">
        <v>0</v>
      </c>
      <c r="H80" s="537">
        <v>17.438899288920908</v>
      </c>
      <c r="I80" s="537">
        <v>38.581415297237399</v>
      </c>
      <c r="J80" s="537">
        <v>64.222341167368086</v>
      </c>
      <c r="K80" s="537">
        <v>79.096535070146118</v>
      </c>
      <c r="L80" s="537">
        <v>86.610014866328399</v>
      </c>
      <c r="M80" s="537">
        <v>92.4709520720603</v>
      </c>
      <c r="N80" s="537">
        <v>96.09761580981008</v>
      </c>
      <c r="O80" s="537">
        <v>97.70457733007288</v>
      </c>
      <c r="P80" s="537">
        <v>98.720311051786254</v>
      </c>
    </row>
    <row r="81" spans="1:16" x14ac:dyDescent="0.25">
      <c r="A81" s="17"/>
      <c r="B81" s="17"/>
      <c r="C81" s="17"/>
      <c r="D81" s="115" t="s">
        <v>4797</v>
      </c>
      <c r="E81" s="537">
        <v>2.8061888755314244</v>
      </c>
      <c r="F81" s="537">
        <v>5.6004194391724758</v>
      </c>
      <c r="G81" s="537">
        <v>8.824285654600569</v>
      </c>
      <c r="H81" s="537">
        <v>15.686528316412897</v>
      </c>
      <c r="I81" s="537">
        <v>33.833653542845106</v>
      </c>
      <c r="J81" s="537">
        <v>52.688343156607303</v>
      </c>
      <c r="K81" s="537">
        <v>71.257549066252182</v>
      </c>
      <c r="L81" s="537">
        <v>86.242439732950132</v>
      </c>
      <c r="M81" s="537">
        <v>98.897160190307858</v>
      </c>
      <c r="N81" s="537">
        <v>110.31215988503222</v>
      </c>
      <c r="O81" s="537">
        <v>121.78475380844601</v>
      </c>
      <c r="P81" s="537">
        <v>133.27187273389336</v>
      </c>
    </row>
    <row r="82" spans="1:16" x14ac:dyDescent="0.25">
      <c r="A82" s="17"/>
      <c r="B82" s="17"/>
      <c r="C82" s="17"/>
      <c r="D82" s="17" t="s">
        <v>4798</v>
      </c>
      <c r="E82" s="537">
        <v>0.35493499973248127</v>
      </c>
      <c r="F82" s="537">
        <v>0.87558467897584169</v>
      </c>
      <c r="G82" s="537">
        <v>1.3844650494117587</v>
      </c>
      <c r="H82" s="537">
        <v>4.2905122553243924</v>
      </c>
      <c r="I82" s="537">
        <v>12.311109609220747</v>
      </c>
      <c r="J82" s="537">
        <v>21.836605971994487</v>
      </c>
      <c r="K82" s="537">
        <v>31.087242166273022</v>
      </c>
      <c r="L82" s="537">
        <v>40.093959501027506</v>
      </c>
      <c r="M82" s="537">
        <v>48.887510848826295</v>
      </c>
      <c r="N82" s="537">
        <v>57.497212495714649</v>
      </c>
      <c r="O82" s="537">
        <v>65.950116650899034</v>
      </c>
      <c r="P82" s="537">
        <v>74.270551987166257</v>
      </c>
    </row>
    <row r="83" spans="1:16" x14ac:dyDescent="0.25">
      <c r="A83" s="17"/>
      <c r="B83" s="17"/>
      <c r="C83" s="17"/>
      <c r="D83" s="538" t="s">
        <v>4799</v>
      </c>
      <c r="E83" s="537">
        <v>3.1611238752639057</v>
      </c>
      <c r="F83" s="537">
        <v>6.4760041181483174</v>
      </c>
      <c r="G83" s="537">
        <v>10.208750704012328</v>
      </c>
      <c r="H83" s="537">
        <v>37.415939860658199</v>
      </c>
      <c r="I83" s="537">
        <v>84.726178449303262</v>
      </c>
      <c r="J83" s="537">
        <v>138.74729029596989</v>
      </c>
      <c r="K83" s="537">
        <v>181.44132630267131</v>
      </c>
      <c r="L83" s="537">
        <v>212.94641410030604</v>
      </c>
      <c r="M83" s="537">
        <v>240.25562311119444</v>
      </c>
      <c r="N83" s="537">
        <v>263.90698819055694</v>
      </c>
      <c r="O83" s="537">
        <v>285.4394477894179</v>
      </c>
      <c r="P83" s="537">
        <v>306.26273577284587</v>
      </c>
    </row>
    <row r="84" spans="1:16" x14ac:dyDescent="0.25">
      <c r="A84" s="17"/>
      <c r="B84" s="17"/>
      <c r="C84" s="17"/>
      <c r="D84" s="17"/>
      <c r="E84" s="17"/>
      <c r="F84" s="17"/>
      <c r="G84" s="17"/>
      <c r="H84" s="17"/>
      <c r="I84" s="17"/>
      <c r="J84" s="17"/>
      <c r="K84" s="17"/>
      <c r="L84" s="17"/>
      <c r="M84" s="17"/>
      <c r="N84" s="17"/>
      <c r="O84" s="17"/>
      <c r="P84" s="17"/>
    </row>
    <row r="85" spans="1:16" x14ac:dyDescent="0.25">
      <c r="A85" s="17"/>
      <c r="B85" s="17"/>
      <c r="C85" s="17"/>
      <c r="D85" s="115" t="s">
        <v>4800</v>
      </c>
      <c r="E85" s="537">
        <v>0</v>
      </c>
      <c r="F85" s="537">
        <v>0</v>
      </c>
      <c r="G85" s="537">
        <v>0</v>
      </c>
      <c r="H85" s="537">
        <v>0</v>
      </c>
      <c r="I85" s="537">
        <v>0</v>
      </c>
      <c r="J85" s="537">
        <v>0</v>
      </c>
      <c r="K85" s="537">
        <v>0</v>
      </c>
      <c r="L85" s="537">
        <v>0</v>
      </c>
      <c r="M85" s="537">
        <v>0</v>
      </c>
      <c r="N85" s="537">
        <v>0</v>
      </c>
      <c r="O85" s="537">
        <v>0</v>
      </c>
      <c r="P85" s="537">
        <v>0</v>
      </c>
    </row>
    <row r="86" spans="1:16" x14ac:dyDescent="0.25">
      <c r="A86" s="17"/>
      <c r="B86" s="17"/>
      <c r="C86" s="17"/>
      <c r="D86" s="115" t="s">
        <v>4801</v>
      </c>
      <c r="E86" s="537">
        <v>0</v>
      </c>
      <c r="F86" s="537">
        <v>0</v>
      </c>
      <c r="G86" s="537">
        <v>14.348865549999999</v>
      </c>
      <c r="H86" s="537">
        <v>26.407281099999999</v>
      </c>
      <c r="I86" s="537">
        <v>38.833406500000002</v>
      </c>
      <c r="J86" s="537">
        <v>52.550584749999999</v>
      </c>
      <c r="K86" s="537">
        <v>66.607615999999993</v>
      </c>
      <c r="L86" s="537">
        <v>78.646437800000001</v>
      </c>
      <c r="M86" s="537">
        <v>88.725727849999998</v>
      </c>
      <c r="N86" s="537">
        <v>97.932557849999995</v>
      </c>
      <c r="O86" s="537">
        <v>105.03436265000001</v>
      </c>
      <c r="P86" s="537">
        <v>111.0889093</v>
      </c>
    </row>
    <row r="87" spans="1:16" x14ac:dyDescent="0.25">
      <c r="A87" s="17"/>
      <c r="B87" s="17"/>
      <c r="C87" s="17"/>
      <c r="D87" s="115" t="s">
        <v>4802</v>
      </c>
      <c r="E87" s="537">
        <v>0</v>
      </c>
      <c r="F87" s="537">
        <v>0</v>
      </c>
      <c r="G87" s="537">
        <v>7.32840165</v>
      </c>
      <c r="H87" s="537">
        <v>14.6568033</v>
      </c>
      <c r="I87" s="537">
        <v>21.985204949999996</v>
      </c>
      <c r="J87" s="537">
        <v>29.3136066</v>
      </c>
      <c r="K87" s="537">
        <v>36.642008249999996</v>
      </c>
      <c r="L87" s="537">
        <v>42.341876200000002</v>
      </c>
      <c r="M87" s="537">
        <v>46.8397291</v>
      </c>
      <c r="N87" s="537">
        <v>50.811684800000002</v>
      </c>
      <c r="O87" s="537">
        <v>53.96707275</v>
      </c>
      <c r="P87" s="537">
        <v>56.490696449999994</v>
      </c>
    </row>
    <row r="88" spans="1:16" x14ac:dyDescent="0.25">
      <c r="A88" s="17"/>
      <c r="B88" s="17"/>
      <c r="C88" s="17"/>
      <c r="D88" s="115" t="s">
        <v>4803</v>
      </c>
      <c r="E88" s="537">
        <v>0</v>
      </c>
      <c r="F88" s="537">
        <v>0</v>
      </c>
      <c r="G88" s="537">
        <v>4.9912610499999994</v>
      </c>
      <c r="H88" s="537">
        <v>10.7740051</v>
      </c>
      <c r="I88" s="537">
        <v>18.426851699999997</v>
      </c>
      <c r="J88" s="537">
        <v>27.657777499999998</v>
      </c>
      <c r="K88" s="537">
        <v>39.393255750000002</v>
      </c>
      <c r="L88" s="537">
        <v>52.760187999999992</v>
      </c>
      <c r="M88" s="537">
        <v>68.027566749999991</v>
      </c>
      <c r="N88" s="537">
        <v>84.222777250000007</v>
      </c>
      <c r="O88" s="537">
        <v>99.872432200000006</v>
      </c>
      <c r="P88" s="537">
        <v>113.2509763</v>
      </c>
    </row>
    <row r="89" spans="1:16" x14ac:dyDescent="0.25">
      <c r="A89" s="17"/>
      <c r="B89" s="17"/>
      <c r="C89" s="17"/>
      <c r="D89" s="115" t="s">
        <v>4804</v>
      </c>
      <c r="E89" s="537">
        <v>0</v>
      </c>
      <c r="F89" s="537">
        <v>0</v>
      </c>
      <c r="G89" s="537">
        <v>25.4264346</v>
      </c>
      <c r="H89" s="537">
        <v>48.313326349999997</v>
      </c>
      <c r="I89" s="537">
        <v>71.207444750000008</v>
      </c>
      <c r="J89" s="537">
        <v>93.149234699999994</v>
      </c>
      <c r="K89" s="537">
        <v>114.33681110000001</v>
      </c>
      <c r="L89" s="537">
        <v>134.80276749999999</v>
      </c>
      <c r="M89" s="537">
        <v>154.00699564999999</v>
      </c>
      <c r="N89" s="537">
        <v>173.60969179999998</v>
      </c>
      <c r="O89" s="537">
        <v>192.89484284999997</v>
      </c>
      <c r="P89" s="537">
        <v>212.22621425</v>
      </c>
    </row>
    <row r="90" spans="1:16" x14ac:dyDescent="0.25">
      <c r="A90" s="17"/>
      <c r="B90" s="17"/>
      <c r="C90" s="17"/>
      <c r="D90" s="17" t="s">
        <v>4805</v>
      </c>
      <c r="E90" s="537">
        <v>0</v>
      </c>
      <c r="F90" s="537">
        <v>0</v>
      </c>
      <c r="G90" s="537">
        <v>2.1249999636738202</v>
      </c>
      <c r="H90" s="537">
        <v>4.3621596632171693</v>
      </c>
      <c r="I90" s="537">
        <v>4.6820720788653354</v>
      </c>
      <c r="J90" s="537">
        <v>5.0750695865718516</v>
      </c>
      <c r="K90" s="537">
        <v>5.5477922083042834</v>
      </c>
      <c r="L90" s="537">
        <v>5.9649603022678708</v>
      </c>
      <c r="M90" s="537">
        <v>6.4253230881374543</v>
      </c>
      <c r="N90" s="537">
        <v>6.8957269315251457</v>
      </c>
      <c r="O90" s="537">
        <v>7.3856151963718197</v>
      </c>
      <c r="P90" s="537">
        <v>7.8873551806665585</v>
      </c>
    </row>
    <row r="91" spans="1:16" x14ac:dyDescent="0.25">
      <c r="A91" s="17"/>
      <c r="B91" s="17"/>
      <c r="C91" s="17"/>
      <c r="D91" s="538" t="s">
        <v>4806</v>
      </c>
      <c r="E91" s="537">
        <v>0</v>
      </c>
      <c r="F91" s="537">
        <v>0</v>
      </c>
      <c r="G91" s="537">
        <v>54.219962813673824</v>
      </c>
      <c r="H91" s="537">
        <v>104.51357551321716</v>
      </c>
      <c r="I91" s="537">
        <v>155.13497997886535</v>
      </c>
      <c r="J91" s="537">
        <v>207.74627313657183</v>
      </c>
      <c r="K91" s="537">
        <v>262.52748330830423</v>
      </c>
      <c r="L91" s="537">
        <v>314.51622980226784</v>
      </c>
      <c r="M91" s="537">
        <v>364.0253424381375</v>
      </c>
      <c r="N91" s="537">
        <v>413.47243863152511</v>
      </c>
      <c r="O91" s="537">
        <v>459.15432564637177</v>
      </c>
      <c r="P91" s="537">
        <v>500.94415148066651</v>
      </c>
    </row>
    <row r="92" spans="1:16" x14ac:dyDescent="0.25">
      <c r="A92" s="17"/>
      <c r="B92" s="17"/>
      <c r="C92" s="17"/>
      <c r="D92" s="17"/>
      <c r="E92" s="537"/>
      <c r="F92" s="537"/>
      <c r="G92" s="537"/>
      <c r="H92" s="537"/>
      <c r="I92" s="537"/>
      <c r="J92" s="537"/>
      <c r="K92" s="537"/>
      <c r="L92" s="537"/>
      <c r="M92" s="537"/>
      <c r="N92" s="537"/>
      <c r="O92" s="537"/>
      <c r="P92" s="537"/>
    </row>
    <row r="93" spans="1:16" x14ac:dyDescent="0.25">
      <c r="A93" s="17"/>
      <c r="B93" s="17"/>
      <c r="C93" s="17"/>
      <c r="D93" s="538" t="s">
        <v>4807</v>
      </c>
      <c r="E93" s="537">
        <v>0</v>
      </c>
      <c r="F93" s="537">
        <v>0</v>
      </c>
      <c r="G93" s="537">
        <v>0</v>
      </c>
      <c r="H93" s="537">
        <v>0</v>
      </c>
      <c r="I93" s="537">
        <v>0</v>
      </c>
      <c r="J93" s="537">
        <v>0</v>
      </c>
      <c r="K93" s="537">
        <v>0</v>
      </c>
      <c r="L93" s="537">
        <v>0</v>
      </c>
      <c r="M93" s="537">
        <v>0</v>
      </c>
      <c r="N93" s="537">
        <v>0</v>
      </c>
      <c r="O93" s="537">
        <v>0</v>
      </c>
      <c r="P93" s="537">
        <v>0</v>
      </c>
    </row>
    <row r="94" spans="1:16" x14ac:dyDescent="0.25">
      <c r="A94" s="17"/>
      <c r="B94" s="17"/>
      <c r="C94" s="17"/>
      <c r="D94" s="17"/>
      <c r="E94" s="17"/>
      <c r="F94" s="17"/>
      <c r="G94" s="17"/>
      <c r="H94" s="17"/>
      <c r="I94" s="17"/>
      <c r="J94" s="17"/>
      <c r="K94" s="17"/>
      <c r="L94" s="17"/>
      <c r="M94" s="17"/>
      <c r="N94" s="17"/>
      <c r="O94" s="17"/>
      <c r="P94" s="17"/>
    </row>
    <row r="95" spans="1:16" x14ac:dyDescent="0.25">
      <c r="A95" s="17"/>
      <c r="B95" s="17"/>
      <c r="C95" s="17"/>
      <c r="D95" s="539" t="s">
        <v>4808</v>
      </c>
      <c r="E95" s="540">
        <v>3.1611238752639057</v>
      </c>
      <c r="F95" s="540">
        <v>6.4760041181483174</v>
      </c>
      <c r="G95" s="540">
        <v>64.428713517686148</v>
      </c>
      <c r="H95" s="540">
        <v>141.92951537387535</v>
      </c>
      <c r="I95" s="540">
        <v>239.86115842816861</v>
      </c>
      <c r="J95" s="540">
        <v>346.49356343254169</v>
      </c>
      <c r="K95" s="540">
        <v>443.96880961097554</v>
      </c>
      <c r="L95" s="540">
        <v>527.46264390257386</v>
      </c>
      <c r="M95" s="540">
        <v>604.280965549332</v>
      </c>
      <c r="N95" s="540">
        <v>677.379426822082</v>
      </c>
      <c r="O95" s="540">
        <v>744.59377343578967</v>
      </c>
      <c r="P95" s="540">
        <v>807.20688725351238</v>
      </c>
    </row>
    <row r="96" spans="1:16" ht="30" x14ac:dyDescent="0.25">
      <c r="A96" s="17"/>
      <c r="B96" s="17"/>
      <c r="C96" s="17"/>
      <c r="D96" s="496" t="s">
        <v>4809</v>
      </c>
      <c r="E96" s="537">
        <v>0.2539177819205678</v>
      </c>
      <c r="F96" s="537">
        <v>1.2970958244643365</v>
      </c>
      <c r="G96" s="537">
        <v>34.651389116213792</v>
      </c>
      <c r="H96" s="537">
        <v>69.566409022645686</v>
      </c>
      <c r="I96" s="537">
        <v>141.02695938196194</v>
      </c>
      <c r="J96" s="537">
        <v>241.56789481003608</v>
      </c>
      <c r="K96" s="537">
        <v>348.96464073194022</v>
      </c>
      <c r="L96" s="537">
        <v>448.22876608228353</v>
      </c>
      <c r="M96" s="537">
        <v>527.1943298714516</v>
      </c>
      <c r="N96" s="537">
        <v>583.71046645106981</v>
      </c>
      <c r="O96" s="537">
        <v>584.94891319588237</v>
      </c>
      <c r="P96" s="537">
        <v>579.12189793885068</v>
      </c>
    </row>
    <row r="97" spans="1:16" x14ac:dyDescent="0.25">
      <c r="A97" s="17"/>
      <c r="B97" s="17"/>
      <c r="C97" s="17"/>
      <c r="D97" s="17"/>
      <c r="E97" s="17"/>
      <c r="F97" s="17"/>
      <c r="G97" s="17"/>
      <c r="H97" s="17"/>
      <c r="I97" s="17"/>
      <c r="J97" s="17"/>
      <c r="K97" s="17"/>
      <c r="L97" s="17"/>
      <c r="M97" s="17"/>
      <c r="N97" s="17"/>
      <c r="O97" s="17"/>
      <c r="P97" s="17"/>
    </row>
    <row r="98" spans="1:16" x14ac:dyDescent="0.25">
      <c r="A98" s="17" t="s">
        <v>162</v>
      </c>
      <c r="B98" s="17" t="s">
        <v>4810</v>
      </c>
      <c r="C98" s="17"/>
      <c r="D98" s="17"/>
      <c r="E98" s="536">
        <v>2011</v>
      </c>
      <c r="F98" s="536">
        <v>2012</v>
      </c>
      <c r="G98" s="536">
        <v>2013</v>
      </c>
      <c r="H98" s="536">
        <v>2014</v>
      </c>
      <c r="I98" s="536">
        <v>2015</v>
      </c>
      <c r="J98" s="536">
        <v>2016</v>
      </c>
      <c r="K98" s="536">
        <v>2017</v>
      </c>
      <c r="L98" s="536">
        <v>2018</v>
      </c>
      <c r="M98" s="536">
        <v>2019</v>
      </c>
      <c r="N98" s="536">
        <v>2020</v>
      </c>
      <c r="O98" s="536">
        <v>2021</v>
      </c>
      <c r="P98" s="536">
        <v>2022</v>
      </c>
    </row>
    <row r="99" spans="1:16" x14ac:dyDescent="0.25">
      <c r="A99" s="17"/>
      <c r="B99" s="17"/>
      <c r="C99" s="17"/>
      <c r="D99" s="17" t="s">
        <v>4796</v>
      </c>
      <c r="E99" s="537">
        <v>0</v>
      </c>
      <c r="F99" s="537">
        <v>0</v>
      </c>
      <c r="G99" s="537">
        <v>0</v>
      </c>
      <c r="H99" s="537">
        <v>1.5089354704823945</v>
      </c>
      <c r="I99" s="537">
        <v>4.1333177102883898</v>
      </c>
      <c r="J99" s="537">
        <v>7.1073687074196945</v>
      </c>
      <c r="K99" s="537">
        <v>8.8552825911946975</v>
      </c>
      <c r="L99" s="537">
        <v>9.8635795039617058</v>
      </c>
      <c r="M99" s="537">
        <v>10.648882275759204</v>
      </c>
      <c r="N99" s="537">
        <v>10.990432757863456</v>
      </c>
      <c r="O99" s="537">
        <v>11.127284485259754</v>
      </c>
      <c r="P99" s="537">
        <v>11.258724871042679</v>
      </c>
    </row>
    <row r="100" spans="1:16" x14ac:dyDescent="0.25">
      <c r="A100" s="17"/>
      <c r="B100" s="17"/>
      <c r="C100" s="17"/>
      <c r="D100" s="115" t="s">
        <v>4797</v>
      </c>
      <c r="E100" s="537">
        <v>0</v>
      </c>
      <c r="F100" s="537">
        <v>0.33509156371158227</v>
      </c>
      <c r="G100" s="537">
        <v>0.68011656681097998</v>
      </c>
      <c r="H100" s="537">
        <v>1.6721493584711533</v>
      </c>
      <c r="I100" s="537">
        <v>5.921605160865635</v>
      </c>
      <c r="J100" s="537">
        <v>10.261622860790659</v>
      </c>
      <c r="K100" s="537">
        <v>14.598859899499566</v>
      </c>
      <c r="L100" s="537">
        <v>18.562783584747503</v>
      </c>
      <c r="M100" s="537">
        <v>22.332106340516386</v>
      </c>
      <c r="N100" s="537">
        <v>25.989258924893932</v>
      </c>
      <c r="O100" s="537">
        <v>29.69444764552664</v>
      </c>
      <c r="P100" s="537">
        <v>33.414304756248171</v>
      </c>
    </row>
    <row r="101" spans="1:16" x14ac:dyDescent="0.25">
      <c r="A101" s="17"/>
      <c r="B101" s="17"/>
      <c r="C101" s="17"/>
      <c r="D101" s="17" t="s">
        <v>4798</v>
      </c>
      <c r="E101" s="537">
        <v>0</v>
      </c>
      <c r="F101" s="537">
        <v>0.20790673123658454</v>
      </c>
      <c r="G101" s="537">
        <v>0.41107679744753761</v>
      </c>
      <c r="H101" s="537">
        <v>1.3096021488872025</v>
      </c>
      <c r="I101" s="537">
        <v>3.6384542005617933</v>
      </c>
      <c r="J101" s="537">
        <v>6.422235034371667</v>
      </c>
      <c r="K101" s="537">
        <v>9.1282153569189521</v>
      </c>
      <c r="L101" s="537">
        <v>11.765358418945555</v>
      </c>
      <c r="M101" s="537">
        <v>14.342530016002659</v>
      </c>
      <c r="N101" s="537">
        <v>16.868138185296655</v>
      </c>
      <c r="O101" s="537">
        <v>19.34990161206597</v>
      </c>
      <c r="P101" s="537">
        <v>21.794727639282716</v>
      </c>
    </row>
    <row r="102" spans="1:16" x14ac:dyDescent="0.25">
      <c r="A102" s="17"/>
      <c r="B102" s="17"/>
      <c r="C102" s="17"/>
      <c r="D102" s="538" t="s">
        <v>4799</v>
      </c>
      <c r="E102" s="537">
        <v>0</v>
      </c>
      <c r="F102" s="537">
        <v>0.54299829494816687</v>
      </c>
      <c r="G102" s="537">
        <v>1.0911933642585177</v>
      </c>
      <c r="H102" s="537">
        <v>4.4906869778407508</v>
      </c>
      <c r="I102" s="537">
        <v>13.693377071715819</v>
      </c>
      <c r="J102" s="537">
        <v>23.791226602582022</v>
      </c>
      <c r="K102" s="537">
        <v>32.582357847613217</v>
      </c>
      <c r="L102" s="537">
        <v>40.191721507654762</v>
      </c>
      <c r="M102" s="537">
        <v>47.323518632278251</v>
      </c>
      <c r="N102" s="537">
        <v>53.847829868054049</v>
      </c>
      <c r="O102" s="537">
        <v>60.171633742852364</v>
      </c>
      <c r="P102" s="537">
        <v>66.467757266573571</v>
      </c>
    </row>
    <row r="103" spans="1:16" x14ac:dyDescent="0.25">
      <c r="A103" s="17"/>
      <c r="B103" s="17"/>
      <c r="C103" s="17"/>
      <c r="D103" s="17"/>
      <c r="E103" s="17"/>
      <c r="F103" s="17"/>
      <c r="G103" s="17"/>
      <c r="H103" s="17"/>
      <c r="I103" s="17"/>
      <c r="J103" s="17"/>
      <c r="K103" s="17"/>
      <c r="L103" s="17"/>
      <c r="M103" s="17"/>
      <c r="N103" s="17"/>
      <c r="O103" s="17"/>
      <c r="P103" s="17"/>
    </row>
    <row r="104" spans="1:16" x14ac:dyDescent="0.25">
      <c r="A104" s="17"/>
      <c r="B104" s="17"/>
      <c r="C104" s="17"/>
      <c r="D104" s="115" t="s">
        <v>4800</v>
      </c>
      <c r="E104" s="537">
        <v>0</v>
      </c>
      <c r="F104" s="537">
        <v>0</v>
      </c>
      <c r="G104" s="537">
        <v>0</v>
      </c>
      <c r="H104" s="537">
        <v>0</v>
      </c>
      <c r="I104" s="537">
        <v>0</v>
      </c>
      <c r="J104" s="537">
        <v>0</v>
      </c>
      <c r="K104" s="537">
        <v>0</v>
      </c>
      <c r="L104" s="537">
        <v>0</v>
      </c>
      <c r="M104" s="537">
        <v>0</v>
      </c>
      <c r="N104" s="537">
        <v>0</v>
      </c>
      <c r="O104" s="537">
        <v>0</v>
      </c>
      <c r="P104" s="537">
        <v>0</v>
      </c>
    </row>
    <row r="105" spans="1:16" x14ac:dyDescent="0.25">
      <c r="A105" s="17"/>
      <c r="B105" s="17"/>
      <c r="C105" s="17"/>
      <c r="D105" s="115" t="s">
        <v>4801</v>
      </c>
      <c r="E105" s="537">
        <v>0</v>
      </c>
      <c r="F105" s="537">
        <v>0</v>
      </c>
      <c r="G105" s="537">
        <v>3.0618499999999997</v>
      </c>
      <c r="H105" s="537">
        <v>5.8101999999999991</v>
      </c>
      <c r="I105" s="537">
        <v>8.4293499999999995</v>
      </c>
      <c r="J105" s="537">
        <v>11.321149999999999</v>
      </c>
      <c r="K105" s="537">
        <v>14.260449999999999</v>
      </c>
      <c r="L105" s="537">
        <v>16.838750000000001</v>
      </c>
      <c r="M105" s="537">
        <v>19.065549999999998</v>
      </c>
      <c r="N105" s="537">
        <v>21.1128</v>
      </c>
      <c r="O105" s="537">
        <v>22.895</v>
      </c>
      <c r="P105" s="537">
        <v>24.502400000000002</v>
      </c>
    </row>
    <row r="106" spans="1:16" x14ac:dyDescent="0.25">
      <c r="A106" s="17"/>
      <c r="B106" s="17"/>
      <c r="C106" s="17"/>
      <c r="D106" s="115" t="s">
        <v>4802</v>
      </c>
      <c r="E106" s="537">
        <v>0</v>
      </c>
      <c r="F106" s="537">
        <v>0</v>
      </c>
      <c r="G106" s="537">
        <v>1.6853</v>
      </c>
      <c r="H106" s="537">
        <v>3.3706</v>
      </c>
      <c r="I106" s="537">
        <v>5.0568499999999998</v>
      </c>
      <c r="J106" s="537">
        <v>6.7421499999999996</v>
      </c>
      <c r="K106" s="537">
        <v>8.4274500000000003</v>
      </c>
      <c r="L106" s="537">
        <v>9.7384499999999985</v>
      </c>
      <c r="M106" s="537">
        <v>10.773</v>
      </c>
      <c r="N106" s="537">
        <v>11.6869</v>
      </c>
      <c r="O106" s="537">
        <v>12.412700000000001</v>
      </c>
      <c r="P106" s="537">
        <v>12.993149999999998</v>
      </c>
    </row>
    <row r="107" spans="1:16" x14ac:dyDescent="0.25">
      <c r="A107" s="17"/>
      <c r="B107" s="17"/>
      <c r="C107" s="17"/>
      <c r="D107" s="115" t="s">
        <v>4803</v>
      </c>
      <c r="E107" s="537">
        <v>0</v>
      </c>
      <c r="F107" s="537">
        <v>0</v>
      </c>
      <c r="G107" s="537">
        <v>1.9085499999999997</v>
      </c>
      <c r="H107" s="537">
        <v>1.08585</v>
      </c>
      <c r="I107" s="537">
        <v>1.7679499999999999</v>
      </c>
      <c r="J107" s="537">
        <v>2.5507499999999999</v>
      </c>
      <c r="K107" s="537">
        <v>3.4104999999999999</v>
      </c>
      <c r="L107" s="537">
        <v>4.2787999999999995</v>
      </c>
      <c r="M107" s="537">
        <v>5.1337999999999999</v>
      </c>
      <c r="N107" s="537">
        <v>5.9678999999999993</v>
      </c>
      <c r="O107" s="537">
        <v>6.7962999999999996</v>
      </c>
      <c r="P107" s="537">
        <v>7.5923999999999996</v>
      </c>
    </row>
    <row r="108" spans="1:16" x14ac:dyDescent="0.25">
      <c r="A108" s="17"/>
      <c r="B108" s="17"/>
      <c r="C108" s="17"/>
      <c r="D108" s="115" t="s">
        <v>4804</v>
      </c>
      <c r="E108" s="537">
        <v>0</v>
      </c>
      <c r="F108" s="537">
        <v>0</v>
      </c>
      <c r="G108" s="537">
        <v>3.1397499999999998</v>
      </c>
      <c r="H108" s="537">
        <v>6.0239500000000001</v>
      </c>
      <c r="I108" s="537">
        <v>8.9908000000000001</v>
      </c>
      <c r="J108" s="537">
        <v>11.897799999999998</v>
      </c>
      <c r="K108" s="537">
        <v>14.731649999999998</v>
      </c>
      <c r="L108" s="537">
        <v>17.4876</v>
      </c>
      <c r="M108" s="537">
        <v>20.040249999999997</v>
      </c>
      <c r="N108" s="537">
        <v>22.657499999999999</v>
      </c>
      <c r="O108" s="537">
        <v>25.276649999999997</v>
      </c>
      <c r="P108" s="537">
        <v>27.916699999999999</v>
      </c>
    </row>
    <row r="109" spans="1:16" x14ac:dyDescent="0.25">
      <c r="A109" s="17"/>
      <c r="B109" s="17"/>
      <c r="C109" s="17"/>
      <c r="D109" s="17" t="s">
        <v>4805</v>
      </c>
      <c r="E109" s="537">
        <v>0</v>
      </c>
      <c r="F109" s="537">
        <v>0</v>
      </c>
      <c r="G109" s="537">
        <v>0</v>
      </c>
      <c r="H109" s="537">
        <v>0</v>
      </c>
      <c r="I109" s="537">
        <v>0</v>
      </c>
      <c r="J109" s="537">
        <v>0</v>
      </c>
      <c r="K109" s="537">
        <v>0</v>
      </c>
      <c r="L109" s="537">
        <v>0</v>
      </c>
      <c r="M109" s="537">
        <v>0</v>
      </c>
      <c r="N109" s="537">
        <v>0</v>
      </c>
      <c r="O109" s="537">
        <v>0</v>
      </c>
      <c r="P109" s="537">
        <v>0</v>
      </c>
    </row>
    <row r="110" spans="1:16" x14ac:dyDescent="0.25">
      <c r="A110" s="17"/>
      <c r="B110" s="17"/>
      <c r="C110" s="17"/>
      <c r="D110" s="538" t="s">
        <v>4806</v>
      </c>
      <c r="E110" s="537">
        <v>0</v>
      </c>
      <c r="F110" s="537">
        <v>0</v>
      </c>
      <c r="G110" s="537">
        <v>9.7954499999999989</v>
      </c>
      <c r="H110" s="537">
        <v>16.290600000000001</v>
      </c>
      <c r="I110" s="537">
        <v>24.244949999999999</v>
      </c>
      <c r="J110" s="537">
        <v>32.511849999999995</v>
      </c>
      <c r="K110" s="537">
        <v>40.83005</v>
      </c>
      <c r="L110" s="537">
        <v>48.343599999999995</v>
      </c>
      <c r="M110" s="537">
        <v>55.012599999999992</v>
      </c>
      <c r="N110" s="537">
        <v>61.4251</v>
      </c>
      <c r="O110" s="537">
        <v>67.380650000000003</v>
      </c>
      <c r="P110" s="537">
        <v>73.004649999999998</v>
      </c>
    </row>
    <row r="111" spans="1:16" x14ac:dyDescent="0.25">
      <c r="A111" s="17"/>
      <c r="B111" s="17"/>
      <c r="C111" s="17"/>
      <c r="D111" s="17"/>
      <c r="E111" s="537"/>
      <c r="F111" s="537"/>
      <c r="G111" s="537"/>
      <c r="H111" s="537"/>
      <c r="I111" s="537"/>
      <c r="J111" s="537"/>
      <c r="K111" s="537"/>
      <c r="L111" s="537"/>
      <c r="M111" s="537"/>
      <c r="N111" s="537"/>
      <c r="O111" s="537"/>
      <c r="P111" s="537"/>
    </row>
    <row r="112" spans="1:16" x14ac:dyDescent="0.25">
      <c r="A112" s="17"/>
      <c r="B112" s="17"/>
      <c r="C112" s="17"/>
      <c r="D112" s="538" t="s">
        <v>4807</v>
      </c>
      <c r="E112" s="537">
        <v>0</v>
      </c>
      <c r="F112" s="537">
        <v>0</v>
      </c>
      <c r="G112" s="537">
        <v>0.99963971389802708</v>
      </c>
      <c r="H112" s="537">
        <v>7.2489513945633171</v>
      </c>
      <c r="I112" s="537">
        <v>16.890539761311601</v>
      </c>
      <c r="J112" s="537">
        <v>20.216128023909967</v>
      </c>
      <c r="K112" s="537">
        <v>18.67434897646875</v>
      </c>
      <c r="L112" s="537">
        <v>10.648855689356225</v>
      </c>
      <c r="M112" s="537">
        <v>22.187960072505803</v>
      </c>
      <c r="N112" s="537">
        <v>32.771999209515457</v>
      </c>
      <c r="O112" s="537">
        <v>40.808186088528103</v>
      </c>
      <c r="P112" s="537">
        <v>47.656814231398855</v>
      </c>
    </row>
    <row r="113" spans="1:16" x14ac:dyDescent="0.25">
      <c r="A113" s="17"/>
      <c r="B113" s="17"/>
      <c r="C113" s="17"/>
      <c r="D113" s="17"/>
      <c r="E113" s="17"/>
      <c r="F113" s="17"/>
      <c r="G113" s="17"/>
      <c r="H113" s="17"/>
      <c r="I113" s="17"/>
      <c r="J113" s="17"/>
      <c r="K113" s="17"/>
      <c r="L113" s="17"/>
      <c r="M113" s="17"/>
      <c r="N113" s="17"/>
      <c r="O113" s="17"/>
      <c r="P113" s="17"/>
    </row>
    <row r="114" spans="1:16" x14ac:dyDescent="0.25">
      <c r="A114" s="17"/>
      <c r="B114" s="17"/>
      <c r="C114" s="17"/>
      <c r="D114" s="539" t="s">
        <v>4808</v>
      </c>
      <c r="E114" s="540">
        <v>0</v>
      </c>
      <c r="F114" s="540">
        <v>0.54299829494816687</v>
      </c>
      <c r="G114" s="540">
        <v>11.886283078156543</v>
      </c>
      <c r="H114" s="540">
        <v>28.030238372404067</v>
      </c>
      <c r="I114" s="540">
        <v>54.828866833027419</v>
      </c>
      <c r="J114" s="540">
        <v>76.519204626491984</v>
      </c>
      <c r="K114" s="540">
        <v>92.086756824081974</v>
      </c>
      <c r="L114" s="540">
        <v>99.184177197010982</v>
      </c>
      <c r="M114" s="540">
        <v>124.52407870478405</v>
      </c>
      <c r="N114" s="540">
        <v>148.04492907756952</v>
      </c>
      <c r="O114" s="540">
        <v>168.36046983138047</v>
      </c>
      <c r="P114" s="540">
        <v>187.12922149797242</v>
      </c>
    </row>
    <row r="115" spans="1:16" ht="30" x14ac:dyDescent="0.25">
      <c r="A115" s="17"/>
      <c r="B115" s="17"/>
      <c r="C115" s="17"/>
      <c r="D115" s="496" t="s">
        <v>4809</v>
      </c>
      <c r="E115" s="537">
        <v>0</v>
      </c>
      <c r="F115" s="537">
        <v>0.15313642951614392</v>
      </c>
      <c r="G115" s="537">
        <v>8.5939078943581411</v>
      </c>
      <c r="H115" s="537">
        <v>15.542192603171927</v>
      </c>
      <c r="I115" s="537">
        <v>33.893663341248441</v>
      </c>
      <c r="J115" s="537">
        <v>55.560488442123003</v>
      </c>
      <c r="K115" s="537">
        <v>76.285500481095909</v>
      </c>
      <c r="L115" s="537">
        <v>96.716665517387383</v>
      </c>
      <c r="M115" s="537">
        <v>112.69123657335373</v>
      </c>
      <c r="N115" s="537">
        <v>121.94061740674772</v>
      </c>
      <c r="O115" s="537">
        <v>121.9599024949829</v>
      </c>
      <c r="P115" s="537">
        <v>122.61169871035909</v>
      </c>
    </row>
    <row r="116" spans="1:16" x14ac:dyDescent="0.25">
      <c r="A116" s="17"/>
      <c r="B116" s="17"/>
      <c r="C116" s="17"/>
      <c r="D116" s="17"/>
      <c r="E116" s="17"/>
      <c r="F116" s="17"/>
      <c r="G116" s="17"/>
      <c r="H116" s="17"/>
      <c r="I116" s="17"/>
      <c r="J116" s="17"/>
      <c r="K116" s="17"/>
      <c r="L116" s="17"/>
      <c r="M116" s="17"/>
      <c r="N116" s="17"/>
      <c r="O116" s="17"/>
      <c r="P116" s="17"/>
    </row>
    <row r="117" spans="1:16" x14ac:dyDescent="0.25">
      <c r="A117" s="17" t="s">
        <v>4811</v>
      </c>
      <c r="B117" s="17" t="s">
        <v>4795</v>
      </c>
      <c r="C117" s="17"/>
      <c r="D117" s="17"/>
      <c r="E117" s="536">
        <v>2011</v>
      </c>
      <c r="F117" s="536">
        <v>2012</v>
      </c>
      <c r="G117" s="536">
        <v>2013</v>
      </c>
      <c r="H117" s="536">
        <v>2014</v>
      </c>
      <c r="I117" s="536">
        <v>2015</v>
      </c>
      <c r="J117" s="536">
        <v>2016</v>
      </c>
      <c r="K117" s="536">
        <v>2017</v>
      </c>
      <c r="L117" s="536">
        <v>2018</v>
      </c>
      <c r="M117" s="536">
        <v>2019</v>
      </c>
      <c r="N117" s="536">
        <v>2020</v>
      </c>
      <c r="O117" s="536">
        <v>2021</v>
      </c>
      <c r="P117" s="536">
        <v>2022</v>
      </c>
    </row>
    <row r="118" spans="1:16" x14ac:dyDescent="0.25">
      <c r="A118" s="17"/>
      <c r="B118" s="17"/>
      <c r="C118" s="17"/>
      <c r="D118" s="17" t="s">
        <v>4796</v>
      </c>
      <c r="E118" s="537">
        <v>0</v>
      </c>
      <c r="F118" s="537">
        <v>0</v>
      </c>
      <c r="G118" s="537">
        <v>0</v>
      </c>
      <c r="H118" s="537">
        <v>168.79164880812945</v>
      </c>
      <c r="I118" s="537">
        <v>373.43071907692956</v>
      </c>
      <c r="J118" s="537">
        <v>621.61003836091572</v>
      </c>
      <c r="K118" s="537">
        <v>765.57782393880268</v>
      </c>
      <c r="L118" s="537">
        <v>838.30102865906167</v>
      </c>
      <c r="M118" s="537">
        <v>895.02922222944926</v>
      </c>
      <c r="N118" s="537">
        <v>930.13181338646939</v>
      </c>
      <c r="O118" s="537">
        <v>945.68564393979443</v>
      </c>
      <c r="P118" s="537">
        <v>955.51696223560793</v>
      </c>
    </row>
    <row r="119" spans="1:16" x14ac:dyDescent="0.25">
      <c r="A119" s="17"/>
      <c r="B119" s="17"/>
      <c r="C119" s="17"/>
      <c r="D119" s="115" t="s">
        <v>4797</v>
      </c>
      <c r="E119" s="537">
        <v>27.1611894375066</v>
      </c>
      <c r="F119" s="537">
        <v>54.206634002157593</v>
      </c>
      <c r="G119" s="537">
        <v>85.410535408059005</v>
      </c>
      <c r="H119" s="537">
        <v>152.03564700731187</v>
      </c>
      <c r="I119" s="537">
        <v>338.89287007632652</v>
      </c>
      <c r="J119" s="537">
        <v>532.22363320121451</v>
      </c>
      <c r="K119" s="537">
        <v>722.36523746161959</v>
      </c>
      <c r="L119" s="537">
        <v>877.76266893754939</v>
      </c>
      <c r="M119" s="537">
        <v>1010.5075115798834</v>
      </c>
      <c r="N119" s="537">
        <v>1131.2786838420716</v>
      </c>
      <c r="O119" s="537">
        <v>1252.2765628976008</v>
      </c>
      <c r="P119" s="537">
        <v>1373.2307337594527</v>
      </c>
    </row>
    <row r="120" spans="1:16" x14ac:dyDescent="0.25">
      <c r="A120" s="17"/>
      <c r="B120" s="17"/>
      <c r="C120" s="17"/>
      <c r="D120" s="17" t="s">
        <v>4798</v>
      </c>
      <c r="E120" s="537">
        <v>3.4354269057921516</v>
      </c>
      <c r="F120" s="537">
        <v>8.474811350585771</v>
      </c>
      <c r="G120" s="537">
        <v>13.400280289244066</v>
      </c>
      <c r="H120" s="537">
        <v>41.528001613483887</v>
      </c>
      <c r="I120" s="537">
        <v>119.15961295321873</v>
      </c>
      <c r="J120" s="537">
        <v>211.35718862302522</v>
      </c>
      <c r="K120" s="537">
        <v>300.89438417001855</v>
      </c>
      <c r="L120" s="537">
        <v>388.07068148643259</v>
      </c>
      <c r="M120" s="537">
        <v>473.1837385826957</v>
      </c>
      <c r="N120" s="537">
        <v>556.51730870358131</v>
      </c>
      <c r="O120" s="537">
        <v>638.33323102369638</v>
      </c>
      <c r="P120" s="537">
        <v>718.86698352390192</v>
      </c>
    </row>
    <row r="121" spans="1:16" x14ac:dyDescent="0.25">
      <c r="A121" s="17"/>
      <c r="B121" s="17"/>
      <c r="C121" s="17"/>
      <c r="D121" s="538" t="s">
        <v>4799</v>
      </c>
      <c r="E121" s="537">
        <v>30.596616343298749</v>
      </c>
      <c r="F121" s="537">
        <v>62.681445352743367</v>
      </c>
      <c r="G121" s="537">
        <v>98.81081569730307</v>
      </c>
      <c r="H121" s="537">
        <v>362.35529742892527</v>
      </c>
      <c r="I121" s="537">
        <v>831.48320210647466</v>
      </c>
      <c r="J121" s="537">
        <v>1365.1908601851555</v>
      </c>
      <c r="K121" s="537">
        <v>1788.8374455704407</v>
      </c>
      <c r="L121" s="537">
        <v>2104.1343790830433</v>
      </c>
      <c r="M121" s="537">
        <v>2378.7204723920281</v>
      </c>
      <c r="N121" s="537">
        <v>2617.9278059321223</v>
      </c>
      <c r="O121" s="537">
        <v>2836.2954378610912</v>
      </c>
      <c r="P121" s="537">
        <v>3047.6146795189625</v>
      </c>
    </row>
    <row r="122" spans="1:16" x14ac:dyDescent="0.25">
      <c r="A122" s="17"/>
      <c r="B122" s="17"/>
      <c r="C122" s="17"/>
      <c r="D122" s="17"/>
      <c r="E122" s="17"/>
      <c r="F122" s="17"/>
      <c r="G122" s="17"/>
      <c r="H122" s="17"/>
      <c r="I122" s="17"/>
      <c r="J122" s="17"/>
      <c r="K122" s="17"/>
      <c r="L122" s="17"/>
      <c r="M122" s="17"/>
      <c r="N122" s="17"/>
      <c r="O122" s="17"/>
      <c r="P122" s="17"/>
    </row>
    <row r="123" spans="1:16" x14ac:dyDescent="0.25">
      <c r="A123" s="17"/>
      <c r="B123" s="17"/>
      <c r="C123" s="17"/>
      <c r="D123" s="115" t="s">
        <v>4800</v>
      </c>
      <c r="E123" s="537">
        <v>0</v>
      </c>
      <c r="F123" s="537">
        <v>0</v>
      </c>
      <c r="G123" s="537">
        <v>0</v>
      </c>
      <c r="H123" s="537">
        <v>0</v>
      </c>
      <c r="I123" s="537">
        <v>0</v>
      </c>
      <c r="J123" s="537">
        <v>0</v>
      </c>
      <c r="K123" s="537">
        <v>0</v>
      </c>
      <c r="L123" s="537">
        <v>0</v>
      </c>
      <c r="M123" s="537">
        <v>0</v>
      </c>
      <c r="N123" s="537">
        <v>0</v>
      </c>
      <c r="O123" s="537">
        <v>0</v>
      </c>
      <c r="P123" s="537">
        <v>0</v>
      </c>
    </row>
    <row r="124" spans="1:16" x14ac:dyDescent="0.25">
      <c r="A124" s="17"/>
      <c r="B124" s="17"/>
      <c r="C124" s="17"/>
      <c r="D124" s="115" t="s">
        <v>4801</v>
      </c>
      <c r="E124" s="537">
        <v>0</v>
      </c>
      <c r="F124" s="537">
        <v>0</v>
      </c>
      <c r="G124" s="537">
        <v>127.0591617</v>
      </c>
      <c r="H124" s="537">
        <v>229.19049440000001</v>
      </c>
      <c r="I124" s="537">
        <v>334.23199440000002</v>
      </c>
      <c r="J124" s="537">
        <v>445.46897639999997</v>
      </c>
      <c r="K124" s="537">
        <v>555.6912994999999</v>
      </c>
      <c r="L124" s="537">
        <v>641.39388035000002</v>
      </c>
      <c r="M124" s="537">
        <v>706.51922464999996</v>
      </c>
      <c r="N124" s="537">
        <v>762.8127884999999</v>
      </c>
      <c r="O124" s="537">
        <v>809.35086884999998</v>
      </c>
      <c r="P124" s="537">
        <v>847.53604949999988</v>
      </c>
    </row>
    <row r="125" spans="1:16" x14ac:dyDescent="0.25">
      <c r="A125" s="17"/>
      <c r="B125" s="17"/>
      <c r="C125" s="17"/>
      <c r="D125" s="115" t="s">
        <v>4802</v>
      </c>
      <c r="E125" s="537">
        <v>0</v>
      </c>
      <c r="F125" s="537">
        <v>0</v>
      </c>
      <c r="G125" s="537">
        <v>84.024039150000007</v>
      </c>
      <c r="H125" s="537">
        <v>168.04807830000001</v>
      </c>
      <c r="I125" s="537">
        <v>252.07211744999998</v>
      </c>
      <c r="J125" s="537">
        <v>332.52378800000002</v>
      </c>
      <c r="K125" s="537">
        <v>390.31883255000002</v>
      </c>
      <c r="L125" s="537">
        <v>422.93700845000001</v>
      </c>
      <c r="M125" s="537">
        <v>445.72135434999996</v>
      </c>
      <c r="N125" s="537">
        <v>461.93876540000002</v>
      </c>
      <c r="O125" s="537">
        <v>474.44914534999998</v>
      </c>
      <c r="P125" s="537">
        <v>483.96385514999997</v>
      </c>
    </row>
    <row r="126" spans="1:16" x14ac:dyDescent="0.25">
      <c r="A126" s="17"/>
      <c r="B126" s="17"/>
      <c r="C126" s="17"/>
      <c r="D126" s="115" t="s">
        <v>4803</v>
      </c>
      <c r="E126" s="537">
        <v>0</v>
      </c>
      <c r="F126" s="537">
        <v>0</v>
      </c>
      <c r="G126" s="537">
        <v>44.412742250000001</v>
      </c>
      <c r="H126" s="537">
        <v>100.59119459999999</v>
      </c>
      <c r="I126" s="537">
        <v>178.66418674999997</v>
      </c>
      <c r="J126" s="537">
        <v>278.88711860000001</v>
      </c>
      <c r="K126" s="537">
        <v>403.02176229999998</v>
      </c>
      <c r="L126" s="537">
        <v>545.54884964999997</v>
      </c>
      <c r="M126" s="537">
        <v>699.19567940000002</v>
      </c>
      <c r="N126" s="537">
        <v>850.4652605</v>
      </c>
      <c r="O126" s="537">
        <v>984.68755805000001</v>
      </c>
      <c r="P126" s="537">
        <v>1092.70369235</v>
      </c>
    </row>
    <row r="127" spans="1:16" x14ac:dyDescent="0.25">
      <c r="A127" s="17"/>
      <c r="B127" s="17"/>
      <c r="C127" s="17"/>
      <c r="D127" s="115" t="s">
        <v>4804</v>
      </c>
      <c r="E127" s="537">
        <v>0</v>
      </c>
      <c r="F127" s="537">
        <v>0</v>
      </c>
      <c r="G127" s="537">
        <v>303.91359084999999</v>
      </c>
      <c r="H127" s="537">
        <v>622.93030355000008</v>
      </c>
      <c r="I127" s="537">
        <v>939.20820614999991</v>
      </c>
      <c r="J127" s="537">
        <v>1250.51095495</v>
      </c>
      <c r="K127" s="537">
        <v>1550.1673345499999</v>
      </c>
      <c r="L127" s="537">
        <v>1843.7866664999999</v>
      </c>
      <c r="M127" s="537">
        <v>2127.78202345</v>
      </c>
      <c r="N127" s="537">
        <v>2411.8825225999999</v>
      </c>
      <c r="O127" s="537">
        <v>2695.0681347</v>
      </c>
      <c r="P127" s="537">
        <v>2985.1653815499999</v>
      </c>
    </row>
    <row r="128" spans="1:16" x14ac:dyDescent="0.25">
      <c r="A128" s="17"/>
      <c r="B128" s="17"/>
      <c r="C128" s="17"/>
      <c r="D128" s="17" t="s">
        <v>4805</v>
      </c>
      <c r="E128" s="537">
        <v>0</v>
      </c>
      <c r="F128" s="537">
        <v>0</v>
      </c>
      <c r="G128" s="537">
        <v>24.142401226866181</v>
      </c>
      <c r="H128" s="537">
        <v>49.431404640294957</v>
      </c>
      <c r="I128" s="537">
        <v>52.498961614439835</v>
      </c>
      <c r="J128" s="537">
        <v>56.281198930928099</v>
      </c>
      <c r="K128" s="537">
        <v>60.719866277281923</v>
      </c>
      <c r="L128" s="537">
        <v>64.650016440320528</v>
      </c>
      <c r="M128" s="537">
        <v>68.982740922177044</v>
      </c>
      <c r="N128" s="537">
        <v>73.405930888816258</v>
      </c>
      <c r="O128" s="537">
        <v>77.94314254370434</v>
      </c>
      <c r="P128" s="537">
        <v>82.593992262683372</v>
      </c>
    </row>
    <row r="129" spans="1:16" x14ac:dyDescent="0.25">
      <c r="A129" s="17"/>
      <c r="B129" s="17"/>
      <c r="C129" s="17"/>
      <c r="D129" s="538" t="s">
        <v>4806</v>
      </c>
      <c r="E129" s="537">
        <v>0</v>
      </c>
      <c r="F129" s="537">
        <v>0</v>
      </c>
      <c r="G129" s="537">
        <v>583.55193517686621</v>
      </c>
      <c r="H129" s="537">
        <v>1170.1914754902948</v>
      </c>
      <c r="I129" s="537">
        <v>1756.6754663644397</v>
      </c>
      <c r="J129" s="537">
        <v>2363.6720368809279</v>
      </c>
      <c r="K129" s="537">
        <v>2959.9190951772816</v>
      </c>
      <c r="L129" s="537">
        <v>3518.3164213903201</v>
      </c>
      <c r="M129" s="537">
        <v>4048.2010227721771</v>
      </c>
      <c r="N129" s="537">
        <v>4560.505267888816</v>
      </c>
      <c r="O129" s="537">
        <v>5041.4988494937043</v>
      </c>
      <c r="P129" s="537">
        <v>5491.962970812684</v>
      </c>
    </row>
    <row r="130" spans="1:16" x14ac:dyDescent="0.25">
      <c r="A130" s="17"/>
      <c r="B130" s="17"/>
      <c r="C130" s="17"/>
      <c r="D130" s="17"/>
      <c r="E130" s="537"/>
      <c r="F130" s="537"/>
      <c r="G130" s="537"/>
      <c r="H130" s="537"/>
      <c r="I130" s="537"/>
      <c r="J130" s="537"/>
      <c r="K130" s="537"/>
      <c r="L130" s="537"/>
      <c r="M130" s="537"/>
      <c r="N130" s="537"/>
      <c r="O130" s="537"/>
      <c r="P130" s="537"/>
    </row>
    <row r="131" spans="1:16" x14ac:dyDescent="0.25">
      <c r="A131" s="17"/>
      <c r="B131" s="17"/>
      <c r="C131" s="17"/>
      <c r="D131" s="538" t="s">
        <v>4807</v>
      </c>
      <c r="E131" s="537">
        <v>0</v>
      </c>
      <c r="F131" s="537">
        <v>0</v>
      </c>
      <c r="G131" s="537">
        <v>0</v>
      </c>
      <c r="H131" s="537">
        <v>0</v>
      </c>
      <c r="I131" s="537">
        <v>0</v>
      </c>
      <c r="J131" s="537">
        <v>0</v>
      </c>
      <c r="K131" s="537">
        <v>0</v>
      </c>
      <c r="L131" s="537">
        <v>0</v>
      </c>
      <c r="M131" s="537">
        <v>0</v>
      </c>
      <c r="N131" s="537">
        <v>187.1950040996835</v>
      </c>
      <c r="O131" s="537">
        <v>375.19310616393705</v>
      </c>
      <c r="P131" s="537">
        <v>541.33641529105944</v>
      </c>
    </row>
    <row r="132" spans="1:16" x14ac:dyDescent="0.25">
      <c r="A132" s="17"/>
      <c r="B132" s="17"/>
      <c r="C132" s="17"/>
      <c r="D132" s="17"/>
      <c r="E132" s="17"/>
      <c r="F132" s="17"/>
      <c r="G132" s="17"/>
      <c r="H132" s="17"/>
      <c r="I132" s="17"/>
      <c r="J132" s="17"/>
      <c r="K132" s="17"/>
      <c r="L132" s="17"/>
      <c r="M132" s="17"/>
      <c r="N132" s="17"/>
      <c r="O132" s="17"/>
      <c r="P132" s="17"/>
    </row>
    <row r="133" spans="1:16" x14ac:dyDescent="0.25">
      <c r="A133" s="17"/>
      <c r="B133" s="17"/>
      <c r="C133" s="17"/>
      <c r="D133" s="539" t="s">
        <v>4808</v>
      </c>
      <c r="E133" s="540">
        <v>30.596616343298749</v>
      </c>
      <c r="F133" s="540">
        <v>62.681445352743367</v>
      </c>
      <c r="G133" s="540">
        <v>682.36275087416914</v>
      </c>
      <c r="H133" s="540">
        <v>1532.5467729192201</v>
      </c>
      <c r="I133" s="540">
        <v>2588.1586684709141</v>
      </c>
      <c r="J133" s="540">
        <v>3728.8628970660834</v>
      </c>
      <c r="K133" s="540">
        <v>4748.7565407477223</v>
      </c>
      <c r="L133" s="540">
        <v>5622.4508004733643</v>
      </c>
      <c r="M133" s="540">
        <v>6426.9214951642052</v>
      </c>
      <c r="N133" s="540">
        <v>7365.6280779206218</v>
      </c>
      <c r="O133" s="540">
        <v>8252.9873935187334</v>
      </c>
      <c r="P133" s="540">
        <v>9080.9140656227064</v>
      </c>
    </row>
    <row r="134" spans="1:16" ht="30" x14ac:dyDescent="0.25">
      <c r="A134" s="17"/>
      <c r="B134" s="17"/>
      <c r="C134" s="17"/>
      <c r="D134" s="496" t="s">
        <v>4809</v>
      </c>
      <c r="E134" s="537">
        <v>2.4576781115597504</v>
      </c>
      <c r="F134" s="537">
        <v>12.554630842588207</v>
      </c>
      <c r="G134" s="537">
        <v>399.30881184423492</v>
      </c>
      <c r="H134" s="537">
        <v>807.24025239068408</v>
      </c>
      <c r="I134" s="537">
        <v>1629.8347310696374</v>
      </c>
      <c r="J134" s="537">
        <v>2803.9802731592513</v>
      </c>
      <c r="K134" s="537">
        <v>4025.0125731322482</v>
      </c>
      <c r="L134" s="537">
        <v>5016.4662439718995</v>
      </c>
      <c r="M134" s="537">
        <v>5871.4294453778029</v>
      </c>
      <c r="N134" s="537">
        <v>6529.8228701459248</v>
      </c>
      <c r="O134" s="537">
        <v>6663.6843506381938</v>
      </c>
      <c r="P134" s="537">
        <v>6714.2449858788414</v>
      </c>
    </row>
    <row r="135" spans="1:16" x14ac:dyDescent="0.25">
      <c r="A135" s="17"/>
      <c r="B135" s="17"/>
      <c r="C135" s="17"/>
      <c r="D135" s="17"/>
      <c r="E135" s="17"/>
      <c r="F135" s="17"/>
      <c r="G135" s="17"/>
      <c r="H135" s="17"/>
      <c r="I135" s="17"/>
      <c r="J135" s="17"/>
      <c r="K135" s="17"/>
      <c r="L135" s="17"/>
      <c r="M135" s="17"/>
      <c r="N135" s="17"/>
      <c r="O135" s="17"/>
      <c r="P135" s="17"/>
    </row>
    <row r="136" spans="1:16" x14ac:dyDescent="0.25">
      <c r="A136" s="17" t="s">
        <v>4811</v>
      </c>
      <c r="B136" s="17" t="s">
        <v>4810</v>
      </c>
      <c r="C136" s="17"/>
      <c r="D136" s="17"/>
      <c r="E136" s="536">
        <v>2011</v>
      </c>
      <c r="F136" s="536">
        <v>2012</v>
      </c>
      <c r="G136" s="536">
        <v>2013</v>
      </c>
      <c r="H136" s="536">
        <v>2014</v>
      </c>
      <c r="I136" s="536">
        <v>2015</v>
      </c>
      <c r="J136" s="536">
        <v>2016</v>
      </c>
      <c r="K136" s="536">
        <v>2017</v>
      </c>
      <c r="L136" s="536">
        <v>2018</v>
      </c>
      <c r="M136" s="536">
        <v>2019</v>
      </c>
      <c r="N136" s="536">
        <v>2020</v>
      </c>
      <c r="O136" s="536">
        <v>2021</v>
      </c>
      <c r="P136" s="536">
        <v>2022</v>
      </c>
    </row>
    <row r="137" spans="1:16" x14ac:dyDescent="0.25">
      <c r="A137" s="17"/>
      <c r="B137" s="17"/>
      <c r="C137" s="17"/>
      <c r="D137" s="17" t="s">
        <v>4796</v>
      </c>
      <c r="E137" s="537">
        <v>0</v>
      </c>
      <c r="F137" s="537">
        <v>0</v>
      </c>
      <c r="G137" s="537">
        <v>0</v>
      </c>
      <c r="H137" s="537">
        <v>14.605033367536244</v>
      </c>
      <c r="I137" s="537">
        <v>40.006510721158612</v>
      </c>
      <c r="J137" s="537">
        <v>68.792442856461236</v>
      </c>
      <c r="K137" s="537">
        <v>85.710555721786477</v>
      </c>
      <c r="L137" s="537">
        <v>95.469892912420661</v>
      </c>
      <c r="M137" s="537">
        <v>103.07086287441282</v>
      </c>
      <c r="N137" s="537">
        <v>106.37674061763795</v>
      </c>
      <c r="O137" s="537">
        <v>107.70133274508585</v>
      </c>
      <c r="P137" s="537">
        <v>108.97354832869046</v>
      </c>
    </row>
    <row r="138" spans="1:16" x14ac:dyDescent="0.25">
      <c r="A138" s="17"/>
      <c r="B138" s="17"/>
      <c r="C138" s="17"/>
      <c r="D138" s="115" t="s">
        <v>4797</v>
      </c>
      <c r="E138" s="537">
        <v>0</v>
      </c>
      <c r="F138" s="537">
        <v>3.2433616711408981</v>
      </c>
      <c r="G138" s="537">
        <v>6.582869411183645</v>
      </c>
      <c r="H138" s="537">
        <v>17.136461922191554</v>
      </c>
      <c r="I138" s="537">
        <v>69.322806358774372</v>
      </c>
      <c r="J138" s="537">
        <v>122.14915124734719</v>
      </c>
      <c r="K138" s="537">
        <v>174.60959783775857</v>
      </c>
      <c r="L138" s="537">
        <v>223.38643295440116</v>
      </c>
      <c r="M138" s="537">
        <v>270.15435989846378</v>
      </c>
      <c r="N138" s="537">
        <v>315.82411318506325</v>
      </c>
      <c r="O138" s="537">
        <v>361.65322339119444</v>
      </c>
      <c r="P138" s="537">
        <v>407.46354455091478</v>
      </c>
    </row>
    <row r="139" spans="1:16" x14ac:dyDescent="0.25">
      <c r="A139" s="17"/>
      <c r="B139" s="17"/>
      <c r="C139" s="17"/>
      <c r="D139" s="17" t="s">
        <v>4798</v>
      </c>
      <c r="E139" s="537">
        <v>0</v>
      </c>
      <c r="F139" s="537">
        <v>2.012335720410209</v>
      </c>
      <c r="G139" s="537">
        <v>3.9788251126616183</v>
      </c>
      <c r="H139" s="537">
        <v>12.675679945796546</v>
      </c>
      <c r="I139" s="537">
        <v>35.216711413423837</v>
      </c>
      <c r="J139" s="537">
        <v>62.161012717907909</v>
      </c>
      <c r="K139" s="537">
        <v>88.352280453210781</v>
      </c>
      <c r="L139" s="537">
        <v>113.87727020214426</v>
      </c>
      <c r="M139" s="537">
        <v>138.82179427569696</v>
      </c>
      <c r="N139" s="537">
        <v>163.26723432759567</v>
      </c>
      <c r="O139" s="537">
        <v>187.28829975242084</v>
      </c>
      <c r="P139" s="537">
        <v>210.9518469377133</v>
      </c>
    </row>
    <row r="140" spans="1:16" x14ac:dyDescent="0.25">
      <c r="A140" s="17"/>
      <c r="B140" s="17"/>
      <c r="C140" s="17"/>
      <c r="D140" s="538" t="s">
        <v>4799</v>
      </c>
      <c r="E140" s="537">
        <v>0</v>
      </c>
      <c r="F140" s="537">
        <v>5.2556973915511085</v>
      </c>
      <c r="G140" s="537">
        <v>10.561694523845263</v>
      </c>
      <c r="H140" s="537">
        <v>44.417175235524354</v>
      </c>
      <c r="I140" s="537">
        <v>144.54602849335683</v>
      </c>
      <c r="J140" s="537">
        <v>253.10260682171634</v>
      </c>
      <c r="K140" s="537">
        <v>348.67243401275579</v>
      </c>
      <c r="L140" s="537">
        <v>432.73359606896611</v>
      </c>
      <c r="M140" s="537">
        <v>512.04701704857359</v>
      </c>
      <c r="N140" s="537">
        <v>585.46808813029679</v>
      </c>
      <c r="O140" s="537">
        <v>656.64285588870109</v>
      </c>
      <c r="P140" s="537">
        <v>727.3889398173186</v>
      </c>
    </row>
    <row r="141" spans="1:16" x14ac:dyDescent="0.25">
      <c r="A141" s="17"/>
      <c r="B141" s="17"/>
      <c r="C141" s="17"/>
      <c r="D141" s="17"/>
      <c r="E141" s="17"/>
      <c r="F141" s="17"/>
      <c r="G141" s="17"/>
      <c r="H141" s="17"/>
      <c r="I141" s="17"/>
      <c r="J141" s="17"/>
      <c r="K141" s="17"/>
      <c r="L141" s="17"/>
      <c r="M141" s="17"/>
      <c r="N141" s="17"/>
      <c r="O141" s="17"/>
      <c r="P141" s="17"/>
    </row>
    <row r="142" spans="1:16" x14ac:dyDescent="0.25">
      <c r="A142" s="17"/>
      <c r="B142" s="17"/>
      <c r="C142" s="17"/>
      <c r="D142" s="115" t="s">
        <v>4800</v>
      </c>
      <c r="E142" s="537">
        <v>0</v>
      </c>
      <c r="F142" s="537">
        <v>0</v>
      </c>
      <c r="G142" s="537">
        <v>0</v>
      </c>
      <c r="H142" s="537">
        <v>0</v>
      </c>
      <c r="I142" s="537">
        <v>0</v>
      </c>
      <c r="J142" s="537">
        <v>0</v>
      </c>
      <c r="K142" s="537">
        <v>0</v>
      </c>
      <c r="L142" s="537">
        <v>0</v>
      </c>
      <c r="M142" s="537">
        <v>0</v>
      </c>
      <c r="N142" s="537">
        <v>0</v>
      </c>
      <c r="O142" s="537">
        <v>0</v>
      </c>
      <c r="P142" s="537">
        <v>0</v>
      </c>
    </row>
    <row r="143" spans="1:16" x14ac:dyDescent="0.25">
      <c r="A143" s="17"/>
      <c r="B143" s="17"/>
      <c r="C143" s="17"/>
      <c r="D143" s="115" t="s">
        <v>4801</v>
      </c>
      <c r="E143" s="537">
        <v>0</v>
      </c>
      <c r="F143" s="537">
        <v>0</v>
      </c>
      <c r="G143" s="537">
        <v>29.828099999999999</v>
      </c>
      <c r="H143" s="537">
        <v>55.313749999999999</v>
      </c>
      <c r="I143" s="537">
        <v>79.780999999999992</v>
      </c>
      <c r="J143" s="537">
        <v>104.4639</v>
      </c>
      <c r="K143" s="537">
        <v>128.64519999999999</v>
      </c>
      <c r="L143" s="537">
        <v>148.08029999999999</v>
      </c>
      <c r="M143" s="537">
        <v>162.66374999999999</v>
      </c>
      <c r="N143" s="537">
        <v>175.63884999999999</v>
      </c>
      <c r="O143" s="537">
        <v>186.93815000000001</v>
      </c>
      <c r="P143" s="537">
        <v>196.66804999999999</v>
      </c>
    </row>
    <row r="144" spans="1:16" x14ac:dyDescent="0.25">
      <c r="A144" s="17"/>
      <c r="B144" s="17"/>
      <c r="C144" s="17"/>
      <c r="D144" s="115" t="s">
        <v>4802</v>
      </c>
      <c r="E144" s="537">
        <v>0</v>
      </c>
      <c r="F144" s="537">
        <v>0</v>
      </c>
      <c r="G144" s="537">
        <v>21.805350000000001</v>
      </c>
      <c r="H144" s="537">
        <v>43.610700000000001</v>
      </c>
      <c r="I144" s="537">
        <v>65.417000000000002</v>
      </c>
      <c r="J144" s="537">
        <v>86.225799999999992</v>
      </c>
      <c r="K144" s="537">
        <v>101.10849999999999</v>
      </c>
      <c r="L144" s="537">
        <v>109.459</v>
      </c>
      <c r="M144" s="537">
        <v>115.27584999999999</v>
      </c>
      <c r="N144" s="537">
        <v>119.39124999999999</v>
      </c>
      <c r="O144" s="537">
        <v>122.5633</v>
      </c>
      <c r="P144" s="537">
        <v>124.9706</v>
      </c>
    </row>
    <row r="145" spans="1:16" x14ac:dyDescent="0.25">
      <c r="A145" s="17"/>
      <c r="B145" s="17"/>
      <c r="C145" s="17"/>
      <c r="D145" s="115" t="s">
        <v>4803</v>
      </c>
      <c r="E145" s="537">
        <v>0</v>
      </c>
      <c r="F145" s="537">
        <v>0</v>
      </c>
      <c r="G145" s="537">
        <v>17.270049999999998</v>
      </c>
      <c r="H145" s="537">
        <v>13.180299999999999</v>
      </c>
      <c r="I145" s="537">
        <v>20.623549999999998</v>
      </c>
      <c r="J145" s="537">
        <v>29.313199999999998</v>
      </c>
      <c r="K145" s="537">
        <v>38.476900000000001</v>
      </c>
      <c r="L145" s="537">
        <v>47.631099999999989</v>
      </c>
      <c r="M145" s="537">
        <v>56.5687</v>
      </c>
      <c r="N145" s="537">
        <v>65.44265</v>
      </c>
      <c r="O145" s="537">
        <v>73.991700000000009</v>
      </c>
      <c r="P145" s="537">
        <v>82.170249999999996</v>
      </c>
    </row>
    <row r="146" spans="1:16" x14ac:dyDescent="0.25">
      <c r="A146" s="17"/>
      <c r="B146" s="17"/>
      <c r="C146" s="17"/>
      <c r="D146" s="115" t="s">
        <v>4804</v>
      </c>
      <c r="E146" s="537">
        <v>0</v>
      </c>
      <c r="F146" s="537">
        <v>0</v>
      </c>
      <c r="G146" s="537">
        <v>46.96895</v>
      </c>
      <c r="H146" s="537">
        <v>97.369299999999996</v>
      </c>
      <c r="I146" s="537">
        <v>147.71549999999999</v>
      </c>
      <c r="J146" s="537">
        <v>197.47554999999997</v>
      </c>
      <c r="K146" s="537">
        <v>245.41444999999999</v>
      </c>
      <c r="L146" s="537">
        <v>292.32925</v>
      </c>
      <c r="M146" s="537">
        <v>337.30319999999995</v>
      </c>
      <c r="N146" s="537">
        <v>381.88480000000004</v>
      </c>
      <c r="O146" s="537">
        <v>425.98379999999997</v>
      </c>
      <c r="P146" s="537">
        <v>470.67559999999992</v>
      </c>
    </row>
    <row r="147" spans="1:16" x14ac:dyDescent="0.25">
      <c r="A147" s="17"/>
      <c r="B147" s="17"/>
      <c r="C147" s="17"/>
      <c r="D147" s="17" t="s">
        <v>4805</v>
      </c>
      <c r="E147" s="537">
        <v>0</v>
      </c>
      <c r="F147" s="537">
        <v>0</v>
      </c>
      <c r="G147" s="537">
        <v>0</v>
      </c>
      <c r="H147" s="537">
        <v>0</v>
      </c>
      <c r="I147" s="537">
        <v>0</v>
      </c>
      <c r="J147" s="537">
        <v>0</v>
      </c>
      <c r="K147" s="537">
        <v>0</v>
      </c>
      <c r="L147" s="537">
        <v>0</v>
      </c>
      <c r="M147" s="537">
        <v>0</v>
      </c>
      <c r="N147" s="537">
        <v>0</v>
      </c>
      <c r="O147" s="537">
        <v>0</v>
      </c>
      <c r="P147" s="537">
        <v>0</v>
      </c>
    </row>
    <row r="148" spans="1:16" x14ac:dyDescent="0.25">
      <c r="A148" s="17"/>
      <c r="B148" s="17"/>
      <c r="C148" s="17"/>
      <c r="D148" s="538" t="s">
        <v>4806</v>
      </c>
      <c r="E148" s="537">
        <v>0</v>
      </c>
      <c r="F148" s="537">
        <v>0</v>
      </c>
      <c r="G148" s="537">
        <v>115.87245</v>
      </c>
      <c r="H148" s="537">
        <v>209.47405000000001</v>
      </c>
      <c r="I148" s="537">
        <v>313.53705000000002</v>
      </c>
      <c r="J148" s="537">
        <v>417.47844999999995</v>
      </c>
      <c r="K148" s="537">
        <v>513.64504999999997</v>
      </c>
      <c r="L148" s="537">
        <v>597.49965000000009</v>
      </c>
      <c r="M148" s="537">
        <v>671.81150000000002</v>
      </c>
      <c r="N148" s="537">
        <v>742.35754999999995</v>
      </c>
      <c r="O148" s="537">
        <v>809.47694999999999</v>
      </c>
      <c r="P148" s="537">
        <v>874.48449999999991</v>
      </c>
    </row>
    <row r="149" spans="1:16" x14ac:dyDescent="0.25">
      <c r="A149" s="17"/>
      <c r="B149" s="17"/>
      <c r="C149" s="17"/>
      <c r="D149" s="17"/>
      <c r="E149" s="537"/>
      <c r="F149" s="537"/>
      <c r="G149" s="537"/>
      <c r="H149" s="537"/>
      <c r="I149" s="537"/>
      <c r="J149" s="537"/>
      <c r="K149" s="537"/>
      <c r="L149" s="537"/>
      <c r="M149" s="537"/>
      <c r="N149" s="537"/>
      <c r="O149" s="537"/>
      <c r="P149" s="537"/>
    </row>
    <row r="150" spans="1:16" x14ac:dyDescent="0.25">
      <c r="A150" s="17"/>
      <c r="B150" s="17"/>
      <c r="C150" s="17"/>
      <c r="D150" s="538" t="s">
        <v>4807</v>
      </c>
      <c r="E150" s="537">
        <v>0</v>
      </c>
      <c r="F150" s="537">
        <v>0</v>
      </c>
      <c r="G150" s="537">
        <v>0.99963971389802708</v>
      </c>
      <c r="H150" s="537">
        <v>35.483425168611163</v>
      </c>
      <c r="I150" s="537">
        <v>87.162127954811496</v>
      </c>
      <c r="J150" s="537">
        <v>109.68936895972843</v>
      </c>
      <c r="K150" s="537">
        <v>115.31723381181756</v>
      </c>
      <c r="L150" s="537">
        <v>92.308327341296859</v>
      </c>
      <c r="M150" s="537">
        <v>151.46729070033757</v>
      </c>
      <c r="N150" s="537">
        <v>209.67626559415407</v>
      </c>
      <c r="O150" s="537">
        <v>263.6073989398032</v>
      </c>
      <c r="P150" s="537">
        <v>323.98684138730755</v>
      </c>
    </row>
    <row r="151" spans="1:16" x14ac:dyDescent="0.25">
      <c r="A151" s="17"/>
      <c r="B151" s="17"/>
      <c r="C151" s="17"/>
      <c r="D151" s="17"/>
      <c r="E151" s="17"/>
      <c r="F151" s="17"/>
      <c r="G151" s="17"/>
      <c r="H151" s="17"/>
      <c r="I151" s="17"/>
      <c r="J151" s="17"/>
      <c r="K151" s="17"/>
      <c r="L151" s="17"/>
      <c r="M151" s="17"/>
      <c r="N151" s="17"/>
      <c r="O151" s="17"/>
      <c r="P151" s="17"/>
    </row>
    <row r="152" spans="1:16" x14ac:dyDescent="0.25">
      <c r="A152" s="17"/>
      <c r="B152" s="17"/>
      <c r="C152" s="17"/>
      <c r="D152" s="539" t="s">
        <v>4808</v>
      </c>
      <c r="E152" s="540">
        <v>0</v>
      </c>
      <c r="F152" s="540">
        <v>5.2556973915511085</v>
      </c>
      <c r="G152" s="540">
        <v>127.43378423774328</v>
      </c>
      <c r="H152" s="540">
        <v>289.37465040413548</v>
      </c>
      <c r="I152" s="540">
        <v>545.24520644816835</v>
      </c>
      <c r="J152" s="540">
        <v>780.27042578144471</v>
      </c>
      <c r="K152" s="540">
        <v>977.63471782457327</v>
      </c>
      <c r="L152" s="540">
        <v>1122.541573410263</v>
      </c>
      <c r="M152" s="540">
        <v>1335.3258077489111</v>
      </c>
      <c r="N152" s="540">
        <v>1537.5019037244508</v>
      </c>
      <c r="O152" s="540">
        <v>1729.7272048285042</v>
      </c>
      <c r="P152" s="540">
        <v>1925.8602812046261</v>
      </c>
    </row>
    <row r="153" spans="1:16" ht="30" x14ac:dyDescent="0.25">
      <c r="A153" s="17"/>
      <c r="B153" s="17"/>
      <c r="C153" s="17"/>
      <c r="D153" s="496" t="s">
        <v>4809</v>
      </c>
      <c r="E153" s="537">
        <v>0</v>
      </c>
      <c r="F153" s="537">
        <v>1.4822122659450963</v>
      </c>
      <c r="G153" s="537">
        <v>83.555621175117608</v>
      </c>
      <c r="H153" s="537">
        <v>150.21558827209168</v>
      </c>
      <c r="I153" s="537">
        <v>340.17451197722198</v>
      </c>
      <c r="J153" s="537">
        <v>573.61326032107752</v>
      </c>
      <c r="K153" s="537">
        <v>798.38707633993124</v>
      </c>
      <c r="L153" s="537">
        <v>994.55094926876086</v>
      </c>
      <c r="M153" s="537">
        <v>1154.2446499482762</v>
      </c>
      <c r="N153" s="537">
        <v>1251.9290110168208</v>
      </c>
      <c r="O153" s="537">
        <v>1260.9789446463064</v>
      </c>
      <c r="P153" s="537">
        <v>1274.7078751577687</v>
      </c>
    </row>
    <row r="156" spans="1:16" s="491" customFormat="1" ht="15.75" x14ac:dyDescent="0.25">
      <c r="A156" s="541" t="s">
        <v>4812</v>
      </c>
      <c r="B156" s="541"/>
      <c r="C156" s="541"/>
      <c r="D156" s="541"/>
      <c r="E156" s="542"/>
      <c r="F156" s="542"/>
      <c r="G156" s="542"/>
      <c r="H156" s="542"/>
      <c r="I156" s="542"/>
      <c r="J156" s="542"/>
      <c r="K156" s="542"/>
      <c r="L156" s="542"/>
      <c r="M156" s="542"/>
      <c r="N156" s="542"/>
      <c r="O156" s="542"/>
      <c r="P156" s="542"/>
    </row>
    <row r="157" spans="1:16" x14ac:dyDescent="0.25">
      <c r="A157" s="17"/>
      <c r="B157" s="17"/>
      <c r="C157" s="17"/>
      <c r="D157" s="17"/>
      <c r="E157" s="17"/>
      <c r="F157" s="17"/>
      <c r="G157" s="17"/>
      <c r="H157" s="17"/>
      <c r="I157" s="17"/>
      <c r="J157" s="17"/>
      <c r="K157" s="17"/>
      <c r="L157" s="17"/>
      <c r="M157" s="17"/>
      <c r="N157" s="17"/>
      <c r="O157" s="17"/>
      <c r="P157" s="17"/>
    </row>
    <row r="158" spans="1:16" x14ac:dyDescent="0.25">
      <c r="A158" s="17" t="s">
        <v>3432</v>
      </c>
      <c r="B158" s="17" t="s">
        <v>4795</v>
      </c>
      <c r="C158" s="17"/>
      <c r="D158" s="17"/>
      <c r="E158" s="536">
        <v>2011</v>
      </c>
      <c r="F158" s="536">
        <v>2012</v>
      </c>
      <c r="G158" s="536">
        <v>2013</v>
      </c>
      <c r="H158" s="536">
        <v>2014</v>
      </c>
      <c r="I158" s="536">
        <v>2015</v>
      </c>
      <c r="J158" s="536">
        <v>2016</v>
      </c>
      <c r="K158" s="536">
        <v>2017</v>
      </c>
      <c r="L158" s="536">
        <v>2018</v>
      </c>
      <c r="M158" s="536">
        <v>2019</v>
      </c>
      <c r="N158" s="536">
        <v>2020</v>
      </c>
      <c r="O158" s="536">
        <v>2021</v>
      </c>
      <c r="P158" s="536">
        <v>2022</v>
      </c>
    </row>
    <row r="159" spans="1:16" x14ac:dyDescent="0.25">
      <c r="A159" s="17"/>
      <c r="B159" s="17"/>
      <c r="C159" s="17"/>
      <c r="D159" s="17" t="s">
        <v>4796</v>
      </c>
      <c r="E159" s="537">
        <v>0</v>
      </c>
      <c r="F159" s="537">
        <v>0</v>
      </c>
      <c r="G159" s="537">
        <v>0</v>
      </c>
      <c r="H159" s="537">
        <v>93.131843388834639</v>
      </c>
      <c r="I159" s="537">
        <v>206.04272481031356</v>
      </c>
      <c r="J159" s="537">
        <v>342.97720977513245</v>
      </c>
      <c r="K159" s="537">
        <v>422.41233203475531</v>
      </c>
      <c r="L159" s="537">
        <v>462.53781312677444</v>
      </c>
      <c r="M159" s="537">
        <v>493.83794720707129</v>
      </c>
      <c r="N159" s="537">
        <v>513.20602048120611</v>
      </c>
      <c r="O159" s="537">
        <v>521.78794335130829</v>
      </c>
      <c r="P159" s="537">
        <v>527.21243444607978</v>
      </c>
    </row>
    <row r="160" spans="1:16" x14ac:dyDescent="0.25">
      <c r="A160" s="17"/>
      <c r="B160" s="17"/>
      <c r="C160" s="17"/>
      <c r="D160" s="115" t="s">
        <v>4797</v>
      </c>
      <c r="E160" s="537">
        <v>14.986355419892693</v>
      </c>
      <c r="F160" s="537">
        <v>29.908847885379963</v>
      </c>
      <c r="G160" s="537">
        <v>47.125794810037789</v>
      </c>
      <c r="H160" s="537">
        <v>83.781050373720703</v>
      </c>
      <c r="I160" s="537">
        <v>193.08044366008437</v>
      </c>
      <c r="J160" s="537">
        <v>305.88252563947697</v>
      </c>
      <c r="K160" s="537">
        <v>416.91853688171591</v>
      </c>
      <c r="L160" s="537">
        <v>508.75816341872246</v>
      </c>
      <c r="M160" s="537">
        <v>588.10418147081134</v>
      </c>
      <c r="N160" s="537">
        <v>660.85117863045514</v>
      </c>
      <c r="O160" s="537">
        <v>733.60681123017719</v>
      </c>
      <c r="P160" s="537">
        <v>806.32232080261565</v>
      </c>
    </row>
    <row r="161" spans="1:16" x14ac:dyDescent="0.25">
      <c r="A161" s="17"/>
      <c r="B161" s="17"/>
      <c r="C161" s="17"/>
      <c r="D161" s="17" t="s">
        <v>4798</v>
      </c>
      <c r="E161" s="537">
        <v>1.8955181895741631</v>
      </c>
      <c r="F161" s="537">
        <v>4.676029940023068</v>
      </c>
      <c r="G161" s="537">
        <v>7.3936881005469477</v>
      </c>
      <c r="H161" s="537">
        <v>22.9133335080733</v>
      </c>
      <c r="I161" s="537">
        <v>65.747058519750823</v>
      </c>
      <c r="J161" s="537">
        <v>116.61764506086112</v>
      </c>
      <c r="K161" s="537">
        <v>166.02035030155088</v>
      </c>
      <c r="L161" s="537">
        <v>214.12041524089955</v>
      </c>
      <c r="M161" s="537">
        <v>261.08207453984198</v>
      </c>
      <c r="N161" s="537">
        <v>307.06189081827029</v>
      </c>
      <c r="O161" s="537">
        <v>352.20433547139123</v>
      </c>
      <c r="P161" s="537">
        <v>396.63933494159659</v>
      </c>
    </row>
    <row r="162" spans="1:16" x14ac:dyDescent="0.25">
      <c r="A162" s="17"/>
      <c r="B162" s="17"/>
      <c r="C162" s="17"/>
      <c r="D162" s="538" t="s">
        <v>4799</v>
      </c>
      <c r="E162" s="537">
        <v>16.881873609466854</v>
      </c>
      <c r="F162" s="537">
        <v>34.584877825403034</v>
      </c>
      <c r="G162" s="537">
        <v>54.519482910584735</v>
      </c>
      <c r="H162" s="537">
        <v>199.82622727062864</v>
      </c>
      <c r="I162" s="537">
        <v>464.87022699014869</v>
      </c>
      <c r="J162" s="537">
        <v>765.47738047547057</v>
      </c>
      <c r="K162" s="537">
        <v>1005.3512192180222</v>
      </c>
      <c r="L162" s="537">
        <v>1185.4163917863964</v>
      </c>
      <c r="M162" s="537">
        <v>1343.0242032177248</v>
      </c>
      <c r="N162" s="537">
        <v>1481.1190899299315</v>
      </c>
      <c r="O162" s="537">
        <v>1607.5990900528766</v>
      </c>
      <c r="P162" s="537">
        <v>1730.1740901902922</v>
      </c>
    </row>
    <row r="163" spans="1:16" x14ac:dyDescent="0.25">
      <c r="A163" s="17"/>
      <c r="B163" s="17"/>
      <c r="C163" s="17"/>
      <c r="D163" s="17"/>
      <c r="E163" s="17"/>
      <c r="F163" s="17"/>
      <c r="G163" s="17"/>
      <c r="H163" s="17"/>
      <c r="I163" s="17"/>
      <c r="J163" s="17"/>
      <c r="K163" s="17"/>
      <c r="L163" s="17"/>
      <c r="M163" s="17"/>
      <c r="N163" s="17"/>
      <c r="O163" s="17"/>
      <c r="P163" s="17"/>
    </row>
    <row r="164" spans="1:16" x14ac:dyDescent="0.25">
      <c r="A164" s="17"/>
      <c r="B164" s="17"/>
      <c r="C164" s="17"/>
      <c r="D164" s="115" t="s">
        <v>4813</v>
      </c>
      <c r="E164" s="537">
        <v>0</v>
      </c>
      <c r="F164" s="537">
        <v>0</v>
      </c>
      <c r="G164" s="537">
        <v>23.857914999999998</v>
      </c>
      <c r="H164" s="537">
        <v>57.852482000000002</v>
      </c>
      <c r="I164" s="537">
        <v>107.982811</v>
      </c>
      <c r="J164" s="537">
        <v>180.52272099999999</v>
      </c>
      <c r="K164" s="537">
        <v>278.471768</v>
      </c>
      <c r="L164" s="537">
        <v>401.41747900000001</v>
      </c>
      <c r="M164" s="537">
        <v>546.00781900000004</v>
      </c>
      <c r="N164" s="537">
        <v>704.42973400000005</v>
      </c>
      <c r="O164" s="537">
        <v>866.53453300000001</v>
      </c>
      <c r="P164" s="537">
        <v>1021.858258</v>
      </c>
    </row>
    <row r="165" spans="1:16" x14ac:dyDescent="0.25">
      <c r="A165" s="17"/>
      <c r="B165" s="17"/>
      <c r="C165" s="17"/>
      <c r="D165" s="115" t="s">
        <v>4801</v>
      </c>
      <c r="E165" s="537">
        <v>0</v>
      </c>
      <c r="F165" s="537">
        <v>0</v>
      </c>
      <c r="G165" s="537">
        <v>54.273800000000001</v>
      </c>
      <c r="H165" s="537">
        <v>87.141690999999994</v>
      </c>
      <c r="I165" s="537">
        <v>119.778491</v>
      </c>
      <c r="J165" s="537">
        <v>154.841061</v>
      </c>
      <c r="K165" s="537">
        <v>188.94211999999999</v>
      </c>
      <c r="L165" s="537">
        <v>215.46077399999999</v>
      </c>
      <c r="M165" s="537">
        <v>238.29504399999999</v>
      </c>
      <c r="N165" s="537">
        <v>258.76387099999999</v>
      </c>
      <c r="O165" s="537">
        <v>275.77020499999998</v>
      </c>
      <c r="P165" s="537">
        <v>290.36064900000002</v>
      </c>
    </row>
    <row r="166" spans="1:16" x14ac:dyDescent="0.25">
      <c r="A166" s="17"/>
      <c r="B166" s="17"/>
      <c r="C166" s="17"/>
      <c r="D166" s="115" t="s">
        <v>4802</v>
      </c>
      <c r="E166" s="537">
        <v>0</v>
      </c>
      <c r="F166" s="537">
        <v>0</v>
      </c>
      <c r="G166" s="537">
        <v>46.626750000000001</v>
      </c>
      <c r="H166" s="537">
        <v>93.253500000000003</v>
      </c>
      <c r="I166" s="537">
        <v>139.88024999999999</v>
      </c>
      <c r="J166" s="537">
        <v>185.63463999999999</v>
      </c>
      <c r="K166" s="537">
        <v>217.22153599999999</v>
      </c>
      <c r="L166" s="537">
        <v>234.07652899999999</v>
      </c>
      <c r="M166" s="537">
        <v>245.533885</v>
      </c>
      <c r="N166" s="537">
        <v>253.21363299999999</v>
      </c>
      <c r="O166" s="537">
        <v>259.08942500000001</v>
      </c>
      <c r="P166" s="537">
        <v>263.49270999999999</v>
      </c>
    </row>
    <row r="167" spans="1:16" x14ac:dyDescent="0.25">
      <c r="A167" s="17"/>
      <c r="B167" s="17"/>
      <c r="C167" s="17"/>
      <c r="D167" s="115" t="s">
        <v>4803</v>
      </c>
      <c r="E167" s="537">
        <v>0</v>
      </c>
      <c r="F167" s="537">
        <v>0</v>
      </c>
      <c r="G167" s="537">
        <v>21.248812999999998</v>
      </c>
      <c r="H167" s="537">
        <v>47.376976999999997</v>
      </c>
      <c r="I167" s="537">
        <v>83.062287999999995</v>
      </c>
      <c r="J167" s="537">
        <v>128.60382300000001</v>
      </c>
      <c r="K167" s="537">
        <v>184.61076499999999</v>
      </c>
      <c r="L167" s="537">
        <v>249.186016</v>
      </c>
      <c r="M167" s="537">
        <v>319.00549899999999</v>
      </c>
      <c r="N167" s="537">
        <v>388.68031200000001</v>
      </c>
      <c r="O167" s="537">
        <v>451.34895899999998</v>
      </c>
      <c r="P167" s="537">
        <v>502.31939799999998</v>
      </c>
    </row>
    <row r="168" spans="1:16" x14ac:dyDescent="0.25">
      <c r="A168" s="17"/>
      <c r="B168" s="17"/>
      <c r="C168" s="17"/>
      <c r="D168" s="115" t="s">
        <v>4804</v>
      </c>
      <c r="E168" s="537">
        <v>0</v>
      </c>
      <c r="F168" s="537">
        <v>0</v>
      </c>
      <c r="G168" s="537">
        <v>184.40585799999999</v>
      </c>
      <c r="H168" s="537">
        <v>364.12564300000003</v>
      </c>
      <c r="I168" s="537">
        <v>540.24695399999996</v>
      </c>
      <c r="J168" s="537">
        <v>716.16227200000003</v>
      </c>
      <c r="K168" s="537">
        <v>885.36354600000004</v>
      </c>
      <c r="L168" s="537">
        <v>1048.991227</v>
      </c>
      <c r="M168" s="537">
        <v>1209.049696</v>
      </c>
      <c r="N168" s="537">
        <v>1371.1490550000001</v>
      </c>
      <c r="O168" s="537">
        <v>1537.3068470000001</v>
      </c>
      <c r="P168" s="537">
        <v>1712.6808510000001</v>
      </c>
    </row>
    <row r="169" spans="1:16" x14ac:dyDescent="0.25">
      <c r="A169" s="17"/>
      <c r="B169" s="17"/>
      <c r="C169" s="17"/>
      <c r="D169" s="17" t="s">
        <v>4805</v>
      </c>
      <c r="E169" s="537">
        <v>0</v>
      </c>
      <c r="F169" s="537">
        <v>0</v>
      </c>
      <c r="G169" s="537">
        <v>11.433281298883346</v>
      </c>
      <c r="H169" s="537">
        <v>23.356188756238446</v>
      </c>
      <c r="I169" s="537">
        <v>24.679163081931343</v>
      </c>
      <c r="J169" s="537">
        <v>26.313292945921038</v>
      </c>
      <c r="K169" s="537">
        <v>28.227402896345048</v>
      </c>
      <c r="L169" s="537">
        <v>29.916493381295119</v>
      </c>
      <c r="M169" s="537">
        <v>31.781755049346355</v>
      </c>
      <c r="N169" s="537">
        <v>33.690370889642047</v>
      </c>
      <c r="O169" s="537">
        <v>35.635657215405232</v>
      </c>
      <c r="P169" s="537">
        <v>37.640131836177652</v>
      </c>
    </row>
    <row r="170" spans="1:16" x14ac:dyDescent="0.25">
      <c r="A170" s="17"/>
      <c r="B170" s="17"/>
      <c r="C170" s="17"/>
      <c r="D170" s="538" t="s">
        <v>4806</v>
      </c>
      <c r="E170" s="537">
        <v>0</v>
      </c>
      <c r="F170" s="537">
        <v>0</v>
      </c>
      <c r="G170" s="537">
        <v>341.84641729888335</v>
      </c>
      <c r="H170" s="537">
        <v>673.10648175623851</v>
      </c>
      <c r="I170" s="537">
        <v>1015.6299570819314</v>
      </c>
      <c r="J170" s="537">
        <v>1392.0778099459212</v>
      </c>
      <c r="K170" s="537">
        <v>1782.837137896345</v>
      </c>
      <c r="L170" s="537">
        <v>2179.0485183812948</v>
      </c>
      <c r="M170" s="537">
        <v>2589.6736980493465</v>
      </c>
      <c r="N170" s="537">
        <v>3009.9269758896421</v>
      </c>
      <c r="O170" s="537">
        <v>3425.6856262154051</v>
      </c>
      <c r="P170" s="537">
        <v>3828.3519978361778</v>
      </c>
    </row>
    <row r="171" spans="1:16" x14ac:dyDescent="0.25">
      <c r="A171" s="17"/>
      <c r="B171" s="17"/>
      <c r="C171" s="17"/>
      <c r="D171" s="17"/>
      <c r="E171" s="537"/>
      <c r="F171" s="537"/>
      <c r="G171" s="537"/>
      <c r="H171" s="537"/>
      <c r="I171" s="537"/>
      <c r="J171" s="537"/>
      <c r="K171" s="537"/>
      <c r="L171" s="537"/>
      <c r="M171" s="537"/>
      <c r="N171" s="537"/>
      <c r="O171" s="537"/>
      <c r="P171" s="537"/>
    </row>
    <row r="172" spans="1:16" x14ac:dyDescent="0.25">
      <c r="A172" s="17"/>
      <c r="B172" s="17"/>
      <c r="C172" s="17"/>
      <c r="D172" s="538" t="s">
        <v>4814</v>
      </c>
      <c r="E172" s="537">
        <v>0</v>
      </c>
      <c r="F172" s="537">
        <v>0</v>
      </c>
      <c r="G172" s="537">
        <v>0</v>
      </c>
      <c r="H172" s="537">
        <v>0</v>
      </c>
      <c r="I172" s="537">
        <v>0</v>
      </c>
      <c r="J172" s="537">
        <v>0</v>
      </c>
      <c r="K172" s="537">
        <v>0</v>
      </c>
      <c r="L172" s="537">
        <v>0</v>
      </c>
      <c r="M172" s="537">
        <v>0</v>
      </c>
      <c r="N172" s="537">
        <v>0</v>
      </c>
      <c r="O172" s="537">
        <v>138.33669997420748</v>
      </c>
      <c r="P172" s="537">
        <v>287.34629583829974</v>
      </c>
    </row>
    <row r="173" spans="1:16" x14ac:dyDescent="0.25">
      <c r="A173" s="17"/>
      <c r="B173" s="17"/>
      <c r="C173" s="17"/>
      <c r="D173" s="17"/>
      <c r="E173" s="17"/>
      <c r="F173" s="17"/>
      <c r="G173" s="17"/>
      <c r="H173" s="17"/>
      <c r="I173" s="17"/>
      <c r="J173" s="17"/>
      <c r="K173" s="17"/>
      <c r="L173" s="17"/>
      <c r="M173" s="17"/>
      <c r="N173" s="17"/>
      <c r="O173" s="17"/>
      <c r="P173" s="17"/>
    </row>
    <row r="174" spans="1:16" x14ac:dyDescent="0.25">
      <c r="A174" s="17"/>
      <c r="B174" s="17"/>
      <c r="C174" s="17"/>
      <c r="D174" s="539" t="s">
        <v>4808</v>
      </c>
      <c r="E174" s="540">
        <v>16.881873609466854</v>
      </c>
      <c r="F174" s="540">
        <v>34.584877825403034</v>
      </c>
      <c r="G174" s="540">
        <v>396.36590020946807</v>
      </c>
      <c r="H174" s="540">
        <v>872.93270902686709</v>
      </c>
      <c r="I174" s="540">
        <v>1480.5001840720802</v>
      </c>
      <c r="J174" s="540">
        <v>2157.5551904213917</v>
      </c>
      <c r="K174" s="540">
        <v>2788.1883571143671</v>
      </c>
      <c r="L174" s="540">
        <v>3364.4649101676914</v>
      </c>
      <c r="M174" s="540">
        <v>3932.6979012670713</v>
      </c>
      <c r="N174" s="540">
        <v>4491.0460658195734</v>
      </c>
      <c r="O174" s="540">
        <v>5171.6214162424894</v>
      </c>
      <c r="P174" s="540">
        <v>5845.8723838647702</v>
      </c>
    </row>
    <row r="175" spans="1:16" ht="30" x14ac:dyDescent="0.25">
      <c r="A175" s="17"/>
      <c r="B175" s="17"/>
      <c r="C175" s="17"/>
      <c r="D175" s="496" t="s">
        <v>4809</v>
      </c>
      <c r="E175" s="537">
        <v>1.3560392033739399</v>
      </c>
      <c r="F175" s="537">
        <v>6.9270957520277809</v>
      </c>
      <c r="G175" s="537">
        <v>167.4954689186082</v>
      </c>
      <c r="H175" s="537">
        <v>330.43180370596684</v>
      </c>
      <c r="I175" s="537">
        <v>628.98855648707979</v>
      </c>
      <c r="J175" s="537">
        <v>1122.2792855350972</v>
      </c>
      <c r="K175" s="537">
        <v>1635.242141114732</v>
      </c>
      <c r="L175" s="537">
        <v>2045.6097098359523</v>
      </c>
      <c r="M175" s="537">
        <v>2463.2932105798072</v>
      </c>
      <c r="N175" s="537">
        <v>2730.8009379876576</v>
      </c>
      <c r="O175" s="537">
        <v>2772.8406101833971</v>
      </c>
      <c r="P175" s="537">
        <v>2758.0655757517106</v>
      </c>
    </row>
    <row r="176" spans="1:16" x14ac:dyDescent="0.25">
      <c r="A176" s="17"/>
      <c r="B176" s="17"/>
      <c r="C176" s="17"/>
      <c r="D176" s="17"/>
      <c r="E176" s="17"/>
      <c r="F176" s="17"/>
      <c r="G176" s="17"/>
      <c r="H176" s="17"/>
      <c r="I176" s="17"/>
      <c r="J176" s="17"/>
      <c r="K176" s="17"/>
      <c r="L176" s="17"/>
      <c r="M176" s="17"/>
      <c r="N176" s="17"/>
      <c r="O176" s="17"/>
      <c r="P176" s="17"/>
    </row>
    <row r="177" spans="1:16" x14ac:dyDescent="0.25">
      <c r="A177" s="17" t="s">
        <v>3432</v>
      </c>
      <c r="B177" s="17" t="s">
        <v>4810</v>
      </c>
      <c r="C177" s="17"/>
      <c r="D177" s="17"/>
      <c r="E177" s="536">
        <v>2011</v>
      </c>
      <c r="F177" s="536">
        <v>2012</v>
      </c>
      <c r="G177" s="536">
        <v>2013</v>
      </c>
      <c r="H177" s="536">
        <v>2014</v>
      </c>
      <c r="I177" s="536">
        <v>2015</v>
      </c>
      <c r="J177" s="536">
        <v>2016</v>
      </c>
      <c r="K177" s="536">
        <v>2017</v>
      </c>
      <c r="L177" s="536">
        <v>2018</v>
      </c>
      <c r="M177" s="536">
        <v>2019</v>
      </c>
      <c r="N177" s="536">
        <v>2020</v>
      </c>
      <c r="O177" s="536">
        <v>2021</v>
      </c>
      <c r="P177" s="536">
        <v>2022</v>
      </c>
    </row>
    <row r="178" spans="1:16" x14ac:dyDescent="0.25">
      <c r="A178" s="17"/>
      <c r="B178" s="17"/>
      <c r="C178" s="17"/>
      <c r="D178" s="17" t="s">
        <v>4796</v>
      </c>
      <c r="E178" s="537">
        <v>0</v>
      </c>
      <c r="F178" s="537">
        <v>0</v>
      </c>
      <c r="G178" s="537">
        <v>0</v>
      </c>
      <c r="H178" s="537">
        <v>8.0584181141583784</v>
      </c>
      <c r="I178" s="537">
        <v>22.073841433067571</v>
      </c>
      <c r="J178" s="537">
        <v>37.956658754640586</v>
      </c>
      <c r="K178" s="537">
        <v>47.291332886529347</v>
      </c>
      <c r="L178" s="537">
        <v>52.676107958251961</v>
      </c>
      <c r="M178" s="537">
        <v>56.869990470224884</v>
      </c>
      <c r="N178" s="537">
        <v>58.694029102578405</v>
      </c>
      <c r="O178" s="537">
        <v>59.424881057865555</v>
      </c>
      <c r="P178" s="537">
        <v>60.126833928909448</v>
      </c>
    </row>
    <row r="179" spans="1:16" x14ac:dyDescent="0.25">
      <c r="A179" s="17"/>
      <c r="B179" s="17"/>
      <c r="C179" s="17"/>
      <c r="D179" s="115" t="s">
        <v>4797</v>
      </c>
      <c r="E179" s="537">
        <v>0</v>
      </c>
      <c r="F179" s="537">
        <v>1.7895450002588937</v>
      </c>
      <c r="G179" s="537">
        <v>3.6321391927891282</v>
      </c>
      <c r="H179" s="537">
        <v>8.9656844236257935</v>
      </c>
      <c r="I179" s="537">
        <v>39.660475165056056</v>
      </c>
      <c r="J179" s="537">
        <v>70.692381757124934</v>
      </c>
      <c r="K179" s="537">
        <v>101.54435703955048</v>
      </c>
      <c r="L179" s="537">
        <v>130.33367376319549</v>
      </c>
      <c r="M179" s="537">
        <v>157.97591523896375</v>
      </c>
      <c r="N179" s="537">
        <v>185.02381321135823</v>
      </c>
      <c r="O179" s="537">
        <v>212.05583441332053</v>
      </c>
      <c r="P179" s="537">
        <v>239.08594584732489</v>
      </c>
    </row>
    <row r="180" spans="1:16" x14ac:dyDescent="0.25">
      <c r="A180" s="17"/>
      <c r="B180" s="17"/>
      <c r="C180" s="17"/>
      <c r="D180" s="17" t="s">
        <v>4798</v>
      </c>
      <c r="E180" s="537">
        <v>0</v>
      </c>
      <c r="F180" s="537">
        <v>1.1103187656638087</v>
      </c>
      <c r="G180" s="537">
        <v>2.195341534255558</v>
      </c>
      <c r="H180" s="537">
        <v>6.9938853485626922</v>
      </c>
      <c r="I180" s="537">
        <v>19.431039836295565</v>
      </c>
      <c r="J180" s="537">
        <v>34.297725878110725</v>
      </c>
      <c r="K180" s="537">
        <v>48.748920958573635</v>
      </c>
      <c r="L180" s="537">
        <v>62.832493010775728</v>
      </c>
      <c r="M180" s="537">
        <v>76.595789511705689</v>
      </c>
      <c r="N180" s="537">
        <v>90.083713295615823</v>
      </c>
      <c r="O180" s="537">
        <v>103.33748573622263</v>
      </c>
      <c r="P180" s="537">
        <v>116.39399526170345</v>
      </c>
    </row>
    <row r="181" spans="1:16" x14ac:dyDescent="0.25">
      <c r="A181" s="17"/>
      <c r="B181" s="17"/>
      <c r="C181" s="17"/>
      <c r="D181" s="538" t="s">
        <v>4799</v>
      </c>
      <c r="E181" s="537">
        <v>0</v>
      </c>
      <c r="F181" s="537">
        <v>2.8998637659227025</v>
      </c>
      <c r="G181" s="537">
        <v>5.8274807270446862</v>
      </c>
      <c r="H181" s="537">
        <v>24.017987886346866</v>
      </c>
      <c r="I181" s="537">
        <v>81.165356434419195</v>
      </c>
      <c r="J181" s="537">
        <v>142.94676638987625</v>
      </c>
      <c r="K181" s="537">
        <v>197.58461088465344</v>
      </c>
      <c r="L181" s="537">
        <v>245.84227473222316</v>
      </c>
      <c r="M181" s="537">
        <v>291.4416952208943</v>
      </c>
      <c r="N181" s="537">
        <v>333.80155560955245</v>
      </c>
      <c r="O181" s="537">
        <v>374.81820120740872</v>
      </c>
      <c r="P181" s="537">
        <v>415.60677503793784</v>
      </c>
    </row>
    <row r="182" spans="1:16" x14ac:dyDescent="0.25">
      <c r="A182" s="17"/>
      <c r="B182" s="17"/>
      <c r="C182" s="17"/>
      <c r="D182" s="17"/>
      <c r="E182" s="17"/>
      <c r="F182" s="17"/>
      <c r="G182" s="17"/>
      <c r="H182" s="17"/>
      <c r="I182" s="17"/>
      <c r="J182" s="17"/>
      <c r="K182" s="17"/>
      <c r="L182" s="17"/>
      <c r="M182" s="17"/>
      <c r="N182" s="17"/>
      <c r="O182" s="17"/>
      <c r="P182" s="17"/>
    </row>
    <row r="183" spans="1:16" x14ac:dyDescent="0.25">
      <c r="A183" s="17"/>
      <c r="B183" s="17"/>
      <c r="C183" s="17"/>
      <c r="D183" s="115" t="s">
        <v>4813</v>
      </c>
      <c r="E183" s="537">
        <v>0</v>
      </c>
      <c r="F183" s="537">
        <v>0</v>
      </c>
      <c r="G183" s="537">
        <v>4.4119999999999999</v>
      </c>
      <c r="H183" s="537">
        <v>10.715</v>
      </c>
      <c r="I183" s="537">
        <v>19.739000000000001</v>
      </c>
      <c r="J183" s="537">
        <v>33.231000000000002</v>
      </c>
      <c r="K183" s="537">
        <v>51.747999999999998</v>
      </c>
      <c r="L183" s="537">
        <v>75.787000000000006</v>
      </c>
      <c r="M183" s="537">
        <v>108.256</v>
      </c>
      <c r="N183" s="537">
        <v>145.75299999999999</v>
      </c>
      <c r="O183" s="537">
        <v>186.61699999999999</v>
      </c>
      <c r="P183" s="537">
        <v>228.67500000000001</v>
      </c>
    </row>
    <row r="184" spans="1:16" x14ac:dyDescent="0.25">
      <c r="A184" s="17"/>
      <c r="B184" s="17"/>
      <c r="C184" s="17"/>
      <c r="D184" s="115" t="s">
        <v>4801</v>
      </c>
      <c r="E184" s="537">
        <v>0</v>
      </c>
      <c r="F184" s="537">
        <v>0</v>
      </c>
      <c r="G184" s="537">
        <v>9.1150000000000002</v>
      </c>
      <c r="H184" s="537">
        <v>16.195</v>
      </c>
      <c r="I184" s="537">
        <v>23.137</v>
      </c>
      <c r="J184" s="537">
        <v>30.704000000000001</v>
      </c>
      <c r="K184" s="537">
        <v>38.186</v>
      </c>
      <c r="L184" s="537">
        <v>44.558999999999997</v>
      </c>
      <c r="M184" s="537">
        <v>50.320999999999998</v>
      </c>
      <c r="N184" s="537">
        <v>55.771000000000001</v>
      </c>
      <c r="O184" s="537">
        <v>60.665999999999997</v>
      </c>
      <c r="P184" s="537">
        <v>65.180000000000007</v>
      </c>
    </row>
    <row r="185" spans="1:16" x14ac:dyDescent="0.25">
      <c r="A185" s="17"/>
      <c r="B185" s="17"/>
      <c r="C185" s="17"/>
      <c r="D185" s="115" t="s">
        <v>4802</v>
      </c>
      <c r="E185" s="537">
        <v>0</v>
      </c>
      <c r="F185" s="537">
        <v>0</v>
      </c>
      <c r="G185" s="537">
        <v>11.288</v>
      </c>
      <c r="H185" s="537">
        <v>22.577000000000002</v>
      </c>
      <c r="I185" s="537">
        <v>33.865000000000002</v>
      </c>
      <c r="J185" s="537">
        <v>44.942</v>
      </c>
      <c r="K185" s="537">
        <v>52.588999999999999</v>
      </c>
      <c r="L185" s="537">
        <v>56.67</v>
      </c>
      <c r="M185" s="537">
        <v>59.444000000000003</v>
      </c>
      <c r="N185" s="537">
        <v>61.302999999999997</v>
      </c>
      <c r="O185" s="537">
        <v>62.725999999999999</v>
      </c>
      <c r="P185" s="537">
        <v>63.792000000000002</v>
      </c>
    </row>
    <row r="186" spans="1:16" x14ac:dyDescent="0.25">
      <c r="A186" s="17"/>
      <c r="B186" s="17"/>
      <c r="C186" s="17"/>
      <c r="D186" s="115" t="s">
        <v>4803</v>
      </c>
      <c r="E186" s="537">
        <v>0</v>
      </c>
      <c r="F186" s="537">
        <v>0</v>
      </c>
      <c r="G186" s="537">
        <v>10.689</v>
      </c>
      <c r="H186" s="537">
        <v>7.7690000000000001</v>
      </c>
      <c r="I186" s="537">
        <v>11.782</v>
      </c>
      <c r="J186" s="537">
        <v>16.617999999999999</v>
      </c>
      <c r="K186" s="537">
        <v>21.667999999999999</v>
      </c>
      <c r="L186" s="537">
        <v>26.672999999999998</v>
      </c>
      <c r="M186" s="537">
        <v>31.518999999999998</v>
      </c>
      <c r="N186" s="537">
        <v>36.304000000000002</v>
      </c>
      <c r="O186" s="537">
        <v>40.869</v>
      </c>
      <c r="P186" s="537">
        <v>45.207999999999998</v>
      </c>
    </row>
    <row r="187" spans="1:16" x14ac:dyDescent="0.25">
      <c r="A187" s="17"/>
      <c r="B187" s="17"/>
      <c r="C187" s="17"/>
      <c r="D187" s="115" t="s">
        <v>4804</v>
      </c>
      <c r="E187" s="537">
        <v>0</v>
      </c>
      <c r="F187" s="537">
        <v>0</v>
      </c>
      <c r="G187" s="537">
        <v>27.54</v>
      </c>
      <c r="H187" s="537">
        <v>54.472999999999999</v>
      </c>
      <c r="I187" s="537">
        <v>80.935000000000002</v>
      </c>
      <c r="J187" s="537">
        <v>107.437</v>
      </c>
      <c r="K187" s="537">
        <v>132.863</v>
      </c>
      <c r="L187" s="537">
        <v>157.34100000000001</v>
      </c>
      <c r="M187" s="537">
        <v>181.03399999999999</v>
      </c>
      <c r="N187" s="537">
        <v>204.81399999999999</v>
      </c>
      <c r="O187" s="537">
        <v>228.85</v>
      </c>
      <c r="P187" s="537">
        <v>253.97499999999999</v>
      </c>
    </row>
    <row r="188" spans="1:16" x14ac:dyDescent="0.25">
      <c r="A188" s="17"/>
      <c r="B188" s="17"/>
      <c r="C188" s="17"/>
      <c r="D188" s="17" t="s">
        <v>4805</v>
      </c>
      <c r="E188" s="537">
        <v>0</v>
      </c>
      <c r="F188" s="537">
        <v>0</v>
      </c>
      <c r="G188" s="537">
        <v>0</v>
      </c>
      <c r="H188" s="537">
        <v>0</v>
      </c>
      <c r="I188" s="537">
        <v>0</v>
      </c>
      <c r="J188" s="537">
        <v>0</v>
      </c>
      <c r="K188" s="537">
        <v>0</v>
      </c>
      <c r="L188" s="537">
        <v>0</v>
      </c>
      <c r="M188" s="537">
        <v>0</v>
      </c>
      <c r="N188" s="537">
        <v>0</v>
      </c>
      <c r="O188" s="537">
        <v>0</v>
      </c>
      <c r="P188" s="537">
        <v>0</v>
      </c>
    </row>
    <row r="189" spans="1:16" x14ac:dyDescent="0.25">
      <c r="A189" s="17"/>
      <c r="B189" s="17"/>
      <c r="C189" s="17"/>
      <c r="D189" s="538" t="s">
        <v>4806</v>
      </c>
      <c r="E189" s="537">
        <v>0</v>
      </c>
      <c r="F189" s="537">
        <v>0</v>
      </c>
      <c r="G189" s="537">
        <v>63.044000000000004</v>
      </c>
      <c r="H189" s="537">
        <v>111.729</v>
      </c>
      <c r="I189" s="537">
        <v>169.45800000000003</v>
      </c>
      <c r="J189" s="537">
        <v>232.93200000000002</v>
      </c>
      <c r="K189" s="537">
        <v>297.05399999999997</v>
      </c>
      <c r="L189" s="537">
        <v>361.03000000000003</v>
      </c>
      <c r="M189" s="537">
        <v>430.57400000000001</v>
      </c>
      <c r="N189" s="537">
        <v>503.94499999999994</v>
      </c>
      <c r="O189" s="537">
        <v>579.72800000000007</v>
      </c>
      <c r="P189" s="537">
        <v>656.83</v>
      </c>
    </row>
    <row r="190" spans="1:16" x14ac:dyDescent="0.25">
      <c r="A190" s="17"/>
      <c r="B190" s="17"/>
      <c r="C190" s="17"/>
      <c r="D190" s="17"/>
      <c r="E190" s="537"/>
      <c r="F190" s="537"/>
      <c r="G190" s="537"/>
      <c r="H190" s="537"/>
      <c r="I190" s="537"/>
      <c r="J190" s="537"/>
      <c r="K190" s="537"/>
      <c r="L190" s="537"/>
      <c r="M190" s="537"/>
      <c r="N190" s="537"/>
      <c r="O190" s="537"/>
      <c r="P190" s="537"/>
    </row>
    <row r="191" spans="1:16" x14ac:dyDescent="0.25">
      <c r="A191" s="17"/>
      <c r="B191" s="17"/>
      <c r="C191" s="17"/>
      <c r="D191" s="538" t="s">
        <v>4814</v>
      </c>
      <c r="E191" s="537">
        <v>0</v>
      </c>
      <c r="F191" s="537">
        <v>0</v>
      </c>
      <c r="G191" s="537">
        <v>0</v>
      </c>
      <c r="H191" s="537">
        <v>0</v>
      </c>
      <c r="I191" s="537">
        <v>5.773338416932404</v>
      </c>
      <c r="J191" s="537">
        <v>15.081165060895273</v>
      </c>
      <c r="K191" s="537">
        <v>15.73946252599012</v>
      </c>
      <c r="L191" s="537">
        <v>0</v>
      </c>
      <c r="M191" s="537">
        <v>33.071209578559149</v>
      </c>
      <c r="N191" s="537">
        <v>68.584217987449279</v>
      </c>
      <c r="O191" s="537">
        <v>94.556783834909311</v>
      </c>
      <c r="P191" s="537">
        <v>118.81451691170923</v>
      </c>
    </row>
    <row r="192" spans="1:16" x14ac:dyDescent="0.25">
      <c r="A192" s="17"/>
      <c r="B192" s="17"/>
      <c r="C192" s="17"/>
      <c r="D192" s="17"/>
      <c r="E192" s="17"/>
      <c r="F192" s="17"/>
      <c r="G192" s="17"/>
      <c r="H192" s="17"/>
      <c r="I192" s="17"/>
      <c r="J192" s="17"/>
      <c r="K192" s="17"/>
      <c r="L192" s="17"/>
      <c r="M192" s="17"/>
      <c r="N192" s="17"/>
      <c r="O192" s="17"/>
      <c r="P192" s="17"/>
    </row>
    <row r="193" spans="1:16" x14ac:dyDescent="0.25">
      <c r="A193" s="17"/>
      <c r="B193" s="17"/>
      <c r="C193" s="17"/>
      <c r="D193" s="539" t="s">
        <v>4808</v>
      </c>
      <c r="E193" s="540">
        <v>0</v>
      </c>
      <c r="F193" s="540">
        <v>2.8998637659227025</v>
      </c>
      <c r="G193" s="540">
        <v>68.871480727044684</v>
      </c>
      <c r="H193" s="540">
        <v>135.74698788634686</v>
      </c>
      <c r="I193" s="540">
        <v>256.39669485135164</v>
      </c>
      <c r="J193" s="540">
        <v>390.95993145077153</v>
      </c>
      <c r="K193" s="540">
        <v>510.37807341064354</v>
      </c>
      <c r="L193" s="540">
        <v>606.87227473222322</v>
      </c>
      <c r="M193" s="540">
        <v>755.08690479945335</v>
      </c>
      <c r="N193" s="540">
        <v>906.33077359700167</v>
      </c>
      <c r="O193" s="540">
        <v>1049.1029850423181</v>
      </c>
      <c r="P193" s="540">
        <v>1191.2512919496471</v>
      </c>
    </row>
    <row r="194" spans="1:16" ht="30" x14ac:dyDescent="0.25">
      <c r="A194" s="17"/>
      <c r="B194" s="17"/>
      <c r="C194" s="17"/>
      <c r="D194" s="496" t="s">
        <v>4809</v>
      </c>
      <c r="E194" s="537">
        <v>0</v>
      </c>
      <c r="F194" s="537">
        <v>0.8178198482907395</v>
      </c>
      <c r="G194" s="537">
        <v>31.96884328957821</v>
      </c>
      <c r="H194" s="537">
        <v>50.453189627749076</v>
      </c>
      <c r="I194" s="537">
        <v>118.39518838161834</v>
      </c>
      <c r="J194" s="537">
        <v>210.32698199206871</v>
      </c>
      <c r="K194" s="537">
        <v>297.02615181175463</v>
      </c>
      <c r="L194" s="537">
        <v>377.71448019392858</v>
      </c>
      <c r="M194" s="537">
        <v>454.51283143328953</v>
      </c>
      <c r="N194" s="537">
        <v>489.82684937531661</v>
      </c>
      <c r="O194" s="537">
        <v>492.20912201909363</v>
      </c>
      <c r="P194" s="537">
        <v>495.29258851115583</v>
      </c>
    </row>
    <row r="195" spans="1:16" x14ac:dyDescent="0.25">
      <c r="A195" s="17"/>
      <c r="B195" s="17"/>
      <c r="C195" s="17"/>
      <c r="D195" s="17"/>
      <c r="E195" s="17"/>
      <c r="F195" s="17"/>
      <c r="G195" s="17"/>
      <c r="H195" s="17"/>
      <c r="I195" s="17"/>
      <c r="J195" s="17"/>
      <c r="K195" s="17"/>
      <c r="L195" s="17"/>
      <c r="M195" s="17"/>
      <c r="N195" s="17"/>
      <c r="O195" s="17"/>
      <c r="P195" s="17"/>
    </row>
    <row r="196" spans="1:16" x14ac:dyDescent="0.25">
      <c r="A196" s="17" t="s">
        <v>7</v>
      </c>
      <c r="B196" s="17" t="s">
        <v>4795</v>
      </c>
      <c r="C196" s="17"/>
      <c r="D196" s="17"/>
      <c r="E196" s="536">
        <v>2011</v>
      </c>
      <c r="F196" s="536">
        <v>2012</v>
      </c>
      <c r="G196" s="536">
        <v>2013</v>
      </c>
      <c r="H196" s="536">
        <v>2014</v>
      </c>
      <c r="I196" s="536">
        <v>2015</v>
      </c>
      <c r="J196" s="536">
        <v>2016</v>
      </c>
      <c r="K196" s="536">
        <v>2017</v>
      </c>
      <c r="L196" s="536">
        <v>2018</v>
      </c>
      <c r="M196" s="536">
        <v>2019</v>
      </c>
      <c r="N196" s="536">
        <v>2020</v>
      </c>
      <c r="O196" s="536">
        <v>2021</v>
      </c>
      <c r="P196" s="536">
        <v>2022</v>
      </c>
    </row>
    <row r="197" spans="1:16" x14ac:dyDescent="0.25">
      <c r="A197" s="17"/>
      <c r="B197" s="17"/>
      <c r="C197" s="17"/>
      <c r="D197" s="17" t="s">
        <v>4796</v>
      </c>
      <c r="E197" s="537">
        <v>0</v>
      </c>
      <c r="F197" s="537">
        <v>0</v>
      </c>
      <c r="G197" s="537">
        <v>0</v>
      </c>
      <c r="H197" s="537">
        <v>96.059093510176012</v>
      </c>
      <c r="I197" s="537">
        <v>212.51890491430157</v>
      </c>
      <c r="J197" s="537">
        <v>353.75741171680204</v>
      </c>
      <c r="K197" s="537">
        <v>435.68927905106523</v>
      </c>
      <c r="L197" s="537">
        <v>477.07595411414212</v>
      </c>
      <c r="M197" s="537">
        <v>509.35989048966485</v>
      </c>
      <c r="N197" s="537">
        <v>529.33672648961783</v>
      </c>
      <c r="O197" s="537">
        <v>538.18838991084351</v>
      </c>
      <c r="P197" s="537">
        <v>543.78337953369726</v>
      </c>
    </row>
    <row r="198" spans="1:16" x14ac:dyDescent="0.25">
      <c r="A198" s="17"/>
      <c r="B198" s="17"/>
      <c r="C198" s="17"/>
      <c r="D198" s="115" t="s">
        <v>4797</v>
      </c>
      <c r="E198" s="537">
        <v>15.457395282576279</v>
      </c>
      <c r="F198" s="537">
        <v>30.848920318351432</v>
      </c>
      <c r="G198" s="537">
        <v>48.607017381785255</v>
      </c>
      <c r="H198" s="537">
        <v>86.655347989902978</v>
      </c>
      <c r="I198" s="537">
        <v>188.24357700676731</v>
      </c>
      <c r="J198" s="537">
        <v>293.53658691628203</v>
      </c>
      <c r="K198" s="537">
        <v>396.96607361249335</v>
      </c>
      <c r="L198" s="537">
        <v>480.64212308702645</v>
      </c>
      <c r="M198" s="537">
        <v>551.40875776615803</v>
      </c>
      <c r="N198" s="537">
        <v>615.35697631584389</v>
      </c>
      <c r="O198" s="537">
        <v>679.50795013126606</v>
      </c>
      <c r="P198" s="537">
        <v>743.62625547933374</v>
      </c>
    </row>
    <row r="199" spans="1:16" x14ac:dyDescent="0.25">
      <c r="A199" s="17"/>
      <c r="B199" s="17"/>
      <c r="C199" s="17"/>
      <c r="D199" s="17" t="s">
        <v>4798</v>
      </c>
      <c r="E199" s="537">
        <v>1.9550966930004248</v>
      </c>
      <c r="F199" s="537">
        <v>4.8230033994893446</v>
      </c>
      <c r="G199" s="537">
        <v>7.6260809492434358</v>
      </c>
      <c r="H199" s="537">
        <v>23.633528189626062</v>
      </c>
      <c r="I199" s="537">
        <v>67.813570660246626</v>
      </c>
      <c r="J199" s="537">
        <v>120.28308325292723</v>
      </c>
      <c r="K199" s="537">
        <v>171.23857720313092</v>
      </c>
      <c r="L199" s="537">
        <v>220.85048724085672</v>
      </c>
      <c r="M199" s="537">
        <v>269.28821012749466</v>
      </c>
      <c r="N199" s="537">
        <v>316.71322944156293</v>
      </c>
      <c r="O199" s="537">
        <v>363.27455749460523</v>
      </c>
      <c r="P199" s="537">
        <v>409.10620447932286</v>
      </c>
    </row>
    <row r="200" spans="1:16" x14ac:dyDescent="0.25">
      <c r="A200" s="17"/>
      <c r="B200" s="17"/>
      <c r="C200" s="17"/>
      <c r="D200" s="538" t="s">
        <v>4799</v>
      </c>
      <c r="E200" s="537">
        <v>17.412491975576703</v>
      </c>
      <c r="F200" s="537">
        <v>35.671923717840777</v>
      </c>
      <c r="G200" s="537">
        <v>56.233098331028692</v>
      </c>
      <c r="H200" s="537">
        <v>206.34796968970505</v>
      </c>
      <c r="I200" s="537">
        <v>468.57605258131554</v>
      </c>
      <c r="J200" s="537">
        <v>767.57708188601134</v>
      </c>
      <c r="K200" s="537">
        <v>1003.8939298666895</v>
      </c>
      <c r="L200" s="537">
        <v>1178.5685644420253</v>
      </c>
      <c r="M200" s="537">
        <v>1330.0568583833176</v>
      </c>
      <c r="N200" s="537">
        <v>1461.4069322470245</v>
      </c>
      <c r="O200" s="537">
        <v>1580.9708975367148</v>
      </c>
      <c r="P200" s="537">
        <v>1696.5158394923537</v>
      </c>
    </row>
    <row r="201" spans="1:16" x14ac:dyDescent="0.25">
      <c r="A201" s="17"/>
      <c r="B201" s="17"/>
      <c r="C201" s="17"/>
      <c r="D201" s="17"/>
      <c r="E201" s="17"/>
      <c r="F201" s="17"/>
      <c r="G201" s="17"/>
      <c r="H201" s="17"/>
      <c r="I201" s="17"/>
      <c r="J201" s="17"/>
      <c r="K201" s="17"/>
      <c r="L201" s="17"/>
      <c r="M201" s="17"/>
      <c r="N201" s="17"/>
      <c r="O201" s="17"/>
      <c r="P201" s="17"/>
    </row>
    <row r="202" spans="1:16" x14ac:dyDescent="0.25">
      <c r="A202" s="17"/>
      <c r="B202" s="17"/>
      <c r="C202" s="17"/>
      <c r="D202" s="115" t="s">
        <v>4813</v>
      </c>
      <c r="E202" s="537">
        <v>0</v>
      </c>
      <c r="F202" s="537">
        <v>0</v>
      </c>
      <c r="G202" s="537">
        <v>41.671529</v>
      </c>
      <c r="H202" s="537">
        <v>101.517869</v>
      </c>
      <c r="I202" s="537">
        <v>190.55731</v>
      </c>
      <c r="J202" s="537">
        <v>319.3374</v>
      </c>
      <c r="K202" s="537">
        <v>494.25573000000003</v>
      </c>
      <c r="L202" s="537">
        <v>710.48565799999994</v>
      </c>
      <c r="M202" s="537">
        <v>956.37524800000006</v>
      </c>
      <c r="N202" s="537">
        <v>1215.4365580000001</v>
      </c>
      <c r="O202" s="537">
        <v>1470.8307749999999</v>
      </c>
      <c r="P202" s="537">
        <v>1707.2246</v>
      </c>
    </row>
    <row r="203" spans="1:16" x14ac:dyDescent="0.25">
      <c r="A203" s="17"/>
      <c r="B203" s="17"/>
      <c r="C203" s="17"/>
      <c r="D203" s="115" t="s">
        <v>4801</v>
      </c>
      <c r="E203" s="537">
        <v>0</v>
      </c>
      <c r="F203" s="537">
        <v>0</v>
      </c>
      <c r="G203" s="537">
        <v>64.368617</v>
      </c>
      <c r="H203" s="537">
        <v>126.314323</v>
      </c>
      <c r="I203" s="537">
        <v>191.16739100000001</v>
      </c>
      <c r="J203" s="537">
        <v>258.75724600000001</v>
      </c>
      <c r="K203" s="537">
        <v>325.88281000000001</v>
      </c>
      <c r="L203" s="537">
        <v>376.90495499999997</v>
      </c>
      <c r="M203" s="537">
        <v>412.01389999999998</v>
      </c>
      <c r="N203" s="537">
        <v>441.11005599999999</v>
      </c>
      <c r="O203" s="537">
        <v>465.61559099999999</v>
      </c>
      <c r="P203" s="537">
        <v>484.84686699999997</v>
      </c>
    </row>
    <row r="204" spans="1:16" x14ac:dyDescent="0.25">
      <c r="A204" s="17"/>
      <c r="B204" s="17"/>
      <c r="C204" s="17"/>
      <c r="D204" s="115" t="s">
        <v>4802</v>
      </c>
      <c r="E204" s="537">
        <v>0</v>
      </c>
      <c r="F204" s="537">
        <v>0</v>
      </c>
      <c r="G204" s="537">
        <v>34.105499999999999</v>
      </c>
      <c r="H204" s="537">
        <v>68.210999999999999</v>
      </c>
      <c r="I204" s="537">
        <v>102.3165</v>
      </c>
      <c r="J204" s="537">
        <v>133.53397200000001</v>
      </c>
      <c r="K204" s="537">
        <v>155.06985800000001</v>
      </c>
      <c r="L204" s="537">
        <v>166.549926</v>
      </c>
      <c r="M204" s="537">
        <v>174.34151</v>
      </c>
      <c r="N204" s="537">
        <v>179.551715</v>
      </c>
      <c r="O204" s="537">
        <v>183.52328299999999</v>
      </c>
      <c r="P204" s="537">
        <v>186.47903600000001</v>
      </c>
    </row>
    <row r="205" spans="1:16" x14ac:dyDescent="0.25">
      <c r="A205" s="17"/>
      <c r="B205" s="17"/>
      <c r="C205" s="17"/>
      <c r="D205" s="115" t="s">
        <v>4803</v>
      </c>
      <c r="E205" s="537">
        <v>0</v>
      </c>
      <c r="F205" s="537">
        <v>0</v>
      </c>
      <c r="G205" s="537">
        <v>20.247482999999999</v>
      </c>
      <c r="H205" s="537">
        <v>47.167433000000003</v>
      </c>
      <c r="I205" s="537">
        <v>85.608591000000004</v>
      </c>
      <c r="J205" s="537">
        <v>135.84811500000001</v>
      </c>
      <c r="K205" s="537">
        <v>198.15608399999999</v>
      </c>
      <c r="L205" s="537">
        <v>269.53889099999998</v>
      </c>
      <c r="M205" s="537">
        <v>345.38198799999998</v>
      </c>
      <c r="N205" s="537">
        <v>417.89072299999998</v>
      </c>
      <c r="O205" s="537">
        <v>480.03538400000002</v>
      </c>
      <c r="P205" s="537">
        <v>528.68346099999997</v>
      </c>
    </row>
    <row r="206" spans="1:16" x14ac:dyDescent="0.25">
      <c r="A206" s="17"/>
      <c r="B206" s="17"/>
      <c r="C206" s="17"/>
      <c r="D206" s="115" t="s">
        <v>4804</v>
      </c>
      <c r="E206" s="537">
        <v>0</v>
      </c>
      <c r="F206" s="537">
        <v>0</v>
      </c>
      <c r="G206" s="537">
        <v>108.738517</v>
      </c>
      <c r="H206" s="537">
        <v>240.73433299999999</v>
      </c>
      <c r="I206" s="537">
        <v>373.43805800000001</v>
      </c>
      <c r="J206" s="537">
        <v>502.113223</v>
      </c>
      <c r="K206" s="537">
        <v>626.03700500000002</v>
      </c>
      <c r="L206" s="537">
        <v>749.93919300000005</v>
      </c>
      <c r="M206" s="537">
        <v>868.60822800000005</v>
      </c>
      <c r="N206" s="537">
        <v>984.92760899999996</v>
      </c>
      <c r="O206" s="537">
        <v>1096.5597760000001</v>
      </c>
      <c r="P206" s="537">
        <v>1206.202483</v>
      </c>
    </row>
    <row r="207" spans="1:16" x14ac:dyDescent="0.25">
      <c r="A207" s="17"/>
      <c r="B207" s="17"/>
      <c r="C207" s="17"/>
      <c r="D207" s="17" t="s">
        <v>4805</v>
      </c>
      <c r="E207" s="537">
        <v>0</v>
      </c>
      <c r="F207" s="537">
        <v>0</v>
      </c>
      <c r="G207" s="537">
        <v>10.584119964309016</v>
      </c>
      <c r="H207" s="537">
        <v>21.713056220839341</v>
      </c>
      <c r="I207" s="537">
        <v>23.137726453643154</v>
      </c>
      <c r="J207" s="537">
        <v>24.892836398435211</v>
      </c>
      <c r="K207" s="537">
        <v>26.944671172632596</v>
      </c>
      <c r="L207" s="537">
        <v>28.768562756757539</v>
      </c>
      <c r="M207" s="537">
        <v>30.775662784693225</v>
      </c>
      <c r="N207" s="537">
        <v>32.819833067649057</v>
      </c>
      <c r="O207" s="537">
        <v>34.921870131927299</v>
      </c>
      <c r="P207" s="537">
        <v>37.06650524583916</v>
      </c>
    </row>
    <row r="208" spans="1:16" x14ac:dyDescent="0.25">
      <c r="A208" s="17"/>
      <c r="B208" s="17"/>
      <c r="C208" s="17"/>
      <c r="D208" s="538" t="s">
        <v>4806</v>
      </c>
      <c r="E208" s="537">
        <v>0</v>
      </c>
      <c r="F208" s="537">
        <v>0</v>
      </c>
      <c r="G208" s="537">
        <v>279.71576596430901</v>
      </c>
      <c r="H208" s="537">
        <v>605.65801422083939</v>
      </c>
      <c r="I208" s="537">
        <v>966.22557645364327</v>
      </c>
      <c r="J208" s="537">
        <v>1374.4827923984353</v>
      </c>
      <c r="K208" s="537">
        <v>1826.3461581726326</v>
      </c>
      <c r="L208" s="537">
        <v>2302.1871857567576</v>
      </c>
      <c r="M208" s="537">
        <v>2787.4965367846935</v>
      </c>
      <c r="N208" s="537">
        <v>3271.7364940676489</v>
      </c>
      <c r="O208" s="537">
        <v>3731.4866791319268</v>
      </c>
      <c r="P208" s="537">
        <v>4150.502952245839</v>
      </c>
    </row>
    <row r="209" spans="1:16" x14ac:dyDescent="0.25">
      <c r="A209" s="17"/>
      <c r="B209" s="17"/>
      <c r="C209" s="17"/>
      <c r="D209" s="17"/>
      <c r="E209" s="537"/>
      <c r="F209" s="537"/>
      <c r="G209" s="537"/>
      <c r="H209" s="537"/>
      <c r="I209" s="537"/>
      <c r="J209" s="537"/>
      <c r="K209" s="537"/>
      <c r="L209" s="537"/>
      <c r="M209" s="537"/>
      <c r="N209" s="537"/>
      <c r="O209" s="537"/>
      <c r="P209" s="537"/>
    </row>
    <row r="210" spans="1:16" x14ac:dyDescent="0.25">
      <c r="A210" s="17"/>
      <c r="B210" s="17"/>
      <c r="C210" s="17"/>
      <c r="D210" s="538" t="s">
        <v>4814</v>
      </c>
      <c r="E210" s="537">
        <v>0</v>
      </c>
      <c r="F210" s="537">
        <v>0</v>
      </c>
      <c r="G210" s="537">
        <v>0</v>
      </c>
      <c r="H210" s="537">
        <v>106.1190166227999</v>
      </c>
      <c r="I210" s="537">
        <v>371.48201852014608</v>
      </c>
      <c r="J210" s="537">
        <v>550.12261556188923</v>
      </c>
      <c r="K210" s="537">
        <v>685.77841323277221</v>
      </c>
      <c r="L210" s="537">
        <v>504.52501865412023</v>
      </c>
      <c r="M210" s="537">
        <v>837.85047447680381</v>
      </c>
      <c r="N210" s="537">
        <v>1149.9490827383715</v>
      </c>
      <c r="O210" s="537">
        <v>1394.2326771823391</v>
      </c>
      <c r="P210" s="537">
        <v>1617.272090548191</v>
      </c>
    </row>
    <row r="211" spans="1:16" x14ac:dyDescent="0.25">
      <c r="A211" s="17"/>
      <c r="B211" s="17"/>
      <c r="C211" s="17"/>
      <c r="D211" s="17"/>
      <c r="E211" s="17"/>
      <c r="F211" s="17"/>
      <c r="G211" s="17"/>
      <c r="H211" s="17"/>
      <c r="I211" s="17"/>
      <c r="J211" s="17"/>
      <c r="K211" s="17"/>
      <c r="L211" s="17"/>
      <c r="M211" s="17"/>
      <c r="N211" s="17"/>
      <c r="O211" s="17"/>
      <c r="P211" s="17"/>
    </row>
    <row r="212" spans="1:16" x14ac:dyDescent="0.25">
      <c r="A212" s="17"/>
      <c r="B212" s="17"/>
      <c r="C212" s="17"/>
      <c r="D212" s="539" t="s">
        <v>4808</v>
      </c>
      <c r="E212" s="540">
        <v>17.412491975576703</v>
      </c>
      <c r="F212" s="540">
        <v>35.671923717840777</v>
      </c>
      <c r="G212" s="540">
        <v>335.94886429533773</v>
      </c>
      <c r="H212" s="540">
        <v>918.12500053334441</v>
      </c>
      <c r="I212" s="540">
        <v>1806.2836475551048</v>
      </c>
      <c r="J212" s="540">
        <v>2692.182489846336</v>
      </c>
      <c r="K212" s="540">
        <v>3516.018501272094</v>
      </c>
      <c r="L212" s="540">
        <v>3985.2807688529033</v>
      </c>
      <c r="M212" s="540">
        <v>4955.4038696448151</v>
      </c>
      <c r="N212" s="540">
        <v>5883.0925090530445</v>
      </c>
      <c r="O212" s="540">
        <v>6706.6902538509803</v>
      </c>
      <c r="P212" s="540">
        <v>7464.2908822863837</v>
      </c>
    </row>
    <row r="213" spans="1:16" ht="30" x14ac:dyDescent="0.25">
      <c r="A213" s="17"/>
      <c r="B213" s="17"/>
      <c r="C213" s="17"/>
      <c r="D213" s="496" t="s">
        <v>4809</v>
      </c>
      <c r="E213" s="537">
        <v>1.3986612086750383</v>
      </c>
      <c r="F213" s="537">
        <v>7.1448230206270553</v>
      </c>
      <c r="G213" s="537">
        <v>221.06287636641824</v>
      </c>
      <c r="H213" s="537">
        <v>329.25029727380047</v>
      </c>
      <c r="I213" s="537">
        <v>637.29221568910384</v>
      </c>
      <c r="J213" s="537">
        <v>1153.0886299926472</v>
      </c>
      <c r="K213" s="537">
        <v>1688.1106037926775</v>
      </c>
      <c r="L213" s="537">
        <v>2216.4911556147454</v>
      </c>
      <c r="M213" s="537">
        <v>2648.7841670149792</v>
      </c>
      <c r="N213" s="537">
        <v>2931.426856327309</v>
      </c>
      <c r="O213" s="537">
        <v>2995.9228806212395</v>
      </c>
      <c r="P213" s="537">
        <v>3003.7723809884046</v>
      </c>
    </row>
    <row r="214" spans="1:16" x14ac:dyDescent="0.25">
      <c r="A214" s="17"/>
      <c r="B214" s="17"/>
      <c r="C214" s="17"/>
      <c r="D214" s="17"/>
      <c r="E214" s="17"/>
      <c r="F214" s="17"/>
      <c r="G214" s="17"/>
      <c r="H214" s="17"/>
      <c r="I214" s="17"/>
      <c r="J214" s="17"/>
      <c r="K214" s="17"/>
      <c r="L214" s="17"/>
      <c r="M214" s="17"/>
      <c r="N214" s="17"/>
      <c r="O214" s="17"/>
      <c r="P214" s="17"/>
    </row>
    <row r="215" spans="1:16" x14ac:dyDescent="0.25">
      <c r="A215" s="17" t="s">
        <v>7</v>
      </c>
      <c r="B215" s="17" t="s">
        <v>4810</v>
      </c>
      <c r="C215" s="17"/>
      <c r="D215" s="17"/>
      <c r="E215" s="536">
        <v>2011</v>
      </c>
      <c r="F215" s="536">
        <v>2012</v>
      </c>
      <c r="G215" s="536">
        <v>2013</v>
      </c>
      <c r="H215" s="536">
        <v>2014</v>
      </c>
      <c r="I215" s="536">
        <v>2015</v>
      </c>
      <c r="J215" s="536">
        <v>2016</v>
      </c>
      <c r="K215" s="536">
        <v>2017</v>
      </c>
      <c r="L215" s="536">
        <v>2018</v>
      </c>
      <c r="M215" s="536">
        <v>2019</v>
      </c>
      <c r="N215" s="536">
        <v>2020</v>
      </c>
      <c r="O215" s="536">
        <v>2021</v>
      </c>
      <c r="P215" s="536">
        <v>2022</v>
      </c>
    </row>
    <row r="216" spans="1:16" x14ac:dyDescent="0.25">
      <c r="A216" s="17"/>
      <c r="B216" s="17"/>
      <c r="C216" s="17"/>
      <c r="D216" s="17" t="s">
        <v>4796</v>
      </c>
      <c r="E216" s="537">
        <v>0</v>
      </c>
      <c r="F216" s="537">
        <v>0</v>
      </c>
      <c r="G216" s="537">
        <v>0</v>
      </c>
      <c r="H216" s="537">
        <v>8.311704257158933</v>
      </c>
      <c r="I216" s="537">
        <v>22.76764983052021</v>
      </c>
      <c r="J216" s="537">
        <v>39.14968393166135</v>
      </c>
      <c r="K216" s="537">
        <v>48.777758526710379</v>
      </c>
      <c r="L216" s="537">
        <v>54.331783802321745</v>
      </c>
      <c r="M216" s="537">
        <v>58.657485278092132</v>
      </c>
      <c r="N216" s="537">
        <v>60.538855722139701</v>
      </c>
      <c r="O216" s="537">
        <v>61.292679266917084</v>
      </c>
      <c r="P216" s="537">
        <v>62.016695393150293</v>
      </c>
    </row>
    <row r="217" spans="1:16" x14ac:dyDescent="0.25">
      <c r="A217" s="17"/>
      <c r="B217" s="17"/>
      <c r="C217" s="17"/>
      <c r="D217" s="115" t="s">
        <v>4797</v>
      </c>
      <c r="E217" s="537">
        <v>0</v>
      </c>
      <c r="F217" s="537">
        <v>1.8457926340277504</v>
      </c>
      <c r="G217" s="537">
        <v>3.7463018626767015</v>
      </c>
      <c r="H217" s="537">
        <v>10.364706281024711</v>
      </c>
      <c r="I217" s="537">
        <v>39.591026332329861</v>
      </c>
      <c r="J217" s="537">
        <v>69.167028726070725</v>
      </c>
      <c r="K217" s="537">
        <v>98.469065383273261</v>
      </c>
      <c r="L217" s="537">
        <v>125.69588794887153</v>
      </c>
      <c r="M217" s="537">
        <v>151.8019017084705</v>
      </c>
      <c r="N217" s="537">
        <v>177.26975461385334</v>
      </c>
      <c r="O217" s="537">
        <v>202.89263526876428</v>
      </c>
      <c r="P217" s="537">
        <v>228.47560389600841</v>
      </c>
    </row>
    <row r="218" spans="1:16" x14ac:dyDescent="0.25">
      <c r="A218" s="17"/>
      <c r="B218" s="17"/>
      <c r="C218" s="17"/>
      <c r="D218" s="17" t="s">
        <v>4798</v>
      </c>
      <c r="E218" s="537">
        <v>0</v>
      </c>
      <c r="F218" s="537">
        <v>1.1452174708032223</v>
      </c>
      <c r="G218" s="537">
        <v>2.2643438597620431</v>
      </c>
      <c r="H218" s="537">
        <v>7.2137118975739858</v>
      </c>
      <c r="I218" s="537">
        <v>20.041781679781984</v>
      </c>
      <c r="J218" s="537">
        <v>35.37574622630958</v>
      </c>
      <c r="K218" s="537">
        <v>50.281160411791134</v>
      </c>
      <c r="L218" s="537">
        <v>64.807396718222634</v>
      </c>
      <c r="M218" s="537">
        <v>79.003290812912184</v>
      </c>
      <c r="N218" s="537">
        <v>92.915156882257932</v>
      </c>
      <c r="O218" s="537">
        <v>106.58551193922095</v>
      </c>
      <c r="P218" s="537">
        <v>120.05240386133477</v>
      </c>
    </row>
    <row r="219" spans="1:16" x14ac:dyDescent="0.25">
      <c r="A219" s="17"/>
      <c r="B219" s="17"/>
      <c r="C219" s="17"/>
      <c r="D219" s="538" t="s">
        <v>4799</v>
      </c>
      <c r="E219" s="537">
        <v>0</v>
      </c>
      <c r="F219" s="537">
        <v>2.9910101048309725</v>
      </c>
      <c r="G219" s="537">
        <v>6.0106457224387446</v>
      </c>
      <c r="H219" s="537">
        <v>25.890122435757633</v>
      </c>
      <c r="I219" s="537">
        <v>82.400457842632051</v>
      </c>
      <c r="J219" s="537">
        <v>143.69245888404166</v>
      </c>
      <c r="K219" s="537">
        <v>197.5279843217748</v>
      </c>
      <c r="L219" s="537">
        <v>244.83506846941592</v>
      </c>
      <c r="M219" s="537">
        <v>289.46267779947482</v>
      </c>
      <c r="N219" s="537">
        <v>330.72376721825094</v>
      </c>
      <c r="O219" s="537">
        <v>370.77082647490232</v>
      </c>
      <c r="P219" s="537">
        <v>410.54470315049349</v>
      </c>
    </row>
    <row r="220" spans="1:16" x14ac:dyDescent="0.25">
      <c r="A220" s="17"/>
      <c r="B220" s="17"/>
      <c r="C220" s="17"/>
      <c r="D220" s="17"/>
      <c r="E220" s="17"/>
      <c r="F220" s="17"/>
      <c r="G220" s="17"/>
      <c r="H220" s="17"/>
      <c r="I220" s="17"/>
      <c r="J220" s="17"/>
      <c r="K220" s="17"/>
      <c r="L220" s="17"/>
      <c r="M220" s="17"/>
      <c r="N220" s="17"/>
      <c r="O220" s="17"/>
      <c r="P220" s="17"/>
    </row>
    <row r="221" spans="1:16" x14ac:dyDescent="0.25">
      <c r="A221" s="17"/>
      <c r="B221" s="17"/>
      <c r="C221" s="17"/>
      <c r="D221" s="115" t="s">
        <v>4813</v>
      </c>
      <c r="E221" s="537">
        <v>0</v>
      </c>
      <c r="F221" s="537">
        <v>0</v>
      </c>
      <c r="G221" s="537">
        <v>7.83</v>
      </c>
      <c r="H221" s="537">
        <v>18.954000000000001</v>
      </c>
      <c r="I221" s="537">
        <v>35.746000000000002</v>
      </c>
      <c r="J221" s="537">
        <v>60.543999999999997</v>
      </c>
      <c r="K221" s="537">
        <v>94.677000000000007</v>
      </c>
      <c r="L221" s="537">
        <v>138.4</v>
      </c>
      <c r="M221" s="537">
        <v>190.779</v>
      </c>
      <c r="N221" s="537">
        <v>249.34800000000001</v>
      </c>
      <c r="O221" s="537">
        <v>310.09699999999998</v>
      </c>
      <c r="P221" s="537">
        <v>368.25</v>
      </c>
    </row>
    <row r="222" spans="1:16" x14ac:dyDescent="0.25">
      <c r="A222" s="17"/>
      <c r="B222" s="17"/>
      <c r="C222" s="17"/>
      <c r="D222" s="115" t="s">
        <v>4801</v>
      </c>
      <c r="E222" s="537">
        <v>0</v>
      </c>
      <c r="F222" s="537">
        <v>0</v>
      </c>
      <c r="G222" s="537">
        <v>19.059999999999999</v>
      </c>
      <c r="H222" s="537">
        <v>35.914000000000001</v>
      </c>
      <c r="I222" s="537">
        <v>51.97</v>
      </c>
      <c r="J222" s="537">
        <v>67.340999999999994</v>
      </c>
      <c r="K222" s="537">
        <v>82.218999999999994</v>
      </c>
      <c r="L222" s="537">
        <v>93.59</v>
      </c>
      <c r="M222" s="537">
        <v>100.83499999999999</v>
      </c>
      <c r="N222" s="537">
        <v>106.88800000000001</v>
      </c>
      <c r="O222" s="537">
        <v>112.011</v>
      </c>
      <c r="P222" s="537">
        <v>116.047</v>
      </c>
    </row>
    <row r="223" spans="1:16" x14ac:dyDescent="0.25">
      <c r="A223" s="17"/>
      <c r="B223" s="17"/>
      <c r="C223" s="17"/>
      <c r="D223" s="115" t="s">
        <v>4802</v>
      </c>
      <c r="E223" s="537">
        <v>0</v>
      </c>
      <c r="F223" s="537">
        <v>0</v>
      </c>
      <c r="G223" s="537">
        <v>9.891</v>
      </c>
      <c r="H223" s="537">
        <v>19.780999999999999</v>
      </c>
      <c r="I223" s="537">
        <v>29.672000000000001</v>
      </c>
      <c r="J223" s="537">
        <v>38.725000000000001</v>
      </c>
      <c r="K223" s="537">
        <v>44.97</v>
      </c>
      <c r="L223" s="537">
        <v>48.298999999999999</v>
      </c>
      <c r="M223" s="537">
        <v>50.558999999999997</v>
      </c>
      <c r="N223" s="537">
        <v>52.07</v>
      </c>
      <c r="O223" s="537">
        <v>53.222000000000001</v>
      </c>
      <c r="P223" s="537">
        <v>54.079000000000001</v>
      </c>
    </row>
    <row r="224" spans="1:16" x14ac:dyDescent="0.25">
      <c r="A224" s="17"/>
      <c r="B224" s="17"/>
      <c r="C224" s="17"/>
      <c r="D224" s="115" t="s">
        <v>4803</v>
      </c>
      <c r="E224" s="537">
        <v>0</v>
      </c>
      <c r="F224" s="537">
        <v>0</v>
      </c>
      <c r="G224" s="537">
        <v>5.4809999999999999</v>
      </c>
      <c r="H224" s="537">
        <v>4.9619999999999997</v>
      </c>
      <c r="I224" s="537">
        <v>8.0660000000000007</v>
      </c>
      <c r="J224" s="537">
        <v>11.553000000000001</v>
      </c>
      <c r="K224" s="537">
        <v>15.244</v>
      </c>
      <c r="L224" s="537">
        <v>18.960999999999999</v>
      </c>
      <c r="M224" s="537">
        <v>22.623000000000001</v>
      </c>
      <c r="N224" s="537">
        <v>26.300999999999998</v>
      </c>
      <c r="O224" s="537">
        <v>29.863</v>
      </c>
      <c r="P224" s="537">
        <v>33.295000000000002</v>
      </c>
    </row>
    <row r="225" spans="1:16" x14ac:dyDescent="0.25">
      <c r="A225" s="17"/>
      <c r="B225" s="17"/>
      <c r="C225" s="17"/>
      <c r="D225" s="115" t="s">
        <v>4804</v>
      </c>
      <c r="E225" s="537">
        <v>0</v>
      </c>
      <c r="F225" s="537">
        <v>0</v>
      </c>
      <c r="G225" s="537">
        <v>18.596</v>
      </c>
      <c r="H225" s="537">
        <v>41.68</v>
      </c>
      <c r="I225" s="537">
        <v>65.090999999999994</v>
      </c>
      <c r="J225" s="537">
        <v>87.908000000000001</v>
      </c>
      <c r="K225" s="537">
        <v>109.961</v>
      </c>
      <c r="L225" s="537">
        <v>131.96600000000001</v>
      </c>
      <c r="M225" s="537">
        <v>152.92699999999999</v>
      </c>
      <c r="N225" s="537">
        <v>173.32</v>
      </c>
      <c r="O225" s="537">
        <v>192.947</v>
      </c>
      <c r="P225" s="537">
        <v>212.08699999999999</v>
      </c>
    </row>
    <row r="226" spans="1:16" x14ac:dyDescent="0.25">
      <c r="A226" s="17"/>
      <c r="B226" s="17"/>
      <c r="C226" s="17"/>
      <c r="D226" s="17" t="s">
        <v>4805</v>
      </c>
      <c r="E226" s="537">
        <v>0</v>
      </c>
      <c r="F226" s="537">
        <v>0</v>
      </c>
      <c r="G226" s="537">
        <v>0</v>
      </c>
      <c r="H226" s="537">
        <v>0</v>
      </c>
      <c r="I226" s="537">
        <v>0</v>
      </c>
      <c r="J226" s="537">
        <v>0</v>
      </c>
      <c r="K226" s="537">
        <v>0</v>
      </c>
      <c r="L226" s="537">
        <v>0</v>
      </c>
      <c r="M226" s="537">
        <v>0</v>
      </c>
      <c r="N226" s="537">
        <v>0</v>
      </c>
      <c r="O226" s="537">
        <v>0</v>
      </c>
      <c r="P226" s="537">
        <v>0</v>
      </c>
    </row>
    <row r="227" spans="1:16" x14ac:dyDescent="0.25">
      <c r="A227" s="17"/>
      <c r="B227" s="17"/>
      <c r="C227" s="17"/>
      <c r="D227" s="538" t="s">
        <v>4806</v>
      </c>
      <c r="E227" s="537">
        <v>0</v>
      </c>
      <c r="F227" s="537">
        <v>0</v>
      </c>
      <c r="G227" s="537">
        <v>60.858000000000004</v>
      </c>
      <c r="H227" s="537">
        <v>121.291</v>
      </c>
      <c r="I227" s="537">
        <v>190.54500000000002</v>
      </c>
      <c r="J227" s="537">
        <v>266.07099999999997</v>
      </c>
      <c r="K227" s="537">
        <v>347.07100000000003</v>
      </c>
      <c r="L227" s="537">
        <v>431.21600000000001</v>
      </c>
      <c r="M227" s="537">
        <v>517.72299999999996</v>
      </c>
      <c r="N227" s="537">
        <v>607.92699999999991</v>
      </c>
      <c r="O227" s="537">
        <v>698.13999999999987</v>
      </c>
      <c r="P227" s="537">
        <v>783.75799999999992</v>
      </c>
    </row>
    <row r="228" spans="1:16" x14ac:dyDescent="0.25">
      <c r="A228" s="17"/>
      <c r="B228" s="17"/>
      <c r="C228" s="17"/>
      <c r="D228" s="17"/>
      <c r="E228" s="537"/>
      <c r="F228" s="537"/>
      <c r="G228" s="537"/>
      <c r="H228" s="537"/>
      <c r="I228" s="537"/>
      <c r="J228" s="537"/>
      <c r="K228" s="537"/>
      <c r="L228" s="537"/>
      <c r="M228" s="537"/>
      <c r="N228" s="537"/>
      <c r="O228" s="537"/>
      <c r="P228" s="537"/>
    </row>
    <row r="229" spans="1:16" x14ac:dyDescent="0.25">
      <c r="A229" s="17"/>
      <c r="B229" s="17"/>
      <c r="C229" s="17"/>
      <c r="D229" s="538" t="s">
        <v>4814</v>
      </c>
      <c r="E229" s="537">
        <v>0</v>
      </c>
      <c r="F229" s="537">
        <v>0</v>
      </c>
      <c r="G229" s="537">
        <v>23.417940553168123</v>
      </c>
      <c r="H229" s="537">
        <v>68.256540471977075</v>
      </c>
      <c r="I229" s="537">
        <v>129.99736361552664</v>
      </c>
      <c r="J229" s="537">
        <v>176.48411060092863</v>
      </c>
      <c r="K229" s="537">
        <v>215.48449051699515</v>
      </c>
      <c r="L229" s="537">
        <v>186.5373357265411</v>
      </c>
      <c r="M229" s="537">
        <v>250.90028205169008</v>
      </c>
      <c r="N229" s="537">
        <v>309.61174629098252</v>
      </c>
      <c r="O229" s="537">
        <v>356.1903492948972</v>
      </c>
      <c r="P229" s="537">
        <v>398.98260546139744</v>
      </c>
    </row>
    <row r="230" spans="1:16" x14ac:dyDescent="0.25">
      <c r="A230" s="17"/>
      <c r="B230" s="17"/>
      <c r="C230" s="17"/>
      <c r="D230" s="17"/>
      <c r="E230" s="17"/>
      <c r="F230" s="17"/>
      <c r="G230" s="17"/>
      <c r="H230" s="17"/>
      <c r="I230" s="17"/>
      <c r="J230" s="17"/>
      <c r="K230" s="17"/>
      <c r="L230" s="17"/>
      <c r="M230" s="17"/>
      <c r="N230" s="17"/>
      <c r="O230" s="17"/>
      <c r="P230" s="17"/>
    </row>
    <row r="231" spans="1:16" x14ac:dyDescent="0.25">
      <c r="A231" s="17"/>
      <c r="B231" s="17"/>
      <c r="C231" s="17"/>
      <c r="D231" s="539" t="s">
        <v>4808</v>
      </c>
      <c r="E231" s="540">
        <v>0</v>
      </c>
      <c r="F231" s="540">
        <v>2.9910101048309725</v>
      </c>
      <c r="G231" s="540">
        <v>90.286586275606865</v>
      </c>
      <c r="H231" s="540">
        <v>215.4376629077347</v>
      </c>
      <c r="I231" s="540">
        <v>402.94282145815873</v>
      </c>
      <c r="J231" s="540">
        <v>586.2475694849702</v>
      </c>
      <c r="K231" s="540">
        <v>760.08347483877003</v>
      </c>
      <c r="L231" s="540">
        <v>862.58840419595697</v>
      </c>
      <c r="M231" s="540">
        <v>1058.0859598511649</v>
      </c>
      <c r="N231" s="540">
        <v>1248.2625135092335</v>
      </c>
      <c r="O231" s="540">
        <v>1425.1011757697995</v>
      </c>
      <c r="P231" s="540">
        <v>1593.285308611891</v>
      </c>
    </row>
    <row r="232" spans="1:16" ht="30" x14ac:dyDescent="0.25">
      <c r="A232" s="17"/>
      <c r="B232" s="17"/>
      <c r="C232" s="17"/>
      <c r="D232" s="496" t="s">
        <v>4809</v>
      </c>
      <c r="E232" s="537">
        <v>0</v>
      </c>
      <c r="F232" s="537">
        <v>0.84352494724545091</v>
      </c>
      <c r="G232" s="537">
        <v>47.530923311371126</v>
      </c>
      <c r="H232" s="537">
        <v>62.853453717709876</v>
      </c>
      <c r="I232" s="537">
        <v>137.12327550815755</v>
      </c>
      <c r="J232" s="537">
        <v>236.77730915379999</v>
      </c>
      <c r="K232" s="537">
        <v>328.41135051654948</v>
      </c>
      <c r="L232" s="537">
        <v>424.48350152707542</v>
      </c>
      <c r="M232" s="537">
        <v>499.0504395718869</v>
      </c>
      <c r="N232" s="537">
        <v>529.1568577773196</v>
      </c>
      <c r="O232" s="537">
        <v>526.40352451082447</v>
      </c>
      <c r="P232" s="537">
        <v>525.99259435155102</v>
      </c>
    </row>
    <row r="233" spans="1:16" x14ac:dyDescent="0.25">
      <c r="A233" s="17"/>
      <c r="B233" s="17"/>
      <c r="C233" s="17"/>
      <c r="D233" s="17"/>
      <c r="E233" s="17"/>
      <c r="F233" s="17"/>
      <c r="G233" s="17"/>
      <c r="H233" s="17"/>
      <c r="I233" s="17"/>
      <c r="J233" s="17"/>
      <c r="K233" s="17"/>
      <c r="L233" s="17"/>
      <c r="M233" s="17"/>
      <c r="N233" s="17"/>
      <c r="O233" s="17"/>
      <c r="P233" s="17"/>
    </row>
    <row r="234" spans="1:16" x14ac:dyDescent="0.25">
      <c r="A234" s="17" t="s">
        <v>162</v>
      </c>
      <c r="B234" s="17" t="s">
        <v>4795</v>
      </c>
      <c r="C234" s="17"/>
      <c r="D234" s="17"/>
      <c r="E234" s="536">
        <v>2011</v>
      </c>
      <c r="F234" s="536">
        <v>2012</v>
      </c>
      <c r="G234" s="536">
        <v>2013</v>
      </c>
      <c r="H234" s="536">
        <v>2014</v>
      </c>
      <c r="I234" s="536">
        <v>2015</v>
      </c>
      <c r="J234" s="536">
        <v>2016</v>
      </c>
      <c r="K234" s="536">
        <v>2017</v>
      </c>
      <c r="L234" s="536">
        <v>2018</v>
      </c>
      <c r="M234" s="536">
        <v>2019</v>
      </c>
      <c r="N234" s="536">
        <v>2020</v>
      </c>
      <c r="O234" s="536">
        <v>2021</v>
      </c>
      <c r="P234" s="536">
        <v>2022</v>
      </c>
    </row>
    <row r="235" spans="1:16" x14ac:dyDescent="0.25">
      <c r="A235" s="17"/>
      <c r="B235" s="17"/>
      <c r="C235" s="17"/>
      <c r="D235" s="17" t="s">
        <v>4796</v>
      </c>
      <c r="E235" s="537">
        <v>0</v>
      </c>
      <c r="F235" s="537">
        <v>0</v>
      </c>
      <c r="G235" s="537">
        <v>0</v>
      </c>
      <c r="H235" s="537">
        <v>21.798624111151131</v>
      </c>
      <c r="I235" s="537">
        <v>48.226769121546752</v>
      </c>
      <c r="J235" s="537">
        <v>80.277926459210107</v>
      </c>
      <c r="K235" s="537">
        <v>98.870668837682643</v>
      </c>
      <c r="L235" s="537">
        <v>108.2625185829105</v>
      </c>
      <c r="M235" s="537">
        <v>115.58869009007537</v>
      </c>
      <c r="N235" s="537">
        <v>120.1220197622626</v>
      </c>
      <c r="O235" s="537">
        <v>122.1307216625911</v>
      </c>
      <c r="P235" s="537">
        <v>123.40038881473282</v>
      </c>
    </row>
    <row r="236" spans="1:16" x14ac:dyDescent="0.25">
      <c r="A236" s="17"/>
      <c r="B236" s="17"/>
      <c r="C236" s="17"/>
      <c r="D236" s="115" t="s">
        <v>4797</v>
      </c>
      <c r="E236" s="537">
        <v>3.5077360944142808</v>
      </c>
      <c r="F236" s="537">
        <v>7.0005242989655949</v>
      </c>
      <c r="G236" s="537">
        <v>11.030357068250712</v>
      </c>
      <c r="H236" s="537">
        <v>19.608160395516123</v>
      </c>
      <c r="I236" s="537">
        <v>42.292066928556387</v>
      </c>
      <c r="J236" s="537">
        <v>65.860428945759139</v>
      </c>
      <c r="K236" s="537">
        <v>89.071936332815227</v>
      </c>
      <c r="L236" s="537">
        <v>107.80304966618766</v>
      </c>
      <c r="M236" s="537">
        <v>123.62145023788482</v>
      </c>
      <c r="N236" s="537">
        <v>137.89019985629028</v>
      </c>
      <c r="O236" s="537">
        <v>152.23094226055753</v>
      </c>
      <c r="P236" s="537">
        <v>166.5898409173667</v>
      </c>
    </row>
    <row r="237" spans="1:16" x14ac:dyDescent="0.25">
      <c r="A237" s="17"/>
      <c r="B237" s="17"/>
      <c r="C237" s="17"/>
      <c r="D237" s="17" t="s">
        <v>4798</v>
      </c>
      <c r="E237" s="537">
        <v>0.44366874966560166</v>
      </c>
      <c r="F237" s="537">
        <v>1.0944808487198021</v>
      </c>
      <c r="G237" s="537">
        <v>1.7305813117646984</v>
      </c>
      <c r="H237" s="537">
        <v>5.3631403191554909</v>
      </c>
      <c r="I237" s="537">
        <v>15.388887011525934</v>
      </c>
      <c r="J237" s="537">
        <v>27.295757464993109</v>
      </c>
      <c r="K237" s="537">
        <v>38.859052707841272</v>
      </c>
      <c r="L237" s="537">
        <v>50.117449376284377</v>
      </c>
      <c r="M237" s="537">
        <v>61.109388561032873</v>
      </c>
      <c r="N237" s="537">
        <v>71.871515619643318</v>
      </c>
      <c r="O237" s="537">
        <v>82.437645813623803</v>
      </c>
      <c r="P237" s="537">
        <v>92.838189983957832</v>
      </c>
    </row>
    <row r="238" spans="1:16" x14ac:dyDescent="0.25">
      <c r="A238" s="17"/>
      <c r="B238" s="17"/>
      <c r="C238" s="17"/>
      <c r="D238" s="538" t="s">
        <v>4799</v>
      </c>
      <c r="E238" s="537">
        <v>3.9514048440798826</v>
      </c>
      <c r="F238" s="537">
        <v>8.0950051476853968</v>
      </c>
      <c r="G238" s="537">
        <v>12.760938380015411</v>
      </c>
      <c r="H238" s="537">
        <v>46.769924825822741</v>
      </c>
      <c r="I238" s="537">
        <v>105.90772306162908</v>
      </c>
      <c r="J238" s="537">
        <v>173.43411286996235</v>
      </c>
      <c r="K238" s="537">
        <v>226.80165787833914</v>
      </c>
      <c r="L238" s="537">
        <v>266.18301762538255</v>
      </c>
      <c r="M238" s="537">
        <v>300.31952888899303</v>
      </c>
      <c r="N238" s="537">
        <v>329.88373523819621</v>
      </c>
      <c r="O238" s="537">
        <v>356.79930973677244</v>
      </c>
      <c r="P238" s="537">
        <v>382.82841971605734</v>
      </c>
    </row>
    <row r="239" spans="1:16" x14ac:dyDescent="0.25">
      <c r="A239" s="17"/>
      <c r="B239" s="17"/>
      <c r="C239" s="17"/>
      <c r="D239" s="17"/>
      <c r="E239" s="17"/>
      <c r="F239" s="17"/>
      <c r="G239" s="17"/>
      <c r="H239" s="17"/>
      <c r="I239" s="17"/>
      <c r="J239" s="17"/>
      <c r="K239" s="17"/>
      <c r="L239" s="17"/>
      <c r="M239" s="17"/>
      <c r="N239" s="17"/>
      <c r="O239" s="17"/>
      <c r="P239" s="17"/>
    </row>
    <row r="240" spans="1:16" x14ac:dyDescent="0.25">
      <c r="A240" s="17"/>
      <c r="B240" s="17"/>
      <c r="C240" s="17"/>
      <c r="D240" s="115" t="s">
        <v>4813</v>
      </c>
      <c r="E240" s="537">
        <v>0</v>
      </c>
      <c r="F240" s="537">
        <v>0</v>
      </c>
      <c r="G240" s="537">
        <v>8.2431959999999993</v>
      </c>
      <c r="H240" s="537">
        <v>19.960138000000001</v>
      </c>
      <c r="I240" s="537">
        <v>37.432915999999999</v>
      </c>
      <c r="J240" s="537">
        <v>62.898974000000003</v>
      </c>
      <c r="K240" s="537">
        <v>97.542607000000004</v>
      </c>
      <c r="L240" s="537">
        <v>141.23479900000001</v>
      </c>
      <c r="M240" s="537">
        <v>192.44116399999999</v>
      </c>
      <c r="N240" s="537">
        <v>248.29756900000001</v>
      </c>
      <c r="O240" s="537">
        <v>304.98919100000001</v>
      </c>
      <c r="P240" s="537">
        <v>358.38017300000001</v>
      </c>
    </row>
    <row r="241" spans="1:16" x14ac:dyDescent="0.25">
      <c r="A241" s="17"/>
      <c r="B241" s="17"/>
      <c r="C241" s="17"/>
      <c r="D241" s="115" t="s">
        <v>4801</v>
      </c>
      <c r="E241" s="537">
        <v>0</v>
      </c>
      <c r="F241" s="537">
        <v>0</v>
      </c>
      <c r="G241" s="537">
        <v>15.104069000000001</v>
      </c>
      <c r="H241" s="537">
        <v>27.797138</v>
      </c>
      <c r="I241" s="537">
        <v>40.877270000000003</v>
      </c>
      <c r="J241" s="537">
        <v>55.316405000000003</v>
      </c>
      <c r="K241" s="537">
        <v>70.113280000000003</v>
      </c>
      <c r="L241" s="537">
        <v>82.785724000000002</v>
      </c>
      <c r="M241" s="537">
        <v>93.395503000000005</v>
      </c>
      <c r="N241" s="537">
        <v>103.08690300000001</v>
      </c>
      <c r="O241" s="537">
        <v>110.562487</v>
      </c>
      <c r="P241" s="537">
        <v>116.935694</v>
      </c>
    </row>
    <row r="242" spans="1:16" x14ac:dyDescent="0.25">
      <c r="A242" s="17"/>
      <c r="B242" s="17"/>
      <c r="C242" s="17"/>
      <c r="D242" s="115" t="s">
        <v>4802</v>
      </c>
      <c r="E242" s="537">
        <v>0</v>
      </c>
      <c r="F242" s="537">
        <v>0</v>
      </c>
      <c r="G242" s="537">
        <v>7.7141070000000003</v>
      </c>
      <c r="H242" s="537">
        <v>15.428214000000001</v>
      </c>
      <c r="I242" s="537">
        <v>23.142320999999999</v>
      </c>
      <c r="J242" s="537">
        <v>30.856428000000001</v>
      </c>
      <c r="K242" s="537">
        <v>38.570535</v>
      </c>
      <c r="L242" s="537">
        <v>44.570396000000002</v>
      </c>
      <c r="M242" s="537">
        <v>49.304977999999998</v>
      </c>
      <c r="N242" s="537">
        <v>53.485984000000002</v>
      </c>
      <c r="O242" s="537">
        <v>56.807445000000001</v>
      </c>
      <c r="P242" s="537">
        <v>59.463890999999997</v>
      </c>
    </row>
    <row r="243" spans="1:16" x14ac:dyDescent="0.25">
      <c r="A243" s="17"/>
      <c r="B243" s="17"/>
      <c r="C243" s="17"/>
      <c r="D243" s="115" t="s">
        <v>4803</v>
      </c>
      <c r="E243" s="537">
        <v>0</v>
      </c>
      <c r="F243" s="537">
        <v>0</v>
      </c>
      <c r="G243" s="537">
        <v>5.253959</v>
      </c>
      <c r="H243" s="537">
        <v>11.341058</v>
      </c>
      <c r="I243" s="537">
        <v>19.396685999999999</v>
      </c>
      <c r="J243" s="537">
        <v>29.11345</v>
      </c>
      <c r="K243" s="537">
        <v>41.466585000000002</v>
      </c>
      <c r="L243" s="537">
        <v>55.537039999999998</v>
      </c>
      <c r="M243" s="537">
        <v>71.607964999999993</v>
      </c>
      <c r="N243" s="537">
        <v>88.655555000000007</v>
      </c>
      <c r="O243" s="537">
        <v>105.12887600000001</v>
      </c>
      <c r="P243" s="537">
        <v>119.21155400000001</v>
      </c>
    </row>
    <row r="244" spans="1:16" x14ac:dyDescent="0.25">
      <c r="A244" s="17"/>
      <c r="B244" s="17"/>
      <c r="C244" s="17"/>
      <c r="D244" s="115" t="s">
        <v>4804</v>
      </c>
      <c r="E244" s="537">
        <v>0</v>
      </c>
      <c r="F244" s="537">
        <v>0</v>
      </c>
      <c r="G244" s="537">
        <v>26.764668</v>
      </c>
      <c r="H244" s="537">
        <v>50.856133</v>
      </c>
      <c r="I244" s="537">
        <v>74.955205000000007</v>
      </c>
      <c r="J244" s="537">
        <v>98.051826000000005</v>
      </c>
      <c r="K244" s="537">
        <v>120.35453800000001</v>
      </c>
      <c r="L244" s="537">
        <v>141.89765</v>
      </c>
      <c r="M244" s="537">
        <v>162.112627</v>
      </c>
      <c r="N244" s="537">
        <v>182.74704399999999</v>
      </c>
      <c r="O244" s="537">
        <v>203.047203</v>
      </c>
      <c r="P244" s="537">
        <v>223.39601500000001</v>
      </c>
    </row>
    <row r="245" spans="1:16" x14ac:dyDescent="0.25">
      <c r="A245" s="17"/>
      <c r="B245" s="17"/>
      <c r="C245" s="17"/>
      <c r="D245" s="17" t="s">
        <v>4805</v>
      </c>
      <c r="E245" s="537">
        <v>0</v>
      </c>
      <c r="F245" s="537">
        <v>0</v>
      </c>
      <c r="G245" s="537">
        <v>2.1249999636738202</v>
      </c>
      <c r="H245" s="537">
        <v>4.3621596632171693</v>
      </c>
      <c r="I245" s="537">
        <v>4.6820720788653354</v>
      </c>
      <c r="J245" s="537">
        <v>5.0750695865718516</v>
      </c>
      <c r="K245" s="537">
        <v>5.5477922083042834</v>
      </c>
      <c r="L245" s="537">
        <v>5.9649603022678708</v>
      </c>
      <c r="M245" s="537">
        <v>6.4253230881374543</v>
      </c>
      <c r="N245" s="537">
        <v>6.8957269315251457</v>
      </c>
      <c r="O245" s="537">
        <v>7.3856151963718197</v>
      </c>
      <c r="P245" s="537">
        <v>7.8873551806665585</v>
      </c>
    </row>
    <row r="246" spans="1:16" x14ac:dyDescent="0.25">
      <c r="A246" s="17"/>
      <c r="B246" s="17"/>
      <c r="C246" s="17"/>
      <c r="D246" s="538" t="s">
        <v>4806</v>
      </c>
      <c r="E246" s="537">
        <v>0</v>
      </c>
      <c r="F246" s="537">
        <v>0</v>
      </c>
      <c r="G246" s="537">
        <v>65.204998963673816</v>
      </c>
      <c r="H246" s="537">
        <v>129.74484066321716</v>
      </c>
      <c r="I246" s="537">
        <v>200.48647007886532</v>
      </c>
      <c r="J246" s="537">
        <v>281.31215258657181</v>
      </c>
      <c r="K246" s="537">
        <v>373.59533720830427</v>
      </c>
      <c r="L246" s="537">
        <v>471.99056930226789</v>
      </c>
      <c r="M246" s="537">
        <v>575.28756008813741</v>
      </c>
      <c r="N246" s="537">
        <v>683.16878193152513</v>
      </c>
      <c r="O246" s="537">
        <v>787.9208171963719</v>
      </c>
      <c r="P246" s="537">
        <v>885.27468218066656</v>
      </c>
    </row>
    <row r="247" spans="1:16" x14ac:dyDescent="0.25">
      <c r="A247" s="17"/>
      <c r="B247" s="17"/>
      <c r="C247" s="17"/>
      <c r="D247" s="17"/>
      <c r="E247" s="537"/>
      <c r="F247" s="537"/>
      <c r="G247" s="537"/>
      <c r="H247" s="537"/>
      <c r="I247" s="537"/>
      <c r="J247" s="537"/>
      <c r="K247" s="537"/>
      <c r="L247" s="537"/>
      <c r="M247" s="537"/>
      <c r="N247" s="537"/>
      <c r="O247" s="537"/>
      <c r="P247" s="537"/>
    </row>
    <row r="248" spans="1:16" x14ac:dyDescent="0.25">
      <c r="A248" s="17"/>
      <c r="B248" s="17"/>
      <c r="C248" s="17"/>
      <c r="D248" s="538" t="s">
        <v>4814</v>
      </c>
      <c r="E248" s="537">
        <v>0</v>
      </c>
      <c r="F248" s="537">
        <v>0</v>
      </c>
      <c r="G248" s="537">
        <v>0</v>
      </c>
      <c r="H248" s="537">
        <v>0</v>
      </c>
      <c r="I248" s="537">
        <v>35.032397229916455</v>
      </c>
      <c r="J248" s="537">
        <v>63.727463845426769</v>
      </c>
      <c r="K248" s="537">
        <v>70.778935149575545</v>
      </c>
      <c r="L248" s="537">
        <v>0</v>
      </c>
      <c r="M248" s="537">
        <v>46.817402570674062</v>
      </c>
      <c r="N248" s="537">
        <v>114.26785573225527</v>
      </c>
      <c r="O248" s="537">
        <v>163.13143273012884</v>
      </c>
      <c r="P248" s="537">
        <v>204.79673644154263</v>
      </c>
    </row>
    <row r="249" spans="1:16" x14ac:dyDescent="0.25">
      <c r="A249" s="17"/>
      <c r="B249" s="17"/>
      <c r="C249" s="17"/>
      <c r="D249" s="17"/>
      <c r="E249" s="17"/>
      <c r="F249" s="17"/>
      <c r="G249" s="17"/>
      <c r="H249" s="17"/>
      <c r="I249" s="17"/>
      <c r="J249" s="17"/>
      <c r="K249" s="17"/>
      <c r="L249" s="17"/>
      <c r="M249" s="17"/>
      <c r="N249" s="17"/>
      <c r="O249" s="17"/>
      <c r="P249" s="17"/>
    </row>
    <row r="250" spans="1:16" x14ac:dyDescent="0.25">
      <c r="A250" s="17"/>
      <c r="B250" s="17"/>
      <c r="C250" s="17"/>
      <c r="D250" s="539" t="s">
        <v>4808</v>
      </c>
      <c r="E250" s="540">
        <v>3.9514048440798826</v>
      </c>
      <c r="F250" s="540">
        <v>8.0950051476853968</v>
      </c>
      <c r="G250" s="540">
        <v>77.965937343689234</v>
      </c>
      <c r="H250" s="540">
        <v>176.51476548903992</v>
      </c>
      <c r="I250" s="540">
        <v>341.42659037041085</v>
      </c>
      <c r="J250" s="540">
        <v>518.47372930196093</v>
      </c>
      <c r="K250" s="540">
        <v>671.17593023621896</v>
      </c>
      <c r="L250" s="540">
        <v>738.17358692765038</v>
      </c>
      <c r="M250" s="540">
        <v>922.42449154780445</v>
      </c>
      <c r="N250" s="540">
        <v>1127.3203729019765</v>
      </c>
      <c r="O250" s="540">
        <v>1307.8515596632733</v>
      </c>
      <c r="P250" s="540">
        <v>1472.8998383382666</v>
      </c>
    </row>
    <row r="251" spans="1:16" ht="30" x14ac:dyDescent="0.25">
      <c r="A251" s="17"/>
      <c r="B251" s="17"/>
      <c r="C251" s="17"/>
      <c r="D251" s="496" t="s">
        <v>4809</v>
      </c>
      <c r="E251" s="537">
        <v>0.31739722740070975</v>
      </c>
      <c r="F251" s="537">
        <v>1.6213697805804206</v>
      </c>
      <c r="G251" s="537">
        <v>37.017652457767241</v>
      </c>
      <c r="H251" s="537">
        <v>60.992703528785682</v>
      </c>
      <c r="I251" s="537">
        <v>116.98387414335966</v>
      </c>
      <c r="J251" s="537">
        <v>210.24373165720812</v>
      </c>
      <c r="K251" s="537">
        <v>309.77127708867715</v>
      </c>
      <c r="L251" s="537">
        <v>413.94441294057674</v>
      </c>
      <c r="M251" s="537">
        <v>500.25831963892904</v>
      </c>
      <c r="N251" s="537">
        <v>549.45879391573237</v>
      </c>
      <c r="O251" s="537">
        <v>545.64753013655775</v>
      </c>
      <c r="P251" s="537">
        <v>530.36266615463182</v>
      </c>
    </row>
    <row r="252" spans="1:16" x14ac:dyDescent="0.25">
      <c r="A252" s="17"/>
      <c r="B252" s="17"/>
      <c r="C252" s="17"/>
      <c r="D252" s="17"/>
      <c r="E252" s="17"/>
      <c r="F252" s="17"/>
      <c r="G252" s="17"/>
      <c r="H252" s="17"/>
      <c r="I252" s="17"/>
      <c r="J252" s="17"/>
      <c r="K252" s="17"/>
      <c r="L252" s="17"/>
      <c r="M252" s="17"/>
      <c r="N252" s="17"/>
      <c r="O252" s="17"/>
      <c r="P252" s="17"/>
    </row>
    <row r="253" spans="1:16" x14ac:dyDescent="0.25">
      <c r="A253" s="17" t="s">
        <v>162</v>
      </c>
      <c r="B253" s="17" t="s">
        <v>4810</v>
      </c>
      <c r="C253" s="17"/>
      <c r="D253" s="17"/>
      <c r="E253" s="536">
        <v>2011</v>
      </c>
      <c r="F253" s="536">
        <v>2012</v>
      </c>
      <c r="G253" s="536">
        <v>2013</v>
      </c>
      <c r="H253" s="536">
        <v>2014</v>
      </c>
      <c r="I253" s="536">
        <v>2015</v>
      </c>
      <c r="J253" s="536">
        <v>2016</v>
      </c>
      <c r="K253" s="536">
        <v>2017</v>
      </c>
      <c r="L253" s="536">
        <v>2018</v>
      </c>
      <c r="M253" s="536">
        <v>2019</v>
      </c>
      <c r="N253" s="536">
        <v>2020</v>
      </c>
      <c r="O253" s="536">
        <v>2021</v>
      </c>
      <c r="P253" s="536">
        <v>2022</v>
      </c>
    </row>
    <row r="254" spans="1:16" x14ac:dyDescent="0.25">
      <c r="A254" s="17"/>
      <c r="B254" s="17"/>
      <c r="C254" s="17"/>
      <c r="D254" s="17" t="s">
        <v>4796</v>
      </c>
      <c r="E254" s="537">
        <v>0</v>
      </c>
      <c r="F254" s="537">
        <v>0</v>
      </c>
      <c r="G254" s="537">
        <v>0</v>
      </c>
      <c r="H254" s="537">
        <v>1.8861693381029931</v>
      </c>
      <c r="I254" s="537">
        <v>5.1666471378604868</v>
      </c>
      <c r="J254" s="537">
        <v>8.8842108842746175</v>
      </c>
      <c r="K254" s="537">
        <v>11.069103238993371</v>
      </c>
      <c r="L254" s="537">
        <v>12.329474379952131</v>
      </c>
      <c r="M254" s="537">
        <v>13.311102844699004</v>
      </c>
      <c r="N254" s="537">
        <v>13.738040947329317</v>
      </c>
      <c r="O254" s="537">
        <v>13.909105606574689</v>
      </c>
      <c r="P254" s="537">
        <v>14.073406088803345</v>
      </c>
    </row>
    <row r="255" spans="1:16" x14ac:dyDescent="0.25">
      <c r="A255" s="17"/>
      <c r="B255" s="17"/>
      <c r="C255" s="17"/>
      <c r="D255" s="115" t="s">
        <v>4797</v>
      </c>
      <c r="E255" s="537">
        <v>0</v>
      </c>
      <c r="F255" s="537">
        <v>0.41886445463947775</v>
      </c>
      <c r="G255" s="537">
        <v>0.85014570851372484</v>
      </c>
      <c r="H255" s="537">
        <v>2.0901866980889419</v>
      </c>
      <c r="I255" s="537">
        <v>7.4020064510820447</v>
      </c>
      <c r="J255" s="537">
        <v>12.827028575988322</v>
      </c>
      <c r="K255" s="537">
        <v>18.248574874374455</v>
      </c>
      <c r="L255" s="537">
        <v>23.203479480934377</v>
      </c>
      <c r="M255" s="537">
        <v>27.91513292564548</v>
      </c>
      <c r="N255" s="537">
        <v>32.486573656117415</v>
      </c>
      <c r="O255" s="537">
        <v>37.1180595569083</v>
      </c>
      <c r="P255" s="537">
        <v>41.76788094531021</v>
      </c>
    </row>
    <row r="256" spans="1:16" x14ac:dyDescent="0.25">
      <c r="A256" s="17"/>
      <c r="B256" s="17"/>
      <c r="C256" s="17"/>
      <c r="D256" s="17" t="s">
        <v>4798</v>
      </c>
      <c r="E256" s="537">
        <v>0</v>
      </c>
      <c r="F256" s="537">
        <v>0.25988341404573068</v>
      </c>
      <c r="G256" s="537">
        <v>0.513845996809422</v>
      </c>
      <c r="H256" s="537">
        <v>1.6370026861090032</v>
      </c>
      <c r="I256" s="537">
        <v>4.5480677507022413</v>
      </c>
      <c r="J256" s="537">
        <v>8.0277937929645837</v>
      </c>
      <c r="K256" s="537">
        <v>11.41026919614869</v>
      </c>
      <c r="L256" s="537">
        <v>14.706698023681943</v>
      </c>
      <c r="M256" s="537">
        <v>17.928162520003323</v>
      </c>
      <c r="N256" s="537">
        <v>21.085172731620816</v>
      </c>
      <c r="O256" s="537">
        <v>24.187377015082461</v>
      </c>
      <c r="P256" s="537">
        <v>27.24340954910339</v>
      </c>
    </row>
    <row r="257" spans="1:16" x14ac:dyDescent="0.25">
      <c r="A257" s="17"/>
      <c r="B257" s="17"/>
      <c r="C257" s="17"/>
      <c r="D257" s="538" t="s">
        <v>4799</v>
      </c>
      <c r="E257" s="537">
        <v>0</v>
      </c>
      <c r="F257" s="537">
        <v>0.67874786868520842</v>
      </c>
      <c r="G257" s="537">
        <v>1.363991705323147</v>
      </c>
      <c r="H257" s="537">
        <v>5.613358722300938</v>
      </c>
      <c r="I257" s="537">
        <v>17.116721339644773</v>
      </c>
      <c r="J257" s="537">
        <v>29.739033253227522</v>
      </c>
      <c r="K257" s="537">
        <v>40.727947309516516</v>
      </c>
      <c r="L257" s="537">
        <v>50.239651884568453</v>
      </c>
      <c r="M257" s="537">
        <v>59.154398290347814</v>
      </c>
      <c r="N257" s="537">
        <v>67.30978733506754</v>
      </c>
      <c r="O257" s="537">
        <v>75.214542178565452</v>
      </c>
      <c r="P257" s="537">
        <v>83.084696583216953</v>
      </c>
    </row>
    <row r="258" spans="1:16" x14ac:dyDescent="0.25">
      <c r="A258" s="17"/>
      <c r="B258" s="17"/>
      <c r="C258" s="17"/>
      <c r="D258" s="17"/>
      <c r="E258" s="17"/>
      <c r="F258" s="17"/>
      <c r="G258" s="17"/>
      <c r="H258" s="17"/>
      <c r="I258" s="17"/>
      <c r="J258" s="17"/>
      <c r="K258" s="17"/>
      <c r="L258" s="17"/>
      <c r="M258" s="17"/>
      <c r="N258" s="17"/>
      <c r="O258" s="17"/>
      <c r="P258" s="17"/>
    </row>
    <row r="259" spans="1:16" x14ac:dyDescent="0.25">
      <c r="A259" s="17"/>
      <c r="B259" s="17"/>
      <c r="C259" s="17"/>
      <c r="D259" s="115" t="s">
        <v>4813</v>
      </c>
      <c r="E259" s="537">
        <v>0</v>
      </c>
      <c r="F259" s="537">
        <v>0</v>
      </c>
      <c r="G259" s="537">
        <v>1.704</v>
      </c>
      <c r="H259" s="537">
        <v>4.1239999999999997</v>
      </c>
      <c r="I259" s="537">
        <v>7.7770000000000001</v>
      </c>
      <c r="J259" s="537">
        <v>13.176</v>
      </c>
      <c r="K259" s="537">
        <v>20.61</v>
      </c>
      <c r="L259" s="537">
        <v>30.140999999999998</v>
      </c>
      <c r="M259" s="537">
        <v>41.57</v>
      </c>
      <c r="N259" s="537">
        <v>54.362000000000002</v>
      </c>
      <c r="O259" s="537">
        <v>67.655000000000001</v>
      </c>
      <c r="P259" s="537">
        <v>80.41</v>
      </c>
    </row>
    <row r="260" spans="1:16" x14ac:dyDescent="0.25">
      <c r="A260" s="17"/>
      <c r="B260" s="17"/>
      <c r="C260" s="17"/>
      <c r="D260" s="115" t="s">
        <v>4801</v>
      </c>
      <c r="E260" s="537">
        <v>0</v>
      </c>
      <c r="F260" s="537">
        <v>0</v>
      </c>
      <c r="G260" s="537">
        <v>3.2229999999999999</v>
      </c>
      <c r="H260" s="537">
        <v>6.1159999999999997</v>
      </c>
      <c r="I260" s="537">
        <v>8.8729999999999993</v>
      </c>
      <c r="J260" s="537">
        <v>11.917</v>
      </c>
      <c r="K260" s="537">
        <v>15.010999999999999</v>
      </c>
      <c r="L260" s="537">
        <v>17.725000000000001</v>
      </c>
      <c r="M260" s="537">
        <v>20.068999999999999</v>
      </c>
      <c r="N260" s="537">
        <v>22.224</v>
      </c>
      <c r="O260" s="537">
        <v>24.1</v>
      </c>
      <c r="P260" s="537">
        <v>25.792000000000002</v>
      </c>
    </row>
    <row r="261" spans="1:16" x14ac:dyDescent="0.25">
      <c r="A261" s="17"/>
      <c r="B261" s="17"/>
      <c r="C261" s="17"/>
      <c r="D261" s="115" t="s">
        <v>4802</v>
      </c>
      <c r="E261" s="537">
        <v>0</v>
      </c>
      <c r="F261" s="537">
        <v>0</v>
      </c>
      <c r="G261" s="537">
        <v>1.774</v>
      </c>
      <c r="H261" s="537">
        <v>3.548</v>
      </c>
      <c r="I261" s="537">
        <v>5.3230000000000004</v>
      </c>
      <c r="J261" s="537">
        <v>7.0970000000000004</v>
      </c>
      <c r="K261" s="537">
        <v>8.8710000000000004</v>
      </c>
      <c r="L261" s="537">
        <v>10.250999999999999</v>
      </c>
      <c r="M261" s="537">
        <v>11.34</v>
      </c>
      <c r="N261" s="537">
        <v>12.302</v>
      </c>
      <c r="O261" s="537">
        <v>13.066000000000001</v>
      </c>
      <c r="P261" s="537">
        <v>13.677</v>
      </c>
    </row>
    <row r="262" spans="1:16" x14ac:dyDescent="0.25">
      <c r="A262" s="17"/>
      <c r="B262" s="17"/>
      <c r="C262" s="17"/>
      <c r="D262" s="115" t="s">
        <v>4803</v>
      </c>
      <c r="E262" s="537">
        <v>0</v>
      </c>
      <c r="F262" s="537">
        <v>0</v>
      </c>
      <c r="G262" s="537">
        <v>2.0089999999999999</v>
      </c>
      <c r="H262" s="537">
        <v>1.143</v>
      </c>
      <c r="I262" s="537">
        <v>1.861</v>
      </c>
      <c r="J262" s="537">
        <v>2.6850000000000001</v>
      </c>
      <c r="K262" s="537">
        <v>3.59</v>
      </c>
      <c r="L262" s="537">
        <v>4.5039999999999996</v>
      </c>
      <c r="M262" s="537">
        <v>5.4039999999999999</v>
      </c>
      <c r="N262" s="537">
        <v>6.282</v>
      </c>
      <c r="O262" s="537">
        <v>7.1539999999999999</v>
      </c>
      <c r="P262" s="537">
        <v>7.992</v>
      </c>
    </row>
    <row r="263" spans="1:16" x14ac:dyDescent="0.25">
      <c r="A263" s="17"/>
      <c r="B263" s="17"/>
      <c r="C263" s="17"/>
      <c r="D263" s="115" t="s">
        <v>4804</v>
      </c>
      <c r="E263" s="537">
        <v>0</v>
      </c>
      <c r="F263" s="537">
        <v>0</v>
      </c>
      <c r="G263" s="537">
        <v>3.3050000000000002</v>
      </c>
      <c r="H263" s="537">
        <v>6.3410000000000002</v>
      </c>
      <c r="I263" s="537">
        <v>9.4640000000000004</v>
      </c>
      <c r="J263" s="537">
        <v>12.523999999999999</v>
      </c>
      <c r="K263" s="537">
        <v>15.507</v>
      </c>
      <c r="L263" s="537">
        <v>18.408000000000001</v>
      </c>
      <c r="M263" s="537">
        <v>21.094999999999999</v>
      </c>
      <c r="N263" s="537">
        <v>23.85</v>
      </c>
      <c r="O263" s="537">
        <v>26.606999999999999</v>
      </c>
      <c r="P263" s="537">
        <v>29.385999999999999</v>
      </c>
    </row>
    <row r="264" spans="1:16" x14ac:dyDescent="0.25">
      <c r="A264" s="17"/>
      <c r="B264" s="17"/>
      <c r="C264" s="17"/>
      <c r="D264" s="17" t="s">
        <v>4805</v>
      </c>
      <c r="E264" s="537">
        <v>0</v>
      </c>
      <c r="F264" s="537">
        <v>0</v>
      </c>
      <c r="G264" s="537">
        <v>0</v>
      </c>
      <c r="H264" s="537">
        <v>0</v>
      </c>
      <c r="I264" s="537">
        <v>0</v>
      </c>
      <c r="J264" s="537">
        <v>0</v>
      </c>
      <c r="K264" s="537">
        <v>0</v>
      </c>
      <c r="L264" s="537">
        <v>0</v>
      </c>
      <c r="M264" s="537">
        <v>0</v>
      </c>
      <c r="N264" s="537">
        <v>0</v>
      </c>
      <c r="O264" s="537">
        <v>0</v>
      </c>
      <c r="P264" s="537">
        <v>0</v>
      </c>
    </row>
    <row r="265" spans="1:16" x14ac:dyDescent="0.25">
      <c r="A265" s="17"/>
      <c r="B265" s="17"/>
      <c r="C265" s="17"/>
      <c r="D265" s="538" t="s">
        <v>4806</v>
      </c>
      <c r="E265" s="537">
        <v>0</v>
      </c>
      <c r="F265" s="537">
        <v>0</v>
      </c>
      <c r="G265" s="537">
        <v>12.014999999999999</v>
      </c>
      <c r="H265" s="537">
        <v>21.271999999999998</v>
      </c>
      <c r="I265" s="537">
        <v>33.298000000000002</v>
      </c>
      <c r="J265" s="537">
        <v>47.399000000000001</v>
      </c>
      <c r="K265" s="537">
        <v>63.588999999999992</v>
      </c>
      <c r="L265" s="537">
        <v>81.028999999999996</v>
      </c>
      <c r="M265" s="537">
        <v>99.477999999999994</v>
      </c>
      <c r="N265" s="537">
        <v>119.02000000000001</v>
      </c>
      <c r="O265" s="537">
        <v>138.58199999999999</v>
      </c>
      <c r="P265" s="537">
        <v>157.25700000000001</v>
      </c>
    </row>
    <row r="266" spans="1:16" x14ac:dyDescent="0.25">
      <c r="A266" s="17"/>
      <c r="B266" s="17"/>
      <c r="C266" s="17"/>
      <c r="D266" s="17"/>
      <c r="E266" s="537"/>
      <c r="F266" s="537"/>
      <c r="G266" s="537"/>
      <c r="H266" s="537"/>
      <c r="I266" s="537"/>
      <c r="J266" s="537"/>
      <c r="K266" s="537"/>
      <c r="L266" s="537"/>
      <c r="M266" s="537"/>
      <c r="N266" s="537"/>
      <c r="O266" s="537"/>
      <c r="P266" s="537"/>
    </row>
    <row r="267" spans="1:16" x14ac:dyDescent="0.25">
      <c r="A267" s="17"/>
      <c r="B267" s="17"/>
      <c r="C267" s="17"/>
      <c r="D267" s="538" t="s">
        <v>4814</v>
      </c>
      <c r="E267" s="537">
        <v>0</v>
      </c>
      <c r="F267" s="537">
        <v>0</v>
      </c>
      <c r="G267" s="537">
        <v>6.0121769179706277</v>
      </c>
      <c r="H267" s="537">
        <v>16.264770574649223</v>
      </c>
      <c r="I267" s="537">
        <v>30.406654688159158</v>
      </c>
      <c r="J267" s="537">
        <v>39.973137974107516</v>
      </c>
      <c r="K267" s="537">
        <v>45.523678795175876</v>
      </c>
      <c r="L267" s="537">
        <v>32.412977745829679</v>
      </c>
      <c r="M267" s="537">
        <v>47.502605105195897</v>
      </c>
      <c r="N267" s="537">
        <v>60.298998802782577</v>
      </c>
      <c r="O267" s="537">
        <v>69.71145639962343</v>
      </c>
      <c r="P267" s="537">
        <v>78.022453452337274</v>
      </c>
    </row>
    <row r="268" spans="1:16" x14ac:dyDescent="0.25">
      <c r="A268" s="17"/>
      <c r="B268" s="17"/>
      <c r="C268" s="17"/>
      <c r="D268" s="17"/>
      <c r="E268" s="17"/>
      <c r="F268" s="17"/>
      <c r="G268" s="17"/>
      <c r="H268" s="17"/>
      <c r="I268" s="17"/>
      <c r="J268" s="17"/>
      <c r="K268" s="17"/>
      <c r="L268" s="17"/>
      <c r="M268" s="17"/>
      <c r="N268" s="17"/>
      <c r="O268" s="17"/>
      <c r="P268" s="17"/>
    </row>
    <row r="269" spans="1:16" x14ac:dyDescent="0.25">
      <c r="A269" s="17"/>
      <c r="B269" s="17"/>
      <c r="C269" s="17"/>
      <c r="D269" s="539" t="s">
        <v>4808</v>
      </c>
      <c r="E269" s="540">
        <v>0</v>
      </c>
      <c r="F269" s="540">
        <v>0.67874786868520842</v>
      </c>
      <c r="G269" s="540">
        <v>19.391168623293773</v>
      </c>
      <c r="H269" s="540">
        <v>43.150129296950155</v>
      </c>
      <c r="I269" s="540">
        <v>80.821376027803922</v>
      </c>
      <c r="J269" s="540">
        <v>117.11117122733503</v>
      </c>
      <c r="K269" s="540">
        <v>149.84062610469238</v>
      </c>
      <c r="L269" s="540">
        <v>163.68162963039811</v>
      </c>
      <c r="M269" s="540">
        <v>206.13500339554369</v>
      </c>
      <c r="N269" s="540">
        <v>246.62878613785011</v>
      </c>
      <c r="O269" s="540">
        <v>283.5079985781889</v>
      </c>
      <c r="P269" s="540">
        <v>318.36415003555425</v>
      </c>
    </row>
    <row r="270" spans="1:16" ht="30" x14ac:dyDescent="0.25">
      <c r="A270" s="17"/>
      <c r="B270" s="17"/>
      <c r="C270" s="17"/>
      <c r="D270" s="496" t="s">
        <v>4809</v>
      </c>
      <c r="E270" s="537">
        <v>0</v>
      </c>
      <c r="F270" s="537">
        <v>0.1914205368951799</v>
      </c>
      <c r="G270" s="537">
        <v>9.1145098679476764</v>
      </c>
      <c r="H270" s="537">
        <v>13.38347944878366</v>
      </c>
      <c r="I270" s="537">
        <v>28.758040482147983</v>
      </c>
      <c r="J270" s="537">
        <v>48.307064779757383</v>
      </c>
      <c r="K270" s="537">
        <v>66.155156460603564</v>
      </c>
      <c r="L270" s="537">
        <v>86.691029424495895</v>
      </c>
      <c r="M270" s="537">
        <v>103.42284409131142</v>
      </c>
      <c r="N270" s="537">
        <v>109.88239959487002</v>
      </c>
      <c r="O270" s="537">
        <v>108.52585658742075</v>
      </c>
      <c r="P270" s="537">
        <v>107.63036120794553</v>
      </c>
    </row>
    <row r="271" spans="1:16" x14ac:dyDescent="0.25">
      <c r="A271" s="17"/>
      <c r="B271" s="17"/>
      <c r="C271" s="17"/>
      <c r="D271" s="17"/>
      <c r="E271" s="17"/>
      <c r="F271" s="17"/>
      <c r="G271" s="17"/>
      <c r="H271" s="17"/>
      <c r="I271" s="17"/>
      <c r="J271" s="17"/>
      <c r="K271" s="17"/>
      <c r="L271" s="17"/>
      <c r="M271" s="17"/>
      <c r="N271" s="17"/>
      <c r="O271" s="17"/>
      <c r="P271" s="17"/>
    </row>
    <row r="272" spans="1:16" x14ac:dyDescent="0.25">
      <c r="A272" s="17" t="s">
        <v>4811</v>
      </c>
      <c r="B272" s="17" t="s">
        <v>4795</v>
      </c>
      <c r="C272" s="17"/>
      <c r="D272" s="17"/>
      <c r="E272" s="536">
        <v>2011</v>
      </c>
      <c r="F272" s="536">
        <v>2012</v>
      </c>
      <c r="G272" s="536">
        <v>2013</v>
      </c>
      <c r="H272" s="536">
        <v>2014</v>
      </c>
      <c r="I272" s="536">
        <v>2015</v>
      </c>
      <c r="J272" s="536">
        <v>2016</v>
      </c>
      <c r="K272" s="536">
        <v>2017</v>
      </c>
      <c r="L272" s="536">
        <v>2018</v>
      </c>
      <c r="M272" s="536">
        <v>2019</v>
      </c>
      <c r="N272" s="536">
        <v>2020</v>
      </c>
      <c r="O272" s="536">
        <v>2021</v>
      </c>
      <c r="P272" s="536">
        <v>2022</v>
      </c>
    </row>
    <row r="273" spans="1:16" x14ac:dyDescent="0.25">
      <c r="A273" s="17"/>
      <c r="B273" s="17"/>
      <c r="C273" s="17"/>
      <c r="D273" s="17" t="s">
        <v>4796</v>
      </c>
      <c r="E273" s="537">
        <v>0</v>
      </c>
      <c r="F273" s="537">
        <v>0</v>
      </c>
      <c r="G273" s="537">
        <v>0</v>
      </c>
      <c r="H273" s="537">
        <v>210.98956101016176</v>
      </c>
      <c r="I273" s="537">
        <v>466.7883988461619</v>
      </c>
      <c r="J273" s="537">
        <v>777.0125479511446</v>
      </c>
      <c r="K273" s="537">
        <v>956.97227992350315</v>
      </c>
      <c r="L273" s="537">
        <v>1047.8762858238269</v>
      </c>
      <c r="M273" s="537">
        <v>1118.7865277868113</v>
      </c>
      <c r="N273" s="537">
        <v>1162.6647667330865</v>
      </c>
      <c r="O273" s="537">
        <v>1182.1070549247429</v>
      </c>
      <c r="P273" s="537">
        <v>1194.3962027945099</v>
      </c>
    </row>
    <row r="274" spans="1:16" x14ac:dyDescent="0.25">
      <c r="A274" s="17"/>
      <c r="B274" s="17"/>
      <c r="C274" s="17"/>
      <c r="D274" s="115" t="s">
        <v>4797</v>
      </c>
      <c r="E274" s="537">
        <v>33.951486796883252</v>
      </c>
      <c r="F274" s="537">
        <v>67.758292502696989</v>
      </c>
      <c r="G274" s="537">
        <v>106.76316926007375</v>
      </c>
      <c r="H274" s="537">
        <v>190.04455875913982</v>
      </c>
      <c r="I274" s="537">
        <v>423.61608759540803</v>
      </c>
      <c r="J274" s="537">
        <v>665.27954150151822</v>
      </c>
      <c r="K274" s="537">
        <v>902.95654682702445</v>
      </c>
      <c r="L274" s="537">
        <v>1097.2033361719366</v>
      </c>
      <c r="M274" s="537">
        <v>1263.1343894748543</v>
      </c>
      <c r="N274" s="537">
        <v>1414.0983548025895</v>
      </c>
      <c r="O274" s="537">
        <v>1565.3457036220007</v>
      </c>
      <c r="P274" s="537">
        <v>1716.5384171993162</v>
      </c>
    </row>
    <row r="275" spans="1:16" x14ac:dyDescent="0.25">
      <c r="A275" s="17"/>
      <c r="B275" s="17"/>
      <c r="C275" s="17"/>
      <c r="D275" s="17" t="s">
        <v>4798</v>
      </c>
      <c r="E275" s="537">
        <v>4.2942836322401892</v>
      </c>
      <c r="F275" s="537">
        <v>10.593514188232215</v>
      </c>
      <c r="G275" s="537">
        <v>16.750350361555082</v>
      </c>
      <c r="H275" s="537">
        <v>51.910002016854854</v>
      </c>
      <c r="I275" s="537">
        <v>148.94951619152337</v>
      </c>
      <c r="J275" s="537">
        <v>264.19648577878149</v>
      </c>
      <c r="K275" s="537">
        <v>376.11798021252304</v>
      </c>
      <c r="L275" s="537">
        <v>485.08835185804065</v>
      </c>
      <c r="M275" s="537">
        <v>591.47967322836951</v>
      </c>
      <c r="N275" s="537">
        <v>695.64663587947655</v>
      </c>
      <c r="O275" s="537">
        <v>797.91653877962028</v>
      </c>
      <c r="P275" s="537">
        <v>898.5837294048772</v>
      </c>
    </row>
    <row r="276" spans="1:16" x14ac:dyDescent="0.25">
      <c r="A276" s="17"/>
      <c r="B276" s="17"/>
      <c r="C276" s="17"/>
      <c r="D276" s="538" t="s">
        <v>4799</v>
      </c>
      <c r="E276" s="537">
        <v>38.245770429123439</v>
      </c>
      <c r="F276" s="537">
        <v>78.351806690929209</v>
      </c>
      <c r="G276" s="537">
        <v>123.51351962162883</v>
      </c>
      <c r="H276" s="537">
        <v>452.94412178615642</v>
      </c>
      <c r="I276" s="537">
        <v>1039.3540026330932</v>
      </c>
      <c r="J276" s="537">
        <v>1706.4885752314442</v>
      </c>
      <c r="K276" s="537">
        <v>2236.0468069630506</v>
      </c>
      <c r="L276" s="537">
        <v>2630.1679738538041</v>
      </c>
      <c r="M276" s="537">
        <v>2973.400590490035</v>
      </c>
      <c r="N276" s="537">
        <v>3272.4097574151519</v>
      </c>
      <c r="O276" s="537">
        <v>3545.3692973263642</v>
      </c>
      <c r="P276" s="537">
        <v>3809.5183493987033</v>
      </c>
    </row>
    <row r="277" spans="1:16" x14ac:dyDescent="0.25">
      <c r="A277" s="17"/>
      <c r="B277" s="17"/>
      <c r="C277" s="17"/>
      <c r="D277" s="17"/>
      <c r="E277" s="17"/>
      <c r="F277" s="17"/>
      <c r="G277" s="17"/>
      <c r="H277" s="17"/>
      <c r="I277" s="17"/>
      <c r="J277" s="17"/>
      <c r="K277" s="17"/>
      <c r="L277" s="17"/>
      <c r="M277" s="17"/>
      <c r="N277" s="17"/>
      <c r="O277" s="17"/>
      <c r="P277" s="17"/>
    </row>
    <row r="278" spans="1:16" x14ac:dyDescent="0.25">
      <c r="A278" s="17"/>
      <c r="B278" s="17"/>
      <c r="C278" s="17"/>
      <c r="D278" s="115" t="s">
        <v>4813</v>
      </c>
      <c r="E278" s="537">
        <v>0</v>
      </c>
      <c r="F278" s="537">
        <v>0</v>
      </c>
      <c r="G278" s="537">
        <v>73.772639999999996</v>
      </c>
      <c r="H278" s="537">
        <v>179.330489</v>
      </c>
      <c r="I278" s="537">
        <v>335.97303699999998</v>
      </c>
      <c r="J278" s="537">
        <v>562.759095</v>
      </c>
      <c r="K278" s="537">
        <v>870.27010499999994</v>
      </c>
      <c r="L278" s="537">
        <v>1253.1379360000001</v>
      </c>
      <c r="M278" s="537">
        <v>1694.8242310000003</v>
      </c>
      <c r="N278" s="537">
        <v>2168.163861</v>
      </c>
      <c r="O278" s="537">
        <v>2642.354499</v>
      </c>
      <c r="P278" s="537">
        <v>3087.4630309999998</v>
      </c>
    </row>
    <row r="279" spans="1:16" x14ac:dyDescent="0.25">
      <c r="A279" s="17"/>
      <c r="B279" s="17"/>
      <c r="C279" s="17"/>
      <c r="D279" s="115" t="s">
        <v>4801</v>
      </c>
      <c r="E279" s="537">
        <v>0</v>
      </c>
      <c r="F279" s="537">
        <v>0</v>
      </c>
      <c r="G279" s="537">
        <v>133.746486</v>
      </c>
      <c r="H279" s="537">
        <v>241.25315199999997</v>
      </c>
      <c r="I279" s="537">
        <v>351.82315199999999</v>
      </c>
      <c r="J279" s="537">
        <v>468.91471200000001</v>
      </c>
      <c r="K279" s="537">
        <v>584.93821000000003</v>
      </c>
      <c r="L279" s="537">
        <v>675.15145299999995</v>
      </c>
      <c r="M279" s="537">
        <v>743.70444699999996</v>
      </c>
      <c r="N279" s="537">
        <v>802.96082999999999</v>
      </c>
      <c r="O279" s="537">
        <v>851.94828300000006</v>
      </c>
      <c r="P279" s="537">
        <v>892.14320999999995</v>
      </c>
    </row>
    <row r="280" spans="1:16" x14ac:dyDescent="0.25">
      <c r="A280" s="17"/>
      <c r="B280" s="17"/>
      <c r="C280" s="17"/>
      <c r="D280" s="115" t="s">
        <v>4802</v>
      </c>
      <c r="E280" s="537">
        <v>0</v>
      </c>
      <c r="F280" s="537">
        <v>0</v>
      </c>
      <c r="G280" s="537">
        <v>88.446356999999992</v>
      </c>
      <c r="H280" s="537">
        <v>176.89271399999998</v>
      </c>
      <c r="I280" s="537">
        <v>265.33907099999999</v>
      </c>
      <c r="J280" s="537">
        <v>350.02503999999999</v>
      </c>
      <c r="K280" s="537">
        <v>410.86192899999998</v>
      </c>
      <c r="L280" s="537">
        <v>445.19685099999998</v>
      </c>
      <c r="M280" s="537">
        <v>469.18037300000003</v>
      </c>
      <c r="N280" s="537">
        <v>486.25133200000005</v>
      </c>
      <c r="O280" s="537">
        <v>499.42015300000003</v>
      </c>
      <c r="P280" s="537">
        <v>509.43563699999999</v>
      </c>
    </row>
    <row r="281" spans="1:16" x14ac:dyDescent="0.25">
      <c r="A281" s="17"/>
      <c r="B281" s="17"/>
      <c r="C281" s="17"/>
      <c r="D281" s="115" t="s">
        <v>4803</v>
      </c>
      <c r="E281" s="537">
        <v>0</v>
      </c>
      <c r="F281" s="537">
        <v>0</v>
      </c>
      <c r="G281" s="537">
        <v>46.750255000000003</v>
      </c>
      <c r="H281" s="537">
        <v>105.885468</v>
      </c>
      <c r="I281" s="537">
        <v>188.067565</v>
      </c>
      <c r="J281" s="537">
        <v>293.56538800000004</v>
      </c>
      <c r="K281" s="537">
        <v>424.23343399999999</v>
      </c>
      <c r="L281" s="537">
        <v>574.26194700000008</v>
      </c>
      <c r="M281" s="537">
        <v>735.995452</v>
      </c>
      <c r="N281" s="537">
        <v>895.22658999999999</v>
      </c>
      <c r="O281" s="537">
        <v>1036.5132189999999</v>
      </c>
      <c r="P281" s="537">
        <v>1150.2144129999999</v>
      </c>
    </row>
    <row r="282" spans="1:16" x14ac:dyDescent="0.25">
      <c r="A282" s="17"/>
      <c r="B282" s="17"/>
      <c r="C282" s="17"/>
      <c r="D282" s="115" t="s">
        <v>4804</v>
      </c>
      <c r="E282" s="537">
        <v>0</v>
      </c>
      <c r="F282" s="537">
        <v>0</v>
      </c>
      <c r="G282" s="537">
        <v>319.909043</v>
      </c>
      <c r="H282" s="537">
        <v>655.71610899999996</v>
      </c>
      <c r="I282" s="537">
        <v>988.64021699999989</v>
      </c>
      <c r="J282" s="537">
        <v>1316.3273210000002</v>
      </c>
      <c r="K282" s="537">
        <v>1631.7550890000002</v>
      </c>
      <c r="L282" s="537">
        <v>1940.82807</v>
      </c>
      <c r="M282" s="537">
        <v>2239.7705510000001</v>
      </c>
      <c r="N282" s="537">
        <v>2538.8237080000004</v>
      </c>
      <c r="O282" s="537">
        <v>2836.913826</v>
      </c>
      <c r="P282" s="537">
        <v>3142.2793489999999</v>
      </c>
    </row>
    <row r="283" spans="1:16" x14ac:dyDescent="0.25">
      <c r="A283" s="17"/>
      <c r="B283" s="17"/>
      <c r="C283" s="17"/>
      <c r="D283" s="17" t="s">
        <v>4805</v>
      </c>
      <c r="E283" s="537">
        <v>0</v>
      </c>
      <c r="F283" s="537">
        <v>0</v>
      </c>
      <c r="G283" s="537">
        <v>24.142401226866181</v>
      </c>
      <c r="H283" s="537">
        <v>49.431404640294957</v>
      </c>
      <c r="I283" s="537">
        <v>52.498961614439835</v>
      </c>
      <c r="J283" s="537">
        <v>56.281198930928099</v>
      </c>
      <c r="K283" s="537">
        <v>60.719866277281923</v>
      </c>
      <c r="L283" s="537">
        <v>64.650016440320528</v>
      </c>
      <c r="M283" s="537">
        <v>68.982740922177044</v>
      </c>
      <c r="N283" s="537">
        <v>73.405930888816258</v>
      </c>
      <c r="O283" s="537">
        <v>77.94314254370434</v>
      </c>
      <c r="P283" s="537">
        <v>82.593992262683372</v>
      </c>
    </row>
    <row r="284" spans="1:16" x14ac:dyDescent="0.25">
      <c r="A284" s="17"/>
      <c r="B284" s="17"/>
      <c r="C284" s="17"/>
      <c r="D284" s="538" t="s">
        <v>4806</v>
      </c>
      <c r="E284" s="537">
        <v>0</v>
      </c>
      <c r="F284" s="537">
        <v>0</v>
      </c>
      <c r="G284" s="537">
        <v>686.76718222686611</v>
      </c>
      <c r="H284" s="537">
        <v>1408.5093366402948</v>
      </c>
      <c r="I284" s="537">
        <v>2182.3420036144394</v>
      </c>
      <c r="J284" s="537">
        <v>3047.8727549309283</v>
      </c>
      <c r="K284" s="537">
        <v>3982.7786332772821</v>
      </c>
      <c r="L284" s="537">
        <v>4953.2262734403212</v>
      </c>
      <c r="M284" s="537">
        <v>5952.4577949221775</v>
      </c>
      <c r="N284" s="537">
        <v>6964.8322518888172</v>
      </c>
      <c r="O284" s="537">
        <v>7945.0931225437043</v>
      </c>
      <c r="P284" s="537">
        <v>8864.1296322626822</v>
      </c>
    </row>
    <row r="285" spans="1:16" x14ac:dyDescent="0.25">
      <c r="A285" s="17"/>
      <c r="B285" s="17"/>
      <c r="C285" s="17"/>
      <c r="D285" s="17"/>
      <c r="E285" s="537"/>
      <c r="F285" s="537"/>
      <c r="G285" s="537"/>
      <c r="H285" s="537"/>
      <c r="I285" s="537"/>
      <c r="J285" s="537"/>
      <c r="K285" s="537"/>
      <c r="L285" s="537"/>
      <c r="M285" s="537"/>
      <c r="N285" s="537"/>
      <c r="O285" s="537"/>
      <c r="P285" s="537"/>
    </row>
    <row r="286" spans="1:16" x14ac:dyDescent="0.25">
      <c r="A286" s="17"/>
      <c r="B286" s="17"/>
      <c r="C286" s="17"/>
      <c r="D286" s="538" t="s">
        <v>4814</v>
      </c>
      <c r="E286" s="537">
        <v>0</v>
      </c>
      <c r="F286" s="537">
        <v>0</v>
      </c>
      <c r="G286" s="537">
        <v>0</v>
      </c>
      <c r="H286" s="537">
        <v>106.1190166227999</v>
      </c>
      <c r="I286" s="537">
        <v>406.51441575006254</v>
      </c>
      <c r="J286" s="537">
        <v>613.850079407316</v>
      </c>
      <c r="K286" s="537">
        <v>756.55734838234775</v>
      </c>
      <c r="L286" s="537">
        <v>504.52501865412023</v>
      </c>
      <c r="M286" s="537">
        <v>884.66787704747787</v>
      </c>
      <c r="N286" s="537">
        <v>1264.2169384706267</v>
      </c>
      <c r="O286" s="537">
        <v>1695.7008098866754</v>
      </c>
      <c r="P286" s="537">
        <v>2109.4151228280334</v>
      </c>
    </row>
    <row r="287" spans="1:16" x14ac:dyDescent="0.25">
      <c r="A287" s="17"/>
      <c r="B287" s="17"/>
      <c r="C287" s="17"/>
      <c r="D287" s="17"/>
      <c r="E287" s="17"/>
      <c r="F287" s="17"/>
      <c r="G287" s="17"/>
      <c r="H287" s="17"/>
      <c r="I287" s="17"/>
      <c r="J287" s="17"/>
      <c r="K287" s="17"/>
      <c r="L287" s="17"/>
      <c r="M287" s="17"/>
      <c r="N287" s="17"/>
      <c r="O287" s="17"/>
      <c r="P287" s="17"/>
    </row>
    <row r="288" spans="1:16" x14ac:dyDescent="0.25">
      <c r="A288" s="17"/>
      <c r="B288" s="17"/>
      <c r="C288" s="17"/>
      <c r="D288" s="539" t="s">
        <v>4808</v>
      </c>
      <c r="E288" s="540">
        <v>38.245770429123439</v>
      </c>
      <c r="F288" s="540">
        <v>78.351806690929209</v>
      </c>
      <c r="G288" s="540">
        <v>810.28070184849503</v>
      </c>
      <c r="H288" s="540">
        <v>1967.5724750492516</v>
      </c>
      <c r="I288" s="540">
        <v>3628.2104219975959</v>
      </c>
      <c r="J288" s="540">
        <v>5368.2114095696888</v>
      </c>
      <c r="K288" s="540">
        <v>6975.38278862268</v>
      </c>
      <c r="L288" s="540">
        <v>8087.9192659482451</v>
      </c>
      <c r="M288" s="540">
        <v>9810.5262624596908</v>
      </c>
      <c r="N288" s="540">
        <v>11501.458947774594</v>
      </c>
      <c r="O288" s="540">
        <v>13186.163229756743</v>
      </c>
      <c r="P288" s="540">
        <v>14783.06310448942</v>
      </c>
    </row>
    <row r="289" spans="1:16" ht="30" x14ac:dyDescent="0.25">
      <c r="A289" s="17"/>
      <c r="B289" s="17"/>
      <c r="C289" s="17"/>
      <c r="D289" s="496" t="s">
        <v>4809</v>
      </c>
      <c r="E289" s="537">
        <v>3.0720976394496882</v>
      </c>
      <c r="F289" s="537">
        <v>15.693288553235258</v>
      </c>
      <c r="G289" s="537">
        <v>425.57599774279367</v>
      </c>
      <c r="H289" s="537">
        <v>720.67480450855294</v>
      </c>
      <c r="I289" s="537">
        <v>1383.2646463195433</v>
      </c>
      <c r="J289" s="537">
        <v>2485.6116471849523</v>
      </c>
      <c r="K289" s="537">
        <v>3633.1240219960864</v>
      </c>
      <c r="L289" s="537">
        <v>4676.0452783912742</v>
      </c>
      <c r="M289" s="537">
        <v>5612.3356972337151</v>
      </c>
      <c r="N289" s="537">
        <v>6211.6865882306993</v>
      </c>
      <c r="O289" s="537">
        <v>6314.4110209411947</v>
      </c>
      <c r="P289" s="537">
        <v>6292.2006228947466</v>
      </c>
    </row>
    <row r="290" spans="1:16" x14ac:dyDescent="0.25">
      <c r="A290" s="17"/>
      <c r="B290" s="17"/>
      <c r="C290" s="17"/>
      <c r="D290" s="17"/>
      <c r="E290" s="17"/>
      <c r="F290" s="17"/>
      <c r="G290" s="17"/>
      <c r="H290" s="17"/>
      <c r="I290" s="17"/>
      <c r="J290" s="17"/>
      <c r="K290" s="17"/>
      <c r="L290" s="17"/>
      <c r="M290" s="17"/>
      <c r="N290" s="17"/>
      <c r="O290" s="17"/>
      <c r="P290" s="17"/>
    </row>
    <row r="291" spans="1:16" x14ac:dyDescent="0.25">
      <c r="A291" s="17" t="s">
        <v>4811</v>
      </c>
      <c r="B291" s="17" t="s">
        <v>4810</v>
      </c>
      <c r="C291" s="17"/>
      <c r="D291" s="17"/>
      <c r="E291" s="536">
        <v>2011</v>
      </c>
      <c r="F291" s="536">
        <v>2012</v>
      </c>
      <c r="G291" s="536">
        <v>2013</v>
      </c>
      <c r="H291" s="536">
        <v>2014</v>
      </c>
      <c r="I291" s="536">
        <v>2015</v>
      </c>
      <c r="J291" s="536">
        <v>2016</v>
      </c>
      <c r="K291" s="536">
        <v>2017</v>
      </c>
      <c r="L291" s="536">
        <v>2018</v>
      </c>
      <c r="M291" s="536">
        <v>2019</v>
      </c>
      <c r="N291" s="536">
        <v>2020</v>
      </c>
      <c r="O291" s="536">
        <v>2021</v>
      </c>
      <c r="P291" s="536">
        <v>2022</v>
      </c>
    </row>
    <row r="292" spans="1:16" x14ac:dyDescent="0.25">
      <c r="A292" s="17"/>
      <c r="B292" s="17"/>
      <c r="C292" s="17"/>
      <c r="D292" s="17" t="s">
        <v>4796</v>
      </c>
      <c r="E292" s="537">
        <v>0</v>
      </c>
      <c r="F292" s="537">
        <v>0</v>
      </c>
      <c r="G292" s="537">
        <v>0</v>
      </c>
      <c r="H292" s="537">
        <v>18.256291709420303</v>
      </c>
      <c r="I292" s="537">
        <v>50.008138401448271</v>
      </c>
      <c r="J292" s="537">
        <v>85.990553570576552</v>
      </c>
      <c r="K292" s="537">
        <v>107.1381946522331</v>
      </c>
      <c r="L292" s="537">
        <v>119.33736614052583</v>
      </c>
      <c r="M292" s="537">
        <v>128.83857859301602</v>
      </c>
      <c r="N292" s="537">
        <v>132.97092577204742</v>
      </c>
      <c r="O292" s="537">
        <v>134.62666593135734</v>
      </c>
      <c r="P292" s="537">
        <v>136.2169354108631</v>
      </c>
    </row>
    <row r="293" spans="1:16" x14ac:dyDescent="0.25">
      <c r="A293" s="17"/>
      <c r="B293" s="17"/>
      <c r="C293" s="17"/>
      <c r="D293" s="115" t="s">
        <v>4797</v>
      </c>
      <c r="E293" s="537">
        <v>0</v>
      </c>
      <c r="F293" s="537">
        <v>4.0542020889261217</v>
      </c>
      <c r="G293" s="537">
        <v>8.2285867639795551</v>
      </c>
      <c r="H293" s="537">
        <v>21.420577402739447</v>
      </c>
      <c r="I293" s="537">
        <v>86.653507948467961</v>
      </c>
      <c r="J293" s="537">
        <v>152.68643905918398</v>
      </c>
      <c r="K293" s="537">
        <v>218.26199729719821</v>
      </c>
      <c r="L293" s="537">
        <v>279.23304119300138</v>
      </c>
      <c r="M293" s="537">
        <v>337.69294987307973</v>
      </c>
      <c r="N293" s="537">
        <v>394.78014148132894</v>
      </c>
      <c r="O293" s="537">
        <v>452.0665292389931</v>
      </c>
      <c r="P293" s="537">
        <v>509.32943068864353</v>
      </c>
    </row>
    <row r="294" spans="1:16" x14ac:dyDescent="0.25">
      <c r="A294" s="17"/>
      <c r="B294" s="17"/>
      <c r="C294" s="17"/>
      <c r="D294" s="17" t="s">
        <v>4798</v>
      </c>
      <c r="E294" s="537">
        <v>0</v>
      </c>
      <c r="F294" s="537">
        <v>2.5154196505127615</v>
      </c>
      <c r="G294" s="537">
        <v>4.9735313908270236</v>
      </c>
      <c r="H294" s="537">
        <v>15.844599932245682</v>
      </c>
      <c r="I294" s="537">
        <v>44.02088926677979</v>
      </c>
      <c r="J294" s="537">
        <v>77.7012658973849</v>
      </c>
      <c r="K294" s="537">
        <v>110.44035056651346</v>
      </c>
      <c r="L294" s="537">
        <v>142.34658775268031</v>
      </c>
      <c r="M294" s="537">
        <v>173.52724284462121</v>
      </c>
      <c r="N294" s="537">
        <v>204.08404290949457</v>
      </c>
      <c r="O294" s="537">
        <v>234.11037469052604</v>
      </c>
      <c r="P294" s="537">
        <v>263.68980867214162</v>
      </c>
    </row>
    <row r="295" spans="1:16" x14ac:dyDescent="0.25">
      <c r="A295" s="17"/>
      <c r="B295" s="17"/>
      <c r="C295" s="17"/>
      <c r="D295" s="538" t="s">
        <v>4799</v>
      </c>
      <c r="E295" s="537">
        <v>0</v>
      </c>
      <c r="F295" s="537">
        <v>6.5696217394388832</v>
      </c>
      <c r="G295" s="537">
        <v>13.202118154806577</v>
      </c>
      <c r="H295" s="537">
        <v>55.521469044405436</v>
      </c>
      <c r="I295" s="537">
        <v>180.68253561669601</v>
      </c>
      <c r="J295" s="537">
        <v>316.37825852714542</v>
      </c>
      <c r="K295" s="537">
        <v>435.84054251594478</v>
      </c>
      <c r="L295" s="537">
        <v>540.91699508620752</v>
      </c>
      <c r="M295" s="537">
        <v>640.05877131071691</v>
      </c>
      <c r="N295" s="537">
        <v>731.83511016287093</v>
      </c>
      <c r="O295" s="537">
        <v>820.80356986087656</v>
      </c>
      <c r="P295" s="537">
        <v>909.23617477164839</v>
      </c>
    </row>
    <row r="296" spans="1:16" x14ac:dyDescent="0.25">
      <c r="A296" s="17"/>
      <c r="B296" s="17"/>
      <c r="C296" s="17"/>
      <c r="D296" s="17"/>
      <c r="E296" s="17"/>
      <c r="F296" s="17"/>
      <c r="G296" s="17"/>
      <c r="H296" s="17"/>
      <c r="I296" s="17"/>
      <c r="J296" s="17"/>
      <c r="K296" s="17"/>
      <c r="L296" s="17"/>
      <c r="M296" s="17"/>
      <c r="N296" s="17"/>
      <c r="O296" s="17"/>
      <c r="P296" s="17"/>
    </row>
    <row r="297" spans="1:16" x14ac:dyDescent="0.25">
      <c r="A297" s="17"/>
      <c r="B297" s="17"/>
      <c r="C297" s="17"/>
      <c r="D297" s="115" t="s">
        <v>4813</v>
      </c>
      <c r="E297" s="537">
        <v>0</v>
      </c>
      <c r="F297" s="537">
        <v>0</v>
      </c>
      <c r="G297" s="537">
        <v>13.946000000000002</v>
      </c>
      <c r="H297" s="537">
        <v>33.792999999999999</v>
      </c>
      <c r="I297" s="537">
        <v>63.262</v>
      </c>
      <c r="J297" s="537">
        <v>106.95100000000001</v>
      </c>
      <c r="K297" s="537">
        <v>167.03500000000003</v>
      </c>
      <c r="L297" s="537">
        <v>244.328</v>
      </c>
      <c r="M297" s="537">
        <v>340.60499999999996</v>
      </c>
      <c r="N297" s="537">
        <v>449.46300000000002</v>
      </c>
      <c r="O297" s="537">
        <v>564.36899999999991</v>
      </c>
      <c r="P297" s="537">
        <v>677.33499999999992</v>
      </c>
    </row>
    <row r="298" spans="1:16" x14ac:dyDescent="0.25">
      <c r="A298" s="17"/>
      <c r="B298" s="17"/>
      <c r="C298" s="17"/>
      <c r="D298" s="115" t="s">
        <v>4801</v>
      </c>
      <c r="E298" s="537">
        <v>0</v>
      </c>
      <c r="F298" s="537">
        <v>0</v>
      </c>
      <c r="G298" s="537">
        <v>31.397999999999996</v>
      </c>
      <c r="H298" s="537">
        <v>58.225000000000001</v>
      </c>
      <c r="I298" s="537">
        <v>83.98</v>
      </c>
      <c r="J298" s="537">
        <v>109.96199999999999</v>
      </c>
      <c r="K298" s="537">
        <v>135.416</v>
      </c>
      <c r="L298" s="537">
        <v>155.874</v>
      </c>
      <c r="M298" s="537">
        <v>171.22499999999999</v>
      </c>
      <c r="N298" s="537">
        <v>184.88299999999998</v>
      </c>
      <c r="O298" s="537">
        <v>196.77699999999999</v>
      </c>
      <c r="P298" s="537">
        <v>207.01900000000001</v>
      </c>
    </row>
    <row r="299" spans="1:16" x14ac:dyDescent="0.25">
      <c r="A299" s="17"/>
      <c r="B299" s="17"/>
      <c r="C299" s="17"/>
      <c r="D299" s="115" t="s">
        <v>4802</v>
      </c>
      <c r="E299" s="537">
        <v>0</v>
      </c>
      <c r="F299" s="537">
        <v>0</v>
      </c>
      <c r="G299" s="537">
        <v>22.953000000000003</v>
      </c>
      <c r="H299" s="537">
        <v>45.906000000000006</v>
      </c>
      <c r="I299" s="537">
        <v>68.860000000000014</v>
      </c>
      <c r="J299" s="537">
        <v>90.763999999999996</v>
      </c>
      <c r="K299" s="537">
        <v>106.42999999999999</v>
      </c>
      <c r="L299" s="537">
        <v>115.22</v>
      </c>
      <c r="M299" s="537">
        <v>121.343</v>
      </c>
      <c r="N299" s="537">
        <v>125.67499999999998</v>
      </c>
      <c r="O299" s="537">
        <v>129.01400000000001</v>
      </c>
      <c r="P299" s="537">
        <v>131.548</v>
      </c>
    </row>
    <row r="300" spans="1:16" x14ac:dyDescent="0.25">
      <c r="A300" s="17"/>
      <c r="B300" s="17"/>
      <c r="C300" s="17"/>
      <c r="D300" s="115" t="s">
        <v>4803</v>
      </c>
      <c r="E300" s="537">
        <v>0</v>
      </c>
      <c r="F300" s="537">
        <v>0</v>
      </c>
      <c r="G300" s="537">
        <v>18.179000000000002</v>
      </c>
      <c r="H300" s="537">
        <v>13.874000000000001</v>
      </c>
      <c r="I300" s="537">
        <v>21.709</v>
      </c>
      <c r="J300" s="537">
        <v>30.855999999999998</v>
      </c>
      <c r="K300" s="537">
        <v>40.501999999999995</v>
      </c>
      <c r="L300" s="537">
        <v>50.137999999999998</v>
      </c>
      <c r="M300" s="537">
        <v>59.545999999999992</v>
      </c>
      <c r="N300" s="537">
        <v>68.887</v>
      </c>
      <c r="O300" s="537">
        <v>77.885999999999996</v>
      </c>
      <c r="P300" s="537">
        <v>86.495000000000005</v>
      </c>
    </row>
    <row r="301" spans="1:16" x14ac:dyDescent="0.25">
      <c r="A301" s="17"/>
      <c r="B301" s="17"/>
      <c r="C301" s="17"/>
      <c r="D301" s="115" t="s">
        <v>4804</v>
      </c>
      <c r="E301" s="537">
        <v>0</v>
      </c>
      <c r="F301" s="537">
        <v>0</v>
      </c>
      <c r="G301" s="537">
        <v>49.440999999999995</v>
      </c>
      <c r="H301" s="537">
        <v>102.49399999999999</v>
      </c>
      <c r="I301" s="537">
        <v>155.49</v>
      </c>
      <c r="J301" s="537">
        <v>207.869</v>
      </c>
      <c r="K301" s="537">
        <v>258.33100000000002</v>
      </c>
      <c r="L301" s="537">
        <v>307.71500000000003</v>
      </c>
      <c r="M301" s="537">
        <v>355.05600000000004</v>
      </c>
      <c r="N301" s="537">
        <v>401.98400000000004</v>
      </c>
      <c r="O301" s="537">
        <v>448.404</v>
      </c>
      <c r="P301" s="537">
        <v>495.44800000000004</v>
      </c>
    </row>
    <row r="302" spans="1:16" x14ac:dyDescent="0.25">
      <c r="A302" s="17"/>
      <c r="B302" s="17"/>
      <c r="C302" s="17"/>
      <c r="D302" s="17" t="s">
        <v>4805</v>
      </c>
      <c r="E302" s="537">
        <v>0</v>
      </c>
      <c r="F302" s="537">
        <v>0</v>
      </c>
      <c r="G302" s="537">
        <v>0</v>
      </c>
      <c r="H302" s="537">
        <v>0</v>
      </c>
      <c r="I302" s="537">
        <v>0</v>
      </c>
      <c r="J302" s="537">
        <v>0</v>
      </c>
      <c r="K302" s="537">
        <v>0</v>
      </c>
      <c r="L302" s="537">
        <v>0</v>
      </c>
      <c r="M302" s="537">
        <v>0</v>
      </c>
      <c r="N302" s="537">
        <v>0</v>
      </c>
      <c r="O302" s="537">
        <v>0</v>
      </c>
      <c r="P302" s="537">
        <v>0</v>
      </c>
    </row>
    <row r="303" spans="1:16" x14ac:dyDescent="0.25">
      <c r="A303" s="17"/>
      <c r="B303" s="17"/>
      <c r="C303" s="17"/>
      <c r="D303" s="538" t="s">
        <v>4806</v>
      </c>
      <c r="E303" s="537">
        <v>0</v>
      </c>
      <c r="F303" s="537">
        <v>0</v>
      </c>
      <c r="G303" s="537">
        <v>135.917</v>
      </c>
      <c r="H303" s="537">
        <v>254.29199999999997</v>
      </c>
      <c r="I303" s="537">
        <v>393.30100000000004</v>
      </c>
      <c r="J303" s="537">
        <v>546.40200000000004</v>
      </c>
      <c r="K303" s="537">
        <v>707.71400000000006</v>
      </c>
      <c r="L303" s="537">
        <v>873.27500000000009</v>
      </c>
      <c r="M303" s="537">
        <v>1047.7749999999999</v>
      </c>
      <c r="N303" s="537">
        <v>1230.8919999999998</v>
      </c>
      <c r="O303" s="537">
        <v>1416.4499999999998</v>
      </c>
      <c r="P303" s="537">
        <v>1597.845</v>
      </c>
    </row>
    <row r="304" spans="1:16" x14ac:dyDescent="0.25">
      <c r="A304" s="17"/>
      <c r="B304" s="17"/>
      <c r="C304" s="17"/>
      <c r="D304" s="17"/>
      <c r="E304" s="537"/>
      <c r="F304" s="537"/>
      <c r="G304" s="537"/>
      <c r="H304" s="537"/>
      <c r="I304" s="537"/>
      <c r="J304" s="537"/>
      <c r="K304" s="537"/>
      <c r="L304" s="537"/>
      <c r="M304" s="537"/>
      <c r="N304" s="537"/>
      <c r="O304" s="537"/>
      <c r="P304" s="537"/>
    </row>
    <row r="305" spans="1:16" x14ac:dyDescent="0.25">
      <c r="A305" s="17"/>
      <c r="B305" s="17"/>
      <c r="C305" s="17"/>
      <c r="D305" s="538" t="s">
        <v>4814</v>
      </c>
      <c r="E305" s="537">
        <v>0</v>
      </c>
      <c r="F305" s="537">
        <v>0</v>
      </c>
      <c r="G305" s="537">
        <v>29.43011747113875</v>
      </c>
      <c r="H305" s="537">
        <v>84.521311046626295</v>
      </c>
      <c r="I305" s="537">
        <v>166.17735672061821</v>
      </c>
      <c r="J305" s="537">
        <v>231.53841363593142</v>
      </c>
      <c r="K305" s="537">
        <v>276.74763183816117</v>
      </c>
      <c r="L305" s="537">
        <v>218.95031347237079</v>
      </c>
      <c r="M305" s="537">
        <v>331.47409673544519</v>
      </c>
      <c r="N305" s="537">
        <v>438.49496308121439</v>
      </c>
      <c r="O305" s="537">
        <v>520.4585895294299</v>
      </c>
      <c r="P305" s="537">
        <v>595.81957582544396</v>
      </c>
    </row>
    <row r="306" spans="1:16" x14ac:dyDescent="0.25">
      <c r="A306" s="17"/>
      <c r="B306" s="17"/>
      <c r="C306" s="17"/>
      <c r="D306" s="17"/>
      <c r="E306" s="17"/>
      <c r="F306" s="17"/>
      <c r="G306" s="17"/>
      <c r="H306" s="17"/>
      <c r="I306" s="17"/>
      <c r="J306" s="17"/>
      <c r="K306" s="17"/>
      <c r="L306" s="17"/>
      <c r="M306" s="17"/>
      <c r="N306" s="17"/>
      <c r="O306" s="17"/>
      <c r="P306" s="17"/>
    </row>
    <row r="307" spans="1:16" x14ac:dyDescent="0.25">
      <c r="A307" s="17"/>
      <c r="B307" s="17"/>
      <c r="C307" s="17"/>
      <c r="D307" s="539" t="s">
        <v>4808</v>
      </c>
      <c r="E307" s="540">
        <v>0</v>
      </c>
      <c r="F307" s="540">
        <v>6.5696217394388832</v>
      </c>
      <c r="G307" s="540">
        <v>178.5492356259453</v>
      </c>
      <c r="H307" s="540">
        <v>394.33478009103169</v>
      </c>
      <c r="I307" s="540">
        <v>740.16089233731429</v>
      </c>
      <c r="J307" s="540">
        <v>1094.3186721630768</v>
      </c>
      <c r="K307" s="540">
        <v>1420.302174354106</v>
      </c>
      <c r="L307" s="540">
        <v>1633.1423085585784</v>
      </c>
      <c r="M307" s="540">
        <v>2019.307868046162</v>
      </c>
      <c r="N307" s="540">
        <v>2401.2220732440851</v>
      </c>
      <c r="O307" s="540">
        <v>2757.7121593903066</v>
      </c>
      <c r="P307" s="540">
        <v>3102.9007505970922</v>
      </c>
    </row>
    <row r="308" spans="1:16" ht="30" x14ac:dyDescent="0.25">
      <c r="A308" s="17"/>
      <c r="B308" s="17"/>
      <c r="C308" s="17"/>
      <c r="D308" s="496" t="s">
        <v>4809</v>
      </c>
      <c r="E308" s="537">
        <v>0</v>
      </c>
      <c r="F308" s="537">
        <v>1.8527653324313702</v>
      </c>
      <c r="G308" s="537">
        <v>88.614276468897003</v>
      </c>
      <c r="H308" s="537">
        <v>126.69012279424261</v>
      </c>
      <c r="I308" s="537">
        <v>284.27650437192386</v>
      </c>
      <c r="J308" s="537">
        <v>495.41135592562614</v>
      </c>
      <c r="K308" s="537">
        <v>691.59265878890778</v>
      </c>
      <c r="L308" s="537">
        <v>888.88901114549992</v>
      </c>
      <c r="M308" s="537">
        <v>1056.9861150964878</v>
      </c>
      <c r="N308" s="537">
        <v>1128.8661067475064</v>
      </c>
      <c r="O308" s="537">
        <v>1127.1385031173388</v>
      </c>
      <c r="P308" s="537">
        <v>1128.9155440706525</v>
      </c>
    </row>
    <row r="311" spans="1:16" s="491" customFormat="1" ht="15.75" x14ac:dyDescent="0.25">
      <c r="A311" s="541" t="s">
        <v>4815</v>
      </c>
      <c r="B311" s="541"/>
      <c r="C311" s="541"/>
      <c r="D311" s="541"/>
      <c r="E311" s="542"/>
      <c r="F311" s="542"/>
      <c r="G311" s="542"/>
      <c r="H311" s="542"/>
      <c r="I311" s="542"/>
      <c r="J311" s="542"/>
      <c r="K311" s="542"/>
      <c r="L311" s="542"/>
      <c r="M311" s="542"/>
      <c r="N311" s="542"/>
      <c r="O311" s="542"/>
      <c r="P311" s="542"/>
    </row>
    <row r="312" spans="1:16" x14ac:dyDescent="0.25">
      <c r="A312" s="17"/>
      <c r="B312" s="17"/>
      <c r="C312" s="17"/>
      <c r="D312" s="17"/>
      <c r="E312" s="17"/>
      <c r="F312" s="17"/>
      <c r="G312" s="17"/>
      <c r="H312" s="17"/>
      <c r="I312" s="17"/>
      <c r="J312" s="17"/>
      <c r="K312" s="17"/>
      <c r="L312" s="17"/>
      <c r="M312" s="17"/>
      <c r="N312" s="17"/>
      <c r="O312" s="17"/>
      <c r="P312" s="17"/>
    </row>
    <row r="313" spans="1:16" x14ac:dyDescent="0.25">
      <c r="A313" s="17" t="s">
        <v>3432</v>
      </c>
      <c r="B313" s="17" t="s">
        <v>4795</v>
      </c>
      <c r="C313" s="17"/>
      <c r="D313" s="17"/>
      <c r="E313" s="536">
        <v>2011</v>
      </c>
      <c r="F313" s="536">
        <v>2012</v>
      </c>
      <c r="G313" s="536">
        <v>2013</v>
      </c>
      <c r="H313" s="536">
        <v>2014</v>
      </c>
      <c r="I313" s="536">
        <v>2015</v>
      </c>
      <c r="J313" s="536">
        <v>2016</v>
      </c>
      <c r="K313" s="536">
        <v>2017</v>
      </c>
      <c r="L313" s="536">
        <v>2018</v>
      </c>
      <c r="M313" s="536">
        <v>2019</v>
      </c>
      <c r="N313" s="536">
        <v>2020</v>
      </c>
      <c r="O313" s="536">
        <v>2021</v>
      </c>
      <c r="P313" s="536">
        <v>2022</v>
      </c>
    </row>
    <row r="314" spans="1:16" x14ac:dyDescent="0.25">
      <c r="A314" s="17"/>
      <c r="B314" s="17"/>
      <c r="C314" s="17"/>
      <c r="D314" s="17" t="s">
        <v>4796</v>
      </c>
      <c r="E314" s="537">
        <v>0</v>
      </c>
      <c r="F314" s="537">
        <v>0</v>
      </c>
      <c r="G314" s="537">
        <v>0</v>
      </c>
      <c r="H314" s="537">
        <v>93.131843388834639</v>
      </c>
      <c r="I314" s="537">
        <v>206.04272481031356</v>
      </c>
      <c r="J314" s="537">
        <v>342.97720977513245</v>
      </c>
      <c r="K314" s="537">
        <v>422.41233203475531</v>
      </c>
      <c r="L314" s="537">
        <v>462.53781312677444</v>
      </c>
      <c r="M314" s="537">
        <v>493.83794720707129</v>
      </c>
      <c r="N314" s="537">
        <v>513.20602048120611</v>
      </c>
      <c r="O314" s="537">
        <v>521.78794335130829</v>
      </c>
      <c r="P314" s="537">
        <v>527.21243444607978</v>
      </c>
    </row>
    <row r="315" spans="1:16" x14ac:dyDescent="0.25">
      <c r="A315" s="17"/>
      <c r="B315" s="17"/>
      <c r="C315" s="17"/>
      <c r="D315" s="115" t="s">
        <v>4797</v>
      </c>
      <c r="E315" s="537">
        <v>14.986355419892693</v>
      </c>
      <c r="F315" s="537">
        <v>29.908847885379963</v>
      </c>
      <c r="G315" s="537">
        <v>47.125794810037789</v>
      </c>
      <c r="H315" s="537">
        <v>83.781050373720703</v>
      </c>
      <c r="I315" s="537">
        <v>193.08044366008437</v>
      </c>
      <c r="J315" s="537">
        <v>305.88252563947697</v>
      </c>
      <c r="K315" s="537">
        <v>416.91853688171591</v>
      </c>
      <c r="L315" s="537">
        <v>508.75816341872246</v>
      </c>
      <c r="M315" s="537">
        <v>588.10418147081134</v>
      </c>
      <c r="N315" s="537">
        <v>660.85117863045514</v>
      </c>
      <c r="O315" s="537">
        <v>733.60681123017719</v>
      </c>
      <c r="P315" s="537">
        <v>806.32232080261565</v>
      </c>
    </row>
    <row r="316" spans="1:16" x14ac:dyDescent="0.25">
      <c r="A316" s="17"/>
      <c r="B316" s="17"/>
      <c r="C316" s="17"/>
      <c r="D316" s="17" t="s">
        <v>4798</v>
      </c>
      <c r="E316" s="537">
        <v>1.8955181895741631</v>
      </c>
      <c r="F316" s="537">
        <v>4.676029940023068</v>
      </c>
      <c r="G316" s="537">
        <v>7.3936881005469477</v>
      </c>
      <c r="H316" s="537">
        <v>22.9133335080733</v>
      </c>
      <c r="I316" s="537">
        <v>65.747058519750823</v>
      </c>
      <c r="J316" s="537">
        <v>116.61764506086112</v>
      </c>
      <c r="K316" s="537">
        <v>166.02035030155088</v>
      </c>
      <c r="L316" s="537">
        <v>214.12041524089955</v>
      </c>
      <c r="M316" s="537">
        <v>261.08207453984198</v>
      </c>
      <c r="N316" s="537">
        <v>307.06189081827029</v>
      </c>
      <c r="O316" s="537">
        <v>352.20433547139123</v>
      </c>
      <c r="P316" s="537">
        <v>396.63933494159659</v>
      </c>
    </row>
    <row r="317" spans="1:16" x14ac:dyDescent="0.25">
      <c r="A317" s="17"/>
      <c r="B317" s="17"/>
      <c r="C317" s="17"/>
      <c r="D317" s="538" t="s">
        <v>4799</v>
      </c>
      <c r="E317" s="537">
        <v>16.881873609466854</v>
      </c>
      <c r="F317" s="537">
        <v>34.584877825403034</v>
      </c>
      <c r="G317" s="537">
        <v>54.519482910584735</v>
      </c>
      <c r="H317" s="537">
        <v>199.82622727062864</v>
      </c>
      <c r="I317" s="537">
        <v>464.87022699014869</v>
      </c>
      <c r="J317" s="537">
        <v>765.47738047547057</v>
      </c>
      <c r="K317" s="537">
        <v>1005.3512192180222</v>
      </c>
      <c r="L317" s="537">
        <v>1185.4163917863964</v>
      </c>
      <c r="M317" s="537">
        <v>1343.0242032177248</v>
      </c>
      <c r="N317" s="537">
        <v>1481.1190899299315</v>
      </c>
      <c r="O317" s="537">
        <v>1607.5990900528766</v>
      </c>
      <c r="P317" s="537">
        <v>1730.1740901902922</v>
      </c>
    </row>
    <row r="318" spans="1:16" x14ac:dyDescent="0.25">
      <c r="A318" s="17"/>
      <c r="B318" s="17"/>
      <c r="C318" s="17"/>
      <c r="D318" s="17"/>
      <c r="E318" s="17"/>
      <c r="F318" s="17"/>
      <c r="G318" s="17"/>
      <c r="H318" s="17"/>
      <c r="I318" s="17"/>
      <c r="J318" s="17"/>
      <c r="K318" s="17"/>
      <c r="L318" s="17"/>
      <c r="M318" s="17"/>
      <c r="N318" s="17"/>
      <c r="O318" s="17"/>
      <c r="P318" s="17"/>
    </row>
    <row r="319" spans="1:16" x14ac:dyDescent="0.25">
      <c r="A319" s="17"/>
      <c r="B319" s="17"/>
      <c r="C319" s="17"/>
      <c r="D319" s="115" t="s">
        <v>4813</v>
      </c>
      <c r="E319" s="537">
        <v>0</v>
      </c>
      <c r="F319" s="537">
        <v>0</v>
      </c>
      <c r="G319" s="537">
        <v>27.436602249999996</v>
      </c>
      <c r="H319" s="537">
        <v>66.530354299999999</v>
      </c>
      <c r="I319" s="537">
        <v>124.18023264999999</v>
      </c>
      <c r="J319" s="537">
        <v>207.60112914999996</v>
      </c>
      <c r="K319" s="537">
        <v>320.24253319999997</v>
      </c>
      <c r="L319" s="537">
        <v>461.63010084999996</v>
      </c>
      <c r="M319" s="537">
        <v>627.90899185000001</v>
      </c>
      <c r="N319" s="537">
        <v>810.09419409999998</v>
      </c>
      <c r="O319" s="537">
        <v>996.51471294999999</v>
      </c>
      <c r="P319" s="537">
        <v>1175.1369966999998</v>
      </c>
    </row>
    <row r="320" spans="1:16" x14ac:dyDescent="0.25">
      <c r="A320" s="17"/>
      <c r="B320" s="17"/>
      <c r="C320" s="17"/>
      <c r="D320" s="115" t="s">
        <v>4801</v>
      </c>
      <c r="E320" s="537">
        <v>0</v>
      </c>
      <c r="F320" s="537">
        <v>0</v>
      </c>
      <c r="G320" s="537">
        <v>62.414869999999993</v>
      </c>
      <c r="H320" s="537">
        <v>100.21294464999998</v>
      </c>
      <c r="I320" s="537">
        <v>137.74526465</v>
      </c>
      <c r="J320" s="537">
        <v>178.06722014999997</v>
      </c>
      <c r="K320" s="537">
        <v>217.28343799999996</v>
      </c>
      <c r="L320" s="537">
        <v>247.77989009999996</v>
      </c>
      <c r="M320" s="537">
        <v>274.03930059999999</v>
      </c>
      <c r="N320" s="537">
        <v>297.57845164999998</v>
      </c>
      <c r="O320" s="537">
        <v>317.13573574999992</v>
      </c>
      <c r="P320" s="537">
        <v>333.91474634999997</v>
      </c>
    </row>
    <row r="321" spans="1:16" x14ac:dyDescent="0.25">
      <c r="A321" s="17"/>
      <c r="B321" s="17"/>
      <c r="C321" s="17"/>
      <c r="D321" s="115" t="s">
        <v>4802</v>
      </c>
      <c r="E321" s="537">
        <v>0</v>
      </c>
      <c r="F321" s="537">
        <v>0</v>
      </c>
      <c r="G321" s="537">
        <v>53.620762499999998</v>
      </c>
      <c r="H321" s="537">
        <v>107.241525</v>
      </c>
      <c r="I321" s="537">
        <v>160.86228749999998</v>
      </c>
      <c r="J321" s="537">
        <v>213.47983599999998</v>
      </c>
      <c r="K321" s="537">
        <v>249.80476639999998</v>
      </c>
      <c r="L321" s="537">
        <v>269.18800834999996</v>
      </c>
      <c r="M321" s="537">
        <v>282.36396774999997</v>
      </c>
      <c r="N321" s="537">
        <v>291.19567794999995</v>
      </c>
      <c r="O321" s="537">
        <v>297.95283874999996</v>
      </c>
      <c r="P321" s="537">
        <v>303.01661649999994</v>
      </c>
    </row>
    <row r="322" spans="1:16" x14ac:dyDescent="0.25">
      <c r="A322" s="17"/>
      <c r="B322" s="17"/>
      <c r="C322" s="17"/>
      <c r="D322" s="115" t="s">
        <v>4803</v>
      </c>
      <c r="E322" s="537">
        <v>0</v>
      </c>
      <c r="F322" s="537">
        <v>0</v>
      </c>
      <c r="G322" s="537">
        <v>24.436134949999996</v>
      </c>
      <c r="H322" s="537">
        <v>54.483523549999994</v>
      </c>
      <c r="I322" s="537">
        <v>95.521631199999987</v>
      </c>
      <c r="J322" s="537">
        <v>147.89439644999999</v>
      </c>
      <c r="K322" s="537">
        <v>212.30237974999997</v>
      </c>
      <c r="L322" s="537">
        <v>286.56391839999998</v>
      </c>
      <c r="M322" s="537">
        <v>366.85632384999997</v>
      </c>
      <c r="N322" s="537">
        <v>446.98235879999999</v>
      </c>
      <c r="O322" s="537">
        <v>519.05130284999996</v>
      </c>
      <c r="P322" s="537">
        <v>577.66730769999992</v>
      </c>
    </row>
    <row r="323" spans="1:16" x14ac:dyDescent="0.25">
      <c r="A323" s="17"/>
      <c r="B323" s="17"/>
      <c r="C323" s="17"/>
      <c r="D323" s="115" t="s">
        <v>4804</v>
      </c>
      <c r="E323" s="537">
        <v>0</v>
      </c>
      <c r="F323" s="537">
        <v>0</v>
      </c>
      <c r="G323" s="537">
        <v>212.06673669999998</v>
      </c>
      <c r="H323" s="537">
        <v>418.74448945</v>
      </c>
      <c r="I323" s="537">
        <v>621.28399709999985</v>
      </c>
      <c r="J323" s="537">
        <v>823.58661280000001</v>
      </c>
      <c r="K323" s="537">
        <v>1018.1680779</v>
      </c>
      <c r="L323" s="537">
        <v>1206.33991105</v>
      </c>
      <c r="M323" s="537">
        <v>1390.4071503999999</v>
      </c>
      <c r="N323" s="537">
        <v>1576.82141325</v>
      </c>
      <c r="O323" s="537">
        <v>1767.90287405</v>
      </c>
      <c r="P323" s="537">
        <v>1969.5829786499999</v>
      </c>
    </row>
    <row r="324" spans="1:16" x14ac:dyDescent="0.25">
      <c r="A324" s="17"/>
      <c r="B324" s="17"/>
      <c r="C324" s="17"/>
      <c r="D324" s="17" t="s">
        <v>4805</v>
      </c>
      <c r="E324" s="537">
        <v>0</v>
      </c>
      <c r="F324" s="537">
        <v>0</v>
      </c>
      <c r="G324" s="537">
        <v>11.433281298883346</v>
      </c>
      <c r="H324" s="537">
        <v>23.356188756238446</v>
      </c>
      <c r="I324" s="537">
        <v>24.679163081931343</v>
      </c>
      <c r="J324" s="537">
        <v>26.313292945921038</v>
      </c>
      <c r="K324" s="537">
        <v>28.227402896345048</v>
      </c>
      <c r="L324" s="537">
        <v>29.916493381295119</v>
      </c>
      <c r="M324" s="537">
        <v>31.781755049346355</v>
      </c>
      <c r="N324" s="537">
        <v>33.690370889642047</v>
      </c>
      <c r="O324" s="537">
        <v>35.635657215405232</v>
      </c>
      <c r="P324" s="537">
        <v>37.640131836177652</v>
      </c>
    </row>
    <row r="325" spans="1:16" x14ac:dyDescent="0.25">
      <c r="A325" s="17"/>
      <c r="B325" s="17"/>
      <c r="C325" s="17"/>
      <c r="D325" s="538" t="s">
        <v>4806</v>
      </c>
      <c r="E325" s="537">
        <v>0</v>
      </c>
      <c r="F325" s="537">
        <v>0</v>
      </c>
      <c r="G325" s="537">
        <v>391.4083876988833</v>
      </c>
      <c r="H325" s="537">
        <v>770.56902570623834</v>
      </c>
      <c r="I325" s="537">
        <v>1164.2725761819313</v>
      </c>
      <c r="J325" s="537">
        <v>1596.9424874959211</v>
      </c>
      <c r="K325" s="537">
        <v>2046.0285981463448</v>
      </c>
      <c r="L325" s="537">
        <v>2501.4183221312946</v>
      </c>
      <c r="M325" s="537">
        <v>2973.3574894993462</v>
      </c>
      <c r="N325" s="537">
        <v>3456.3624666396418</v>
      </c>
      <c r="O325" s="537">
        <v>3934.1931215654049</v>
      </c>
      <c r="P325" s="537">
        <v>4396.9587777361776</v>
      </c>
    </row>
    <row r="326" spans="1:16" x14ac:dyDescent="0.25">
      <c r="A326" s="17"/>
      <c r="B326" s="17"/>
      <c r="C326" s="17"/>
      <c r="D326" s="17"/>
      <c r="E326" s="537"/>
      <c r="F326" s="537"/>
      <c r="G326" s="537"/>
      <c r="H326" s="537"/>
      <c r="I326" s="537"/>
      <c r="J326" s="537"/>
      <c r="K326" s="537"/>
      <c r="L326" s="537"/>
      <c r="M326" s="537"/>
      <c r="N326" s="537"/>
      <c r="O326" s="537"/>
      <c r="P326" s="537"/>
    </row>
    <row r="327" spans="1:16" x14ac:dyDescent="0.25">
      <c r="A327" s="17"/>
      <c r="B327" s="17"/>
      <c r="C327" s="17"/>
      <c r="D327" s="538" t="s">
        <v>4814</v>
      </c>
      <c r="E327" s="537">
        <v>0</v>
      </c>
      <c r="F327" s="537">
        <v>0</v>
      </c>
      <c r="G327" s="537">
        <v>0</v>
      </c>
      <c r="H327" s="537">
        <v>0</v>
      </c>
      <c r="I327" s="537">
        <v>0</v>
      </c>
      <c r="J327" s="537">
        <v>0</v>
      </c>
      <c r="K327" s="537">
        <v>0</v>
      </c>
      <c r="L327" s="537">
        <v>0</v>
      </c>
      <c r="M327" s="537">
        <v>0</v>
      </c>
      <c r="N327" s="537">
        <v>18.834239433979747</v>
      </c>
      <c r="O327" s="537">
        <v>207.83855723145825</v>
      </c>
      <c r="P327" s="537">
        <v>374.63455873725979</v>
      </c>
    </row>
    <row r="328" spans="1:16" x14ac:dyDescent="0.25">
      <c r="A328" s="17"/>
      <c r="B328" s="17"/>
      <c r="C328" s="17"/>
      <c r="D328" s="17"/>
      <c r="E328" s="17"/>
      <c r="F328" s="17"/>
      <c r="G328" s="17"/>
      <c r="H328" s="17"/>
      <c r="I328" s="17"/>
      <c r="J328" s="17"/>
      <c r="K328" s="17"/>
      <c r="L328" s="17"/>
      <c r="M328" s="17"/>
      <c r="N328" s="17"/>
      <c r="O328" s="17"/>
      <c r="P328" s="17"/>
    </row>
    <row r="329" spans="1:16" x14ac:dyDescent="0.25">
      <c r="A329" s="17"/>
      <c r="B329" s="17"/>
      <c r="C329" s="17"/>
      <c r="D329" s="539" t="s">
        <v>4808</v>
      </c>
      <c r="E329" s="540">
        <v>16.881873609466854</v>
      </c>
      <c r="F329" s="540">
        <v>34.584877825403034</v>
      </c>
      <c r="G329" s="540">
        <v>445.92787060946802</v>
      </c>
      <c r="H329" s="540">
        <v>970.39525297686691</v>
      </c>
      <c r="I329" s="540">
        <v>1629.14280317208</v>
      </c>
      <c r="J329" s="540">
        <v>2362.4198679713918</v>
      </c>
      <c r="K329" s="540">
        <v>3051.3798173643672</v>
      </c>
      <c r="L329" s="540">
        <v>3686.8347139176913</v>
      </c>
      <c r="M329" s="540">
        <v>4316.381692717071</v>
      </c>
      <c r="N329" s="540">
        <v>4956.3157960035533</v>
      </c>
      <c r="O329" s="540">
        <v>5749.63076884974</v>
      </c>
      <c r="P329" s="540">
        <v>6501.7674266637296</v>
      </c>
    </row>
    <row r="330" spans="1:16" ht="30" x14ac:dyDescent="0.25">
      <c r="A330" s="17"/>
      <c r="B330" s="17"/>
      <c r="C330" s="17"/>
      <c r="D330" s="496" t="s">
        <v>4809</v>
      </c>
      <c r="E330" s="537">
        <v>1.3560392033739399</v>
      </c>
      <c r="F330" s="537">
        <v>0</v>
      </c>
      <c r="G330" s="537">
        <v>0</v>
      </c>
      <c r="H330" s="537">
        <v>0</v>
      </c>
      <c r="I330" s="537">
        <v>0</v>
      </c>
      <c r="J330" s="537">
        <v>188.16076890926752</v>
      </c>
      <c r="K330" s="537">
        <v>644.52969844563859</v>
      </c>
      <c r="L330" s="537">
        <v>994.4679864801692</v>
      </c>
      <c r="M330" s="537">
        <v>1328.2281138733169</v>
      </c>
      <c r="N330" s="537">
        <v>1526.7081450042133</v>
      </c>
      <c r="O330" s="537">
        <v>1607.3076890570028</v>
      </c>
      <c r="P330" s="537">
        <v>1610.0195268364505</v>
      </c>
    </row>
    <row r="331" spans="1:16" x14ac:dyDescent="0.25">
      <c r="A331" s="17"/>
      <c r="B331" s="17"/>
      <c r="C331" s="17"/>
      <c r="D331" s="17"/>
      <c r="E331" s="17"/>
      <c r="F331" s="17"/>
      <c r="G331" s="17"/>
      <c r="H331" s="17"/>
      <c r="I331" s="17"/>
      <c r="J331" s="17"/>
      <c r="K331" s="17"/>
      <c r="L331" s="17"/>
      <c r="M331" s="17"/>
      <c r="N331" s="17"/>
      <c r="O331" s="17"/>
      <c r="P331" s="17"/>
    </row>
    <row r="332" spans="1:16" x14ac:dyDescent="0.25">
      <c r="A332" s="17" t="s">
        <v>3432</v>
      </c>
      <c r="B332" s="17" t="s">
        <v>4810</v>
      </c>
      <c r="C332" s="17"/>
      <c r="D332" s="17"/>
      <c r="E332" s="536">
        <v>2011</v>
      </c>
      <c r="F332" s="536">
        <v>2012</v>
      </c>
      <c r="G332" s="536">
        <v>2013</v>
      </c>
      <c r="H332" s="536">
        <v>2014</v>
      </c>
      <c r="I332" s="536">
        <v>2015</v>
      </c>
      <c r="J332" s="536">
        <v>2016</v>
      </c>
      <c r="K332" s="536">
        <v>2017</v>
      </c>
      <c r="L332" s="536">
        <v>2018</v>
      </c>
      <c r="M332" s="536">
        <v>2019</v>
      </c>
      <c r="N332" s="536">
        <v>2020</v>
      </c>
      <c r="O332" s="536">
        <v>2021</v>
      </c>
      <c r="P332" s="536">
        <v>2022</v>
      </c>
    </row>
    <row r="333" spans="1:16" x14ac:dyDescent="0.25">
      <c r="A333" s="17"/>
      <c r="B333" s="17"/>
      <c r="C333" s="17"/>
      <c r="D333" s="17" t="s">
        <v>4796</v>
      </c>
      <c r="E333" s="537">
        <v>0</v>
      </c>
      <c r="F333" s="537">
        <v>0</v>
      </c>
      <c r="G333" s="537">
        <v>0</v>
      </c>
      <c r="H333" s="537">
        <v>8.0584181141583784</v>
      </c>
      <c r="I333" s="537">
        <v>22.073841433067571</v>
      </c>
      <c r="J333" s="537">
        <v>37.956658754640586</v>
      </c>
      <c r="K333" s="537">
        <v>47.291332886529347</v>
      </c>
      <c r="L333" s="537">
        <v>52.676107958251961</v>
      </c>
      <c r="M333" s="537">
        <v>56.869990470224884</v>
      </c>
      <c r="N333" s="537">
        <v>58.694029102578405</v>
      </c>
      <c r="O333" s="537">
        <v>59.424881057865555</v>
      </c>
      <c r="P333" s="537">
        <v>60.126833928909448</v>
      </c>
    </row>
    <row r="334" spans="1:16" x14ac:dyDescent="0.25">
      <c r="A334" s="17"/>
      <c r="B334" s="17"/>
      <c r="C334" s="17"/>
      <c r="D334" s="115" t="s">
        <v>4797</v>
      </c>
      <c r="E334" s="537">
        <v>0</v>
      </c>
      <c r="F334" s="537">
        <v>1.7895450002588937</v>
      </c>
      <c r="G334" s="537">
        <v>3.6321391927891282</v>
      </c>
      <c r="H334" s="537">
        <v>8.9656844236257935</v>
      </c>
      <c r="I334" s="537">
        <v>39.660475165056056</v>
      </c>
      <c r="J334" s="537">
        <v>70.692381757124934</v>
      </c>
      <c r="K334" s="537">
        <v>101.54435703955048</v>
      </c>
      <c r="L334" s="537">
        <v>130.33367376319549</v>
      </c>
      <c r="M334" s="537">
        <v>157.97591523896375</v>
      </c>
      <c r="N334" s="537">
        <v>185.02381321135823</v>
      </c>
      <c r="O334" s="537">
        <v>212.05583441332053</v>
      </c>
      <c r="P334" s="537">
        <v>239.08594584732489</v>
      </c>
    </row>
    <row r="335" spans="1:16" x14ac:dyDescent="0.25">
      <c r="A335" s="17"/>
      <c r="B335" s="17"/>
      <c r="C335" s="17"/>
      <c r="D335" s="17" t="s">
        <v>4798</v>
      </c>
      <c r="E335" s="537">
        <v>0</v>
      </c>
      <c r="F335" s="537">
        <v>1.1103187656638087</v>
      </c>
      <c r="G335" s="537">
        <v>2.195341534255558</v>
      </c>
      <c r="H335" s="537">
        <v>6.9938853485626922</v>
      </c>
      <c r="I335" s="537">
        <v>19.431039836295565</v>
      </c>
      <c r="J335" s="537">
        <v>34.297725878110725</v>
      </c>
      <c r="K335" s="537">
        <v>48.748920958573635</v>
      </c>
      <c r="L335" s="537">
        <v>62.832493010775728</v>
      </c>
      <c r="M335" s="537">
        <v>76.595789511705689</v>
      </c>
      <c r="N335" s="537">
        <v>90.083713295615823</v>
      </c>
      <c r="O335" s="537">
        <v>103.33748573622263</v>
      </c>
      <c r="P335" s="537">
        <v>116.39399526170345</v>
      </c>
    </row>
    <row r="336" spans="1:16" x14ac:dyDescent="0.25">
      <c r="A336" s="17"/>
      <c r="B336" s="17"/>
      <c r="C336" s="17"/>
      <c r="D336" s="538" t="s">
        <v>4799</v>
      </c>
      <c r="E336" s="537">
        <v>0</v>
      </c>
      <c r="F336" s="537">
        <v>2.8998637659227025</v>
      </c>
      <c r="G336" s="537">
        <v>5.8274807270446862</v>
      </c>
      <c r="H336" s="537">
        <v>24.017987886346866</v>
      </c>
      <c r="I336" s="537">
        <v>81.165356434419195</v>
      </c>
      <c r="J336" s="537">
        <v>142.94676638987625</v>
      </c>
      <c r="K336" s="537">
        <v>197.58461088465344</v>
      </c>
      <c r="L336" s="537">
        <v>245.84227473222316</v>
      </c>
      <c r="M336" s="537">
        <v>291.4416952208943</v>
      </c>
      <c r="N336" s="537">
        <v>333.80155560955245</v>
      </c>
      <c r="O336" s="537">
        <v>374.81820120740872</v>
      </c>
      <c r="P336" s="537">
        <v>415.60677503793784</v>
      </c>
    </row>
    <row r="337" spans="1:16" x14ac:dyDescent="0.25">
      <c r="A337" s="17"/>
      <c r="B337" s="17"/>
      <c r="C337" s="17"/>
      <c r="D337" s="17"/>
      <c r="E337" s="17"/>
      <c r="F337" s="17"/>
      <c r="G337" s="17"/>
      <c r="H337" s="17"/>
      <c r="I337" s="17"/>
      <c r="J337" s="17"/>
      <c r="K337" s="17"/>
      <c r="L337" s="17"/>
      <c r="M337" s="17"/>
      <c r="N337" s="17"/>
      <c r="O337" s="17"/>
      <c r="P337" s="17"/>
    </row>
    <row r="338" spans="1:16" x14ac:dyDescent="0.25">
      <c r="A338" s="17"/>
      <c r="B338" s="17"/>
      <c r="C338" s="17"/>
      <c r="D338" s="115" t="s">
        <v>4813</v>
      </c>
      <c r="E338" s="537">
        <v>0</v>
      </c>
      <c r="F338" s="537">
        <v>0</v>
      </c>
      <c r="G338" s="537">
        <v>5.0737999999999994</v>
      </c>
      <c r="H338" s="537">
        <v>12.322249999999999</v>
      </c>
      <c r="I338" s="537">
        <v>22.699849999999998</v>
      </c>
      <c r="J338" s="537">
        <v>38.215649999999997</v>
      </c>
      <c r="K338" s="537">
        <v>59.51019999999999</v>
      </c>
      <c r="L338" s="537">
        <v>87.155050000000003</v>
      </c>
      <c r="M338" s="537">
        <v>124.49439999999998</v>
      </c>
      <c r="N338" s="537">
        <v>167.61594999999997</v>
      </c>
      <c r="O338" s="537">
        <v>214.60954999999998</v>
      </c>
      <c r="P338" s="537">
        <v>262.97624999999999</v>
      </c>
    </row>
    <row r="339" spans="1:16" x14ac:dyDescent="0.25">
      <c r="A339" s="17"/>
      <c r="B339" s="17"/>
      <c r="C339" s="17"/>
      <c r="D339" s="115" t="s">
        <v>4801</v>
      </c>
      <c r="E339" s="537">
        <v>0</v>
      </c>
      <c r="F339" s="537">
        <v>0</v>
      </c>
      <c r="G339" s="537">
        <v>10.482249999999999</v>
      </c>
      <c r="H339" s="537">
        <v>18.62425</v>
      </c>
      <c r="I339" s="537">
        <v>26.60755</v>
      </c>
      <c r="J339" s="537">
        <v>35.309599999999996</v>
      </c>
      <c r="K339" s="537">
        <v>43.913899999999998</v>
      </c>
      <c r="L339" s="537">
        <v>51.24284999999999</v>
      </c>
      <c r="M339" s="537">
        <v>57.869149999999991</v>
      </c>
      <c r="N339" s="537">
        <v>64.136650000000003</v>
      </c>
      <c r="O339" s="537">
        <v>69.765899999999988</v>
      </c>
      <c r="P339" s="537">
        <v>74.957000000000008</v>
      </c>
    </row>
    <row r="340" spans="1:16" x14ac:dyDescent="0.25">
      <c r="A340" s="17"/>
      <c r="B340" s="17"/>
      <c r="C340" s="17"/>
      <c r="D340" s="115" t="s">
        <v>4802</v>
      </c>
      <c r="E340" s="537">
        <v>0</v>
      </c>
      <c r="F340" s="537">
        <v>0</v>
      </c>
      <c r="G340" s="537">
        <v>12.981199999999999</v>
      </c>
      <c r="H340" s="537">
        <v>25.963550000000001</v>
      </c>
      <c r="I340" s="537">
        <v>38.944749999999999</v>
      </c>
      <c r="J340" s="537">
        <v>51.683299999999996</v>
      </c>
      <c r="K340" s="537">
        <v>60.477349999999994</v>
      </c>
      <c r="L340" s="537">
        <v>65.17049999999999</v>
      </c>
      <c r="M340" s="537">
        <v>68.360599999999991</v>
      </c>
      <c r="N340" s="537">
        <v>70.498449999999991</v>
      </c>
      <c r="O340" s="537">
        <v>72.134899999999988</v>
      </c>
      <c r="P340" s="537">
        <v>73.360799999999998</v>
      </c>
    </row>
    <row r="341" spans="1:16" x14ac:dyDescent="0.25">
      <c r="A341" s="17"/>
      <c r="B341" s="17"/>
      <c r="C341" s="17"/>
      <c r="D341" s="115" t="s">
        <v>4803</v>
      </c>
      <c r="E341" s="537">
        <v>0</v>
      </c>
      <c r="F341" s="537">
        <v>0</v>
      </c>
      <c r="G341" s="537">
        <v>12.292349999999999</v>
      </c>
      <c r="H341" s="537">
        <v>8.9343500000000002</v>
      </c>
      <c r="I341" s="537">
        <v>13.549299999999999</v>
      </c>
      <c r="J341" s="537">
        <v>19.110699999999998</v>
      </c>
      <c r="K341" s="537">
        <v>24.918199999999999</v>
      </c>
      <c r="L341" s="537">
        <v>30.673949999999994</v>
      </c>
      <c r="M341" s="537">
        <v>36.246849999999995</v>
      </c>
      <c r="N341" s="537">
        <v>41.749600000000001</v>
      </c>
      <c r="O341" s="537">
        <v>46.999349999999993</v>
      </c>
      <c r="P341" s="537">
        <v>51.989199999999997</v>
      </c>
    </row>
    <row r="342" spans="1:16" x14ac:dyDescent="0.25">
      <c r="A342" s="17"/>
      <c r="B342" s="17"/>
      <c r="C342" s="17"/>
      <c r="D342" s="115" t="s">
        <v>4804</v>
      </c>
      <c r="E342" s="537">
        <v>0</v>
      </c>
      <c r="F342" s="537">
        <v>0</v>
      </c>
      <c r="G342" s="537">
        <v>31.670999999999996</v>
      </c>
      <c r="H342" s="537">
        <v>62.643949999999997</v>
      </c>
      <c r="I342" s="537">
        <v>93.075249999999997</v>
      </c>
      <c r="J342" s="537">
        <v>123.55254999999998</v>
      </c>
      <c r="K342" s="537">
        <v>152.79244999999997</v>
      </c>
      <c r="L342" s="537">
        <v>180.94215</v>
      </c>
      <c r="M342" s="537">
        <v>208.18909999999997</v>
      </c>
      <c r="N342" s="537">
        <v>235.53609999999998</v>
      </c>
      <c r="O342" s="537">
        <v>263.17749999999995</v>
      </c>
      <c r="P342" s="537">
        <v>292.07124999999996</v>
      </c>
    </row>
    <row r="343" spans="1:16" x14ac:dyDescent="0.25">
      <c r="A343" s="17"/>
      <c r="B343" s="17"/>
      <c r="C343" s="17"/>
      <c r="D343" s="17" t="s">
        <v>4805</v>
      </c>
      <c r="E343" s="537">
        <v>0</v>
      </c>
      <c r="F343" s="537">
        <v>0</v>
      </c>
      <c r="G343" s="537">
        <v>0</v>
      </c>
      <c r="H343" s="537">
        <v>0</v>
      </c>
      <c r="I343" s="537">
        <v>0</v>
      </c>
      <c r="J343" s="537">
        <v>0</v>
      </c>
      <c r="K343" s="537">
        <v>0</v>
      </c>
      <c r="L343" s="537">
        <v>0</v>
      </c>
      <c r="M343" s="537">
        <v>0</v>
      </c>
      <c r="N343" s="537">
        <v>0</v>
      </c>
      <c r="O343" s="537">
        <v>0</v>
      </c>
      <c r="P343" s="537">
        <v>0</v>
      </c>
    </row>
    <row r="344" spans="1:16" x14ac:dyDescent="0.25">
      <c r="A344" s="17"/>
      <c r="B344" s="17"/>
      <c r="C344" s="17"/>
      <c r="D344" s="538" t="s">
        <v>4806</v>
      </c>
      <c r="E344" s="537">
        <v>0</v>
      </c>
      <c r="F344" s="537">
        <v>0</v>
      </c>
      <c r="G344" s="537">
        <v>72.500599999999991</v>
      </c>
      <c r="H344" s="537">
        <v>128.48835</v>
      </c>
      <c r="I344" s="537">
        <v>194.8767</v>
      </c>
      <c r="J344" s="537">
        <v>267.87180000000001</v>
      </c>
      <c r="K344" s="537">
        <v>341.61209999999994</v>
      </c>
      <c r="L344" s="537">
        <v>415.18449999999996</v>
      </c>
      <c r="M344" s="537">
        <v>495.16009999999994</v>
      </c>
      <c r="N344" s="537">
        <v>579.53674999999998</v>
      </c>
      <c r="O344" s="537">
        <v>666.68719999999996</v>
      </c>
      <c r="P344" s="537">
        <v>755.35449999999992</v>
      </c>
    </row>
    <row r="345" spans="1:16" x14ac:dyDescent="0.25">
      <c r="A345" s="17"/>
      <c r="B345" s="17"/>
      <c r="C345" s="17"/>
      <c r="D345" s="17"/>
      <c r="E345" s="537"/>
      <c r="F345" s="537"/>
      <c r="G345" s="537"/>
      <c r="H345" s="537"/>
      <c r="I345" s="537"/>
      <c r="J345" s="537"/>
      <c r="K345" s="537"/>
      <c r="L345" s="537"/>
      <c r="M345" s="537"/>
      <c r="N345" s="537"/>
      <c r="O345" s="537"/>
      <c r="P345" s="537"/>
    </row>
    <row r="346" spans="1:16" x14ac:dyDescent="0.25">
      <c r="A346" s="17"/>
      <c r="B346" s="17"/>
      <c r="C346" s="17"/>
      <c r="D346" s="538" t="s">
        <v>4814</v>
      </c>
      <c r="E346" s="537">
        <v>0</v>
      </c>
      <c r="F346" s="537">
        <v>0</v>
      </c>
      <c r="G346" s="537">
        <v>0</v>
      </c>
      <c r="H346" s="537">
        <v>0</v>
      </c>
      <c r="I346" s="537">
        <v>19.426530377035647</v>
      </c>
      <c r="J346" s="537">
        <v>26.849857739585076</v>
      </c>
      <c r="K346" s="537">
        <v>25.18582848513995</v>
      </c>
      <c r="L346" s="537">
        <v>-0.12514651724592341</v>
      </c>
      <c r="M346" s="537">
        <v>38.157452987690419</v>
      </c>
      <c r="N346" s="537">
        <v>76.089269146722472</v>
      </c>
      <c r="O346" s="537">
        <v>105.06759999999184</v>
      </c>
      <c r="P346" s="537">
        <v>131.86412403023314</v>
      </c>
    </row>
    <row r="347" spans="1:16" x14ac:dyDescent="0.25">
      <c r="A347" s="17"/>
      <c r="B347" s="17"/>
      <c r="C347" s="17"/>
      <c r="D347" s="17"/>
      <c r="E347" s="17"/>
      <c r="F347" s="17"/>
      <c r="G347" s="17"/>
      <c r="H347" s="17"/>
      <c r="I347" s="17"/>
      <c r="J347" s="17"/>
      <c r="K347" s="17"/>
      <c r="L347" s="17"/>
      <c r="M347" s="17"/>
      <c r="N347" s="17"/>
      <c r="O347" s="17"/>
      <c r="P347" s="17"/>
    </row>
    <row r="348" spans="1:16" x14ac:dyDescent="0.25">
      <c r="A348" s="17"/>
      <c r="B348" s="17"/>
      <c r="C348" s="17"/>
      <c r="D348" s="539" t="s">
        <v>4808</v>
      </c>
      <c r="E348" s="540">
        <v>0</v>
      </c>
      <c r="F348" s="540">
        <v>2.8998637659227025</v>
      </c>
      <c r="G348" s="540">
        <v>78.328080727044679</v>
      </c>
      <c r="H348" s="540">
        <v>152.50633788634687</v>
      </c>
      <c r="I348" s="540">
        <v>295.46858681145483</v>
      </c>
      <c r="J348" s="540">
        <v>437.6684241294613</v>
      </c>
      <c r="K348" s="540">
        <v>564.38253936979334</v>
      </c>
      <c r="L348" s="540">
        <v>660.90162821497711</v>
      </c>
      <c r="M348" s="540">
        <v>824.75924820858472</v>
      </c>
      <c r="N348" s="540">
        <v>989.42757475627491</v>
      </c>
      <c r="O348" s="540">
        <v>1146.5730012074007</v>
      </c>
      <c r="P348" s="540">
        <v>1302.825399068171</v>
      </c>
    </row>
    <row r="349" spans="1:16" ht="30" x14ac:dyDescent="0.25">
      <c r="A349" s="17"/>
      <c r="B349" s="17"/>
      <c r="C349" s="17"/>
      <c r="D349" s="496" t="s">
        <v>4809</v>
      </c>
      <c r="E349" s="537">
        <v>0</v>
      </c>
      <c r="F349" s="537">
        <v>0</v>
      </c>
      <c r="G349" s="537">
        <v>0</v>
      </c>
      <c r="H349" s="537">
        <v>0</v>
      </c>
      <c r="I349" s="537">
        <v>0</v>
      </c>
      <c r="J349" s="537">
        <v>14.788463114371552</v>
      </c>
      <c r="K349" s="537">
        <v>90.279732166744054</v>
      </c>
      <c r="L349" s="537">
        <v>160.80710006985936</v>
      </c>
      <c r="M349" s="537">
        <v>222.07886102903433</v>
      </c>
      <c r="N349" s="537">
        <v>244.9104849864159</v>
      </c>
      <c r="O349" s="537">
        <v>256.83217520332778</v>
      </c>
      <c r="P349" s="537">
        <v>264.53261602024907</v>
      </c>
    </row>
    <row r="350" spans="1:16" x14ac:dyDescent="0.25">
      <c r="A350" s="17"/>
      <c r="B350" s="17"/>
      <c r="C350" s="17"/>
      <c r="D350" s="17"/>
      <c r="E350" s="17"/>
      <c r="F350" s="17"/>
      <c r="G350" s="17"/>
      <c r="H350" s="17"/>
      <c r="I350" s="17"/>
      <c r="J350" s="17"/>
      <c r="K350" s="17"/>
      <c r="L350" s="17"/>
      <c r="M350" s="17"/>
      <c r="N350" s="17"/>
      <c r="O350" s="17"/>
      <c r="P350" s="17"/>
    </row>
    <row r="351" spans="1:16" x14ac:dyDescent="0.25">
      <c r="A351" s="17" t="s">
        <v>7</v>
      </c>
      <c r="B351" s="17" t="s">
        <v>4795</v>
      </c>
      <c r="C351" s="17"/>
      <c r="D351" s="17"/>
      <c r="E351" s="536">
        <v>2011</v>
      </c>
      <c r="F351" s="536">
        <v>2012</v>
      </c>
      <c r="G351" s="536">
        <v>2013</v>
      </c>
      <c r="H351" s="536">
        <v>2014</v>
      </c>
      <c r="I351" s="536">
        <v>2015</v>
      </c>
      <c r="J351" s="536">
        <v>2016</v>
      </c>
      <c r="K351" s="536">
        <v>2017</v>
      </c>
      <c r="L351" s="536">
        <v>2018</v>
      </c>
      <c r="M351" s="536">
        <v>2019</v>
      </c>
      <c r="N351" s="536">
        <v>2020</v>
      </c>
      <c r="O351" s="536">
        <v>2021</v>
      </c>
      <c r="P351" s="536">
        <v>2022</v>
      </c>
    </row>
    <row r="352" spans="1:16" x14ac:dyDescent="0.25">
      <c r="A352" s="17"/>
      <c r="B352" s="17"/>
      <c r="C352" s="17"/>
      <c r="D352" s="17" t="s">
        <v>4796</v>
      </c>
      <c r="E352" s="537">
        <v>0</v>
      </c>
      <c r="F352" s="537">
        <v>0</v>
      </c>
      <c r="G352" s="537">
        <v>0</v>
      </c>
      <c r="H352" s="537">
        <v>96.059093510176012</v>
      </c>
      <c r="I352" s="537">
        <v>212.51890491430157</v>
      </c>
      <c r="J352" s="537">
        <v>353.75741171680204</v>
      </c>
      <c r="K352" s="537">
        <v>435.68927905106523</v>
      </c>
      <c r="L352" s="537">
        <v>477.07595411414212</v>
      </c>
      <c r="M352" s="537">
        <v>509.35989048966485</v>
      </c>
      <c r="N352" s="537">
        <v>529.33672648961783</v>
      </c>
      <c r="O352" s="537">
        <v>538.18838991084351</v>
      </c>
      <c r="P352" s="537">
        <v>543.78337953369726</v>
      </c>
    </row>
    <row r="353" spans="1:16" x14ac:dyDescent="0.25">
      <c r="A353" s="17"/>
      <c r="B353" s="17"/>
      <c r="C353" s="17"/>
      <c r="D353" s="115" t="s">
        <v>4797</v>
      </c>
      <c r="E353" s="537">
        <v>15.457395282576279</v>
      </c>
      <c r="F353" s="537">
        <v>30.848920318351432</v>
      </c>
      <c r="G353" s="537">
        <v>48.607017381785255</v>
      </c>
      <c r="H353" s="537">
        <v>86.655347989902978</v>
      </c>
      <c r="I353" s="537">
        <v>188.24357700676731</v>
      </c>
      <c r="J353" s="537">
        <v>293.53658691628203</v>
      </c>
      <c r="K353" s="537">
        <v>396.96607361249335</v>
      </c>
      <c r="L353" s="537">
        <v>480.64212308702645</v>
      </c>
      <c r="M353" s="537">
        <v>551.40875776615803</v>
      </c>
      <c r="N353" s="537">
        <v>615.35697631584389</v>
      </c>
      <c r="O353" s="537">
        <v>679.50795013126606</v>
      </c>
      <c r="P353" s="537">
        <v>743.62625547933374</v>
      </c>
    </row>
    <row r="354" spans="1:16" x14ac:dyDescent="0.25">
      <c r="A354" s="17"/>
      <c r="B354" s="17"/>
      <c r="C354" s="17"/>
      <c r="D354" s="17" t="s">
        <v>4798</v>
      </c>
      <c r="E354" s="537">
        <v>1.9550966930004248</v>
      </c>
      <c r="F354" s="537">
        <v>4.8230033994893446</v>
      </c>
      <c r="G354" s="537">
        <v>7.6260809492434358</v>
      </c>
      <c r="H354" s="537">
        <v>23.633528189626062</v>
      </c>
      <c r="I354" s="537">
        <v>67.813570660246626</v>
      </c>
      <c r="J354" s="537">
        <v>120.28308325292723</v>
      </c>
      <c r="K354" s="537">
        <v>171.23857720313092</v>
      </c>
      <c r="L354" s="537">
        <v>220.85048724085672</v>
      </c>
      <c r="M354" s="537">
        <v>269.28821012749466</v>
      </c>
      <c r="N354" s="537">
        <v>316.71322944156293</v>
      </c>
      <c r="O354" s="537">
        <v>363.27455749460523</v>
      </c>
      <c r="P354" s="537">
        <v>409.10620447932286</v>
      </c>
    </row>
    <row r="355" spans="1:16" x14ac:dyDescent="0.25">
      <c r="A355" s="17"/>
      <c r="B355" s="17"/>
      <c r="C355" s="17"/>
      <c r="D355" s="538" t="s">
        <v>4799</v>
      </c>
      <c r="E355" s="537">
        <v>17.412491975576703</v>
      </c>
      <c r="F355" s="537">
        <v>35.671923717840777</v>
      </c>
      <c r="G355" s="537">
        <v>56.233098331028692</v>
      </c>
      <c r="H355" s="537">
        <v>206.34796968970505</v>
      </c>
      <c r="I355" s="537">
        <v>468.57605258131554</v>
      </c>
      <c r="J355" s="537">
        <v>767.57708188601134</v>
      </c>
      <c r="K355" s="537">
        <v>1003.8939298666895</v>
      </c>
      <c r="L355" s="537">
        <v>1178.5685644420253</v>
      </c>
      <c r="M355" s="537">
        <v>1330.0568583833176</v>
      </c>
      <c r="N355" s="537">
        <v>1461.4069322470245</v>
      </c>
      <c r="O355" s="537">
        <v>1580.9708975367148</v>
      </c>
      <c r="P355" s="537">
        <v>1696.5158394923537</v>
      </c>
    </row>
    <row r="356" spans="1:16" x14ac:dyDescent="0.25">
      <c r="A356" s="17"/>
      <c r="B356" s="17"/>
      <c r="C356" s="17"/>
      <c r="D356" s="17"/>
      <c r="E356" s="17"/>
      <c r="F356" s="17"/>
      <c r="G356" s="17"/>
      <c r="H356" s="17"/>
      <c r="I356" s="17"/>
      <c r="J356" s="17"/>
      <c r="K356" s="17"/>
      <c r="L356" s="17"/>
      <c r="M356" s="17"/>
      <c r="N356" s="17"/>
      <c r="O356" s="17"/>
      <c r="P356" s="17"/>
    </row>
    <row r="357" spans="1:16" x14ac:dyDescent="0.25">
      <c r="A357" s="17"/>
      <c r="B357" s="17"/>
      <c r="C357" s="17"/>
      <c r="D357" s="115" t="s">
        <v>4813</v>
      </c>
      <c r="E357" s="537">
        <v>0</v>
      </c>
      <c r="F357" s="537">
        <v>0</v>
      </c>
      <c r="G357" s="537">
        <v>47.922258349999993</v>
      </c>
      <c r="H357" s="537">
        <v>116.74554934999999</v>
      </c>
      <c r="I357" s="537">
        <v>219.14090649999997</v>
      </c>
      <c r="J357" s="537">
        <v>367.23800999999997</v>
      </c>
      <c r="K357" s="537">
        <v>568.39408949999995</v>
      </c>
      <c r="L357" s="537">
        <v>817.05850669999984</v>
      </c>
      <c r="M357" s="537">
        <v>1099.8315352</v>
      </c>
      <c r="N357" s="537">
        <v>1397.7520417000001</v>
      </c>
      <c r="O357" s="537">
        <v>1691.4553912499998</v>
      </c>
      <c r="P357" s="537">
        <v>1963.3082899999999</v>
      </c>
    </row>
    <row r="358" spans="1:16" x14ac:dyDescent="0.25">
      <c r="A358" s="17"/>
      <c r="B358" s="17"/>
      <c r="C358" s="17"/>
      <c r="D358" s="115" t="s">
        <v>4801</v>
      </c>
      <c r="E358" s="537">
        <v>0</v>
      </c>
      <c r="F358" s="537">
        <v>0</v>
      </c>
      <c r="G358" s="537">
        <v>74.023909549999999</v>
      </c>
      <c r="H358" s="537">
        <v>145.26147144999999</v>
      </c>
      <c r="I358" s="537">
        <v>219.84249965000001</v>
      </c>
      <c r="J358" s="537">
        <v>297.57083289999997</v>
      </c>
      <c r="K358" s="537">
        <v>374.76523149999997</v>
      </c>
      <c r="L358" s="537">
        <v>433.44069824999991</v>
      </c>
      <c r="M358" s="537">
        <v>473.81598499999996</v>
      </c>
      <c r="N358" s="537">
        <v>507.27656439999993</v>
      </c>
      <c r="O358" s="537">
        <v>535.45792964999998</v>
      </c>
      <c r="P358" s="537">
        <v>557.57389704999991</v>
      </c>
    </row>
    <row r="359" spans="1:16" x14ac:dyDescent="0.25">
      <c r="A359" s="17"/>
      <c r="B359" s="17"/>
      <c r="C359" s="17"/>
      <c r="D359" s="115" t="s">
        <v>4802</v>
      </c>
      <c r="E359" s="537">
        <v>0</v>
      </c>
      <c r="F359" s="537">
        <v>0</v>
      </c>
      <c r="G359" s="537">
        <v>39.221324999999993</v>
      </c>
      <c r="H359" s="537">
        <v>78.442649999999986</v>
      </c>
      <c r="I359" s="537">
        <v>117.66397499999999</v>
      </c>
      <c r="J359" s="537">
        <v>153.5640678</v>
      </c>
      <c r="K359" s="537">
        <v>178.3303367</v>
      </c>
      <c r="L359" s="537">
        <v>191.53241489999999</v>
      </c>
      <c r="M359" s="537">
        <v>200.49273649999998</v>
      </c>
      <c r="N359" s="537">
        <v>206.48447224999998</v>
      </c>
      <c r="O359" s="537">
        <v>211.05177544999998</v>
      </c>
      <c r="P359" s="537">
        <v>214.45089139999999</v>
      </c>
    </row>
    <row r="360" spans="1:16" x14ac:dyDescent="0.25">
      <c r="A360" s="17"/>
      <c r="B360" s="17"/>
      <c r="C360" s="17"/>
      <c r="D360" s="115" t="s">
        <v>4803</v>
      </c>
      <c r="E360" s="537">
        <v>0</v>
      </c>
      <c r="F360" s="537">
        <v>0</v>
      </c>
      <c r="G360" s="537">
        <v>23.284605449999997</v>
      </c>
      <c r="H360" s="537">
        <v>54.242547950000002</v>
      </c>
      <c r="I360" s="537">
        <v>98.44987965</v>
      </c>
      <c r="J360" s="537">
        <v>156.22533225000001</v>
      </c>
      <c r="K360" s="537">
        <v>227.87949659999998</v>
      </c>
      <c r="L360" s="537">
        <v>309.96972464999993</v>
      </c>
      <c r="M360" s="537">
        <v>397.18928619999997</v>
      </c>
      <c r="N360" s="537">
        <v>480.57433144999993</v>
      </c>
      <c r="O360" s="537">
        <v>552.04069159999995</v>
      </c>
      <c r="P360" s="537">
        <v>607.98598014999993</v>
      </c>
    </row>
    <row r="361" spans="1:16" x14ac:dyDescent="0.25">
      <c r="A361" s="17"/>
      <c r="B361" s="17"/>
      <c r="C361" s="17"/>
      <c r="D361" s="115" t="s">
        <v>4804</v>
      </c>
      <c r="E361" s="537">
        <v>0</v>
      </c>
      <c r="F361" s="537">
        <v>0</v>
      </c>
      <c r="G361" s="537">
        <v>125.04929455</v>
      </c>
      <c r="H361" s="537">
        <v>276.84448294999999</v>
      </c>
      <c r="I361" s="537">
        <v>429.45376669999996</v>
      </c>
      <c r="J361" s="537">
        <v>577.43020645000001</v>
      </c>
      <c r="K361" s="537">
        <v>719.94255575</v>
      </c>
      <c r="L361" s="537">
        <v>862.43007194999996</v>
      </c>
      <c r="M361" s="537">
        <v>998.89946220000002</v>
      </c>
      <c r="N361" s="537">
        <v>1132.6667503499998</v>
      </c>
      <c r="O361" s="537">
        <v>1261.0437423999999</v>
      </c>
      <c r="P361" s="537">
        <v>1387.1328554499999</v>
      </c>
    </row>
    <row r="362" spans="1:16" x14ac:dyDescent="0.25">
      <c r="A362" s="17"/>
      <c r="B362" s="17"/>
      <c r="C362" s="17"/>
      <c r="D362" s="17" t="s">
        <v>4805</v>
      </c>
      <c r="E362" s="537">
        <v>0</v>
      </c>
      <c r="F362" s="537">
        <v>0</v>
      </c>
      <c r="G362" s="537">
        <v>10.584119964309016</v>
      </c>
      <c r="H362" s="537">
        <v>21.713056220839341</v>
      </c>
      <c r="I362" s="537">
        <v>23.137726453643154</v>
      </c>
      <c r="J362" s="537">
        <v>24.892836398435211</v>
      </c>
      <c r="K362" s="537">
        <v>26.944671172632596</v>
      </c>
      <c r="L362" s="537">
        <v>28.768562756757539</v>
      </c>
      <c r="M362" s="537">
        <v>30.775662784693225</v>
      </c>
      <c r="N362" s="537">
        <v>32.819833067649057</v>
      </c>
      <c r="O362" s="537">
        <v>34.921870131927299</v>
      </c>
      <c r="P362" s="537">
        <v>37.06650524583916</v>
      </c>
    </row>
    <row r="363" spans="1:16" x14ac:dyDescent="0.25">
      <c r="A363" s="17"/>
      <c r="B363" s="17"/>
      <c r="C363" s="17"/>
      <c r="D363" s="538" t="s">
        <v>4806</v>
      </c>
      <c r="E363" s="537">
        <v>0</v>
      </c>
      <c r="F363" s="537">
        <v>0</v>
      </c>
      <c r="G363" s="537">
        <v>320.08551286430901</v>
      </c>
      <c r="H363" s="537">
        <v>693.24975792083922</v>
      </c>
      <c r="I363" s="537">
        <v>1107.6887539536431</v>
      </c>
      <c r="J363" s="537">
        <v>1576.9212857984353</v>
      </c>
      <c r="K363" s="537">
        <v>2096.2563812226326</v>
      </c>
      <c r="L363" s="537">
        <v>2643.1999792067572</v>
      </c>
      <c r="M363" s="537">
        <v>3201.0046678846934</v>
      </c>
      <c r="N363" s="537">
        <v>3757.5739932176489</v>
      </c>
      <c r="O363" s="537">
        <v>4285.971400481927</v>
      </c>
      <c r="P363" s="537">
        <v>4767.5184192958377</v>
      </c>
    </row>
    <row r="364" spans="1:16" x14ac:dyDescent="0.25">
      <c r="A364" s="17"/>
      <c r="B364" s="17"/>
      <c r="C364" s="17"/>
      <c r="D364" s="17"/>
      <c r="E364" s="537"/>
      <c r="F364" s="537"/>
      <c r="G364" s="537"/>
      <c r="H364" s="537"/>
      <c r="I364" s="537"/>
      <c r="J364" s="537"/>
      <c r="K364" s="537"/>
      <c r="L364" s="537"/>
      <c r="M364" s="537"/>
      <c r="N364" s="537"/>
      <c r="O364" s="537"/>
      <c r="P364" s="537"/>
    </row>
    <row r="365" spans="1:16" x14ac:dyDescent="0.25">
      <c r="A365" s="17"/>
      <c r="B365" s="17"/>
      <c r="C365" s="17"/>
      <c r="D365" s="538" t="s">
        <v>4814</v>
      </c>
      <c r="E365" s="537">
        <v>0</v>
      </c>
      <c r="F365" s="537">
        <v>0</v>
      </c>
      <c r="G365" s="537">
        <v>49.283096195195981</v>
      </c>
      <c r="H365" s="537">
        <v>230.77922496549672</v>
      </c>
      <c r="I365" s="537">
        <v>526.47693720943994</v>
      </c>
      <c r="J365" s="537">
        <v>715.97989485489029</v>
      </c>
      <c r="K365" s="537">
        <v>872.05604277106863</v>
      </c>
      <c r="L365" s="537">
        <v>672.81593739782738</v>
      </c>
      <c r="M365" s="537">
        <v>1028.453985652206</v>
      </c>
      <c r="N365" s="537">
        <v>1364.3404888849714</v>
      </c>
      <c r="O365" s="537">
        <v>1636.9333825915069</v>
      </c>
      <c r="P365" s="537">
        <v>1883.8974563150832</v>
      </c>
    </row>
    <row r="366" spans="1:16" x14ac:dyDescent="0.25">
      <c r="A366" s="17"/>
      <c r="B366" s="17"/>
      <c r="C366" s="17"/>
      <c r="D366" s="17"/>
      <c r="E366" s="17"/>
      <c r="F366" s="17"/>
      <c r="G366" s="17"/>
      <c r="H366" s="17"/>
      <c r="I366" s="17"/>
      <c r="J366" s="17"/>
      <c r="K366" s="17"/>
      <c r="L366" s="17"/>
      <c r="M366" s="17"/>
      <c r="N366" s="17"/>
      <c r="O366" s="17"/>
      <c r="P366" s="17"/>
    </row>
    <row r="367" spans="1:16" x14ac:dyDescent="0.25">
      <c r="A367" s="17"/>
      <c r="B367" s="17"/>
      <c r="C367" s="17"/>
      <c r="D367" s="539" t="s">
        <v>4808</v>
      </c>
      <c r="E367" s="540">
        <v>17.412491975576703</v>
      </c>
      <c r="F367" s="540">
        <v>35.671923717840777</v>
      </c>
      <c r="G367" s="540">
        <v>425.6017073905337</v>
      </c>
      <c r="H367" s="540">
        <v>1130.376952576041</v>
      </c>
      <c r="I367" s="540">
        <v>2102.7417437443983</v>
      </c>
      <c r="J367" s="540">
        <v>3060.4782625393373</v>
      </c>
      <c r="K367" s="540">
        <v>3972.2063538603907</v>
      </c>
      <c r="L367" s="540">
        <v>4494.5844810466097</v>
      </c>
      <c r="M367" s="540">
        <v>5559.5155119202173</v>
      </c>
      <c r="N367" s="540">
        <v>6583.3214143496443</v>
      </c>
      <c r="O367" s="540">
        <v>7503.8756806101483</v>
      </c>
      <c r="P367" s="540">
        <v>8347.9317151032737</v>
      </c>
    </row>
    <row r="368" spans="1:16" ht="30" x14ac:dyDescent="0.25">
      <c r="A368" s="17"/>
      <c r="B368" s="17"/>
      <c r="C368" s="17"/>
      <c r="D368" s="496" t="s">
        <v>4809</v>
      </c>
      <c r="E368" s="537">
        <v>1.3986612086750383</v>
      </c>
      <c r="F368" s="537">
        <v>0</v>
      </c>
      <c r="G368" s="537">
        <v>0</v>
      </c>
      <c r="H368" s="537">
        <v>0</v>
      </c>
      <c r="I368" s="537">
        <v>0</v>
      </c>
      <c r="J368" s="537">
        <v>278.45811107598388</v>
      </c>
      <c r="K368" s="537">
        <v>760.63929996075603</v>
      </c>
      <c r="L368" s="537">
        <v>1246.2921961469383</v>
      </c>
      <c r="M368" s="537">
        <v>1599.1373695462003</v>
      </c>
      <c r="N368" s="537">
        <v>1816.6523182554683</v>
      </c>
      <c r="O368" s="537">
        <v>1918.3620273559236</v>
      </c>
      <c r="P368" s="537">
        <v>1944.2108146390001</v>
      </c>
    </row>
    <row r="369" spans="1:16" x14ac:dyDescent="0.25">
      <c r="A369" s="17"/>
      <c r="B369" s="17"/>
      <c r="C369" s="17"/>
      <c r="D369" s="17"/>
      <c r="E369" s="17"/>
      <c r="F369" s="17"/>
      <c r="G369" s="17"/>
      <c r="H369" s="17"/>
      <c r="I369" s="17"/>
      <c r="J369" s="17"/>
      <c r="K369" s="17"/>
      <c r="L369" s="17"/>
      <c r="M369" s="17"/>
      <c r="N369" s="17"/>
      <c r="O369" s="17"/>
      <c r="P369" s="17"/>
    </row>
    <row r="370" spans="1:16" x14ac:dyDescent="0.25">
      <c r="A370" s="17" t="s">
        <v>7</v>
      </c>
      <c r="B370" s="17" t="s">
        <v>4810</v>
      </c>
      <c r="C370" s="17"/>
      <c r="D370" s="17"/>
      <c r="E370" s="536">
        <v>2011</v>
      </c>
      <c r="F370" s="536">
        <v>2012</v>
      </c>
      <c r="G370" s="536">
        <v>2013</v>
      </c>
      <c r="H370" s="536">
        <v>2014</v>
      </c>
      <c r="I370" s="536">
        <v>2015</v>
      </c>
      <c r="J370" s="536">
        <v>2016</v>
      </c>
      <c r="K370" s="536">
        <v>2017</v>
      </c>
      <c r="L370" s="536">
        <v>2018</v>
      </c>
      <c r="M370" s="536">
        <v>2019</v>
      </c>
      <c r="N370" s="536">
        <v>2020</v>
      </c>
      <c r="O370" s="536">
        <v>2021</v>
      </c>
      <c r="P370" s="536">
        <v>2022</v>
      </c>
    </row>
    <row r="371" spans="1:16" x14ac:dyDescent="0.25">
      <c r="A371" s="17"/>
      <c r="B371" s="17"/>
      <c r="C371" s="17"/>
      <c r="D371" s="17" t="s">
        <v>4796</v>
      </c>
      <c r="E371" s="537">
        <v>0</v>
      </c>
      <c r="F371" s="537">
        <v>0</v>
      </c>
      <c r="G371" s="537">
        <v>0</v>
      </c>
      <c r="H371" s="537">
        <v>8.311704257158933</v>
      </c>
      <c r="I371" s="537">
        <v>22.76764983052021</v>
      </c>
      <c r="J371" s="537">
        <v>39.14968393166135</v>
      </c>
      <c r="K371" s="537">
        <v>48.777758526710379</v>
      </c>
      <c r="L371" s="537">
        <v>54.331783802321745</v>
      </c>
      <c r="M371" s="537">
        <v>58.657485278092132</v>
      </c>
      <c r="N371" s="537">
        <v>60.538855722139701</v>
      </c>
      <c r="O371" s="537">
        <v>61.292679266917084</v>
      </c>
      <c r="P371" s="537">
        <v>62.016695393150293</v>
      </c>
    </row>
    <row r="372" spans="1:16" x14ac:dyDescent="0.25">
      <c r="A372" s="17"/>
      <c r="B372" s="17"/>
      <c r="C372" s="17"/>
      <c r="D372" s="115" t="s">
        <v>4797</v>
      </c>
      <c r="E372" s="537">
        <v>0</v>
      </c>
      <c r="F372" s="537">
        <v>1.8457926340277504</v>
      </c>
      <c r="G372" s="537">
        <v>3.7463018626767015</v>
      </c>
      <c r="H372" s="537">
        <v>10.364706281024711</v>
      </c>
      <c r="I372" s="537">
        <v>39.591026332329861</v>
      </c>
      <c r="J372" s="537">
        <v>69.167028726070725</v>
      </c>
      <c r="K372" s="537">
        <v>98.469065383273261</v>
      </c>
      <c r="L372" s="537">
        <v>125.69588794887153</v>
      </c>
      <c r="M372" s="537">
        <v>151.8019017084705</v>
      </c>
      <c r="N372" s="537">
        <v>177.26975461385334</v>
      </c>
      <c r="O372" s="537">
        <v>202.89263526876428</v>
      </c>
      <c r="P372" s="537">
        <v>228.47560389600841</v>
      </c>
    </row>
    <row r="373" spans="1:16" x14ac:dyDescent="0.25">
      <c r="A373" s="17"/>
      <c r="B373" s="17"/>
      <c r="C373" s="17"/>
      <c r="D373" s="17" t="s">
        <v>4798</v>
      </c>
      <c r="E373" s="537">
        <v>0</v>
      </c>
      <c r="F373" s="537">
        <v>1.1452174708032223</v>
      </c>
      <c r="G373" s="537">
        <v>2.2643438597620431</v>
      </c>
      <c r="H373" s="537">
        <v>7.2137118975739858</v>
      </c>
      <c r="I373" s="537">
        <v>20.041781679781984</v>
      </c>
      <c r="J373" s="537">
        <v>35.37574622630958</v>
      </c>
      <c r="K373" s="537">
        <v>50.281160411791134</v>
      </c>
      <c r="L373" s="537">
        <v>64.807396718222634</v>
      </c>
      <c r="M373" s="537">
        <v>79.003290812912184</v>
      </c>
      <c r="N373" s="537">
        <v>92.915156882257932</v>
      </c>
      <c r="O373" s="537">
        <v>106.58551193922095</v>
      </c>
      <c r="P373" s="537">
        <v>120.05240386133477</v>
      </c>
    </row>
    <row r="374" spans="1:16" x14ac:dyDescent="0.25">
      <c r="A374" s="17"/>
      <c r="B374" s="17"/>
      <c r="C374" s="17"/>
      <c r="D374" s="538" t="s">
        <v>4799</v>
      </c>
      <c r="E374" s="537">
        <v>0</v>
      </c>
      <c r="F374" s="537">
        <v>2.9910101048309725</v>
      </c>
      <c r="G374" s="537">
        <v>6.0106457224387446</v>
      </c>
      <c r="H374" s="537">
        <v>25.890122435757633</v>
      </c>
      <c r="I374" s="537">
        <v>82.400457842632051</v>
      </c>
      <c r="J374" s="537">
        <v>143.69245888404166</v>
      </c>
      <c r="K374" s="537">
        <v>197.5279843217748</v>
      </c>
      <c r="L374" s="537">
        <v>244.83506846941592</v>
      </c>
      <c r="M374" s="537">
        <v>289.46267779947482</v>
      </c>
      <c r="N374" s="537">
        <v>330.72376721825094</v>
      </c>
      <c r="O374" s="537">
        <v>370.77082647490232</v>
      </c>
      <c r="P374" s="537">
        <v>410.54470315049349</v>
      </c>
    </row>
    <row r="375" spans="1:16" x14ac:dyDescent="0.25">
      <c r="A375" s="17"/>
      <c r="B375" s="17"/>
      <c r="C375" s="17"/>
      <c r="D375" s="17"/>
      <c r="E375" s="17"/>
      <c r="F375" s="17"/>
      <c r="G375" s="17"/>
      <c r="H375" s="17"/>
      <c r="I375" s="17"/>
      <c r="J375" s="17"/>
      <c r="K375" s="17"/>
      <c r="L375" s="17"/>
      <c r="M375" s="17"/>
      <c r="N375" s="17"/>
      <c r="O375" s="17"/>
      <c r="P375" s="17"/>
    </row>
    <row r="376" spans="1:16" x14ac:dyDescent="0.25">
      <c r="A376" s="17"/>
      <c r="B376" s="17"/>
      <c r="C376" s="17"/>
      <c r="D376" s="115" t="s">
        <v>4813</v>
      </c>
      <c r="E376" s="537">
        <v>0</v>
      </c>
      <c r="F376" s="537">
        <v>0</v>
      </c>
      <c r="G376" s="537">
        <v>9.0045000000000002</v>
      </c>
      <c r="H376" s="537">
        <v>21.7971</v>
      </c>
      <c r="I376" s="537">
        <v>41.107900000000001</v>
      </c>
      <c r="J376" s="537">
        <v>69.625599999999991</v>
      </c>
      <c r="K376" s="537">
        <v>108.87855</v>
      </c>
      <c r="L376" s="537">
        <v>159.16</v>
      </c>
      <c r="M376" s="537">
        <v>219.39584999999997</v>
      </c>
      <c r="N376" s="537">
        <v>286.75020000000001</v>
      </c>
      <c r="O376" s="537">
        <v>356.61154999999997</v>
      </c>
      <c r="P376" s="537">
        <v>423.48749999999995</v>
      </c>
    </row>
    <row r="377" spans="1:16" x14ac:dyDescent="0.25">
      <c r="A377" s="17"/>
      <c r="B377" s="17"/>
      <c r="C377" s="17"/>
      <c r="D377" s="115" t="s">
        <v>4801</v>
      </c>
      <c r="E377" s="537">
        <v>0</v>
      </c>
      <c r="F377" s="537">
        <v>0</v>
      </c>
      <c r="G377" s="537">
        <v>21.918999999999997</v>
      </c>
      <c r="H377" s="537">
        <v>41.301099999999998</v>
      </c>
      <c r="I377" s="537">
        <v>59.765499999999996</v>
      </c>
      <c r="J377" s="537">
        <v>77.442149999999984</v>
      </c>
      <c r="K377" s="537">
        <v>94.551849999999988</v>
      </c>
      <c r="L377" s="537">
        <v>107.6285</v>
      </c>
      <c r="M377" s="537">
        <v>115.96024999999999</v>
      </c>
      <c r="N377" s="537">
        <v>122.9212</v>
      </c>
      <c r="O377" s="537">
        <v>128.81264999999999</v>
      </c>
      <c r="P377" s="537">
        <v>133.45405</v>
      </c>
    </row>
    <row r="378" spans="1:16" x14ac:dyDescent="0.25">
      <c r="A378" s="17"/>
      <c r="B378" s="17"/>
      <c r="C378" s="17"/>
      <c r="D378" s="115" t="s">
        <v>4802</v>
      </c>
      <c r="E378" s="537">
        <v>0</v>
      </c>
      <c r="F378" s="537">
        <v>0</v>
      </c>
      <c r="G378" s="537">
        <v>11.374649999999999</v>
      </c>
      <c r="H378" s="537">
        <v>22.748149999999995</v>
      </c>
      <c r="I378" s="537">
        <v>34.122799999999998</v>
      </c>
      <c r="J378" s="537">
        <v>44.533749999999998</v>
      </c>
      <c r="K378" s="537">
        <v>51.715499999999992</v>
      </c>
      <c r="L378" s="537">
        <v>55.543849999999992</v>
      </c>
      <c r="M378" s="537">
        <v>58.142849999999996</v>
      </c>
      <c r="N378" s="537">
        <v>59.880499999999998</v>
      </c>
      <c r="O378" s="537">
        <v>61.205299999999994</v>
      </c>
      <c r="P378" s="537">
        <v>62.190849999999998</v>
      </c>
    </row>
    <row r="379" spans="1:16" x14ac:dyDescent="0.25">
      <c r="A379" s="17"/>
      <c r="B379" s="17"/>
      <c r="C379" s="17"/>
      <c r="D379" s="115" t="s">
        <v>4803</v>
      </c>
      <c r="E379" s="537">
        <v>0</v>
      </c>
      <c r="F379" s="537">
        <v>0</v>
      </c>
      <c r="G379" s="537">
        <v>6.3031499999999996</v>
      </c>
      <c r="H379" s="537">
        <v>5.7062999999999997</v>
      </c>
      <c r="I379" s="537">
        <v>9.2759</v>
      </c>
      <c r="J379" s="537">
        <v>13.28595</v>
      </c>
      <c r="K379" s="537">
        <v>17.5306</v>
      </c>
      <c r="L379" s="537">
        <v>21.805149999999998</v>
      </c>
      <c r="M379" s="537">
        <v>26.016449999999999</v>
      </c>
      <c r="N379" s="537">
        <v>30.246149999999997</v>
      </c>
      <c r="O379" s="537">
        <v>34.342449999999999</v>
      </c>
      <c r="P379" s="537">
        <v>38.289249999999996</v>
      </c>
    </row>
    <row r="380" spans="1:16" x14ac:dyDescent="0.25">
      <c r="A380" s="17"/>
      <c r="B380" s="17"/>
      <c r="C380" s="17"/>
      <c r="D380" s="115" t="s">
        <v>4804</v>
      </c>
      <c r="E380" s="537">
        <v>0</v>
      </c>
      <c r="F380" s="537">
        <v>0</v>
      </c>
      <c r="G380" s="537">
        <v>21.385399999999997</v>
      </c>
      <c r="H380" s="537">
        <v>47.931999999999995</v>
      </c>
      <c r="I380" s="537">
        <v>74.854649999999992</v>
      </c>
      <c r="J380" s="537">
        <v>101.0942</v>
      </c>
      <c r="K380" s="537">
        <v>126.45514999999999</v>
      </c>
      <c r="L380" s="537">
        <v>151.76089999999999</v>
      </c>
      <c r="M380" s="537">
        <v>175.86604999999997</v>
      </c>
      <c r="N380" s="537">
        <v>199.31799999999998</v>
      </c>
      <c r="O380" s="537">
        <v>221.88905</v>
      </c>
      <c r="P380" s="537">
        <v>243.90004999999996</v>
      </c>
    </row>
    <row r="381" spans="1:16" x14ac:dyDescent="0.25">
      <c r="A381" s="17"/>
      <c r="B381" s="17"/>
      <c r="C381" s="17"/>
      <c r="D381" s="17" t="s">
        <v>4805</v>
      </c>
      <c r="E381" s="537">
        <v>0</v>
      </c>
      <c r="F381" s="537">
        <v>0</v>
      </c>
      <c r="G381" s="537">
        <v>0</v>
      </c>
      <c r="H381" s="537">
        <v>0</v>
      </c>
      <c r="I381" s="537">
        <v>0</v>
      </c>
      <c r="J381" s="537">
        <v>0</v>
      </c>
      <c r="K381" s="537">
        <v>0</v>
      </c>
      <c r="L381" s="537">
        <v>0</v>
      </c>
      <c r="M381" s="537">
        <v>0</v>
      </c>
      <c r="N381" s="537">
        <v>0</v>
      </c>
      <c r="O381" s="537">
        <v>0</v>
      </c>
      <c r="P381" s="537">
        <v>0</v>
      </c>
    </row>
    <row r="382" spans="1:16" x14ac:dyDescent="0.25">
      <c r="A382" s="17"/>
      <c r="B382" s="17"/>
      <c r="C382" s="17"/>
      <c r="D382" s="538" t="s">
        <v>4806</v>
      </c>
      <c r="E382" s="537">
        <v>0</v>
      </c>
      <c r="F382" s="537">
        <v>0</v>
      </c>
      <c r="G382" s="537">
        <v>69.986699999999985</v>
      </c>
      <c r="H382" s="537">
        <v>139.48464999999999</v>
      </c>
      <c r="I382" s="537">
        <v>219.12674999999999</v>
      </c>
      <c r="J382" s="537">
        <v>305.98165</v>
      </c>
      <c r="K382" s="537">
        <v>399.13164999999998</v>
      </c>
      <c r="L382" s="537">
        <v>495.89840000000004</v>
      </c>
      <c r="M382" s="537">
        <v>595.38144999999997</v>
      </c>
      <c r="N382" s="537">
        <v>699.11604999999997</v>
      </c>
      <c r="O382" s="537">
        <v>802.86099999999988</v>
      </c>
      <c r="P382" s="537">
        <v>901.32169999999996</v>
      </c>
    </row>
    <row r="383" spans="1:16" x14ac:dyDescent="0.25">
      <c r="A383" s="17"/>
      <c r="B383" s="17"/>
      <c r="C383" s="17"/>
      <c r="D383" s="17"/>
      <c r="E383" s="537"/>
      <c r="F383" s="537"/>
      <c r="G383" s="537"/>
      <c r="H383" s="537"/>
      <c r="I383" s="537"/>
      <c r="J383" s="537"/>
      <c r="K383" s="537"/>
      <c r="L383" s="537"/>
      <c r="M383" s="537"/>
      <c r="N383" s="537"/>
      <c r="O383" s="537"/>
      <c r="P383" s="537"/>
    </row>
    <row r="384" spans="1:16" x14ac:dyDescent="0.25">
      <c r="A384" s="17"/>
      <c r="B384" s="17"/>
      <c r="C384" s="17"/>
      <c r="D384" s="538" t="s">
        <v>4814</v>
      </c>
      <c r="E384" s="537">
        <v>0</v>
      </c>
      <c r="F384" s="537">
        <v>0</v>
      </c>
      <c r="G384" s="537">
        <v>34.221417601217425</v>
      </c>
      <c r="H384" s="537">
        <v>89.074161215840832</v>
      </c>
      <c r="I384" s="537">
        <v>158.03803574406265</v>
      </c>
      <c r="J384" s="537">
        <v>208.67345181252696</v>
      </c>
      <c r="K384" s="537">
        <v>252.78006124177642</v>
      </c>
      <c r="L384" s="537">
        <v>219.81924817372138</v>
      </c>
      <c r="M384" s="537">
        <v>289.37771854591381</v>
      </c>
      <c r="N384" s="537">
        <v>353.22076026753405</v>
      </c>
      <c r="O384" s="537">
        <v>405.25128236097879</v>
      </c>
      <c r="P384" s="537">
        <v>452.70050009897392</v>
      </c>
    </row>
    <row r="385" spans="1:16" x14ac:dyDescent="0.25">
      <c r="A385" s="17"/>
      <c r="B385" s="17"/>
      <c r="C385" s="17"/>
      <c r="D385" s="17"/>
      <c r="E385" s="17"/>
      <c r="F385" s="17"/>
      <c r="G385" s="17"/>
      <c r="H385" s="17"/>
      <c r="I385" s="17"/>
      <c r="J385" s="17"/>
      <c r="K385" s="17"/>
      <c r="L385" s="17"/>
      <c r="M385" s="17"/>
      <c r="N385" s="17"/>
      <c r="O385" s="17"/>
      <c r="P385" s="17"/>
    </row>
    <row r="386" spans="1:16" x14ac:dyDescent="0.25">
      <c r="A386" s="17"/>
      <c r="B386" s="17"/>
      <c r="C386" s="17"/>
      <c r="D386" s="539" t="s">
        <v>4808</v>
      </c>
      <c r="E386" s="540">
        <v>0</v>
      </c>
      <c r="F386" s="540">
        <v>2.9910101048309725</v>
      </c>
      <c r="G386" s="540">
        <v>110.21876332365615</v>
      </c>
      <c r="H386" s="540">
        <v>254.44893365159845</v>
      </c>
      <c r="I386" s="540">
        <v>459.56524358669469</v>
      </c>
      <c r="J386" s="540">
        <v>658.34756069656862</v>
      </c>
      <c r="K386" s="540">
        <v>849.43969556355114</v>
      </c>
      <c r="L386" s="540">
        <v>960.55271664313727</v>
      </c>
      <c r="M386" s="540">
        <v>1174.2218463453887</v>
      </c>
      <c r="N386" s="540">
        <v>1383.060577485785</v>
      </c>
      <c r="O386" s="540">
        <v>1578.8831088358811</v>
      </c>
      <c r="P386" s="540">
        <v>1764.5669032494673</v>
      </c>
    </row>
    <row r="387" spans="1:16" ht="30" x14ac:dyDescent="0.25">
      <c r="A387" s="17"/>
      <c r="B387" s="17"/>
      <c r="C387" s="17"/>
      <c r="D387" s="496" t="s">
        <v>4809</v>
      </c>
      <c r="E387" s="537">
        <v>0</v>
      </c>
      <c r="F387" s="537">
        <v>0</v>
      </c>
      <c r="G387" s="537">
        <v>0</v>
      </c>
      <c r="H387" s="537">
        <v>0</v>
      </c>
      <c r="I387" s="537">
        <v>0</v>
      </c>
      <c r="J387" s="537">
        <v>37.885327877121767</v>
      </c>
      <c r="K387" s="537">
        <v>118.27204389560126</v>
      </c>
      <c r="L387" s="537">
        <v>205.94075831770186</v>
      </c>
      <c r="M387" s="537">
        <v>264.13113435330382</v>
      </c>
      <c r="N387" s="537">
        <v>280.87428900501584</v>
      </c>
      <c r="O387" s="537">
        <v>287.97075033907333</v>
      </c>
      <c r="P387" s="537">
        <v>292.51465998520689</v>
      </c>
    </row>
    <row r="388" spans="1:16" x14ac:dyDescent="0.25">
      <c r="A388" s="17"/>
      <c r="B388" s="17"/>
      <c r="C388" s="17"/>
      <c r="D388" s="17"/>
      <c r="E388" s="17"/>
      <c r="F388" s="17"/>
      <c r="G388" s="17"/>
      <c r="H388" s="17"/>
      <c r="I388" s="17"/>
      <c r="J388" s="17"/>
      <c r="K388" s="17"/>
      <c r="L388" s="17"/>
      <c r="M388" s="17"/>
      <c r="N388" s="17"/>
      <c r="O388" s="17"/>
      <c r="P388" s="17"/>
    </row>
    <row r="389" spans="1:16" x14ac:dyDescent="0.25">
      <c r="A389" s="17" t="s">
        <v>162</v>
      </c>
      <c r="B389" s="17" t="s">
        <v>4795</v>
      </c>
      <c r="C389" s="17"/>
      <c r="D389" s="17"/>
      <c r="E389" s="536">
        <v>2011</v>
      </c>
      <c r="F389" s="536">
        <v>2012</v>
      </c>
      <c r="G389" s="536">
        <v>2013</v>
      </c>
      <c r="H389" s="536">
        <v>2014</v>
      </c>
      <c r="I389" s="536">
        <v>2015</v>
      </c>
      <c r="J389" s="536">
        <v>2016</v>
      </c>
      <c r="K389" s="536">
        <v>2017</v>
      </c>
      <c r="L389" s="536">
        <v>2018</v>
      </c>
      <c r="M389" s="536">
        <v>2019</v>
      </c>
      <c r="N389" s="536">
        <v>2020</v>
      </c>
      <c r="O389" s="536">
        <v>2021</v>
      </c>
      <c r="P389" s="536">
        <v>2022</v>
      </c>
    </row>
    <row r="390" spans="1:16" x14ac:dyDescent="0.25">
      <c r="A390" s="17"/>
      <c r="B390" s="17"/>
      <c r="C390" s="17"/>
      <c r="D390" s="17" t="s">
        <v>4796</v>
      </c>
      <c r="E390" s="537">
        <v>0</v>
      </c>
      <c r="F390" s="537">
        <v>0</v>
      </c>
      <c r="G390" s="537">
        <v>0</v>
      </c>
      <c r="H390" s="537">
        <v>21.798624111151131</v>
      </c>
      <c r="I390" s="537">
        <v>48.226769121546752</v>
      </c>
      <c r="J390" s="537">
        <v>80.277926459210107</v>
      </c>
      <c r="K390" s="537">
        <v>98.870668837682643</v>
      </c>
      <c r="L390" s="537">
        <v>108.2625185829105</v>
      </c>
      <c r="M390" s="537">
        <v>115.58869009007537</v>
      </c>
      <c r="N390" s="537">
        <v>120.1220197622626</v>
      </c>
      <c r="O390" s="537">
        <v>122.1307216625911</v>
      </c>
      <c r="P390" s="537">
        <v>123.40038881473282</v>
      </c>
    </row>
    <row r="391" spans="1:16" x14ac:dyDescent="0.25">
      <c r="A391" s="17"/>
      <c r="B391" s="17"/>
      <c r="C391" s="17"/>
      <c r="D391" s="115" t="s">
        <v>4797</v>
      </c>
      <c r="E391" s="537">
        <v>3.5077360944142808</v>
      </c>
      <c r="F391" s="537">
        <v>7.0005242989655949</v>
      </c>
      <c r="G391" s="537">
        <v>11.030357068250712</v>
      </c>
      <c r="H391" s="537">
        <v>19.608160395516123</v>
      </c>
      <c r="I391" s="537">
        <v>42.292066928556387</v>
      </c>
      <c r="J391" s="537">
        <v>65.860428945759139</v>
      </c>
      <c r="K391" s="537">
        <v>89.071936332815227</v>
      </c>
      <c r="L391" s="537">
        <v>107.80304966618766</v>
      </c>
      <c r="M391" s="537">
        <v>123.62145023788482</v>
      </c>
      <c r="N391" s="537">
        <v>137.89019985629028</v>
      </c>
      <c r="O391" s="537">
        <v>152.23094226055753</v>
      </c>
      <c r="P391" s="537">
        <v>166.5898409173667</v>
      </c>
    </row>
    <row r="392" spans="1:16" x14ac:dyDescent="0.25">
      <c r="A392" s="17"/>
      <c r="B392" s="17"/>
      <c r="C392" s="17"/>
      <c r="D392" s="17" t="s">
        <v>4798</v>
      </c>
      <c r="E392" s="537">
        <v>0.44366874966560166</v>
      </c>
      <c r="F392" s="537">
        <v>1.0944808487198021</v>
      </c>
      <c r="G392" s="537">
        <v>1.7305813117646984</v>
      </c>
      <c r="H392" s="537">
        <v>5.3631403191554909</v>
      </c>
      <c r="I392" s="537">
        <v>15.388887011525934</v>
      </c>
      <c r="J392" s="537">
        <v>27.295757464993109</v>
      </c>
      <c r="K392" s="537">
        <v>38.859052707841272</v>
      </c>
      <c r="L392" s="537">
        <v>50.117449376284377</v>
      </c>
      <c r="M392" s="537">
        <v>61.109388561032873</v>
      </c>
      <c r="N392" s="537">
        <v>71.871515619643318</v>
      </c>
      <c r="O392" s="537">
        <v>82.437645813623803</v>
      </c>
      <c r="P392" s="537">
        <v>92.838189983957832</v>
      </c>
    </row>
    <row r="393" spans="1:16" x14ac:dyDescent="0.25">
      <c r="A393" s="17"/>
      <c r="B393" s="17"/>
      <c r="C393" s="17"/>
      <c r="D393" s="538" t="s">
        <v>4799</v>
      </c>
      <c r="E393" s="537">
        <v>3.9514048440798826</v>
      </c>
      <c r="F393" s="537">
        <v>8.0950051476853968</v>
      </c>
      <c r="G393" s="537">
        <v>12.760938380015411</v>
      </c>
      <c r="H393" s="537">
        <v>46.769924825822741</v>
      </c>
      <c r="I393" s="537">
        <v>105.90772306162908</v>
      </c>
      <c r="J393" s="537">
        <v>173.43411286996235</v>
      </c>
      <c r="K393" s="537">
        <v>226.80165787833914</v>
      </c>
      <c r="L393" s="537">
        <v>266.18301762538255</v>
      </c>
      <c r="M393" s="537">
        <v>300.31952888899303</v>
      </c>
      <c r="N393" s="537">
        <v>329.88373523819621</v>
      </c>
      <c r="O393" s="537">
        <v>356.79930973677244</v>
      </c>
      <c r="P393" s="537">
        <v>382.82841971605734</v>
      </c>
    </row>
    <row r="394" spans="1:16" x14ac:dyDescent="0.25">
      <c r="A394" s="17"/>
      <c r="B394" s="17"/>
      <c r="C394" s="17"/>
      <c r="D394" s="17"/>
      <c r="E394" s="17"/>
      <c r="F394" s="17"/>
      <c r="G394" s="17"/>
      <c r="H394" s="17"/>
      <c r="I394" s="17"/>
      <c r="J394" s="17"/>
      <c r="K394" s="17"/>
      <c r="L394" s="17"/>
      <c r="M394" s="17"/>
      <c r="N394" s="17"/>
      <c r="O394" s="17"/>
      <c r="P394" s="17"/>
    </row>
    <row r="395" spans="1:16" x14ac:dyDescent="0.25">
      <c r="A395" s="17"/>
      <c r="B395" s="17"/>
      <c r="C395" s="17"/>
      <c r="D395" s="115" t="s">
        <v>4813</v>
      </c>
      <c r="E395" s="537">
        <v>0</v>
      </c>
      <c r="F395" s="537">
        <v>0</v>
      </c>
      <c r="G395" s="537">
        <v>9.4796753999999979</v>
      </c>
      <c r="H395" s="537">
        <v>22.954158700000001</v>
      </c>
      <c r="I395" s="537">
        <v>43.047853399999994</v>
      </c>
      <c r="J395" s="537">
        <v>72.333820099999997</v>
      </c>
      <c r="K395" s="537">
        <v>112.17399804999999</v>
      </c>
      <c r="L395" s="537">
        <v>162.42001884999999</v>
      </c>
      <c r="M395" s="537">
        <v>221.30733859999998</v>
      </c>
      <c r="N395" s="537">
        <v>285.54220434999996</v>
      </c>
      <c r="O395" s="537">
        <v>350.73756964999995</v>
      </c>
      <c r="P395" s="537">
        <v>412.13719894999997</v>
      </c>
    </row>
    <row r="396" spans="1:16" x14ac:dyDescent="0.25">
      <c r="A396" s="17"/>
      <c r="B396" s="17"/>
      <c r="C396" s="17"/>
      <c r="D396" s="115" t="s">
        <v>4801</v>
      </c>
      <c r="E396" s="537">
        <v>0</v>
      </c>
      <c r="F396" s="537">
        <v>0</v>
      </c>
      <c r="G396" s="537">
        <v>17.369679349999998</v>
      </c>
      <c r="H396" s="537">
        <v>31.966708699999998</v>
      </c>
      <c r="I396" s="537">
        <v>47.008860499999997</v>
      </c>
      <c r="J396" s="537">
        <v>63.613865750000002</v>
      </c>
      <c r="K396" s="537">
        <v>80.630271999999991</v>
      </c>
      <c r="L396" s="537">
        <v>95.20358259999999</v>
      </c>
      <c r="M396" s="537">
        <v>107.40482845</v>
      </c>
      <c r="N396" s="537">
        <v>118.54993845</v>
      </c>
      <c r="O396" s="537">
        <v>127.14686005</v>
      </c>
      <c r="P396" s="537">
        <v>134.47604809999999</v>
      </c>
    </row>
    <row r="397" spans="1:16" x14ac:dyDescent="0.25">
      <c r="A397" s="17"/>
      <c r="B397" s="17"/>
      <c r="C397" s="17"/>
      <c r="D397" s="115" t="s">
        <v>4802</v>
      </c>
      <c r="E397" s="537">
        <v>0</v>
      </c>
      <c r="F397" s="537">
        <v>0</v>
      </c>
      <c r="G397" s="537">
        <v>8.8712230499999993</v>
      </c>
      <c r="H397" s="537">
        <v>17.742446099999999</v>
      </c>
      <c r="I397" s="537">
        <v>26.613669149999996</v>
      </c>
      <c r="J397" s="537">
        <v>35.484892199999997</v>
      </c>
      <c r="K397" s="537">
        <v>44.356115249999995</v>
      </c>
      <c r="L397" s="537">
        <v>51.255955399999998</v>
      </c>
      <c r="M397" s="537">
        <v>56.700724699999995</v>
      </c>
      <c r="N397" s="537">
        <v>61.508881599999995</v>
      </c>
      <c r="O397" s="537">
        <v>65.328561749999992</v>
      </c>
      <c r="P397" s="537">
        <v>68.383474649999997</v>
      </c>
    </row>
    <row r="398" spans="1:16" x14ac:dyDescent="0.25">
      <c r="A398" s="17"/>
      <c r="B398" s="17"/>
      <c r="C398" s="17"/>
      <c r="D398" s="115" t="s">
        <v>4803</v>
      </c>
      <c r="E398" s="537">
        <v>0</v>
      </c>
      <c r="F398" s="537">
        <v>0</v>
      </c>
      <c r="G398" s="537">
        <v>6.0420528499999993</v>
      </c>
      <c r="H398" s="537">
        <v>13.042216699999999</v>
      </c>
      <c r="I398" s="537">
        <v>22.306188899999999</v>
      </c>
      <c r="J398" s="537">
        <v>33.480467499999996</v>
      </c>
      <c r="K398" s="537">
        <v>47.686572749999996</v>
      </c>
      <c r="L398" s="537">
        <v>63.867595999999992</v>
      </c>
      <c r="M398" s="537">
        <v>82.349159749999984</v>
      </c>
      <c r="N398" s="537">
        <v>101.95388825000001</v>
      </c>
      <c r="O398" s="537">
        <v>120.89820739999999</v>
      </c>
      <c r="P398" s="537">
        <v>137.0932871</v>
      </c>
    </row>
    <row r="399" spans="1:16" x14ac:dyDescent="0.25">
      <c r="A399" s="17"/>
      <c r="B399" s="17"/>
      <c r="C399" s="17"/>
      <c r="D399" s="115" t="s">
        <v>4804</v>
      </c>
      <c r="E399" s="537">
        <v>0</v>
      </c>
      <c r="F399" s="537">
        <v>0</v>
      </c>
      <c r="G399" s="537">
        <v>30.779368199999997</v>
      </c>
      <c r="H399" s="537">
        <v>58.484552949999994</v>
      </c>
      <c r="I399" s="537">
        <v>86.198485750000003</v>
      </c>
      <c r="J399" s="537">
        <v>112.7595999</v>
      </c>
      <c r="K399" s="537">
        <v>138.4077187</v>
      </c>
      <c r="L399" s="537">
        <v>163.18229749999998</v>
      </c>
      <c r="M399" s="537">
        <v>186.42952104999998</v>
      </c>
      <c r="N399" s="537">
        <v>210.15910059999996</v>
      </c>
      <c r="O399" s="537">
        <v>233.50428344999997</v>
      </c>
      <c r="P399" s="537">
        <v>256.90541724999997</v>
      </c>
    </row>
    <row r="400" spans="1:16" x14ac:dyDescent="0.25">
      <c r="A400" s="17"/>
      <c r="B400" s="17"/>
      <c r="C400" s="17"/>
      <c r="D400" s="17" t="s">
        <v>4805</v>
      </c>
      <c r="E400" s="537">
        <v>0</v>
      </c>
      <c r="F400" s="537">
        <v>0</v>
      </c>
      <c r="G400" s="537">
        <v>2.1249999636738202</v>
      </c>
      <c r="H400" s="537">
        <v>4.3621596632171693</v>
      </c>
      <c r="I400" s="537">
        <v>4.6820720788653354</v>
      </c>
      <c r="J400" s="537">
        <v>5.0750695865718516</v>
      </c>
      <c r="K400" s="537">
        <v>5.5477922083042834</v>
      </c>
      <c r="L400" s="537">
        <v>5.9649603022678708</v>
      </c>
      <c r="M400" s="537">
        <v>6.4253230881374543</v>
      </c>
      <c r="N400" s="537">
        <v>6.8957269315251457</v>
      </c>
      <c r="O400" s="537">
        <v>7.3856151963718197</v>
      </c>
      <c r="P400" s="537">
        <v>7.8873551806665585</v>
      </c>
    </row>
    <row r="401" spans="1:16" x14ac:dyDescent="0.25">
      <c r="A401" s="17"/>
      <c r="B401" s="17"/>
      <c r="C401" s="17"/>
      <c r="D401" s="538" t="s">
        <v>4806</v>
      </c>
      <c r="E401" s="537">
        <v>0</v>
      </c>
      <c r="F401" s="537">
        <v>0</v>
      </c>
      <c r="G401" s="537">
        <v>74.6669988136738</v>
      </c>
      <c r="H401" s="537">
        <v>148.55224281321716</v>
      </c>
      <c r="I401" s="537">
        <v>229.85712977886533</v>
      </c>
      <c r="J401" s="537">
        <v>322.74771503657183</v>
      </c>
      <c r="K401" s="537">
        <v>428.80246895830419</v>
      </c>
      <c r="L401" s="537">
        <v>541.89441065226777</v>
      </c>
      <c r="M401" s="537">
        <v>660.61689563813741</v>
      </c>
      <c r="N401" s="537">
        <v>784.60974018152513</v>
      </c>
      <c r="O401" s="537">
        <v>905.00109749637181</v>
      </c>
      <c r="P401" s="537">
        <v>1016.8827812306664</v>
      </c>
    </row>
    <row r="402" spans="1:16" x14ac:dyDescent="0.25">
      <c r="A402" s="17"/>
      <c r="B402" s="17"/>
      <c r="C402" s="17"/>
      <c r="D402" s="17"/>
      <c r="E402" s="537"/>
      <c r="F402" s="537"/>
      <c r="G402" s="537"/>
      <c r="H402" s="537"/>
      <c r="I402" s="537"/>
      <c r="J402" s="537"/>
      <c r="K402" s="537"/>
      <c r="L402" s="537"/>
      <c r="M402" s="537"/>
      <c r="N402" s="537"/>
      <c r="O402" s="537"/>
      <c r="P402" s="537"/>
    </row>
    <row r="403" spans="1:16" x14ac:dyDescent="0.25">
      <c r="A403" s="17"/>
      <c r="B403" s="17"/>
      <c r="C403" s="17"/>
      <c r="D403" s="538" t="s">
        <v>4814</v>
      </c>
      <c r="E403" s="537">
        <v>0</v>
      </c>
      <c r="F403" s="537">
        <v>0</v>
      </c>
      <c r="G403" s="537">
        <v>0</v>
      </c>
      <c r="H403" s="537">
        <v>12.941692873934471</v>
      </c>
      <c r="I403" s="537">
        <v>74.736278895442751</v>
      </c>
      <c r="J403" s="537">
        <v>102.6342963162889</v>
      </c>
      <c r="K403" s="537">
        <v>107.55541248596649</v>
      </c>
      <c r="L403" s="537">
        <v>0</v>
      </c>
      <c r="M403" s="537">
        <v>70.388198197831912</v>
      </c>
      <c r="N403" s="537">
        <v>142.91639970941378</v>
      </c>
      <c r="O403" s="537">
        <v>197.94966545728823</v>
      </c>
      <c r="P403" s="537">
        <v>244.25631641870018</v>
      </c>
    </row>
    <row r="404" spans="1:16" x14ac:dyDescent="0.25">
      <c r="A404" s="17"/>
      <c r="B404" s="17"/>
      <c r="C404" s="17"/>
      <c r="D404" s="17"/>
      <c r="E404" s="17"/>
      <c r="F404" s="17"/>
      <c r="G404" s="17"/>
      <c r="H404" s="17"/>
      <c r="I404" s="17"/>
      <c r="J404" s="17"/>
      <c r="K404" s="17"/>
      <c r="L404" s="17"/>
      <c r="M404" s="17"/>
      <c r="N404" s="17"/>
      <c r="O404" s="17"/>
      <c r="P404" s="17"/>
    </row>
    <row r="405" spans="1:16" x14ac:dyDescent="0.25">
      <c r="A405" s="17"/>
      <c r="B405" s="17"/>
      <c r="C405" s="17"/>
      <c r="D405" s="539" t="s">
        <v>4808</v>
      </c>
      <c r="E405" s="540">
        <v>3.9514048440798826</v>
      </c>
      <c r="F405" s="540">
        <v>8.0950051476853968</v>
      </c>
      <c r="G405" s="540">
        <v>87.427937193689218</v>
      </c>
      <c r="H405" s="540">
        <v>208.26386051297436</v>
      </c>
      <c r="I405" s="540">
        <v>410.50113173593718</v>
      </c>
      <c r="J405" s="540">
        <v>598.81612422282308</v>
      </c>
      <c r="K405" s="540">
        <v>763.15953932260982</v>
      </c>
      <c r="L405" s="540">
        <v>808.07742827765037</v>
      </c>
      <c r="M405" s="540">
        <v>1031.3246227249624</v>
      </c>
      <c r="N405" s="540">
        <v>1257.4098751291351</v>
      </c>
      <c r="O405" s="540">
        <v>1459.7500726904323</v>
      </c>
      <c r="P405" s="540">
        <v>1643.9675173654239</v>
      </c>
    </row>
    <row r="406" spans="1:16" ht="30" x14ac:dyDescent="0.25">
      <c r="A406" s="17"/>
      <c r="B406" s="17"/>
      <c r="C406" s="17"/>
      <c r="D406" s="496" t="s">
        <v>4809</v>
      </c>
      <c r="E406" s="537">
        <v>0.31739722740070975</v>
      </c>
      <c r="F406" s="537">
        <v>0</v>
      </c>
      <c r="G406" s="537">
        <v>0</v>
      </c>
      <c r="H406" s="537">
        <v>0</v>
      </c>
      <c r="I406" s="537">
        <v>0</v>
      </c>
      <c r="J406" s="537">
        <v>5.7141314440287942</v>
      </c>
      <c r="K406" s="537">
        <v>87.807789865327265</v>
      </c>
      <c r="L406" s="537">
        <v>177.85245646278202</v>
      </c>
      <c r="M406" s="537">
        <v>242.13966930198626</v>
      </c>
      <c r="N406" s="537">
        <v>271.98620690932739</v>
      </c>
      <c r="O406" s="537">
        <v>272.2255207797831</v>
      </c>
      <c r="P406" s="537">
        <v>256.8649250770452</v>
      </c>
    </row>
    <row r="407" spans="1:16" x14ac:dyDescent="0.25">
      <c r="A407" s="17"/>
      <c r="B407" s="17"/>
      <c r="C407" s="17"/>
      <c r="D407" s="17"/>
      <c r="E407" s="17"/>
      <c r="F407" s="17"/>
      <c r="G407" s="17"/>
      <c r="H407" s="17"/>
      <c r="I407" s="17"/>
      <c r="J407" s="17"/>
      <c r="K407" s="17"/>
      <c r="L407" s="17"/>
      <c r="M407" s="17"/>
      <c r="N407" s="17"/>
      <c r="O407" s="17"/>
      <c r="P407" s="17"/>
    </row>
    <row r="408" spans="1:16" x14ac:dyDescent="0.25">
      <c r="A408" s="17" t="s">
        <v>162</v>
      </c>
      <c r="B408" s="17" t="s">
        <v>4810</v>
      </c>
      <c r="C408" s="17"/>
      <c r="D408" s="17"/>
      <c r="E408" s="536">
        <v>2011</v>
      </c>
      <c r="F408" s="536">
        <v>2012</v>
      </c>
      <c r="G408" s="536">
        <v>2013</v>
      </c>
      <c r="H408" s="536">
        <v>2014</v>
      </c>
      <c r="I408" s="536">
        <v>2015</v>
      </c>
      <c r="J408" s="536">
        <v>2016</v>
      </c>
      <c r="K408" s="536">
        <v>2017</v>
      </c>
      <c r="L408" s="536">
        <v>2018</v>
      </c>
      <c r="M408" s="536">
        <v>2019</v>
      </c>
      <c r="N408" s="536">
        <v>2020</v>
      </c>
      <c r="O408" s="536">
        <v>2021</v>
      </c>
      <c r="P408" s="536">
        <v>2022</v>
      </c>
    </row>
    <row r="409" spans="1:16" x14ac:dyDescent="0.25">
      <c r="A409" s="17"/>
      <c r="B409" s="17"/>
      <c r="C409" s="17"/>
      <c r="D409" s="17" t="s">
        <v>4796</v>
      </c>
      <c r="E409" s="537">
        <v>0</v>
      </c>
      <c r="F409" s="537">
        <v>0</v>
      </c>
      <c r="G409" s="537">
        <v>0</v>
      </c>
      <c r="H409" s="537">
        <v>1.8861693381029931</v>
      </c>
      <c r="I409" s="537">
        <v>5.1666471378604868</v>
      </c>
      <c r="J409" s="537">
        <v>8.8842108842746175</v>
      </c>
      <c r="K409" s="537">
        <v>11.069103238993371</v>
      </c>
      <c r="L409" s="537">
        <v>12.329474379952131</v>
      </c>
      <c r="M409" s="537">
        <v>13.311102844699004</v>
      </c>
      <c r="N409" s="537">
        <v>13.738040947329317</v>
      </c>
      <c r="O409" s="537">
        <v>13.909105606574689</v>
      </c>
      <c r="P409" s="537">
        <v>14.073406088803345</v>
      </c>
    </row>
    <row r="410" spans="1:16" x14ac:dyDescent="0.25">
      <c r="A410" s="17"/>
      <c r="B410" s="17"/>
      <c r="C410" s="17"/>
      <c r="D410" s="115" t="s">
        <v>4797</v>
      </c>
      <c r="E410" s="537">
        <v>0</v>
      </c>
      <c r="F410" s="537">
        <v>0.41886445463947775</v>
      </c>
      <c r="G410" s="537">
        <v>0.85014570851372484</v>
      </c>
      <c r="H410" s="537">
        <v>1.7366835578043001</v>
      </c>
      <c r="I410" s="537">
        <v>3.6648236636406599</v>
      </c>
      <c r="J410" s="537">
        <v>5.6793173445489629</v>
      </c>
      <c r="K410" s="537">
        <v>7.64472518196966</v>
      </c>
      <c r="L410" s="537">
        <v>9.0890808226235755</v>
      </c>
      <c r="M410" s="537">
        <v>10.224245670277218</v>
      </c>
      <c r="N410" s="537">
        <v>11.196339970522139</v>
      </c>
      <c r="O410" s="537">
        <v>12.166994610418888</v>
      </c>
      <c r="P410" s="537">
        <v>13.136528526239609</v>
      </c>
    </row>
    <row r="411" spans="1:16" x14ac:dyDescent="0.25">
      <c r="A411" s="17"/>
      <c r="B411" s="17"/>
      <c r="C411" s="17"/>
      <c r="D411" s="17" t="s">
        <v>4798</v>
      </c>
      <c r="E411" s="537">
        <v>0</v>
      </c>
      <c r="F411" s="537">
        <v>0.25988341404573068</v>
      </c>
      <c r="G411" s="537">
        <v>0.513845996809422</v>
      </c>
      <c r="H411" s="537">
        <v>1.6370026861090032</v>
      </c>
      <c r="I411" s="537">
        <v>4.5480677507022413</v>
      </c>
      <c r="J411" s="537">
        <v>8.0277937929645837</v>
      </c>
      <c r="K411" s="537">
        <v>11.41026919614869</v>
      </c>
      <c r="L411" s="537">
        <v>14.706698023681943</v>
      </c>
      <c r="M411" s="537">
        <v>17.928162520003323</v>
      </c>
      <c r="N411" s="537">
        <v>21.085172731620816</v>
      </c>
      <c r="O411" s="537">
        <v>24.187377015082461</v>
      </c>
      <c r="P411" s="537">
        <v>27.24340954910339</v>
      </c>
    </row>
    <row r="412" spans="1:16" x14ac:dyDescent="0.25">
      <c r="A412" s="17"/>
      <c r="B412" s="17"/>
      <c r="C412" s="17"/>
      <c r="D412" s="538" t="s">
        <v>4799</v>
      </c>
      <c r="E412" s="537">
        <v>0</v>
      </c>
      <c r="F412" s="537">
        <v>0.67874786868520842</v>
      </c>
      <c r="G412" s="537">
        <v>1.363991705323147</v>
      </c>
      <c r="H412" s="537">
        <v>5.2598555820162964</v>
      </c>
      <c r="I412" s="537">
        <v>13.379538552203389</v>
      </c>
      <c r="J412" s="537">
        <v>22.591322021788166</v>
      </c>
      <c r="K412" s="537">
        <v>30.124097617111723</v>
      </c>
      <c r="L412" s="537">
        <v>36.125253226257648</v>
      </c>
      <c r="M412" s="537">
        <v>41.463511034979547</v>
      </c>
      <c r="N412" s="537">
        <v>46.019553649472272</v>
      </c>
      <c r="O412" s="537">
        <v>50.263477232076042</v>
      </c>
      <c r="P412" s="537">
        <v>54.453344164146344</v>
      </c>
    </row>
    <row r="413" spans="1:16" x14ac:dyDescent="0.25">
      <c r="A413" s="17"/>
      <c r="B413" s="17"/>
      <c r="C413" s="17"/>
      <c r="D413" s="17"/>
      <c r="E413" s="17"/>
      <c r="F413" s="17"/>
      <c r="G413" s="17"/>
      <c r="H413" s="17"/>
      <c r="I413" s="17"/>
      <c r="J413" s="17"/>
      <c r="K413" s="17"/>
      <c r="L413" s="17"/>
      <c r="M413" s="17"/>
      <c r="N413" s="17"/>
      <c r="O413" s="17"/>
      <c r="P413" s="17"/>
    </row>
    <row r="414" spans="1:16" x14ac:dyDescent="0.25">
      <c r="A414" s="17"/>
      <c r="B414" s="17"/>
      <c r="C414" s="17"/>
      <c r="D414" s="115" t="s">
        <v>4813</v>
      </c>
      <c r="E414" s="537">
        <v>0</v>
      </c>
      <c r="F414" s="537">
        <v>0</v>
      </c>
      <c r="G414" s="537">
        <v>1.9595999999999998</v>
      </c>
      <c r="H414" s="537">
        <v>4.7425999999999995</v>
      </c>
      <c r="I414" s="537">
        <v>8.9435500000000001</v>
      </c>
      <c r="J414" s="537">
        <v>15.152399999999998</v>
      </c>
      <c r="K414" s="537">
        <v>23.701499999999996</v>
      </c>
      <c r="L414" s="537">
        <v>34.662149999999997</v>
      </c>
      <c r="M414" s="537">
        <v>47.805499999999995</v>
      </c>
      <c r="N414" s="537">
        <v>62.516299999999994</v>
      </c>
      <c r="O414" s="537">
        <v>77.803249999999991</v>
      </c>
      <c r="P414" s="537">
        <v>92.471499999999992</v>
      </c>
    </row>
    <row r="415" spans="1:16" x14ac:dyDescent="0.25">
      <c r="A415" s="17"/>
      <c r="B415" s="17"/>
      <c r="C415" s="17"/>
      <c r="D415" s="115" t="s">
        <v>4801</v>
      </c>
      <c r="E415" s="537">
        <v>0</v>
      </c>
      <c r="F415" s="537">
        <v>0</v>
      </c>
      <c r="G415" s="537">
        <v>3.7064499999999994</v>
      </c>
      <c r="H415" s="537">
        <v>7.0333999999999994</v>
      </c>
      <c r="I415" s="537">
        <v>10.203949999999999</v>
      </c>
      <c r="J415" s="537">
        <v>13.704549999999999</v>
      </c>
      <c r="K415" s="537">
        <v>17.262649999999997</v>
      </c>
      <c r="L415" s="537">
        <v>20.383749999999999</v>
      </c>
      <c r="M415" s="537">
        <v>23.079349999999998</v>
      </c>
      <c r="N415" s="537">
        <v>25.557599999999997</v>
      </c>
      <c r="O415" s="537">
        <v>27.715</v>
      </c>
      <c r="P415" s="537">
        <v>29.660799999999998</v>
      </c>
    </row>
    <row r="416" spans="1:16" x14ac:dyDescent="0.25">
      <c r="A416" s="17"/>
      <c r="B416" s="17"/>
      <c r="C416" s="17"/>
      <c r="D416" s="115" t="s">
        <v>4802</v>
      </c>
      <c r="E416" s="537">
        <v>0</v>
      </c>
      <c r="F416" s="537">
        <v>0</v>
      </c>
      <c r="G416" s="537">
        <v>2.0400999999999998</v>
      </c>
      <c r="H416" s="537">
        <v>4.0801999999999996</v>
      </c>
      <c r="I416" s="537">
        <v>6.1214500000000003</v>
      </c>
      <c r="J416" s="537">
        <v>8.1615500000000001</v>
      </c>
      <c r="K416" s="537">
        <v>10.201649999999999</v>
      </c>
      <c r="L416" s="537">
        <v>11.788649999999999</v>
      </c>
      <c r="M416" s="537">
        <v>13.040999999999999</v>
      </c>
      <c r="N416" s="537">
        <v>14.147299999999998</v>
      </c>
      <c r="O416" s="537">
        <v>15.0259</v>
      </c>
      <c r="P416" s="537">
        <v>15.728549999999998</v>
      </c>
    </row>
    <row r="417" spans="1:16" x14ac:dyDescent="0.25">
      <c r="A417" s="17"/>
      <c r="B417" s="17"/>
      <c r="C417" s="17"/>
      <c r="D417" s="115" t="s">
        <v>4803</v>
      </c>
      <c r="E417" s="537">
        <v>0</v>
      </c>
      <c r="F417" s="537">
        <v>0</v>
      </c>
      <c r="G417" s="537">
        <v>2.3103499999999997</v>
      </c>
      <c r="H417" s="537">
        <v>1.3144499999999999</v>
      </c>
      <c r="I417" s="537">
        <v>2.1401499999999998</v>
      </c>
      <c r="J417" s="537">
        <v>3.0877499999999998</v>
      </c>
      <c r="K417" s="537">
        <v>4.1284999999999998</v>
      </c>
      <c r="L417" s="537">
        <v>5.1795999999999989</v>
      </c>
      <c r="M417" s="537">
        <v>6.214599999999999</v>
      </c>
      <c r="N417" s="537">
        <v>7.2242999999999995</v>
      </c>
      <c r="O417" s="537">
        <v>8.2271000000000001</v>
      </c>
      <c r="P417" s="537">
        <v>9.1907999999999994</v>
      </c>
    </row>
    <row r="418" spans="1:16" x14ac:dyDescent="0.25">
      <c r="A418" s="17"/>
      <c r="B418" s="17"/>
      <c r="C418" s="17"/>
      <c r="D418" s="115" t="s">
        <v>4804</v>
      </c>
      <c r="E418" s="537">
        <v>0</v>
      </c>
      <c r="F418" s="537">
        <v>0</v>
      </c>
      <c r="G418" s="537">
        <v>3.8007499999999999</v>
      </c>
      <c r="H418" s="537">
        <v>7.2921499999999995</v>
      </c>
      <c r="I418" s="537">
        <v>10.883599999999999</v>
      </c>
      <c r="J418" s="537">
        <v>14.402599999999998</v>
      </c>
      <c r="K418" s="537">
        <v>17.833049999999997</v>
      </c>
      <c r="L418" s="537">
        <v>21.1692</v>
      </c>
      <c r="M418" s="537">
        <v>24.259249999999998</v>
      </c>
      <c r="N418" s="537">
        <v>27.427499999999998</v>
      </c>
      <c r="O418" s="537">
        <v>30.598049999999997</v>
      </c>
      <c r="P418" s="537">
        <v>33.793899999999994</v>
      </c>
    </row>
    <row r="419" spans="1:16" x14ac:dyDescent="0.25">
      <c r="A419" s="17"/>
      <c r="B419" s="17"/>
      <c r="C419" s="17"/>
      <c r="D419" s="17" t="s">
        <v>4805</v>
      </c>
      <c r="E419" s="537">
        <v>0</v>
      </c>
      <c r="F419" s="537">
        <v>0</v>
      </c>
      <c r="G419" s="537">
        <v>0</v>
      </c>
      <c r="H419" s="537">
        <v>0</v>
      </c>
      <c r="I419" s="537">
        <v>0</v>
      </c>
      <c r="J419" s="537">
        <v>0</v>
      </c>
      <c r="K419" s="537">
        <v>0</v>
      </c>
      <c r="L419" s="537">
        <v>0</v>
      </c>
      <c r="M419" s="537">
        <v>0</v>
      </c>
      <c r="N419" s="537">
        <v>0</v>
      </c>
      <c r="O419" s="537">
        <v>0</v>
      </c>
      <c r="P419" s="537">
        <v>0</v>
      </c>
    </row>
    <row r="420" spans="1:16" x14ac:dyDescent="0.25">
      <c r="A420" s="17"/>
      <c r="B420" s="17"/>
      <c r="C420" s="17"/>
      <c r="D420" s="538" t="s">
        <v>4806</v>
      </c>
      <c r="E420" s="537">
        <v>0</v>
      </c>
      <c r="F420" s="537">
        <v>0</v>
      </c>
      <c r="G420" s="537">
        <v>13.817249999999998</v>
      </c>
      <c r="H420" s="537">
        <v>24.462799999999998</v>
      </c>
      <c r="I420" s="537">
        <v>38.292699999999996</v>
      </c>
      <c r="J420" s="537">
        <v>54.508849999999995</v>
      </c>
      <c r="K420" s="537">
        <v>73.127349999999993</v>
      </c>
      <c r="L420" s="537">
        <v>93.18334999999999</v>
      </c>
      <c r="M420" s="537">
        <v>114.3997</v>
      </c>
      <c r="N420" s="537">
        <v>136.87299999999999</v>
      </c>
      <c r="O420" s="537">
        <v>159.36930000000001</v>
      </c>
      <c r="P420" s="537">
        <v>180.84554999999995</v>
      </c>
    </row>
    <row r="421" spans="1:16" x14ac:dyDescent="0.25">
      <c r="A421" s="17"/>
      <c r="B421" s="17"/>
      <c r="C421" s="17"/>
      <c r="D421" s="17"/>
      <c r="E421" s="537"/>
      <c r="F421" s="537"/>
      <c r="G421" s="537"/>
      <c r="H421" s="537"/>
      <c r="I421" s="537"/>
      <c r="J421" s="537"/>
      <c r="K421" s="537"/>
      <c r="L421" s="537"/>
      <c r="M421" s="537"/>
      <c r="N421" s="537"/>
      <c r="O421" s="537"/>
      <c r="P421" s="537"/>
    </row>
    <row r="422" spans="1:16" x14ac:dyDescent="0.25">
      <c r="A422" s="17"/>
      <c r="B422" s="17"/>
      <c r="C422" s="17"/>
      <c r="D422" s="538" t="s">
        <v>4814</v>
      </c>
      <c r="E422" s="537">
        <v>0</v>
      </c>
      <c r="F422" s="537">
        <v>0</v>
      </c>
      <c r="G422" s="537">
        <v>9.0535970839297377</v>
      </c>
      <c r="H422" s="537">
        <v>21.99181719204363</v>
      </c>
      <c r="I422" s="537">
        <v>38.26997054785415</v>
      </c>
      <c r="J422" s="537">
        <v>48.437239297126688</v>
      </c>
      <c r="K422" s="537">
        <v>54.23467119869035</v>
      </c>
      <c r="L422" s="537">
        <v>38.860295427439141</v>
      </c>
      <c r="M422" s="537">
        <v>54.868394199094141</v>
      </c>
      <c r="N422" s="537">
        <v>68.77440358938091</v>
      </c>
      <c r="O422" s="537">
        <v>79.34555276192188</v>
      </c>
      <c r="P422" s="537">
        <v>88.575514686335467</v>
      </c>
    </row>
    <row r="423" spans="1:16" x14ac:dyDescent="0.25">
      <c r="A423" s="17"/>
      <c r="B423" s="17"/>
      <c r="C423" s="17"/>
      <c r="D423" s="17"/>
      <c r="E423" s="17"/>
      <c r="F423" s="17"/>
      <c r="G423" s="17"/>
      <c r="H423" s="17"/>
      <c r="I423" s="17"/>
      <c r="J423" s="17"/>
      <c r="K423" s="17"/>
      <c r="L423" s="17"/>
      <c r="M423" s="17"/>
      <c r="N423" s="17"/>
      <c r="O423" s="17"/>
      <c r="P423" s="17"/>
    </row>
    <row r="424" spans="1:16" x14ac:dyDescent="0.25">
      <c r="A424" s="17"/>
      <c r="B424" s="17"/>
      <c r="C424" s="17"/>
      <c r="D424" s="539" t="s">
        <v>4808</v>
      </c>
      <c r="E424" s="540">
        <v>0</v>
      </c>
      <c r="F424" s="540">
        <v>0.67874786868520842</v>
      </c>
      <c r="G424" s="540">
        <v>24.234838789252883</v>
      </c>
      <c r="H424" s="540">
        <v>51.714472774059928</v>
      </c>
      <c r="I424" s="540">
        <v>89.942209100057539</v>
      </c>
      <c r="J424" s="540">
        <v>125.53741131891485</v>
      </c>
      <c r="K424" s="540">
        <v>157.48611881580206</v>
      </c>
      <c r="L424" s="540">
        <v>168.16889865369677</v>
      </c>
      <c r="M424" s="540">
        <v>210.7316052340737</v>
      </c>
      <c r="N424" s="540">
        <v>251.66695723885317</v>
      </c>
      <c r="O424" s="540">
        <v>288.97832999399793</v>
      </c>
      <c r="P424" s="540">
        <v>323.87440885048176</v>
      </c>
    </row>
    <row r="425" spans="1:16" ht="30" x14ac:dyDescent="0.25">
      <c r="A425" s="17"/>
      <c r="B425" s="17"/>
      <c r="C425" s="17"/>
      <c r="D425" s="496" t="s">
        <v>4809</v>
      </c>
      <c r="E425" s="537">
        <v>0</v>
      </c>
      <c r="F425" s="537">
        <v>0</v>
      </c>
      <c r="G425" s="537">
        <v>0</v>
      </c>
      <c r="H425" s="537">
        <v>0</v>
      </c>
      <c r="I425" s="537">
        <v>0</v>
      </c>
      <c r="J425" s="537">
        <v>5.6956576209566308</v>
      </c>
      <c r="K425" s="537">
        <v>20.235919999187786</v>
      </c>
      <c r="L425" s="537">
        <v>38.351656747455209</v>
      </c>
      <c r="M425" s="537">
        <v>51.068281455659232</v>
      </c>
      <c r="N425" s="537">
        <v>54.092211481877357</v>
      </c>
      <c r="O425" s="537">
        <v>54.250933641050807</v>
      </c>
      <c r="P425" s="537">
        <v>53.817454515250972</v>
      </c>
    </row>
    <row r="426" spans="1:16" x14ac:dyDescent="0.25">
      <c r="A426" s="17"/>
      <c r="B426" s="17"/>
      <c r="C426" s="17"/>
      <c r="D426" s="17"/>
      <c r="E426" s="17"/>
      <c r="F426" s="17"/>
      <c r="G426" s="17"/>
      <c r="H426" s="17"/>
      <c r="I426" s="17"/>
      <c r="J426" s="17"/>
      <c r="K426" s="17"/>
      <c r="L426" s="17"/>
      <c r="M426" s="17"/>
      <c r="N426" s="17"/>
      <c r="O426" s="17"/>
      <c r="P426" s="17"/>
    </row>
    <row r="427" spans="1:16" x14ac:dyDescent="0.25">
      <c r="A427" s="17" t="s">
        <v>4811</v>
      </c>
      <c r="B427" s="17" t="s">
        <v>4795</v>
      </c>
      <c r="C427" s="17"/>
      <c r="D427" s="17"/>
      <c r="E427" s="536">
        <v>2011</v>
      </c>
      <c r="F427" s="536">
        <v>2012</v>
      </c>
      <c r="G427" s="536">
        <v>2013</v>
      </c>
      <c r="H427" s="536">
        <v>2014</v>
      </c>
      <c r="I427" s="536">
        <v>2015</v>
      </c>
      <c r="J427" s="536">
        <v>2016</v>
      </c>
      <c r="K427" s="536">
        <v>2017</v>
      </c>
      <c r="L427" s="536">
        <v>2018</v>
      </c>
      <c r="M427" s="536">
        <v>2019</v>
      </c>
      <c r="N427" s="536">
        <v>2020</v>
      </c>
      <c r="O427" s="536">
        <v>2021</v>
      </c>
      <c r="P427" s="536">
        <v>2022</v>
      </c>
    </row>
    <row r="428" spans="1:16" x14ac:dyDescent="0.25">
      <c r="A428" s="17"/>
      <c r="B428" s="17"/>
      <c r="C428" s="17"/>
      <c r="D428" s="17" t="s">
        <v>4796</v>
      </c>
      <c r="E428" s="537">
        <v>0</v>
      </c>
      <c r="F428" s="537">
        <v>0</v>
      </c>
      <c r="G428" s="537">
        <v>0</v>
      </c>
      <c r="H428" s="537">
        <v>210.98956101016176</v>
      </c>
      <c r="I428" s="537">
        <v>466.7883988461619</v>
      </c>
      <c r="J428" s="537">
        <v>777.0125479511446</v>
      </c>
      <c r="K428" s="537">
        <v>956.97227992350315</v>
      </c>
      <c r="L428" s="537">
        <v>1047.8762858238269</v>
      </c>
      <c r="M428" s="537">
        <v>1118.7865277868113</v>
      </c>
      <c r="N428" s="537">
        <v>1162.6647667330865</v>
      </c>
      <c r="O428" s="537">
        <v>1182.1070549247429</v>
      </c>
      <c r="P428" s="537">
        <v>1194.3962027945099</v>
      </c>
    </row>
    <row r="429" spans="1:16" x14ac:dyDescent="0.25">
      <c r="A429" s="17"/>
      <c r="B429" s="17"/>
      <c r="C429" s="17"/>
      <c r="D429" s="115" t="s">
        <v>4797</v>
      </c>
      <c r="E429" s="537">
        <v>33.951486796883252</v>
      </c>
      <c r="F429" s="537">
        <v>67.758292502696989</v>
      </c>
      <c r="G429" s="537">
        <v>106.76316926007375</v>
      </c>
      <c r="H429" s="537">
        <v>190.04455875913982</v>
      </c>
      <c r="I429" s="537">
        <v>423.61608759540803</v>
      </c>
      <c r="J429" s="537">
        <v>665.27954150151822</v>
      </c>
      <c r="K429" s="537">
        <v>902.95654682702445</v>
      </c>
      <c r="L429" s="537">
        <v>1097.2033361719366</v>
      </c>
      <c r="M429" s="537">
        <v>1263.1343894748543</v>
      </c>
      <c r="N429" s="537">
        <v>1414.0983548025895</v>
      </c>
      <c r="O429" s="537">
        <v>1565.3457036220007</v>
      </c>
      <c r="P429" s="537">
        <v>1716.5384171993162</v>
      </c>
    </row>
    <row r="430" spans="1:16" x14ac:dyDescent="0.25">
      <c r="A430" s="17"/>
      <c r="B430" s="17"/>
      <c r="C430" s="17"/>
      <c r="D430" s="17" t="s">
        <v>4798</v>
      </c>
      <c r="E430" s="537">
        <v>4.2942836322401892</v>
      </c>
      <c r="F430" s="537">
        <v>10.593514188232215</v>
      </c>
      <c r="G430" s="537">
        <v>16.750350361555082</v>
      </c>
      <c r="H430" s="537">
        <v>51.910002016854854</v>
      </c>
      <c r="I430" s="537">
        <v>148.94951619152337</v>
      </c>
      <c r="J430" s="537">
        <v>264.19648577878149</v>
      </c>
      <c r="K430" s="537">
        <v>376.11798021252304</v>
      </c>
      <c r="L430" s="537">
        <v>485.08835185804065</v>
      </c>
      <c r="M430" s="537">
        <v>591.47967322836951</v>
      </c>
      <c r="N430" s="537">
        <v>695.64663587947655</v>
      </c>
      <c r="O430" s="537">
        <v>797.91653877962028</v>
      </c>
      <c r="P430" s="537">
        <v>898.5837294048772</v>
      </c>
    </row>
    <row r="431" spans="1:16" x14ac:dyDescent="0.25">
      <c r="A431" s="17"/>
      <c r="B431" s="17"/>
      <c r="C431" s="17"/>
      <c r="D431" s="538" t="s">
        <v>4799</v>
      </c>
      <c r="E431" s="537">
        <v>38.245770429123439</v>
      </c>
      <c r="F431" s="537">
        <v>78.351806690929209</v>
      </c>
      <c r="G431" s="537">
        <v>123.51351962162883</v>
      </c>
      <c r="H431" s="537">
        <v>452.94412178615642</v>
      </c>
      <c r="I431" s="537">
        <v>1039.3540026330932</v>
      </c>
      <c r="J431" s="537">
        <v>1706.4885752314442</v>
      </c>
      <c r="K431" s="537">
        <v>2236.0468069630506</v>
      </c>
      <c r="L431" s="537">
        <v>2630.1679738538041</v>
      </c>
      <c r="M431" s="537">
        <v>2973.400590490035</v>
      </c>
      <c r="N431" s="537">
        <v>3272.4097574151519</v>
      </c>
      <c r="O431" s="537">
        <v>3545.3692973263642</v>
      </c>
      <c r="P431" s="537">
        <v>3809.5183493987033</v>
      </c>
    </row>
    <row r="432" spans="1:16" x14ac:dyDescent="0.25">
      <c r="A432" s="17"/>
      <c r="B432" s="17"/>
      <c r="C432" s="17"/>
      <c r="D432" s="17"/>
      <c r="E432" s="17"/>
      <c r="F432" s="17"/>
      <c r="G432" s="17"/>
      <c r="H432" s="17"/>
      <c r="I432" s="17"/>
      <c r="J432" s="17"/>
      <c r="K432" s="17"/>
      <c r="L432" s="17"/>
      <c r="M432" s="17"/>
      <c r="N432" s="17"/>
      <c r="O432" s="17"/>
      <c r="P432" s="17"/>
    </row>
    <row r="433" spans="1:16" x14ac:dyDescent="0.25">
      <c r="A433" s="17"/>
      <c r="B433" s="17"/>
      <c r="C433" s="17"/>
      <c r="D433" s="115" t="s">
        <v>4813</v>
      </c>
      <c r="E433" s="537">
        <v>0</v>
      </c>
      <c r="F433" s="537">
        <v>0</v>
      </c>
      <c r="G433" s="537">
        <v>84.838535999999976</v>
      </c>
      <c r="H433" s="537">
        <v>206.23006234999997</v>
      </c>
      <c r="I433" s="537">
        <v>386.36899254999997</v>
      </c>
      <c r="J433" s="537">
        <v>647.17295924999996</v>
      </c>
      <c r="K433" s="537">
        <v>1000.8106207499999</v>
      </c>
      <c r="L433" s="537">
        <v>1441.1086263999996</v>
      </c>
      <c r="M433" s="537">
        <v>1949.0478656499999</v>
      </c>
      <c r="N433" s="537">
        <v>2493.38844015</v>
      </c>
      <c r="O433" s="537">
        <v>3038.7076738499995</v>
      </c>
      <c r="P433" s="537">
        <v>3550.5824856499999</v>
      </c>
    </row>
    <row r="434" spans="1:16" x14ac:dyDescent="0.25">
      <c r="A434" s="17"/>
      <c r="B434" s="17"/>
      <c r="C434" s="17"/>
      <c r="D434" s="115" t="s">
        <v>4801</v>
      </c>
      <c r="E434" s="537">
        <v>0</v>
      </c>
      <c r="F434" s="537">
        <v>0</v>
      </c>
      <c r="G434" s="537">
        <v>153.80845890000001</v>
      </c>
      <c r="H434" s="537">
        <v>277.44112480000001</v>
      </c>
      <c r="I434" s="537">
        <v>404.59662479999997</v>
      </c>
      <c r="J434" s="537">
        <v>539.25191879999988</v>
      </c>
      <c r="K434" s="537">
        <v>672.67894149999995</v>
      </c>
      <c r="L434" s="537">
        <v>776.42417094999985</v>
      </c>
      <c r="M434" s="537">
        <v>855.26011404999986</v>
      </c>
      <c r="N434" s="537">
        <v>923.40495449999992</v>
      </c>
      <c r="O434" s="537">
        <v>979.74052544999995</v>
      </c>
      <c r="P434" s="537">
        <v>1025.9646914999998</v>
      </c>
    </row>
    <row r="435" spans="1:16" x14ac:dyDescent="0.25">
      <c r="A435" s="17"/>
      <c r="B435" s="17"/>
      <c r="C435" s="17"/>
      <c r="D435" s="115" t="s">
        <v>4802</v>
      </c>
      <c r="E435" s="537">
        <v>0</v>
      </c>
      <c r="F435" s="537">
        <v>0</v>
      </c>
      <c r="G435" s="537">
        <v>101.71331054999999</v>
      </c>
      <c r="H435" s="537">
        <v>203.42662109999998</v>
      </c>
      <c r="I435" s="537">
        <v>305.13993164999999</v>
      </c>
      <c r="J435" s="537">
        <v>402.52879599999994</v>
      </c>
      <c r="K435" s="537">
        <v>472.49121835</v>
      </c>
      <c r="L435" s="537">
        <v>511.97637864999996</v>
      </c>
      <c r="M435" s="537">
        <v>539.55742894999992</v>
      </c>
      <c r="N435" s="537">
        <v>559.18903179999995</v>
      </c>
      <c r="O435" s="537">
        <v>574.33317594999994</v>
      </c>
      <c r="P435" s="537">
        <v>585.85098254999991</v>
      </c>
    </row>
    <row r="436" spans="1:16" x14ac:dyDescent="0.25">
      <c r="A436" s="17"/>
      <c r="B436" s="17"/>
      <c r="C436" s="17"/>
      <c r="D436" s="115" t="s">
        <v>4803</v>
      </c>
      <c r="E436" s="537">
        <v>0</v>
      </c>
      <c r="F436" s="537">
        <v>0</v>
      </c>
      <c r="G436" s="537">
        <v>53.762793249999994</v>
      </c>
      <c r="H436" s="537">
        <v>121.76828819999999</v>
      </c>
      <c r="I436" s="537">
        <v>216.27769974999998</v>
      </c>
      <c r="J436" s="537">
        <v>337.60019619999997</v>
      </c>
      <c r="K436" s="537">
        <v>487.86844909999991</v>
      </c>
      <c r="L436" s="537">
        <v>660.40123904999996</v>
      </c>
      <c r="M436" s="537">
        <v>846.39476979999995</v>
      </c>
      <c r="N436" s="537">
        <v>1029.5105785000001</v>
      </c>
      <c r="O436" s="537">
        <v>1191.9902018499999</v>
      </c>
      <c r="P436" s="537">
        <v>1322.7465749499997</v>
      </c>
    </row>
    <row r="437" spans="1:16" x14ac:dyDescent="0.25">
      <c r="A437" s="17"/>
      <c r="B437" s="17"/>
      <c r="C437" s="17"/>
      <c r="D437" s="115" t="s">
        <v>4804</v>
      </c>
      <c r="E437" s="537">
        <v>0</v>
      </c>
      <c r="F437" s="537">
        <v>0</v>
      </c>
      <c r="G437" s="537">
        <v>367.89539945000001</v>
      </c>
      <c r="H437" s="537">
        <v>754.07352534999995</v>
      </c>
      <c r="I437" s="537">
        <v>1136.9362495499997</v>
      </c>
      <c r="J437" s="537">
        <v>1513.77641915</v>
      </c>
      <c r="K437" s="537">
        <v>1876.51835235</v>
      </c>
      <c r="L437" s="537">
        <v>2231.9522805000001</v>
      </c>
      <c r="M437" s="537">
        <v>2575.7361336499998</v>
      </c>
      <c r="N437" s="537">
        <v>2919.6472641999999</v>
      </c>
      <c r="O437" s="537">
        <v>3262.4508999</v>
      </c>
      <c r="P437" s="537">
        <v>3613.6212513499995</v>
      </c>
    </row>
    <row r="438" spans="1:16" x14ac:dyDescent="0.25">
      <c r="A438" s="17"/>
      <c r="B438" s="17"/>
      <c r="C438" s="17"/>
      <c r="D438" s="17" t="s">
        <v>4805</v>
      </c>
      <c r="E438" s="537">
        <v>0</v>
      </c>
      <c r="F438" s="537">
        <v>0</v>
      </c>
      <c r="G438" s="537">
        <v>24.142401226866181</v>
      </c>
      <c r="H438" s="537">
        <v>49.431404640294957</v>
      </c>
      <c r="I438" s="537">
        <v>52.498961614439835</v>
      </c>
      <c r="J438" s="537">
        <v>56.281198930928099</v>
      </c>
      <c r="K438" s="537">
        <v>60.719866277281923</v>
      </c>
      <c r="L438" s="537">
        <v>64.650016440320528</v>
      </c>
      <c r="M438" s="537">
        <v>68.982740922177044</v>
      </c>
      <c r="N438" s="537">
        <v>73.405930888816258</v>
      </c>
      <c r="O438" s="537">
        <v>77.94314254370434</v>
      </c>
      <c r="P438" s="537">
        <v>82.593992262683372</v>
      </c>
    </row>
    <row r="439" spans="1:16" x14ac:dyDescent="0.25">
      <c r="A439" s="17"/>
      <c r="B439" s="17"/>
      <c r="C439" s="17"/>
      <c r="D439" s="538" t="s">
        <v>4806</v>
      </c>
      <c r="E439" s="537">
        <v>0</v>
      </c>
      <c r="F439" s="537">
        <v>0</v>
      </c>
      <c r="G439" s="537">
        <v>786.16089937686604</v>
      </c>
      <c r="H439" s="537">
        <v>1612.3710264402948</v>
      </c>
      <c r="I439" s="537">
        <v>2501.8184599144397</v>
      </c>
      <c r="J439" s="537">
        <v>3496.6114883309278</v>
      </c>
      <c r="K439" s="537">
        <v>4571.0874483272819</v>
      </c>
      <c r="L439" s="537">
        <v>5686.51271199032</v>
      </c>
      <c r="M439" s="537">
        <v>6834.9790530221762</v>
      </c>
      <c r="N439" s="537">
        <v>7998.5462000388152</v>
      </c>
      <c r="O439" s="537">
        <v>9125.1656195437045</v>
      </c>
      <c r="P439" s="537">
        <v>10181.359978262681</v>
      </c>
    </row>
    <row r="440" spans="1:16" x14ac:dyDescent="0.25">
      <c r="A440" s="17"/>
      <c r="B440" s="17"/>
      <c r="C440" s="17"/>
      <c r="D440" s="17"/>
      <c r="E440" s="537"/>
      <c r="F440" s="537"/>
      <c r="G440" s="537"/>
      <c r="H440" s="537"/>
      <c r="I440" s="537"/>
      <c r="J440" s="537"/>
      <c r="K440" s="537"/>
      <c r="L440" s="537"/>
      <c r="M440" s="537"/>
      <c r="N440" s="537"/>
      <c r="O440" s="537"/>
      <c r="P440" s="537"/>
    </row>
    <row r="441" spans="1:16" x14ac:dyDescent="0.25">
      <c r="A441" s="17"/>
      <c r="B441" s="17"/>
      <c r="C441" s="17"/>
      <c r="D441" s="538" t="s">
        <v>4814</v>
      </c>
      <c r="E441" s="537">
        <v>0</v>
      </c>
      <c r="F441" s="537">
        <v>0</v>
      </c>
      <c r="G441" s="537">
        <v>49.283096195195981</v>
      </c>
      <c r="H441" s="537">
        <v>243.72091783943119</v>
      </c>
      <c r="I441" s="537">
        <v>601.21321610488269</v>
      </c>
      <c r="J441" s="537">
        <v>818.61419117117919</v>
      </c>
      <c r="K441" s="537">
        <v>979.61145525703512</v>
      </c>
      <c r="L441" s="537">
        <v>672.81593739782738</v>
      </c>
      <c r="M441" s="537">
        <v>1098.8421838500381</v>
      </c>
      <c r="N441" s="537">
        <v>1526.0911280283649</v>
      </c>
      <c r="O441" s="537">
        <v>2042.7216052802532</v>
      </c>
      <c r="P441" s="537">
        <v>2502.7883314710434</v>
      </c>
    </row>
    <row r="442" spans="1:16" x14ac:dyDescent="0.25">
      <c r="A442" s="17"/>
      <c r="B442" s="17"/>
      <c r="C442" s="17"/>
      <c r="D442" s="17"/>
      <c r="E442" s="17"/>
      <c r="F442" s="17"/>
      <c r="G442" s="17"/>
      <c r="H442" s="17"/>
      <c r="I442" s="17"/>
      <c r="J442" s="17"/>
      <c r="K442" s="17"/>
      <c r="L442" s="17"/>
      <c r="M442" s="17"/>
      <c r="N442" s="17"/>
      <c r="O442" s="17"/>
      <c r="P442" s="17"/>
    </row>
    <row r="443" spans="1:16" x14ac:dyDescent="0.25">
      <c r="A443" s="17"/>
      <c r="B443" s="17"/>
      <c r="C443" s="17"/>
      <c r="D443" s="539" t="s">
        <v>4808</v>
      </c>
      <c r="E443" s="540">
        <v>38.245770429123439</v>
      </c>
      <c r="F443" s="540">
        <v>78.351806690929209</v>
      </c>
      <c r="G443" s="540">
        <v>958.95751519369094</v>
      </c>
      <c r="H443" s="540">
        <v>2309.0360660658826</v>
      </c>
      <c r="I443" s="540">
        <v>4142.3856786524157</v>
      </c>
      <c r="J443" s="540">
        <v>6021.7142547335525</v>
      </c>
      <c r="K443" s="540">
        <v>7786.7457105473677</v>
      </c>
      <c r="L443" s="540">
        <v>8989.496623241952</v>
      </c>
      <c r="M443" s="540">
        <v>10907.221827362249</v>
      </c>
      <c r="N443" s="540">
        <v>12797.047085482332</v>
      </c>
      <c r="O443" s="540">
        <v>14713.256522150321</v>
      </c>
      <c r="P443" s="540">
        <v>16493.666659132428</v>
      </c>
    </row>
    <row r="444" spans="1:16" ht="30" x14ac:dyDescent="0.25">
      <c r="A444" s="17"/>
      <c r="B444" s="17"/>
      <c r="C444" s="17"/>
      <c r="D444" s="496" t="s">
        <v>4809</v>
      </c>
      <c r="E444" s="537">
        <v>3.0720976394496882</v>
      </c>
      <c r="F444" s="537">
        <v>0</v>
      </c>
      <c r="G444" s="537">
        <v>0</v>
      </c>
      <c r="H444" s="537">
        <v>0</v>
      </c>
      <c r="I444" s="537">
        <v>0</v>
      </c>
      <c r="J444" s="537">
        <v>472.33301142928019</v>
      </c>
      <c r="K444" s="537">
        <v>1492.9767882717219</v>
      </c>
      <c r="L444" s="537">
        <v>2418.6126390898894</v>
      </c>
      <c r="M444" s="537">
        <v>3169.5051527215037</v>
      </c>
      <c r="N444" s="537">
        <v>3615.346670169009</v>
      </c>
      <c r="O444" s="537">
        <v>3797.8952371927094</v>
      </c>
      <c r="P444" s="537">
        <v>3811.0952665524956</v>
      </c>
    </row>
    <row r="445" spans="1:16" x14ac:dyDescent="0.25">
      <c r="A445" s="17"/>
      <c r="B445" s="17"/>
      <c r="C445" s="17"/>
      <c r="D445" s="17"/>
      <c r="E445" s="17"/>
      <c r="F445" s="17"/>
      <c r="G445" s="17"/>
      <c r="H445" s="17"/>
      <c r="I445" s="17"/>
      <c r="J445" s="17"/>
      <c r="K445" s="17"/>
      <c r="L445" s="17"/>
      <c r="M445" s="17"/>
      <c r="N445" s="17"/>
      <c r="O445" s="17"/>
      <c r="P445" s="17"/>
    </row>
    <row r="446" spans="1:16" x14ac:dyDescent="0.25">
      <c r="A446" s="17" t="s">
        <v>4811</v>
      </c>
      <c r="B446" s="17" t="s">
        <v>4810</v>
      </c>
      <c r="C446" s="17"/>
      <c r="D446" s="17"/>
      <c r="E446" s="536">
        <v>2011</v>
      </c>
      <c r="F446" s="536">
        <v>2012</v>
      </c>
      <c r="G446" s="536">
        <v>2013</v>
      </c>
      <c r="H446" s="536">
        <v>2014</v>
      </c>
      <c r="I446" s="536">
        <v>2015</v>
      </c>
      <c r="J446" s="536">
        <v>2016</v>
      </c>
      <c r="K446" s="536">
        <v>2017</v>
      </c>
      <c r="L446" s="536">
        <v>2018</v>
      </c>
      <c r="M446" s="536">
        <v>2019</v>
      </c>
      <c r="N446" s="536">
        <v>2020</v>
      </c>
      <c r="O446" s="536">
        <v>2021</v>
      </c>
      <c r="P446" s="536">
        <v>2022</v>
      </c>
    </row>
    <row r="447" spans="1:16" x14ac:dyDescent="0.25">
      <c r="A447" s="17"/>
      <c r="B447" s="17"/>
      <c r="C447" s="17"/>
      <c r="D447" s="17" t="s">
        <v>4796</v>
      </c>
      <c r="E447" s="537">
        <v>0</v>
      </c>
      <c r="F447" s="537">
        <v>0</v>
      </c>
      <c r="G447" s="537">
        <v>0</v>
      </c>
      <c r="H447" s="537">
        <v>18.256291709420303</v>
      </c>
      <c r="I447" s="537">
        <v>50.008138401448271</v>
      </c>
      <c r="J447" s="537">
        <v>85.990553570576552</v>
      </c>
      <c r="K447" s="537">
        <v>107.1381946522331</v>
      </c>
      <c r="L447" s="537">
        <v>119.33736614052583</v>
      </c>
      <c r="M447" s="537">
        <v>128.83857859301602</v>
      </c>
      <c r="N447" s="537">
        <v>132.97092577204742</v>
      </c>
      <c r="O447" s="537">
        <v>134.62666593135734</v>
      </c>
      <c r="P447" s="537">
        <v>136.2169354108631</v>
      </c>
    </row>
    <row r="448" spans="1:16" x14ac:dyDescent="0.25">
      <c r="A448" s="17"/>
      <c r="B448" s="17"/>
      <c r="C448" s="17"/>
      <c r="D448" s="115" t="s">
        <v>4797</v>
      </c>
      <c r="E448" s="537">
        <v>0</v>
      </c>
      <c r="F448" s="537">
        <v>4.0542020889261217</v>
      </c>
      <c r="G448" s="537">
        <v>8.2285867639795551</v>
      </c>
      <c r="H448" s="537">
        <v>21.067074262454806</v>
      </c>
      <c r="I448" s="537">
        <v>82.916325161026577</v>
      </c>
      <c r="J448" s="537">
        <v>145.53872782774462</v>
      </c>
      <c r="K448" s="537">
        <v>207.65814760479338</v>
      </c>
      <c r="L448" s="537">
        <v>265.11864253469059</v>
      </c>
      <c r="M448" s="537">
        <v>320.00206261771149</v>
      </c>
      <c r="N448" s="537">
        <v>373.4899077957337</v>
      </c>
      <c r="O448" s="537">
        <v>427.1154642925037</v>
      </c>
      <c r="P448" s="537">
        <v>480.69807826957293</v>
      </c>
    </row>
    <row r="449" spans="1:16" x14ac:dyDescent="0.25">
      <c r="A449" s="17"/>
      <c r="B449" s="17"/>
      <c r="C449" s="17"/>
      <c r="D449" s="17" t="s">
        <v>4798</v>
      </c>
      <c r="E449" s="537">
        <v>0</v>
      </c>
      <c r="F449" s="537">
        <v>2.5154196505127615</v>
      </c>
      <c r="G449" s="537">
        <v>4.9735313908270236</v>
      </c>
      <c r="H449" s="537">
        <v>15.844599932245682</v>
      </c>
      <c r="I449" s="537">
        <v>44.02088926677979</v>
      </c>
      <c r="J449" s="537">
        <v>77.7012658973849</v>
      </c>
      <c r="K449" s="537">
        <v>110.44035056651346</v>
      </c>
      <c r="L449" s="537">
        <v>142.34658775268031</v>
      </c>
      <c r="M449" s="537">
        <v>173.52724284462121</v>
      </c>
      <c r="N449" s="537">
        <v>204.08404290949457</v>
      </c>
      <c r="O449" s="537">
        <v>234.11037469052604</v>
      </c>
      <c r="P449" s="537">
        <v>263.68980867214162</v>
      </c>
    </row>
    <row r="450" spans="1:16" x14ac:dyDescent="0.25">
      <c r="A450" s="17"/>
      <c r="B450" s="17"/>
      <c r="C450" s="17"/>
      <c r="D450" s="538" t="s">
        <v>4799</v>
      </c>
      <c r="E450" s="537">
        <v>0</v>
      </c>
      <c r="F450" s="537">
        <v>6.5696217394388832</v>
      </c>
      <c r="G450" s="537">
        <v>13.202118154806577</v>
      </c>
      <c r="H450" s="537">
        <v>55.167965904120791</v>
      </c>
      <c r="I450" s="537">
        <v>176.94535282925463</v>
      </c>
      <c r="J450" s="537">
        <v>309.23054729570606</v>
      </c>
      <c r="K450" s="537">
        <v>425.23669282353995</v>
      </c>
      <c r="L450" s="537">
        <v>526.80259642789667</v>
      </c>
      <c r="M450" s="537">
        <v>622.36788405534867</v>
      </c>
      <c r="N450" s="537">
        <v>710.54487647727569</v>
      </c>
      <c r="O450" s="537">
        <v>795.85250491438717</v>
      </c>
      <c r="P450" s="537">
        <v>880.60482235257768</v>
      </c>
    </row>
    <row r="451" spans="1:16" x14ac:dyDescent="0.25">
      <c r="A451" s="17"/>
      <c r="B451" s="17"/>
      <c r="C451" s="17"/>
      <c r="D451" s="17"/>
      <c r="E451" s="17"/>
      <c r="F451" s="17"/>
      <c r="G451" s="17"/>
      <c r="H451" s="17"/>
      <c r="I451" s="17"/>
      <c r="J451" s="17"/>
      <c r="K451" s="17"/>
      <c r="L451" s="17"/>
      <c r="M451" s="17"/>
      <c r="N451" s="17"/>
      <c r="O451" s="17"/>
      <c r="P451" s="17"/>
    </row>
    <row r="452" spans="1:16" x14ac:dyDescent="0.25">
      <c r="A452" s="17"/>
      <c r="B452" s="17"/>
      <c r="C452" s="17"/>
      <c r="D452" s="115" t="s">
        <v>4813</v>
      </c>
      <c r="E452" s="537">
        <v>0</v>
      </c>
      <c r="F452" s="537">
        <v>0</v>
      </c>
      <c r="G452" s="537">
        <v>16.037899999999997</v>
      </c>
      <c r="H452" s="537">
        <v>38.861949999999993</v>
      </c>
      <c r="I452" s="537">
        <v>72.751300000000001</v>
      </c>
      <c r="J452" s="537">
        <v>122.99364999999999</v>
      </c>
      <c r="K452" s="537">
        <v>192.09024999999997</v>
      </c>
      <c r="L452" s="537">
        <v>280.97719999999998</v>
      </c>
      <c r="M452" s="537">
        <v>391.69574999999992</v>
      </c>
      <c r="N452" s="537">
        <v>516.88244999999995</v>
      </c>
      <c r="O452" s="537">
        <v>649.02434999999991</v>
      </c>
      <c r="P452" s="537">
        <v>778.93524999999988</v>
      </c>
    </row>
    <row r="453" spans="1:16" x14ac:dyDescent="0.25">
      <c r="A453" s="17"/>
      <c r="B453" s="17"/>
      <c r="C453" s="17"/>
      <c r="D453" s="115" t="s">
        <v>4801</v>
      </c>
      <c r="E453" s="537">
        <v>0</v>
      </c>
      <c r="F453" s="537">
        <v>0</v>
      </c>
      <c r="G453" s="537">
        <v>36.107699999999994</v>
      </c>
      <c r="H453" s="537">
        <v>66.958749999999995</v>
      </c>
      <c r="I453" s="537">
        <v>96.576999999999998</v>
      </c>
      <c r="J453" s="537">
        <v>126.45629999999998</v>
      </c>
      <c r="K453" s="537">
        <v>155.72839999999999</v>
      </c>
      <c r="L453" s="537">
        <v>179.2551</v>
      </c>
      <c r="M453" s="537">
        <v>196.90874999999997</v>
      </c>
      <c r="N453" s="537">
        <v>212.61545000000001</v>
      </c>
      <c r="O453" s="537">
        <v>226.29354999999998</v>
      </c>
      <c r="P453" s="537">
        <v>238.07184999999998</v>
      </c>
    </row>
    <row r="454" spans="1:16" x14ac:dyDescent="0.25">
      <c r="A454" s="17"/>
      <c r="B454" s="17"/>
      <c r="C454" s="17"/>
      <c r="D454" s="115" t="s">
        <v>4802</v>
      </c>
      <c r="E454" s="537">
        <v>0</v>
      </c>
      <c r="F454" s="537">
        <v>0</v>
      </c>
      <c r="G454" s="537">
        <v>26.395949999999996</v>
      </c>
      <c r="H454" s="537">
        <v>52.791899999999991</v>
      </c>
      <c r="I454" s="537">
        <v>79.188999999999993</v>
      </c>
      <c r="J454" s="537">
        <v>104.37860000000001</v>
      </c>
      <c r="K454" s="537">
        <v>122.39449999999999</v>
      </c>
      <c r="L454" s="537">
        <v>132.50299999999999</v>
      </c>
      <c r="M454" s="537">
        <v>139.54444999999998</v>
      </c>
      <c r="N454" s="537">
        <v>144.52624999999998</v>
      </c>
      <c r="O454" s="537">
        <v>148.36609999999999</v>
      </c>
      <c r="P454" s="537">
        <v>151.28019999999998</v>
      </c>
    </row>
    <row r="455" spans="1:16" x14ac:dyDescent="0.25">
      <c r="A455" s="17"/>
      <c r="B455" s="17"/>
      <c r="C455" s="17"/>
      <c r="D455" s="115" t="s">
        <v>4803</v>
      </c>
      <c r="E455" s="537">
        <v>0</v>
      </c>
      <c r="F455" s="537">
        <v>0</v>
      </c>
      <c r="G455" s="537">
        <v>20.905849999999997</v>
      </c>
      <c r="H455" s="537">
        <v>15.955100000000002</v>
      </c>
      <c r="I455" s="537">
        <v>24.965349999999997</v>
      </c>
      <c r="J455" s="537">
        <v>35.484399999999994</v>
      </c>
      <c r="K455" s="537">
        <v>46.577300000000001</v>
      </c>
      <c r="L455" s="537">
        <v>57.658699999999989</v>
      </c>
      <c r="M455" s="537">
        <v>68.477899999999991</v>
      </c>
      <c r="N455" s="537">
        <v>79.220050000000001</v>
      </c>
      <c r="O455" s="537">
        <v>89.568899999999985</v>
      </c>
      <c r="P455" s="537">
        <v>99.469249999999988</v>
      </c>
    </row>
    <row r="456" spans="1:16" x14ac:dyDescent="0.25">
      <c r="A456" s="17"/>
      <c r="B456" s="17"/>
      <c r="C456" s="17"/>
      <c r="D456" s="115" t="s">
        <v>4804</v>
      </c>
      <c r="E456" s="537">
        <v>0</v>
      </c>
      <c r="F456" s="537">
        <v>0</v>
      </c>
      <c r="G456" s="537">
        <v>56.857149999999997</v>
      </c>
      <c r="H456" s="537">
        <v>117.8681</v>
      </c>
      <c r="I456" s="537">
        <v>178.81349999999998</v>
      </c>
      <c r="J456" s="537">
        <v>239.04935</v>
      </c>
      <c r="K456" s="537">
        <v>297.08064999999999</v>
      </c>
      <c r="L456" s="537">
        <v>353.87224999999995</v>
      </c>
      <c r="M456" s="537">
        <v>408.31439999999992</v>
      </c>
      <c r="N456" s="537">
        <v>462.28159999999997</v>
      </c>
      <c r="O456" s="537">
        <v>515.66459999999995</v>
      </c>
      <c r="P456" s="537">
        <v>569.76519999999994</v>
      </c>
    </row>
    <row r="457" spans="1:16" x14ac:dyDescent="0.25">
      <c r="A457" s="17"/>
      <c r="B457" s="17"/>
      <c r="C457" s="17"/>
      <c r="D457" s="17" t="s">
        <v>4805</v>
      </c>
      <c r="E457" s="537">
        <v>0</v>
      </c>
      <c r="F457" s="537">
        <v>0</v>
      </c>
      <c r="G457" s="537">
        <v>0</v>
      </c>
      <c r="H457" s="537">
        <v>0</v>
      </c>
      <c r="I457" s="537">
        <v>0</v>
      </c>
      <c r="J457" s="537">
        <v>0</v>
      </c>
      <c r="K457" s="537">
        <v>0</v>
      </c>
      <c r="L457" s="537">
        <v>0</v>
      </c>
      <c r="M457" s="537">
        <v>0</v>
      </c>
      <c r="N457" s="537">
        <v>0</v>
      </c>
      <c r="O457" s="537">
        <v>0</v>
      </c>
      <c r="P457" s="537">
        <v>0</v>
      </c>
    </row>
    <row r="458" spans="1:16" x14ac:dyDescent="0.25">
      <c r="A458" s="17"/>
      <c r="B458" s="17"/>
      <c r="C458" s="17"/>
      <c r="D458" s="538" t="s">
        <v>4806</v>
      </c>
      <c r="E458" s="537">
        <v>0</v>
      </c>
      <c r="F458" s="537">
        <v>0</v>
      </c>
      <c r="G458" s="537">
        <v>156.30454999999998</v>
      </c>
      <c r="H458" s="537">
        <v>292.43579999999997</v>
      </c>
      <c r="I458" s="537">
        <v>452.29615000000001</v>
      </c>
      <c r="J458" s="537">
        <v>628.3623</v>
      </c>
      <c r="K458" s="537">
        <v>813.87109999999984</v>
      </c>
      <c r="L458" s="537">
        <v>1004.26625</v>
      </c>
      <c r="M458" s="537">
        <v>1204.9412499999999</v>
      </c>
      <c r="N458" s="537">
        <v>1415.5257999999999</v>
      </c>
      <c r="O458" s="537">
        <v>1628.9174999999998</v>
      </c>
      <c r="P458" s="537">
        <v>1837.5217499999999</v>
      </c>
    </row>
    <row r="459" spans="1:16" x14ac:dyDescent="0.25">
      <c r="A459" s="17"/>
      <c r="B459" s="17"/>
      <c r="C459" s="17"/>
      <c r="D459" s="17"/>
      <c r="E459" s="537"/>
      <c r="F459" s="537"/>
      <c r="G459" s="537"/>
      <c r="H459" s="537"/>
      <c r="I459" s="537"/>
      <c r="J459" s="537"/>
      <c r="K459" s="537"/>
      <c r="L459" s="537"/>
      <c r="M459" s="537"/>
      <c r="N459" s="537"/>
      <c r="O459" s="537"/>
      <c r="P459" s="537"/>
    </row>
    <row r="460" spans="1:16" x14ac:dyDescent="0.25">
      <c r="A460" s="17"/>
      <c r="B460" s="17"/>
      <c r="C460" s="17"/>
      <c r="D460" s="538" t="s">
        <v>4814</v>
      </c>
      <c r="E460" s="537">
        <v>0</v>
      </c>
      <c r="F460" s="537">
        <v>0</v>
      </c>
      <c r="G460" s="537">
        <v>43.275014685147163</v>
      </c>
      <c r="H460" s="537">
        <v>111.06597840788446</v>
      </c>
      <c r="I460" s="537">
        <v>215.73453666895244</v>
      </c>
      <c r="J460" s="537">
        <v>283.96054884923871</v>
      </c>
      <c r="K460" s="537">
        <v>332.20056092560674</v>
      </c>
      <c r="L460" s="537">
        <v>258.55439708391458</v>
      </c>
      <c r="M460" s="537">
        <v>382.40356573269838</v>
      </c>
      <c r="N460" s="537">
        <v>498.0844330036374</v>
      </c>
      <c r="O460" s="537">
        <v>589.66443512289254</v>
      </c>
      <c r="P460" s="537">
        <v>673.14013881554251</v>
      </c>
    </row>
    <row r="461" spans="1:16" x14ac:dyDescent="0.25">
      <c r="A461" s="17"/>
      <c r="B461" s="17"/>
      <c r="C461" s="17"/>
      <c r="D461" s="17"/>
      <c r="E461" s="17"/>
      <c r="F461" s="17"/>
      <c r="G461" s="17"/>
      <c r="H461" s="17"/>
      <c r="I461" s="17"/>
      <c r="J461" s="17"/>
      <c r="K461" s="17"/>
      <c r="L461" s="17"/>
      <c r="M461" s="17"/>
      <c r="N461" s="17"/>
      <c r="O461" s="17"/>
      <c r="P461" s="17"/>
    </row>
    <row r="462" spans="1:16" x14ac:dyDescent="0.25">
      <c r="A462" s="17"/>
      <c r="B462" s="17"/>
      <c r="C462" s="17"/>
      <c r="D462" s="539" t="s">
        <v>4808</v>
      </c>
      <c r="E462" s="540">
        <v>0</v>
      </c>
      <c r="F462" s="540">
        <v>6.5696217394388832</v>
      </c>
      <c r="G462" s="540">
        <v>212.7816828399537</v>
      </c>
      <c r="H462" s="540">
        <v>458.66974431200526</v>
      </c>
      <c r="I462" s="540">
        <v>844.97603949820711</v>
      </c>
      <c r="J462" s="540">
        <v>1221.5533961449448</v>
      </c>
      <c r="K462" s="540">
        <v>1571.3083537491466</v>
      </c>
      <c r="L462" s="540">
        <v>1789.6232435118111</v>
      </c>
      <c r="M462" s="540">
        <v>2209.7126997880473</v>
      </c>
      <c r="N462" s="540">
        <v>2624.1551094809133</v>
      </c>
      <c r="O462" s="540">
        <v>3014.4344400372802</v>
      </c>
      <c r="P462" s="540">
        <v>3391.2667111681203</v>
      </c>
    </row>
    <row r="463" spans="1:16" ht="30" x14ac:dyDescent="0.25">
      <c r="A463" s="17"/>
      <c r="B463" s="17"/>
      <c r="C463" s="17"/>
      <c r="D463" s="496" t="s">
        <v>4809</v>
      </c>
      <c r="E463" s="537">
        <v>0</v>
      </c>
      <c r="F463" s="537">
        <v>0</v>
      </c>
      <c r="G463" s="537">
        <v>0</v>
      </c>
      <c r="H463" s="537">
        <v>0</v>
      </c>
      <c r="I463" s="537">
        <v>0</v>
      </c>
      <c r="J463" s="537">
        <v>58.369448612449951</v>
      </c>
      <c r="K463" s="537">
        <v>228.7876960615331</v>
      </c>
      <c r="L463" s="537">
        <v>405.09951513501642</v>
      </c>
      <c r="M463" s="537">
        <v>537.2782768379974</v>
      </c>
      <c r="N463" s="537">
        <v>579.87698547330911</v>
      </c>
      <c r="O463" s="537">
        <v>599.05385918345189</v>
      </c>
      <c r="P463" s="537">
        <v>610.86473052070687</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2:R12"/>
  <sheetViews>
    <sheetView workbookViewId="0"/>
  </sheetViews>
  <sheetFormatPr defaultRowHeight="15" x14ac:dyDescent="0.25"/>
  <cols>
    <col min="1" max="2" width="9.140625" style="115"/>
    <col min="3" max="3" width="14" style="115" customWidth="1"/>
    <col min="4" max="4" width="3" style="115" customWidth="1"/>
    <col min="5" max="6" width="9.140625" style="115"/>
    <col min="7" max="8" width="9.140625" style="115" customWidth="1"/>
    <col min="9" max="9" width="2.28515625" style="115" customWidth="1"/>
    <col min="10" max="10" width="9.140625" style="115" customWidth="1"/>
    <col min="11" max="11" width="13" style="115" customWidth="1"/>
    <col min="12" max="13" width="12.140625" style="115" customWidth="1"/>
    <col min="14" max="14" width="11.7109375" style="115" customWidth="1"/>
    <col min="15" max="15" width="11.5703125" style="115" customWidth="1"/>
    <col min="16" max="16" width="9.140625" style="115" customWidth="1"/>
    <col min="17" max="16384" width="9.140625" style="115"/>
  </cols>
  <sheetData>
    <row r="2" spans="2:18" ht="15.75" x14ac:dyDescent="0.25">
      <c r="B2" s="522"/>
      <c r="C2" s="523"/>
      <c r="D2" s="523"/>
      <c r="E2" s="691" t="s">
        <v>4760</v>
      </c>
      <c r="F2" s="691"/>
      <c r="G2" s="691"/>
      <c r="H2" s="691"/>
      <c r="I2" s="524"/>
      <c r="J2" s="691" t="s">
        <v>4761</v>
      </c>
      <c r="K2" s="691"/>
      <c r="L2" s="691"/>
      <c r="M2" s="691"/>
      <c r="N2" s="691"/>
      <c r="O2" s="691"/>
      <c r="P2" s="691"/>
      <c r="Q2" s="691"/>
      <c r="R2" s="691"/>
    </row>
    <row r="3" spans="2:18" ht="45" x14ac:dyDescent="0.25">
      <c r="B3" s="522"/>
      <c r="C3" s="525" t="s">
        <v>4762</v>
      </c>
      <c r="D3" s="525"/>
      <c r="E3" s="525" t="s">
        <v>4746</v>
      </c>
      <c r="F3" s="525" t="s">
        <v>4763</v>
      </c>
      <c r="G3" s="525" t="s">
        <v>4764</v>
      </c>
      <c r="H3" s="525" t="s">
        <v>4765</v>
      </c>
      <c r="I3" s="526"/>
      <c r="J3" s="525" t="s">
        <v>4766</v>
      </c>
      <c r="K3" s="525" t="s">
        <v>4767</v>
      </c>
      <c r="L3" s="525" t="s">
        <v>4768</v>
      </c>
      <c r="M3" s="525" t="s">
        <v>4934</v>
      </c>
      <c r="N3" s="525" t="s">
        <v>4769</v>
      </c>
      <c r="O3" s="525" t="s">
        <v>3426</v>
      </c>
      <c r="P3" s="525" t="s">
        <v>24</v>
      </c>
      <c r="Q3" s="525" t="s">
        <v>4765</v>
      </c>
      <c r="R3" s="525" t="s">
        <v>4770</v>
      </c>
    </row>
    <row r="4" spans="2:18" x14ac:dyDescent="0.25">
      <c r="B4" s="527">
        <v>1</v>
      </c>
      <c r="C4" s="528" t="s">
        <v>28</v>
      </c>
      <c r="D4" s="528"/>
      <c r="E4" s="528" t="s">
        <v>9</v>
      </c>
      <c r="F4" s="528" t="s">
        <v>9</v>
      </c>
      <c r="G4" s="528" t="s">
        <v>9</v>
      </c>
      <c r="H4" s="528" t="s">
        <v>0</v>
      </c>
      <c r="I4" s="528"/>
      <c r="J4" s="528" t="s">
        <v>28</v>
      </c>
      <c r="K4" s="528" t="s">
        <v>28</v>
      </c>
      <c r="L4" s="528" t="s">
        <v>9</v>
      </c>
      <c r="M4" s="528" t="s">
        <v>0</v>
      </c>
      <c r="N4" s="528" t="s">
        <v>0</v>
      </c>
      <c r="O4" s="528" t="s">
        <v>3144</v>
      </c>
      <c r="P4" s="528" t="s">
        <v>28</v>
      </c>
      <c r="Q4" s="528" t="s">
        <v>0</v>
      </c>
      <c r="R4" s="528" t="s">
        <v>9</v>
      </c>
    </row>
    <row r="5" spans="2:18" ht="30" x14ac:dyDescent="0.25">
      <c r="B5" s="522" t="s">
        <v>4771</v>
      </c>
      <c r="C5" s="529" t="s">
        <v>4772</v>
      </c>
      <c r="D5" s="530"/>
      <c r="E5" s="687" t="s">
        <v>4773</v>
      </c>
      <c r="F5" s="687"/>
      <c r="G5" s="687"/>
      <c r="H5" s="687"/>
      <c r="I5" s="526"/>
      <c r="J5" s="687" t="s">
        <v>4773</v>
      </c>
      <c r="K5" s="687"/>
      <c r="L5" s="687"/>
      <c r="M5" s="687"/>
      <c r="N5" s="687"/>
      <c r="O5" s="525" t="s">
        <v>4774</v>
      </c>
      <c r="P5" s="687" t="s">
        <v>4775</v>
      </c>
      <c r="Q5" s="687"/>
      <c r="R5" s="687"/>
    </row>
    <row r="6" spans="2:18" ht="30" x14ac:dyDescent="0.25">
      <c r="B6" s="522" t="s">
        <v>4776</v>
      </c>
      <c r="C6" s="529" t="s">
        <v>4777</v>
      </c>
      <c r="D6" s="530"/>
      <c r="E6" s="687" t="s">
        <v>4773</v>
      </c>
      <c r="F6" s="687"/>
      <c r="G6" s="687"/>
      <c r="H6" s="687"/>
      <c r="I6" s="526"/>
      <c r="J6" s="688" t="s">
        <v>4773</v>
      </c>
      <c r="K6" s="689"/>
      <c r="L6" s="689"/>
      <c r="M6" s="690"/>
      <c r="N6" s="531" t="s">
        <v>4778</v>
      </c>
      <c r="O6" s="528" t="s">
        <v>4775</v>
      </c>
      <c r="P6" s="687" t="s">
        <v>4775</v>
      </c>
      <c r="Q6" s="687"/>
      <c r="R6" s="687"/>
    </row>
    <row r="7" spans="2:18" ht="30" x14ac:dyDescent="0.25">
      <c r="B7" s="522" t="s">
        <v>4779</v>
      </c>
      <c r="C7" s="529" t="s">
        <v>4780</v>
      </c>
      <c r="D7" s="530"/>
      <c r="E7" s="687" t="s">
        <v>4773</v>
      </c>
      <c r="F7" s="687"/>
      <c r="G7" s="687"/>
      <c r="H7" s="687"/>
      <c r="I7" s="526"/>
      <c r="J7" s="688" t="s">
        <v>4773</v>
      </c>
      <c r="K7" s="689"/>
      <c r="L7" s="689"/>
      <c r="M7" s="690"/>
      <c r="N7" s="531" t="s">
        <v>4781</v>
      </c>
      <c r="O7" s="528" t="s">
        <v>4775</v>
      </c>
      <c r="P7" s="687" t="s">
        <v>4775</v>
      </c>
      <c r="Q7" s="687"/>
      <c r="R7" s="687"/>
    </row>
    <row r="8" spans="2:18" x14ac:dyDescent="0.25">
      <c r="B8" s="522" t="s">
        <v>4782</v>
      </c>
      <c r="C8" s="529" t="s">
        <v>4783</v>
      </c>
      <c r="D8" s="530"/>
      <c r="E8" s="525" t="s">
        <v>0</v>
      </c>
      <c r="F8" s="525" t="s">
        <v>0</v>
      </c>
      <c r="G8" s="525" t="s">
        <v>0</v>
      </c>
      <c r="H8" s="528" t="s">
        <v>0</v>
      </c>
      <c r="I8" s="526"/>
      <c r="J8" s="687" t="s">
        <v>4773</v>
      </c>
      <c r="K8" s="687"/>
      <c r="L8" s="687"/>
      <c r="M8" s="687"/>
      <c r="N8" s="687"/>
      <c r="O8" s="687"/>
      <c r="P8" s="687"/>
      <c r="Q8" s="687"/>
      <c r="R8" s="525" t="s">
        <v>1</v>
      </c>
    </row>
    <row r="9" spans="2:18" x14ac:dyDescent="0.25">
      <c r="B9" s="522" t="s">
        <v>4784</v>
      </c>
      <c r="C9" s="529" t="s">
        <v>4785</v>
      </c>
      <c r="D9" s="530"/>
      <c r="E9" s="525" t="s">
        <v>1</v>
      </c>
      <c r="F9" s="525" t="s">
        <v>1</v>
      </c>
      <c r="G9" s="525" t="s">
        <v>1</v>
      </c>
      <c r="H9" s="528" t="s">
        <v>0</v>
      </c>
      <c r="I9" s="526"/>
      <c r="J9" s="687" t="s">
        <v>4773</v>
      </c>
      <c r="K9" s="687"/>
      <c r="L9" s="687"/>
      <c r="M9" s="687"/>
      <c r="N9" s="687"/>
      <c r="O9" s="687"/>
      <c r="P9" s="687"/>
      <c r="Q9" s="687"/>
      <c r="R9" s="525" t="s">
        <v>0</v>
      </c>
    </row>
    <row r="10" spans="2:18" x14ac:dyDescent="0.25">
      <c r="B10" s="532">
        <v>2</v>
      </c>
      <c r="C10" s="533" t="s">
        <v>4786</v>
      </c>
      <c r="D10" s="533"/>
      <c r="E10" s="533" t="s">
        <v>9</v>
      </c>
      <c r="F10" s="533" t="s">
        <v>4787</v>
      </c>
      <c r="G10" s="533" t="s">
        <v>4787</v>
      </c>
      <c r="H10" s="533" t="s">
        <v>4787</v>
      </c>
      <c r="I10" s="533"/>
      <c r="J10" s="685" t="s">
        <v>4773</v>
      </c>
      <c r="K10" s="685"/>
      <c r="L10" s="685"/>
      <c r="M10" s="685"/>
      <c r="N10" s="685"/>
      <c r="O10" s="685"/>
      <c r="P10" s="685"/>
      <c r="Q10" s="533" t="s">
        <v>4787</v>
      </c>
      <c r="R10" s="533" t="s">
        <v>4787</v>
      </c>
    </row>
    <row r="11" spans="2:18" ht="45" x14ac:dyDescent="0.25">
      <c r="B11" s="522" t="s">
        <v>4788</v>
      </c>
      <c r="C11" s="529" t="s">
        <v>4789</v>
      </c>
      <c r="D11" s="530"/>
      <c r="E11" s="525" t="s">
        <v>4790</v>
      </c>
      <c r="F11" s="685" t="s">
        <v>4791</v>
      </c>
      <c r="G11" s="685"/>
      <c r="H11" s="685"/>
      <c r="I11" s="526"/>
      <c r="J11" s="685" t="s">
        <v>4773</v>
      </c>
      <c r="K11" s="685"/>
      <c r="L11" s="685"/>
      <c r="M11" s="685"/>
      <c r="N11" s="685"/>
      <c r="O11" s="685"/>
      <c r="P11" s="685"/>
      <c r="Q11" s="533" t="s">
        <v>4787</v>
      </c>
      <c r="R11" s="525" t="s">
        <v>0</v>
      </c>
    </row>
    <row r="12" spans="2:18" ht="45" x14ac:dyDescent="0.25">
      <c r="B12" s="534">
        <v>3</v>
      </c>
      <c r="C12" s="535" t="s">
        <v>4792</v>
      </c>
      <c r="D12" s="535"/>
      <c r="E12" s="686" t="s">
        <v>4773</v>
      </c>
      <c r="F12" s="686"/>
      <c r="G12" s="535" t="s">
        <v>1</v>
      </c>
      <c r="H12" s="535" t="s">
        <v>1</v>
      </c>
      <c r="I12" s="535"/>
      <c r="J12" s="686" t="s">
        <v>4773</v>
      </c>
      <c r="K12" s="686"/>
      <c r="L12" s="686"/>
      <c r="M12" s="686"/>
      <c r="N12" s="686"/>
      <c r="O12" s="535" t="s">
        <v>4793</v>
      </c>
      <c r="P12" s="535" t="s">
        <v>28</v>
      </c>
      <c r="Q12" s="535" t="s">
        <v>1</v>
      </c>
      <c r="R12" s="535" t="s">
        <v>1</v>
      </c>
    </row>
  </sheetData>
  <mergeCells count="18">
    <mergeCell ref="E6:H6"/>
    <mergeCell ref="E2:H2"/>
    <mergeCell ref="E5:H5"/>
    <mergeCell ref="J2:R2"/>
    <mergeCell ref="J5:N5"/>
    <mergeCell ref="P5:R5"/>
    <mergeCell ref="J6:M6"/>
    <mergeCell ref="P6:R6"/>
    <mergeCell ref="F11:H11"/>
    <mergeCell ref="E12:F12"/>
    <mergeCell ref="E7:H7"/>
    <mergeCell ref="J7:M7"/>
    <mergeCell ref="P7:R7"/>
    <mergeCell ref="J8:Q8"/>
    <mergeCell ref="J9:Q9"/>
    <mergeCell ref="J10:P10"/>
    <mergeCell ref="J11:P11"/>
    <mergeCell ref="J12:N12"/>
  </mergeCells>
  <pageMargins left="0.25" right="0.25" top="0.75" bottom="0.75" header="0.3" footer="0.3"/>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2:W97"/>
  <sheetViews>
    <sheetView zoomScale="90" zoomScaleNormal="90" workbookViewId="0"/>
  </sheetViews>
  <sheetFormatPr defaultColWidth="8.85546875" defaultRowHeight="15" x14ac:dyDescent="0.25"/>
  <cols>
    <col min="1" max="1" width="11.28515625" style="478" customWidth="1"/>
    <col min="2" max="2" width="54.85546875" style="17" customWidth="1"/>
    <col min="3" max="4" width="12.7109375" style="17" customWidth="1"/>
    <col min="5" max="16384" width="8.85546875" style="17"/>
  </cols>
  <sheetData>
    <row r="2" spans="1:23" ht="18.75" x14ac:dyDescent="0.3">
      <c r="A2" s="639" t="s">
        <v>3</v>
      </c>
      <c r="Q2" s="496"/>
      <c r="S2" s="496"/>
      <c r="T2" s="496"/>
      <c r="V2" s="496"/>
      <c r="W2" s="496"/>
    </row>
    <row r="3" spans="1:23" x14ac:dyDescent="0.25">
      <c r="B3" s="4" t="s">
        <v>4719</v>
      </c>
      <c r="Q3" s="496"/>
      <c r="S3" s="496"/>
      <c r="T3" s="496"/>
      <c r="V3" s="496"/>
      <c r="W3" s="496"/>
    </row>
    <row r="4" spans="1:23" x14ac:dyDescent="0.25">
      <c r="B4" s="17" t="s">
        <v>4936</v>
      </c>
      <c r="C4" s="17" t="s">
        <v>4942</v>
      </c>
      <c r="Q4" s="496"/>
      <c r="S4" s="496"/>
      <c r="T4" s="496"/>
      <c r="V4" s="496"/>
      <c r="W4" s="496"/>
    </row>
    <row r="5" spans="1:23" x14ac:dyDescent="0.25">
      <c r="B5" s="17" t="s">
        <v>4863</v>
      </c>
      <c r="C5" s="17" t="s">
        <v>4938</v>
      </c>
      <c r="Q5" s="496"/>
      <c r="S5" s="496"/>
      <c r="T5" s="496"/>
      <c r="V5" s="496"/>
      <c r="W5" s="496"/>
    </row>
    <row r="6" spans="1:23" x14ac:dyDescent="0.25">
      <c r="B6" s="17" t="s">
        <v>3392</v>
      </c>
      <c r="C6" s="17" t="s">
        <v>4758</v>
      </c>
      <c r="Q6" s="496"/>
      <c r="S6" s="496"/>
      <c r="T6" s="496"/>
      <c r="V6" s="496"/>
      <c r="W6" s="496"/>
    </row>
    <row r="7" spans="1:23" x14ac:dyDescent="0.25">
      <c r="B7" s="17" t="s">
        <v>4726</v>
      </c>
      <c r="C7" s="17" t="s">
        <v>4937</v>
      </c>
      <c r="Q7" s="496"/>
      <c r="S7" s="496"/>
      <c r="T7" s="496"/>
      <c r="V7" s="496"/>
      <c r="W7" s="496"/>
    </row>
    <row r="8" spans="1:23" x14ac:dyDescent="0.25">
      <c r="B8" s="17" t="s">
        <v>4725</v>
      </c>
      <c r="C8" s="17" t="s">
        <v>4889</v>
      </c>
      <c r="Q8" s="496"/>
      <c r="S8" s="496"/>
      <c r="T8" s="496"/>
      <c r="V8" s="496"/>
      <c r="W8" s="496"/>
    </row>
    <row r="9" spans="1:23" x14ac:dyDescent="0.25">
      <c r="B9" s="17" t="s">
        <v>4723</v>
      </c>
      <c r="C9" s="17" t="s">
        <v>4890</v>
      </c>
      <c r="Q9" s="496"/>
      <c r="S9" s="496"/>
      <c r="T9" s="496"/>
      <c r="V9" s="496"/>
      <c r="W9" s="496"/>
    </row>
    <row r="10" spans="1:23" x14ac:dyDescent="0.25">
      <c r="B10" s="17" t="s">
        <v>4724</v>
      </c>
      <c r="C10" s="17" t="s">
        <v>4891</v>
      </c>
      <c r="Q10" s="496"/>
      <c r="S10" s="496"/>
      <c r="T10" s="496"/>
      <c r="V10" s="496"/>
      <c r="W10" s="496"/>
    </row>
    <row r="11" spans="1:23" x14ac:dyDescent="0.25">
      <c r="B11" s="17" t="s">
        <v>4720</v>
      </c>
      <c r="C11" s="17" t="s">
        <v>4892</v>
      </c>
      <c r="Q11" s="496"/>
      <c r="S11" s="496"/>
      <c r="T11" s="496"/>
      <c r="V11" s="496"/>
      <c r="W11" s="496"/>
    </row>
    <row r="12" spans="1:23" x14ac:dyDescent="0.25">
      <c r="B12" s="17" t="s">
        <v>4721</v>
      </c>
      <c r="C12" s="17" t="s">
        <v>4893</v>
      </c>
      <c r="Q12" s="496"/>
      <c r="S12" s="496"/>
      <c r="T12" s="496"/>
      <c r="V12" s="496"/>
      <c r="W12" s="496"/>
    </row>
    <row r="13" spans="1:23" x14ac:dyDescent="0.25">
      <c r="B13" s="17" t="s">
        <v>4722</v>
      </c>
      <c r="C13" s="17" t="s">
        <v>4894</v>
      </c>
      <c r="Q13" s="496"/>
      <c r="S13" s="496"/>
      <c r="T13" s="496"/>
      <c r="V13" s="496"/>
      <c r="W13" s="496"/>
    </row>
    <row r="14" spans="1:23" x14ac:dyDescent="0.25">
      <c r="B14" s="17" t="s">
        <v>29</v>
      </c>
      <c r="C14" s="17" t="s">
        <v>4738</v>
      </c>
      <c r="Q14" s="496"/>
      <c r="S14" s="496"/>
      <c r="T14" s="496"/>
      <c r="V14" s="496"/>
      <c r="W14" s="496"/>
    </row>
    <row r="15" spans="1:23" x14ac:dyDescent="0.25">
      <c r="B15" s="17" t="s">
        <v>4817</v>
      </c>
      <c r="C15" s="17" t="s">
        <v>4895</v>
      </c>
      <c r="Q15" s="496"/>
      <c r="S15" s="496"/>
      <c r="T15" s="496"/>
      <c r="V15" s="496"/>
      <c r="W15" s="496"/>
    </row>
    <row r="16" spans="1:23" x14ac:dyDescent="0.25">
      <c r="Q16" s="496"/>
      <c r="S16" s="496"/>
      <c r="T16" s="496"/>
      <c r="V16" s="496"/>
      <c r="W16" s="496"/>
    </row>
    <row r="17" spans="1:23" x14ac:dyDescent="0.25">
      <c r="A17" s="17"/>
      <c r="B17" s="4" t="s">
        <v>4717</v>
      </c>
      <c r="Q17" s="496"/>
      <c r="S17" s="496"/>
      <c r="T17" s="496"/>
      <c r="V17" s="496"/>
      <c r="W17" s="496"/>
    </row>
    <row r="18" spans="1:23" x14ac:dyDescent="0.25">
      <c r="A18" s="17"/>
      <c r="B18" s="496" t="s">
        <v>4896</v>
      </c>
      <c r="C18" s="17" t="s">
        <v>4897</v>
      </c>
    </row>
    <row r="19" spans="1:23" x14ac:dyDescent="0.25">
      <c r="A19" s="17"/>
      <c r="C19" s="17" t="s">
        <v>4854</v>
      </c>
    </row>
    <row r="20" spans="1:23" x14ac:dyDescent="0.25">
      <c r="A20" s="17"/>
      <c r="B20" s="17" t="s">
        <v>4898</v>
      </c>
      <c r="C20" s="464" t="s">
        <v>2</v>
      </c>
    </row>
    <row r="21" spans="1:23" x14ac:dyDescent="0.25">
      <c r="A21" s="17"/>
      <c r="B21" s="17" t="s">
        <v>4899</v>
      </c>
      <c r="C21" s="464" t="s">
        <v>10</v>
      </c>
      <c r="R21" s="474"/>
      <c r="W21" s="474"/>
    </row>
    <row r="22" spans="1:23" x14ac:dyDescent="0.25">
      <c r="A22" s="17"/>
      <c r="B22" s="17" t="s">
        <v>4900</v>
      </c>
      <c r="C22" s="464" t="s">
        <v>13</v>
      </c>
      <c r="Q22" s="474"/>
      <c r="R22" s="474"/>
    </row>
    <row r="23" spans="1:23" x14ac:dyDescent="0.25">
      <c r="A23" s="17"/>
      <c r="B23" s="17" t="s">
        <v>4901</v>
      </c>
      <c r="C23" s="17" t="s">
        <v>4855</v>
      </c>
    </row>
    <row r="24" spans="1:23" x14ac:dyDescent="0.25">
      <c r="A24" s="17"/>
      <c r="B24" s="17" t="s">
        <v>4902</v>
      </c>
      <c r="C24" s="17" t="s">
        <v>4853</v>
      </c>
    </row>
    <row r="25" spans="1:23" x14ac:dyDescent="0.25">
      <c r="A25" s="17"/>
      <c r="B25" s="17" t="s">
        <v>15</v>
      </c>
      <c r="C25" s="17" t="s">
        <v>16</v>
      </c>
    </row>
    <row r="26" spans="1:23" x14ac:dyDescent="0.25">
      <c r="A26" s="17"/>
      <c r="B26" s="17" t="s">
        <v>4903</v>
      </c>
      <c r="C26" s="17" t="s">
        <v>4856</v>
      </c>
    </row>
    <row r="27" spans="1:23" x14ac:dyDescent="0.25">
      <c r="A27" s="17"/>
      <c r="B27" s="17" t="s">
        <v>4904</v>
      </c>
      <c r="C27" s="17" t="s">
        <v>4713</v>
      </c>
    </row>
    <row r="28" spans="1:23" x14ac:dyDescent="0.25">
      <c r="A28" s="17"/>
      <c r="B28" s="17" t="s">
        <v>4905</v>
      </c>
      <c r="C28" s="17" t="s">
        <v>4727</v>
      </c>
    </row>
    <row r="29" spans="1:23" x14ac:dyDescent="0.25">
      <c r="A29" s="17"/>
      <c r="B29" s="17" t="s">
        <v>4906</v>
      </c>
      <c r="C29" s="17" t="s">
        <v>4715</v>
      </c>
    </row>
    <row r="30" spans="1:23" x14ac:dyDescent="0.25">
      <c r="A30" s="17"/>
      <c r="B30" s="17" t="s">
        <v>4907</v>
      </c>
      <c r="C30" s="17" t="s">
        <v>4714</v>
      </c>
    </row>
    <row r="31" spans="1:23" x14ac:dyDescent="0.25">
      <c r="A31" s="17"/>
      <c r="B31" s="17" t="s">
        <v>4908</v>
      </c>
      <c r="C31" s="17" t="s">
        <v>4716</v>
      </c>
    </row>
    <row r="32" spans="1:23" x14ac:dyDescent="0.25">
      <c r="A32" s="17"/>
    </row>
    <row r="33" spans="1:18" x14ac:dyDescent="0.25">
      <c r="B33" s="4" t="s">
        <v>4718</v>
      </c>
    </row>
    <row r="34" spans="1:18" x14ac:dyDescent="0.25">
      <c r="B34" s="17" t="s">
        <v>4909</v>
      </c>
    </row>
    <row r="35" spans="1:18" x14ac:dyDescent="0.25">
      <c r="B35" s="477" t="s">
        <v>4816</v>
      </c>
      <c r="C35" s="477"/>
      <c r="D35" s="477"/>
      <c r="E35" s="477"/>
      <c r="F35" s="477"/>
      <c r="G35" s="477"/>
      <c r="H35" s="477"/>
      <c r="I35" s="477"/>
      <c r="J35" s="477"/>
      <c r="K35" s="477"/>
      <c r="L35" s="477"/>
      <c r="M35" s="477"/>
      <c r="N35" s="477"/>
      <c r="O35" s="477"/>
      <c r="P35" s="477"/>
      <c r="Q35" s="477"/>
      <c r="R35" s="477"/>
    </row>
    <row r="36" spans="1:18" x14ac:dyDescent="0.25">
      <c r="B36" s="17" t="s">
        <v>4910</v>
      </c>
    </row>
    <row r="37" spans="1:18" x14ac:dyDescent="0.25">
      <c r="B37" s="497" t="s">
        <v>4911</v>
      </c>
    </row>
    <row r="38" spans="1:18" x14ac:dyDescent="0.25">
      <c r="B38" s="17" t="s">
        <v>4912</v>
      </c>
    </row>
    <row r="39" spans="1:18" x14ac:dyDescent="0.25">
      <c r="B39" s="17" t="s">
        <v>4913</v>
      </c>
    </row>
    <row r="40" spans="1:18" x14ac:dyDescent="0.25">
      <c r="A40" s="503"/>
      <c r="B40" s="17" t="s">
        <v>4914</v>
      </c>
    </row>
    <row r="41" spans="1:18" x14ac:dyDescent="0.25">
      <c r="B41" s="17" t="s">
        <v>4915</v>
      </c>
    </row>
    <row r="42" spans="1:18" x14ac:dyDescent="0.25">
      <c r="B42" s="17" t="s">
        <v>4916</v>
      </c>
    </row>
    <row r="43" spans="1:18" x14ac:dyDescent="0.25">
      <c r="B43" s="17" t="s">
        <v>4829</v>
      </c>
    </row>
    <row r="44" spans="1:18" x14ac:dyDescent="0.25">
      <c r="B44" s="17" t="s">
        <v>4917</v>
      </c>
    </row>
    <row r="46" spans="1:18" x14ac:dyDescent="0.25">
      <c r="B46" s="4" t="s">
        <v>4918</v>
      </c>
    </row>
    <row r="47" spans="1:18" x14ac:dyDescent="0.25">
      <c r="B47" s="495" t="s">
        <v>3419</v>
      </c>
    </row>
    <row r="48" spans="1:18" x14ac:dyDescent="0.25">
      <c r="B48" s="464" t="s">
        <v>4919</v>
      </c>
    </row>
    <row r="49" spans="1:2" x14ac:dyDescent="0.25">
      <c r="A49" s="17"/>
      <c r="B49" s="495" t="s">
        <v>3421</v>
      </c>
    </row>
    <row r="50" spans="1:2" x14ac:dyDescent="0.25">
      <c r="A50" s="17"/>
      <c r="B50" s="464" t="s">
        <v>3420</v>
      </c>
    </row>
    <row r="51" spans="1:2" x14ac:dyDescent="0.25">
      <c r="A51" s="17"/>
      <c r="B51" s="495" t="s">
        <v>3422</v>
      </c>
    </row>
    <row r="52" spans="1:2" x14ac:dyDescent="0.25">
      <c r="A52" s="17"/>
      <c r="B52" s="464" t="s">
        <v>4920</v>
      </c>
    </row>
    <row r="53" spans="1:2" x14ac:dyDescent="0.25">
      <c r="A53" s="17"/>
      <c r="B53" s="17" t="s">
        <v>4757</v>
      </c>
    </row>
    <row r="54" spans="1:2" x14ac:dyDescent="0.25">
      <c r="A54" s="17"/>
    </row>
    <row r="55" spans="1:2" x14ac:dyDescent="0.25">
      <c r="A55" s="17"/>
      <c r="B55" s="4" t="s">
        <v>4921</v>
      </c>
    </row>
    <row r="56" spans="1:2" x14ac:dyDescent="0.25">
      <c r="A56" s="17"/>
      <c r="B56" s="17" t="s">
        <v>4864</v>
      </c>
    </row>
    <row r="57" spans="1:2" x14ac:dyDescent="0.25">
      <c r="A57" s="17"/>
      <c r="B57" s="17" t="s">
        <v>4922</v>
      </c>
    </row>
    <row r="58" spans="1:2" x14ac:dyDescent="0.25">
      <c r="A58" s="17"/>
      <c r="B58" s="17" t="s">
        <v>4923</v>
      </c>
    </row>
    <row r="59" spans="1:2" x14ac:dyDescent="0.25">
      <c r="A59" s="17"/>
    </row>
    <row r="60" spans="1:2" x14ac:dyDescent="0.25">
      <c r="A60" s="17"/>
      <c r="B60" s="4" t="s">
        <v>4924</v>
      </c>
    </row>
    <row r="61" spans="1:2" x14ac:dyDescent="0.25">
      <c r="A61" s="17"/>
      <c r="B61" s="17" t="s">
        <v>4925</v>
      </c>
    </row>
    <row r="62" spans="1:2" x14ac:dyDescent="0.25">
      <c r="A62" s="17"/>
      <c r="B62" s="17" t="s">
        <v>4926</v>
      </c>
    </row>
    <row r="63" spans="1:2" x14ac:dyDescent="0.25">
      <c r="A63" s="17"/>
    </row>
    <row r="64" spans="1:2" x14ac:dyDescent="0.25">
      <c r="A64" s="17"/>
      <c r="B64" s="4" t="s">
        <v>4927</v>
      </c>
    </row>
    <row r="65" spans="1:2" x14ac:dyDescent="0.25">
      <c r="A65" s="17"/>
      <c r="B65" s="17" t="s">
        <v>4928</v>
      </c>
    </row>
    <row r="66" spans="1:2" x14ac:dyDescent="0.25">
      <c r="A66" s="17"/>
    </row>
    <row r="67" spans="1:2" x14ac:dyDescent="0.25">
      <c r="A67" s="17"/>
      <c r="B67" s="4" t="s">
        <v>4943</v>
      </c>
    </row>
    <row r="68" spans="1:2" x14ac:dyDescent="0.25">
      <c r="A68" s="17"/>
      <c r="B68" s="17" t="s">
        <v>4944</v>
      </c>
    </row>
    <row r="69" spans="1:2" x14ac:dyDescent="0.25">
      <c r="A69" s="17"/>
      <c r="B69" s="17" t="s">
        <v>4945</v>
      </c>
    </row>
    <row r="70" spans="1:2" s="115" customFormat="1" x14ac:dyDescent="0.25"/>
    <row r="71" spans="1:2" x14ac:dyDescent="0.25">
      <c r="A71" s="17"/>
      <c r="B71" s="4" t="s">
        <v>4756</v>
      </c>
    </row>
    <row r="72" spans="1:2" x14ac:dyDescent="0.25">
      <c r="A72" s="17"/>
      <c r="B72" s="17" t="s">
        <v>4929</v>
      </c>
    </row>
    <row r="73" spans="1:2" x14ac:dyDescent="0.25">
      <c r="A73" s="17"/>
      <c r="B73" s="17" t="s">
        <v>4946</v>
      </c>
    </row>
    <row r="74" spans="1:2" x14ac:dyDescent="0.25">
      <c r="A74" s="17"/>
    </row>
    <row r="75" spans="1:2" x14ac:dyDescent="0.25">
      <c r="A75" s="17"/>
      <c r="B75" s="4" t="s">
        <v>4759</v>
      </c>
    </row>
    <row r="76" spans="1:2" x14ac:dyDescent="0.25">
      <c r="A76" s="17"/>
      <c r="B76" s="17" t="s">
        <v>4930</v>
      </c>
    </row>
    <row r="77" spans="1:2" x14ac:dyDescent="0.25">
      <c r="A77" s="17"/>
    </row>
    <row r="78" spans="1:2" x14ac:dyDescent="0.25">
      <c r="A78" s="17"/>
      <c r="B78" s="4" t="s">
        <v>4852</v>
      </c>
    </row>
    <row r="79" spans="1:2" x14ac:dyDescent="0.25">
      <c r="A79" s="17"/>
      <c r="B79" s="17" t="s">
        <v>4931</v>
      </c>
    </row>
    <row r="80" spans="1:2" x14ac:dyDescent="0.25">
      <c r="A80" s="17"/>
      <c r="B80" s="17" t="s">
        <v>4850</v>
      </c>
    </row>
    <row r="81" spans="1:2" x14ac:dyDescent="0.25">
      <c r="A81" s="17"/>
      <c r="B81" s="17" t="s">
        <v>4851</v>
      </c>
    </row>
    <row r="82" spans="1:2" x14ac:dyDescent="0.25">
      <c r="A82" s="17"/>
      <c r="B82" s="17" t="s">
        <v>4932</v>
      </c>
    </row>
    <row r="83" spans="1:2" x14ac:dyDescent="0.25">
      <c r="A83" s="17"/>
      <c r="B83" s="17" t="s">
        <v>4933</v>
      </c>
    </row>
    <row r="84" spans="1:2" x14ac:dyDescent="0.25">
      <c r="A84" s="17"/>
    </row>
    <row r="85" spans="1:2" x14ac:dyDescent="0.25">
      <c r="A85" s="17"/>
    </row>
    <row r="86" spans="1:2" x14ac:dyDescent="0.25">
      <c r="A86" s="17"/>
    </row>
    <row r="87" spans="1:2" x14ac:dyDescent="0.25">
      <c r="A87" s="17"/>
    </row>
    <row r="88" spans="1:2" x14ac:dyDescent="0.25">
      <c r="A88" s="17"/>
    </row>
    <row r="89" spans="1:2" x14ac:dyDescent="0.25">
      <c r="A89" s="17"/>
    </row>
    <row r="90" spans="1:2" x14ac:dyDescent="0.25">
      <c r="A90" s="17"/>
    </row>
    <row r="91" spans="1:2" x14ac:dyDescent="0.25">
      <c r="A91" s="17"/>
    </row>
    <row r="92" spans="1:2" x14ac:dyDescent="0.25">
      <c r="A92" s="17"/>
    </row>
    <row r="93" spans="1:2" x14ac:dyDescent="0.25">
      <c r="A93" s="17"/>
    </row>
    <row r="94" spans="1:2" x14ac:dyDescent="0.25">
      <c r="A94" s="17"/>
    </row>
    <row r="95" spans="1:2" x14ac:dyDescent="0.25">
      <c r="A95" s="17"/>
    </row>
    <row r="96" spans="1:2" x14ac:dyDescent="0.25">
      <c r="A96" s="17"/>
    </row>
    <row r="97" spans="1:1" x14ac:dyDescent="0.25">
      <c r="A97" s="17"/>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B73"/>
  <sheetViews>
    <sheetView zoomScale="80" zoomScaleNormal="80" workbookViewId="0">
      <pane xSplit="4" ySplit="1" topLeftCell="E2" activePane="bottomRight" state="frozen"/>
      <selection pane="topRight" activeCell="E1" sqref="E1"/>
      <selection pane="bottomLeft" activeCell="A2" sqref="A2"/>
      <selection pane="bottomRight"/>
    </sheetView>
  </sheetViews>
  <sheetFormatPr defaultColWidth="7.7109375" defaultRowHeight="15" x14ac:dyDescent="0.25"/>
  <cols>
    <col min="1" max="1" width="3.28515625" style="115" customWidth="1"/>
    <col min="2" max="2" width="20.42578125" style="115" customWidth="1"/>
    <col min="3" max="3" width="3.28515625" style="432" customWidth="1"/>
    <col min="4" max="4" width="26.42578125" style="115" customWidth="1"/>
    <col min="5" max="5" width="9.28515625" style="115" bestFit="1" customWidth="1"/>
    <col min="6" max="6" width="9.28515625" style="513" bestFit="1" customWidth="1"/>
    <col min="7" max="15" width="9.28515625" style="115" bestFit="1" customWidth="1"/>
    <col min="16" max="27" width="8.7109375" style="115" customWidth="1"/>
    <col min="28" max="16384" width="7.7109375" style="115"/>
  </cols>
  <sheetData>
    <row r="1" spans="1:28" ht="15.75" thickBot="1" x14ac:dyDescent="0.3">
      <c r="A1" s="599"/>
      <c r="B1" s="600"/>
      <c r="C1" s="600"/>
      <c r="D1" s="600"/>
      <c r="E1" s="601">
        <v>2012</v>
      </c>
      <c r="F1" s="602">
        <f t="shared" ref="F1:AA1" si="0">E1+1</f>
        <v>2013</v>
      </c>
      <c r="G1" s="603">
        <f t="shared" si="0"/>
        <v>2014</v>
      </c>
      <c r="H1" s="601">
        <f t="shared" si="0"/>
        <v>2015</v>
      </c>
      <c r="I1" s="603">
        <f t="shared" si="0"/>
        <v>2016</v>
      </c>
      <c r="J1" s="601">
        <f t="shared" si="0"/>
        <v>2017</v>
      </c>
      <c r="K1" s="603">
        <f t="shared" si="0"/>
        <v>2018</v>
      </c>
      <c r="L1" s="601">
        <f t="shared" si="0"/>
        <v>2019</v>
      </c>
      <c r="M1" s="603">
        <f t="shared" si="0"/>
        <v>2020</v>
      </c>
      <c r="N1" s="601">
        <f t="shared" si="0"/>
        <v>2021</v>
      </c>
      <c r="O1" s="603">
        <f t="shared" si="0"/>
        <v>2022</v>
      </c>
      <c r="P1" s="601">
        <f t="shared" si="0"/>
        <v>2023</v>
      </c>
      <c r="Q1" s="603">
        <f t="shared" si="0"/>
        <v>2024</v>
      </c>
      <c r="R1" s="601">
        <f t="shared" si="0"/>
        <v>2025</v>
      </c>
      <c r="S1" s="603">
        <f t="shared" si="0"/>
        <v>2026</v>
      </c>
      <c r="T1" s="601">
        <f t="shared" si="0"/>
        <v>2027</v>
      </c>
      <c r="U1" s="603">
        <f t="shared" si="0"/>
        <v>2028</v>
      </c>
      <c r="V1" s="601">
        <f t="shared" si="0"/>
        <v>2029</v>
      </c>
      <c r="W1" s="603">
        <f t="shared" si="0"/>
        <v>2030</v>
      </c>
      <c r="X1" s="601">
        <f t="shared" si="0"/>
        <v>2031</v>
      </c>
      <c r="Y1" s="603">
        <f t="shared" si="0"/>
        <v>2032</v>
      </c>
      <c r="Z1" s="601">
        <f t="shared" si="0"/>
        <v>2033</v>
      </c>
      <c r="AA1" s="601">
        <f t="shared" si="0"/>
        <v>2034</v>
      </c>
      <c r="AB1" s="604"/>
    </row>
    <row r="2" spans="1:28" ht="15.75" thickBot="1" x14ac:dyDescent="0.3">
      <c r="A2" s="605"/>
      <c r="B2" s="678" t="s">
        <v>4745</v>
      </c>
      <c r="C2" s="572"/>
      <c r="D2" s="591" t="s">
        <v>4823</v>
      </c>
      <c r="E2" s="592"/>
      <c r="F2" s="592"/>
      <c r="G2" s="572"/>
      <c r="H2" s="590"/>
      <c r="I2" s="572"/>
      <c r="J2" s="590"/>
      <c r="K2" s="572"/>
      <c r="L2" s="590"/>
      <c r="M2" s="572"/>
      <c r="N2" s="590"/>
      <c r="O2" s="572"/>
      <c r="P2" s="625"/>
      <c r="Q2" s="572"/>
      <c r="R2" s="590"/>
      <c r="S2" s="572"/>
      <c r="T2" s="590"/>
      <c r="U2" s="572"/>
      <c r="V2" s="590"/>
      <c r="W2" s="572"/>
      <c r="X2" s="590"/>
      <c r="Y2" s="572"/>
      <c r="Z2" s="590"/>
      <c r="AA2" s="590"/>
      <c r="AB2" s="606"/>
    </row>
    <row r="3" spans="1:28" ht="15.75" thickBot="1" x14ac:dyDescent="0.3">
      <c r="A3" s="605"/>
      <c r="B3" s="563" t="s">
        <v>9</v>
      </c>
      <c r="C3" s="572"/>
      <c r="D3" s="515" t="s">
        <v>4746</v>
      </c>
      <c r="E3" s="593">
        <f ca="1">IF(OFFSET(Assumptions!C$4,MATCH($B$3,MWLoad,0),0)&lt;&gt;"",OFFSET(Assumptions!C$4,MATCH($B$3,MWLoad,0),0),"")</f>
        <v>49740</v>
      </c>
      <c r="F3" s="593">
        <f ca="1">IF(OFFSET(Assumptions!D$4,MATCH($B$3,MWLoad,0),0)&lt;&gt;"",OFFSET(Assumptions!D$4,MATCH($B$3,MWLoad,0),0),"")</f>
        <v>50944</v>
      </c>
      <c r="G3" s="593">
        <f ca="1">IF(OFFSET(Assumptions!E$4,MATCH($B$3,MWLoad,0),0)&lt;&gt;"",OFFSET(Assumptions!E$4,MATCH($B$3,MWLoad,0),0),"")</f>
        <v>51706</v>
      </c>
      <c r="H3" s="593">
        <f ca="1">IF(OFFSET(Assumptions!F$4,MATCH($B$3,MWLoad,0),0)&lt;&gt;"",OFFSET(Assumptions!F$4,MATCH($B$3,MWLoad,0),0),"")</f>
        <v>52409</v>
      </c>
      <c r="I3" s="593">
        <f ca="1">IF(OFFSET(Assumptions!G$4,MATCH($B$3,MWLoad,0),0)&lt;&gt;"",OFFSET(Assumptions!G$4,MATCH($B$3,MWLoad,0),0),"")</f>
        <v>53135</v>
      </c>
      <c r="J3" s="593">
        <f ca="1">IF(OFFSET(Assumptions!H$4,MATCH($B$3,MWLoad,0),0)&lt;&gt;"",OFFSET(Assumptions!H$4,MATCH($B$3,MWLoad,0),0),"")</f>
        <v>53869</v>
      </c>
      <c r="K3" s="593">
        <f ca="1">IF(OFFSET(Assumptions!I$4,MATCH($B$3,MWLoad,0),0)&lt;&gt;"",OFFSET(Assumptions!I$4,MATCH($B$3,MWLoad,0),0),"")</f>
        <v>54577</v>
      </c>
      <c r="L3" s="593">
        <f ca="1">IF(OFFSET(Assumptions!J$4,MATCH($B$3,MWLoad,0),0)&lt;&gt;"",OFFSET(Assumptions!J$4,MATCH($B$3,MWLoad,0),0),"")</f>
        <v>55322</v>
      </c>
      <c r="M3" s="593">
        <f ca="1">IF(OFFSET(Assumptions!K$4,MATCH($B$3,MWLoad,0),0)&lt;&gt;"",OFFSET(Assumptions!K$4,MATCH($B$3,MWLoad,0),0),"")</f>
        <v>56033</v>
      </c>
      <c r="N3" s="593">
        <f ca="1">IF(OFFSET(Assumptions!L$4,MATCH($B$3,MWLoad,0),0)&lt;&gt;"",OFFSET(Assumptions!L$4,MATCH($B$3,MWLoad,0),0),"")</f>
        <v>56690</v>
      </c>
      <c r="O3" s="593">
        <f ca="1">IF(OFFSET(Assumptions!M$4,MATCH($B$3,MWLoad,0),0)&lt;&gt;"",OFFSET(Assumptions!M$4,MATCH($B$3,MWLoad,0),0),"")</f>
        <v>57288</v>
      </c>
      <c r="P3" s="626" t="str">
        <f ca="1">IF(OFFSET(Assumptions!N$4,MATCH($B$3,MWLoad,0),0)&lt;&gt;"",OFFSET(Assumptions!N$4,MATCH($B$3,MWLoad,0),0),"")</f>
        <v/>
      </c>
      <c r="Q3" s="593" t="str">
        <f ca="1">IF(OFFSET(Assumptions!O$4,MATCH($B$3,MWLoad,0),0)&lt;&gt;"",OFFSET(Assumptions!O$4,MATCH($B$3,MWLoad,0),0),"")</f>
        <v/>
      </c>
      <c r="R3" s="593" t="str">
        <f ca="1">IF(OFFSET(Assumptions!P$4,MATCH($B$3,MWLoad,0),0)&lt;&gt;"",OFFSET(Assumptions!P$4,MATCH($B$3,MWLoad,0),0),"")</f>
        <v/>
      </c>
      <c r="S3" s="593" t="str">
        <f ca="1">IF(OFFSET(Assumptions!Q$4,MATCH($B$3,MWLoad,0),0)&lt;&gt;"",OFFSET(Assumptions!Q$4,MATCH($B$3,MWLoad,0),0),"")</f>
        <v/>
      </c>
      <c r="T3" s="593" t="str">
        <f ca="1">IF(OFFSET(Assumptions!R$4,MATCH($B$3,MWLoad,0),0)&lt;&gt;"",OFFSET(Assumptions!R$4,MATCH($B$3,MWLoad,0),0),"")</f>
        <v/>
      </c>
      <c r="U3" s="593" t="str">
        <f ca="1">IF(OFFSET(Assumptions!S$4,MATCH($B$3,MWLoad,0),0)&lt;&gt;"",OFFSET(Assumptions!S$4,MATCH($B$3,MWLoad,0),0),"")</f>
        <v/>
      </c>
      <c r="V3" s="593" t="str">
        <f ca="1">IF(OFFSET(Assumptions!T$4,MATCH($B$3,MWLoad,0),0)&lt;&gt;"",OFFSET(Assumptions!T$4,MATCH($B$3,MWLoad,0),0),"")</f>
        <v/>
      </c>
      <c r="W3" s="593" t="str">
        <f ca="1">IF(OFFSET(Assumptions!U$4,MATCH($B$3,MWLoad,0),0)&lt;&gt;"",OFFSET(Assumptions!U$4,MATCH($B$3,MWLoad,0),0),"")</f>
        <v/>
      </c>
      <c r="X3" s="593" t="str">
        <f ca="1">IF(OFFSET(Assumptions!V$4,MATCH($B$3,MWLoad,0),0)&lt;&gt;"",OFFSET(Assumptions!V$4,MATCH($B$3,MWLoad,0),0),"")</f>
        <v/>
      </c>
      <c r="Y3" s="593" t="str">
        <f ca="1">IF(OFFSET(Assumptions!W$4,MATCH($B$3,MWLoad,0),0)&lt;&gt;"",OFFSET(Assumptions!W$4,MATCH($B$3,MWLoad,0),0),"")</f>
        <v/>
      </c>
      <c r="Z3" s="593" t="str">
        <f ca="1">IF(OFFSET(Assumptions!X$4,MATCH($B$3,MWLoad,0),0)&lt;&gt;"",OFFSET(Assumptions!X$4,MATCH($B$3,MWLoad,0),0),"")</f>
        <v/>
      </c>
      <c r="AA3" s="594" t="str">
        <f ca="1">IF(OFFSET(Assumptions!Y$4,MATCH($B$3,MWLoad,0),0)&lt;&gt;"",OFFSET(Assumptions!Y$4,MATCH($B$3,MWLoad,0),0),"")</f>
        <v/>
      </c>
      <c r="AB3" s="606"/>
    </row>
    <row r="4" spans="1:28" ht="15.75" thickBot="1" x14ac:dyDescent="0.3">
      <c r="A4" s="605"/>
      <c r="B4" s="563" t="s">
        <v>9</v>
      </c>
      <c r="C4" s="572"/>
      <c r="D4" s="552" t="s">
        <v>4747</v>
      </c>
      <c r="E4" s="593">
        <f ca="1">IF(OFFSET(Assumptions!C$29,MATCH($B$4,MWIncEE,0),0)&lt;&gt;"",OFFSET(Assumptions!C$29,MATCH($B$4,MWIncEE,0),0),"")</f>
        <v>6.5696217394388832</v>
      </c>
      <c r="F4" s="593">
        <f ca="1">IF(OFFSET(Assumptions!D$29,MATCH($B$4,MWIncEE,0),0)&lt;&gt;"",OFFSET(Assumptions!D$29,MATCH($B$4,MWIncEE,0),0),"")</f>
        <v>178.5492356259453</v>
      </c>
      <c r="G4" s="593">
        <f ca="1">IF(OFFSET(Assumptions!E$29,MATCH($B$4,MWIncEE,0),0)&lt;&gt;"",OFFSET(Assumptions!E$29,MATCH($B$4,MWIncEE,0),0),"")</f>
        <v>394.33478009103169</v>
      </c>
      <c r="H4" s="593">
        <f ca="1">IF(OFFSET(Assumptions!F$29,MATCH($B$4,MWIncEE,0),0)&lt;&gt;"",OFFSET(Assumptions!F$29,MATCH($B$4,MWIncEE,0),0),"")</f>
        <v>740.16089233731429</v>
      </c>
      <c r="I4" s="593">
        <f ca="1">IF(OFFSET(Assumptions!G$29,MATCH($B$4,MWIncEE,0),0)&lt;&gt;"",OFFSET(Assumptions!G$29,MATCH($B$4,MWIncEE,0),0),"")</f>
        <v>1094.3186721630768</v>
      </c>
      <c r="J4" s="593">
        <f ca="1">IF(OFFSET(Assumptions!H$29,MATCH($B$4,MWIncEE,0),0)&lt;&gt;"",OFFSET(Assumptions!H$29,MATCH($B$4,MWIncEE,0),0),"")</f>
        <v>1420.302174354106</v>
      </c>
      <c r="K4" s="593">
        <f ca="1">IF(OFFSET(Assumptions!I$29,MATCH($B$4,MWIncEE,0),0)&lt;&gt;"",OFFSET(Assumptions!I$29,MATCH($B$4,MWIncEE,0),0),"")</f>
        <v>1633.1423085585784</v>
      </c>
      <c r="L4" s="593">
        <f ca="1">IF(OFFSET(Assumptions!J$29,MATCH($B$4,MWIncEE,0),0)&lt;&gt;"",OFFSET(Assumptions!J$29,MATCH($B$4,MWIncEE,0),0),"")</f>
        <v>2019.307868046162</v>
      </c>
      <c r="M4" s="593">
        <f ca="1">IF(OFFSET(Assumptions!K$29,MATCH($B$4,MWIncEE,0),0)&lt;&gt;"",OFFSET(Assumptions!K$29,MATCH($B$4,MWIncEE,0),0),"")</f>
        <v>2401.2220732440851</v>
      </c>
      <c r="N4" s="593">
        <f ca="1">IF(OFFSET(Assumptions!L$29,MATCH($B$4,MWIncEE,0),0)&lt;&gt;"",OFFSET(Assumptions!L$29,MATCH($B$4,MWIncEE,0),0),"")</f>
        <v>2757.7121593903066</v>
      </c>
      <c r="O4" s="593">
        <f ca="1">IF(OFFSET(Assumptions!M$29,MATCH($B$4,MWIncEE,0),0)&lt;&gt;"",OFFSET(Assumptions!M$29,MATCH($B$4,MWIncEE,0),0),"")</f>
        <v>3102.9007505970922</v>
      </c>
      <c r="P4" s="626" t="str">
        <f ca="1">IF(OFFSET(Assumptions!N$29,MATCH($B$4,MWIncEE,0),0)&lt;&gt;"",OFFSET(Assumptions!N$29,MATCH($B$4,MWIncEE,0),0),"")</f>
        <v/>
      </c>
      <c r="Q4" s="593" t="str">
        <f ca="1">IF(OFFSET(Assumptions!O$29,MATCH($B$4,MWIncEE,0),0)&lt;&gt;"",OFFSET(Assumptions!O$29,MATCH($B$4,MWIncEE,0),0),"")</f>
        <v/>
      </c>
      <c r="R4" s="593" t="str">
        <f ca="1">IF(OFFSET(Assumptions!P$29,MATCH($B$4,MWIncEE,0),0)&lt;&gt;"",OFFSET(Assumptions!P$29,MATCH($B$4,MWIncEE,0),0),"")</f>
        <v/>
      </c>
      <c r="S4" s="593" t="str">
        <f ca="1">IF(OFFSET(Assumptions!Q$29,MATCH($B$4,MWIncEE,0),0)&lt;&gt;"",OFFSET(Assumptions!Q$29,MATCH($B$4,MWIncEE,0),0),"")</f>
        <v/>
      </c>
      <c r="T4" s="593" t="str">
        <f ca="1">IF(OFFSET(Assumptions!R$29,MATCH($B$4,MWIncEE,0),0)&lt;&gt;"",OFFSET(Assumptions!R$29,MATCH($B$4,MWIncEE,0),0),"")</f>
        <v/>
      </c>
      <c r="U4" s="593" t="str">
        <f ca="1">IF(OFFSET(Assumptions!S$29,MATCH($B$4,MWIncEE,0),0)&lt;&gt;"",OFFSET(Assumptions!S$29,MATCH($B$4,MWIncEE,0),0),"")</f>
        <v/>
      </c>
      <c r="V4" s="593" t="str">
        <f ca="1">IF(OFFSET(Assumptions!T$29,MATCH($B$4,MWIncEE,0),0)&lt;&gt;"",OFFSET(Assumptions!T$29,MATCH($B$4,MWIncEE,0),0),"")</f>
        <v/>
      </c>
      <c r="W4" s="593" t="str">
        <f ca="1">IF(OFFSET(Assumptions!U$29,MATCH($B$4,MWIncEE,0),0)&lt;&gt;"",OFFSET(Assumptions!U$29,MATCH($B$4,MWIncEE,0),0),"")</f>
        <v/>
      </c>
      <c r="X4" s="593" t="str">
        <f ca="1">IF(OFFSET(Assumptions!V$29,MATCH($B$4,MWIncEE,0),0)&lt;&gt;"",OFFSET(Assumptions!V$29,MATCH($B$4,MWIncEE,0),0),"")</f>
        <v/>
      </c>
      <c r="Y4" s="593" t="str">
        <f ca="1">IF(OFFSET(Assumptions!W$29,MATCH($B$4,MWIncEE,0),0)&lt;&gt;"",OFFSET(Assumptions!W$29,MATCH($B$4,MWIncEE,0),0),"")</f>
        <v/>
      </c>
      <c r="Z4" s="593" t="str">
        <f ca="1">IF(OFFSET(Assumptions!X$29,MATCH($B$4,MWIncEE,0),0)&lt;&gt;"",OFFSET(Assumptions!X$29,MATCH($B$4,MWIncEE,0),0),"")</f>
        <v/>
      </c>
      <c r="AA4" s="594" t="str">
        <f ca="1">IF(OFFSET(Assumptions!Y$29,MATCH($B$4,MWIncEE,0),0)&lt;&gt;"",OFFSET(Assumptions!Y$29,MATCH($B$4,MWIncEE,0),0),"")</f>
        <v/>
      </c>
      <c r="AB4" s="606"/>
    </row>
    <row r="5" spans="1:28" ht="15.75" thickBot="1" x14ac:dyDescent="0.3">
      <c r="A5" s="605"/>
      <c r="B5" s="563" t="s">
        <v>9</v>
      </c>
      <c r="C5" s="572"/>
      <c r="D5" s="546" t="s">
        <v>4748</v>
      </c>
      <c r="E5" s="593">
        <f ca="1">IF(OFFSET(Assumptions!C$49,MATCH($B$5,MWIncSmPV,0),0)&lt;&gt;"",OFFSET(Assumptions!C$49,MATCH($B$5,MWIncSmPV,0),0),"")</f>
        <v>144.44444444444446</v>
      </c>
      <c r="F5" s="593">
        <f ca="1">IF(OFFSET(Assumptions!D$49,MATCH($B$5,MWIncSmPV,0),0)&lt;&gt;"",OFFSET(Assumptions!D$49,MATCH($B$5,MWIncSmPV,0),0),"")</f>
        <v>288.88888888888891</v>
      </c>
      <c r="G5" s="593">
        <f ca="1">IF(OFFSET(Assumptions!E$49,MATCH($B$5,MWIncSmPV,0),0)&lt;&gt;"",OFFSET(Assumptions!E$49,MATCH($B$5,MWIncSmPV,0),0),"")</f>
        <v>433.33333333333337</v>
      </c>
      <c r="H5" s="593">
        <f ca="1">IF(OFFSET(Assumptions!F$49,MATCH($B$5,MWIncSmPV,0),0)&lt;&gt;"",OFFSET(Assumptions!F$49,MATCH($B$5,MWIncSmPV,0),0),"")</f>
        <v>577.77777777777783</v>
      </c>
      <c r="I5" s="593">
        <f ca="1">IF(OFFSET(Assumptions!G$49,MATCH($B$5,MWIncSmPV,0),0)&lt;&gt;"",OFFSET(Assumptions!G$49,MATCH($B$5,MWIncSmPV,0),0),"")</f>
        <v>722.22222222222229</v>
      </c>
      <c r="J5" s="593">
        <f ca="1">IF(OFFSET(Assumptions!H$49,MATCH($B$5,MWIncSmPV,0),0)&lt;&gt;"",OFFSET(Assumptions!H$49,MATCH($B$5,MWIncSmPV,0),0),"")</f>
        <v>866.66666666666674</v>
      </c>
      <c r="K5" s="593">
        <f ca="1">IF(OFFSET(Assumptions!I$49,MATCH($B$5,MWIncSmPV,0),0)&lt;&gt;"",OFFSET(Assumptions!I$49,MATCH($B$5,MWIncSmPV,0),0),"")</f>
        <v>1011.1111111111112</v>
      </c>
      <c r="L5" s="593">
        <f ca="1">IF(OFFSET(Assumptions!J$49,MATCH($B$5,MWIncSmPV,0),0)&lt;&gt;"",OFFSET(Assumptions!J$49,MATCH($B$5,MWIncSmPV,0),0),"")</f>
        <v>1155.5555555555557</v>
      </c>
      <c r="M5" s="593">
        <f ca="1">IF(OFFSET(Assumptions!K$49,MATCH($B$5,MWIncSmPV,0),0)&lt;&gt;"",OFFSET(Assumptions!K$49,MATCH($B$5,MWIncSmPV,0),0),"")</f>
        <v>1300</v>
      </c>
      <c r="N5" s="593">
        <f ca="1">IF(OFFSET(Assumptions!L$49,MATCH($B$5,MWIncSmPV,0),0)&lt;&gt;"",OFFSET(Assumptions!L$49,MATCH($B$5,MWIncSmPV,0),0),"")</f>
        <v>1300</v>
      </c>
      <c r="O5" s="593">
        <f ca="1">IF(OFFSET(Assumptions!M$49,MATCH($B$5,MWIncSmPV,0),0)&lt;&gt;"",OFFSET(Assumptions!M$49,MATCH($B$5,MWIncSmPV,0),0),"")</f>
        <v>1300</v>
      </c>
      <c r="P5" s="626" t="str">
        <f ca="1">IF(OFFSET(Assumptions!N$49,MATCH($B$5,MWIncSmPV,0),0)&lt;&gt;"",OFFSET(Assumptions!N$49,MATCH($B$5,MWIncSmPV,0),0),"")</f>
        <v/>
      </c>
      <c r="Q5" s="593" t="str">
        <f ca="1">IF(OFFSET(Assumptions!O$49,MATCH($B$5,MWIncSmPV,0),0)&lt;&gt;"",OFFSET(Assumptions!O$49,MATCH($B$5,MWIncSmPV,0),0),"")</f>
        <v/>
      </c>
      <c r="R5" s="593" t="str">
        <f ca="1">IF(OFFSET(Assumptions!P$49,MATCH($B$5,MWIncSmPV,0),0)&lt;&gt;"",OFFSET(Assumptions!P$49,MATCH($B$5,MWIncSmPV,0),0),"")</f>
        <v/>
      </c>
      <c r="S5" s="593" t="str">
        <f ca="1">IF(OFFSET(Assumptions!Q$49,MATCH($B$5,MWIncSmPV,0),0)&lt;&gt;"",OFFSET(Assumptions!Q$49,MATCH($B$5,MWIncSmPV,0),0),"")</f>
        <v/>
      </c>
      <c r="T5" s="593" t="str">
        <f ca="1">IF(OFFSET(Assumptions!R$49,MATCH($B$5,MWIncSmPV,0),0)&lt;&gt;"",OFFSET(Assumptions!R$49,MATCH($B$5,MWIncSmPV,0),0),"")</f>
        <v/>
      </c>
      <c r="U5" s="593" t="str">
        <f ca="1">IF(OFFSET(Assumptions!S$49,MATCH($B$5,MWIncSmPV,0),0)&lt;&gt;"",OFFSET(Assumptions!S$49,MATCH($B$5,MWIncSmPV,0),0),"")</f>
        <v/>
      </c>
      <c r="V5" s="593" t="str">
        <f ca="1">IF(OFFSET(Assumptions!T$49,MATCH($B$5,MWIncSmPV,0),0)&lt;&gt;"",OFFSET(Assumptions!T$49,MATCH($B$5,MWIncSmPV,0),0),"")</f>
        <v/>
      </c>
      <c r="W5" s="593" t="str">
        <f ca="1">IF(OFFSET(Assumptions!U$49,MATCH($B$5,MWIncSmPV,0),0)&lt;&gt;"",OFFSET(Assumptions!U$49,MATCH($B$5,MWIncSmPV,0),0),"")</f>
        <v/>
      </c>
      <c r="X5" s="593" t="str">
        <f ca="1">IF(OFFSET(Assumptions!V$49,MATCH($B$5,MWIncSmPV,0),0)&lt;&gt;"",OFFSET(Assumptions!V$49,MATCH($B$5,MWIncSmPV,0),0),"")</f>
        <v/>
      </c>
      <c r="Y5" s="593" t="str">
        <f ca="1">IF(OFFSET(Assumptions!W$49,MATCH($B$5,MWIncSmPV,0),0)&lt;&gt;"",OFFSET(Assumptions!W$49,MATCH($B$5,MWIncSmPV,0),0),"")</f>
        <v/>
      </c>
      <c r="Z5" s="593" t="str">
        <f ca="1">IF(OFFSET(Assumptions!X$49,MATCH($B$5,MWIncSmPV,0),0)&lt;&gt;"",OFFSET(Assumptions!X$49,MATCH($B$5,MWIncSmPV,0),0),"")</f>
        <v/>
      </c>
      <c r="AA5" s="594" t="str">
        <f ca="1">IF(OFFSET(Assumptions!Y$49,MATCH($B$5,MWIncSmPV,0),0)&lt;&gt;"",OFFSET(Assumptions!Y$49,MATCH($B$5,MWIncSmPV,0),0),"")</f>
        <v/>
      </c>
      <c r="AB5" s="607"/>
    </row>
    <row r="6" spans="1:28" ht="15.75" thickBot="1" x14ac:dyDescent="0.3">
      <c r="A6" s="605"/>
      <c r="B6" s="563" t="s">
        <v>0</v>
      </c>
      <c r="C6" s="572"/>
      <c r="D6" s="547" t="s">
        <v>4750</v>
      </c>
      <c r="E6" s="593">
        <f ca="1">IF(OFFSET(Assumptions!C$63,MATCH($B$6,MWIncDCHP,0),0)&lt;&gt;"",OFFSET(Assumptions!C$63,MATCH($B$6,MWIncDCHP,0),0),"")</f>
        <v>0</v>
      </c>
      <c r="F6" s="593">
        <f ca="1">IF(OFFSET(Assumptions!D$63,MATCH($B$6,MWIncDCHP,0),0)&lt;&gt;"",OFFSET(Assumptions!D$63,MATCH($B$6,MWIncDCHP,0),0),"")</f>
        <v>0</v>
      </c>
      <c r="G6" s="593">
        <f ca="1">IF(OFFSET(Assumptions!E$63,MATCH($B$6,MWIncDCHP,0),0)&lt;&gt;"",OFFSET(Assumptions!E$63,MATCH($B$6,MWIncDCHP,0),0),"")</f>
        <v>0</v>
      </c>
      <c r="H6" s="593">
        <f ca="1">IF(OFFSET(Assumptions!F$63,MATCH($B$6,MWIncDCHP,0),0)&lt;&gt;"",OFFSET(Assumptions!F$63,MATCH($B$6,MWIncDCHP,0),0),"")</f>
        <v>0</v>
      </c>
      <c r="I6" s="593">
        <f ca="1">IF(OFFSET(Assumptions!G$63,MATCH($B$6,MWIncDCHP,0),0)&lt;&gt;"",OFFSET(Assumptions!G$63,MATCH($B$6,MWIncDCHP,0),0),"")</f>
        <v>0</v>
      </c>
      <c r="J6" s="593">
        <f ca="1">IF(OFFSET(Assumptions!H$63,MATCH($B$6,MWIncDCHP,0),0)&lt;&gt;"",OFFSET(Assumptions!H$63,MATCH($B$6,MWIncDCHP,0),0),"")</f>
        <v>0</v>
      </c>
      <c r="K6" s="593">
        <f ca="1">IF(OFFSET(Assumptions!I$63,MATCH($B$6,MWIncDCHP,0),0)&lt;&gt;"",OFFSET(Assumptions!I$63,MATCH($B$6,MWIncDCHP,0),0),"")</f>
        <v>0</v>
      </c>
      <c r="L6" s="593">
        <f ca="1">IF(OFFSET(Assumptions!J$63,MATCH($B$6,MWIncDCHP,0),0)&lt;&gt;"",OFFSET(Assumptions!J$63,MATCH($B$6,MWIncDCHP,0),0),"")</f>
        <v>0</v>
      </c>
      <c r="M6" s="593">
        <f ca="1">IF(OFFSET(Assumptions!K$63,MATCH($B$6,MWIncDCHP,0),0)&lt;&gt;"",OFFSET(Assumptions!K$63,MATCH($B$6,MWIncDCHP,0),0),"")</f>
        <v>0</v>
      </c>
      <c r="N6" s="593">
        <f ca="1">IF(OFFSET(Assumptions!L$63,MATCH($B$6,MWIncDCHP,0),0)&lt;&gt;"",OFFSET(Assumptions!L$63,MATCH($B$6,MWIncDCHP,0),0),"")</f>
        <v>0</v>
      </c>
      <c r="O6" s="593">
        <f ca="1">IF(OFFSET(Assumptions!M$63,MATCH($B$6,MWIncDCHP,0),0)&lt;&gt;"",OFFSET(Assumptions!M$63,MATCH($B$6,MWIncDCHP,0),0),"")</f>
        <v>0</v>
      </c>
      <c r="P6" s="626">
        <f ca="1">IF(OFFSET(Assumptions!N$63,MATCH($B$6,MWIncDCHP,0),0)&lt;&gt;"",OFFSET(Assumptions!N$63,MATCH($B$6,MWIncDCHP,0),0),"")</f>
        <v>0</v>
      </c>
      <c r="Q6" s="593">
        <f ca="1">IF(OFFSET(Assumptions!O$63,MATCH($B$6,MWIncDCHP,0),0)&lt;&gt;"",OFFSET(Assumptions!O$63,MATCH($B$6,MWIncDCHP,0),0),"")</f>
        <v>0</v>
      </c>
      <c r="R6" s="593">
        <f ca="1">IF(OFFSET(Assumptions!P$63,MATCH($B$6,MWIncDCHP,0),0)&lt;&gt;"",OFFSET(Assumptions!P$63,MATCH($B$6,MWIncDCHP,0),0),"")</f>
        <v>0</v>
      </c>
      <c r="S6" s="593">
        <f ca="1">IF(OFFSET(Assumptions!Q$63,MATCH($B$6,MWIncDCHP,0),0)&lt;&gt;"",OFFSET(Assumptions!Q$63,MATCH($B$6,MWIncDCHP,0),0),"")</f>
        <v>0</v>
      </c>
      <c r="T6" s="593">
        <f ca="1">IF(OFFSET(Assumptions!R$63,MATCH($B$6,MWIncDCHP,0),0)&lt;&gt;"",OFFSET(Assumptions!R$63,MATCH($B$6,MWIncDCHP,0),0),"")</f>
        <v>0</v>
      </c>
      <c r="U6" s="593">
        <f ca="1">IF(OFFSET(Assumptions!S$63,MATCH($B$6,MWIncDCHP,0),0)&lt;&gt;"",OFFSET(Assumptions!S$63,MATCH($B$6,MWIncDCHP,0),0),"")</f>
        <v>0</v>
      </c>
      <c r="V6" s="593">
        <f ca="1">IF(OFFSET(Assumptions!T$63,MATCH($B$6,MWIncDCHP,0),0)&lt;&gt;"",OFFSET(Assumptions!T$63,MATCH($B$6,MWIncDCHP,0),0),"")</f>
        <v>0</v>
      </c>
      <c r="W6" s="593">
        <f ca="1">IF(OFFSET(Assumptions!U$63,MATCH($B$6,MWIncDCHP,0),0)&lt;&gt;"",OFFSET(Assumptions!U$63,MATCH($B$6,MWIncDCHP,0),0),"")</f>
        <v>0</v>
      </c>
      <c r="X6" s="593">
        <f ca="1">IF(OFFSET(Assumptions!V$63,MATCH($B$6,MWIncDCHP,0),0)&lt;&gt;"",OFFSET(Assumptions!V$63,MATCH($B$6,MWIncDCHP,0),0),"")</f>
        <v>0</v>
      </c>
      <c r="Y6" s="593">
        <f ca="1">IF(OFFSET(Assumptions!W$63,MATCH($B$6,MWIncDCHP,0),0)&lt;&gt;"",OFFSET(Assumptions!W$63,MATCH($B$6,MWIncDCHP,0),0),"")</f>
        <v>0</v>
      </c>
      <c r="Z6" s="593">
        <f ca="1">IF(OFFSET(Assumptions!X$63,MATCH($B$6,MWIncDCHP,0),0)&lt;&gt;"",OFFSET(Assumptions!X$63,MATCH($B$6,MWIncDCHP,0),0),"")</f>
        <v>0</v>
      </c>
      <c r="AA6" s="594">
        <f ca="1">IF(OFFSET(Assumptions!Y$63,MATCH($B$6,MWIncDCHP,0),0)&lt;&gt;"",OFFSET(Assumptions!Y$63,MATCH($B$6,MWIncDCHP,0),0),"")</f>
        <v>0</v>
      </c>
      <c r="AB6" s="606"/>
    </row>
    <row r="7" spans="1:28" x14ac:dyDescent="0.25">
      <c r="A7" s="605"/>
      <c r="B7" s="676"/>
      <c r="C7" s="572"/>
      <c r="D7" s="554" t="s">
        <v>4821</v>
      </c>
      <c r="E7" s="555">
        <f t="shared" ref="E7:O7" ca="1" si="1">E3-SUM(E4:E6)</f>
        <v>49588.985933816119</v>
      </c>
      <c r="F7" s="555">
        <f t="shared" ca="1" si="1"/>
        <v>50476.561875485168</v>
      </c>
      <c r="G7" s="608">
        <f t="shared" ca="1" si="1"/>
        <v>50878.331886575637</v>
      </c>
      <c r="H7" s="556">
        <f t="shared" ca="1" si="1"/>
        <v>51091.061329884906</v>
      </c>
      <c r="I7" s="608">
        <f t="shared" ca="1" si="1"/>
        <v>51318.459105614704</v>
      </c>
      <c r="J7" s="556">
        <f t="shared" ca="1" si="1"/>
        <v>51582.031158979225</v>
      </c>
      <c r="K7" s="608">
        <f t="shared" ca="1" si="1"/>
        <v>51932.746580330313</v>
      </c>
      <c r="L7" s="556">
        <f t="shared" ca="1" si="1"/>
        <v>52147.136576398283</v>
      </c>
      <c r="M7" s="608">
        <f t="shared" ca="1" si="1"/>
        <v>52331.777926755916</v>
      </c>
      <c r="N7" s="556">
        <f t="shared" ca="1" si="1"/>
        <v>52632.287840609693</v>
      </c>
      <c r="O7" s="608">
        <f t="shared" ca="1" si="1"/>
        <v>52885.099249402905</v>
      </c>
      <c r="P7" s="556">
        <f ca="1">O7*(1+$O$8)</f>
        <v>53226.527458088698</v>
      </c>
      <c r="Q7" s="556">
        <f t="shared" ref="Q7:AA7" ca="1" si="2">P7*(1+$O$8)</f>
        <v>53570.159940253048</v>
      </c>
      <c r="R7" s="556">
        <f t="shared" ca="1" si="2"/>
        <v>53916.010926769224</v>
      </c>
      <c r="S7" s="556">
        <f t="shared" ca="1" si="2"/>
        <v>54264.094740385561</v>
      </c>
      <c r="T7" s="556">
        <f t="shared" ca="1" si="2"/>
        <v>54614.425796318581</v>
      </c>
      <c r="U7" s="556">
        <f t="shared" ca="1" si="2"/>
        <v>54967.01860285001</v>
      </c>
      <c r="V7" s="556">
        <f t="shared" ca="1" si="2"/>
        <v>55321.887761927588</v>
      </c>
      <c r="W7" s="556">
        <f t="shared" ca="1" si="2"/>
        <v>55679.047969769774</v>
      </c>
      <c r="X7" s="556">
        <f t="shared" ca="1" si="2"/>
        <v>56038.514017474379</v>
      </c>
      <c r="Y7" s="556">
        <f t="shared" ca="1" si="2"/>
        <v>56400.300791631111</v>
      </c>
      <c r="Z7" s="556">
        <f t="shared" ca="1" si="2"/>
        <v>56764.423274938054</v>
      </c>
      <c r="AA7" s="556">
        <f t="shared" ca="1" si="2"/>
        <v>57130.896546822158</v>
      </c>
      <c r="AB7" s="606"/>
    </row>
    <row r="8" spans="1:28" x14ac:dyDescent="0.25">
      <c r="A8" s="605"/>
      <c r="B8" s="676"/>
      <c r="C8" s="572"/>
      <c r="D8" s="507"/>
      <c r="E8" s="595"/>
      <c r="F8" s="595"/>
      <c r="G8" s="609"/>
      <c r="H8" s="596"/>
      <c r="I8" s="609"/>
      <c r="J8" s="596"/>
      <c r="K8" s="609"/>
      <c r="L8" s="596"/>
      <c r="M8" s="609"/>
      <c r="N8" s="596"/>
      <c r="O8" s="610">
        <f ca="1">((O7/E7)^(1/10)-1)</f>
        <v>6.4560379678146873E-3</v>
      </c>
      <c r="P8" s="627"/>
      <c r="Q8" s="609"/>
      <c r="R8" s="596"/>
      <c r="S8" s="609"/>
      <c r="T8" s="596"/>
      <c r="U8" s="609"/>
      <c r="V8" s="596"/>
      <c r="W8" s="609"/>
      <c r="X8" s="596"/>
      <c r="Y8" s="609"/>
      <c r="Z8" s="596"/>
      <c r="AA8" s="596"/>
      <c r="AB8" s="606"/>
    </row>
    <row r="9" spans="1:28" x14ac:dyDescent="0.25">
      <c r="A9" s="605"/>
      <c r="B9" s="676"/>
      <c r="C9" s="572"/>
      <c r="D9" s="508"/>
      <c r="E9" s="593"/>
      <c r="F9" s="593"/>
      <c r="G9" s="611"/>
      <c r="H9" s="594"/>
      <c r="I9" s="611"/>
      <c r="J9" s="594"/>
      <c r="K9" s="611"/>
      <c r="L9" s="594"/>
      <c r="M9" s="611"/>
      <c r="N9" s="594"/>
      <c r="O9" s="611"/>
      <c r="P9" s="628"/>
      <c r="Q9" s="611"/>
      <c r="R9" s="594"/>
      <c r="S9" s="611"/>
      <c r="T9" s="594"/>
      <c r="U9" s="611"/>
      <c r="V9" s="594"/>
      <c r="W9" s="611"/>
      <c r="X9" s="594"/>
      <c r="Y9" s="611"/>
      <c r="Z9" s="594"/>
      <c r="AA9" s="594"/>
      <c r="AB9" s="606"/>
    </row>
    <row r="10" spans="1:28" ht="15.75" thickBot="1" x14ac:dyDescent="0.3">
      <c r="A10" s="605"/>
      <c r="B10" s="676"/>
      <c r="C10" s="572"/>
      <c r="D10" s="509" t="s">
        <v>4749</v>
      </c>
      <c r="E10" s="593"/>
      <c r="F10" s="593"/>
      <c r="G10" s="611"/>
      <c r="H10" s="594"/>
      <c r="I10" s="611"/>
      <c r="J10" s="594"/>
      <c r="K10" s="611"/>
      <c r="L10" s="594"/>
      <c r="M10" s="611"/>
      <c r="N10" s="594"/>
      <c r="O10" s="611"/>
      <c r="P10" s="628"/>
      <c r="Q10" s="611"/>
      <c r="R10" s="594"/>
      <c r="S10" s="611"/>
      <c r="T10" s="594"/>
      <c r="U10" s="611"/>
      <c r="V10" s="594"/>
      <c r="W10" s="611"/>
      <c r="X10" s="594"/>
      <c r="Y10" s="611"/>
      <c r="Z10" s="594"/>
      <c r="AA10" s="594"/>
      <c r="AB10" s="606"/>
    </row>
    <row r="11" spans="1:28" ht="15.75" thickBot="1" x14ac:dyDescent="0.3">
      <c r="A11" s="605"/>
      <c r="B11" s="563" t="s">
        <v>4841</v>
      </c>
      <c r="C11" s="572"/>
      <c r="D11" s="545" t="s">
        <v>4824</v>
      </c>
      <c r="E11" s="593">
        <f ca="1">IF(OFFSET(Assumptions!C$109,MATCH($B$11,MWExisting,0),0)&lt;&gt;"",OFFSET(Assumptions!C$109,MATCH($B$11,MWExisting,0),0),"")</f>
        <v>50442.457602417315</v>
      </c>
      <c r="F11" s="593">
        <f ca="1">IF(OFFSET(Assumptions!D$109,MATCH($B$11,MWExisting,0),0)&lt;&gt;"",OFFSET(Assumptions!D$109,MATCH($B$11,MWExisting,0),0),"")</f>
        <v>50442.457602417315</v>
      </c>
      <c r="G11" s="593">
        <f ca="1">IF(OFFSET(Assumptions!E$109,MATCH($B$11,MWExisting,0),0)&lt;&gt;"",OFFSET(Assumptions!E$109,MATCH($B$11,MWExisting,0),0),"")</f>
        <v>50442.457602417315</v>
      </c>
      <c r="H11" s="593">
        <f ca="1">IF(OFFSET(Assumptions!F$109,MATCH($B$11,MWExisting,0),0)&lt;&gt;"",OFFSET(Assumptions!F$109,MATCH($B$11,MWExisting,0),0),"")</f>
        <v>50442.457602417315</v>
      </c>
      <c r="I11" s="593">
        <f ca="1">IF(OFFSET(Assumptions!G$109,MATCH($B$11,MWExisting,0),0)&lt;&gt;"",OFFSET(Assumptions!G$109,MATCH($B$11,MWExisting,0),0),"")</f>
        <v>50442.457602417315</v>
      </c>
      <c r="J11" s="593">
        <f ca="1">IF(OFFSET(Assumptions!H$109,MATCH($B$11,MWExisting,0),0)&lt;&gt;"",OFFSET(Assumptions!H$109,MATCH($B$11,MWExisting,0),0),"")</f>
        <v>50442.457602417315</v>
      </c>
      <c r="K11" s="593">
        <f ca="1">IF(OFFSET(Assumptions!I$109,MATCH($B$11,MWExisting,0),0)&lt;&gt;"",OFFSET(Assumptions!I$109,MATCH($B$11,MWExisting,0),0),"")</f>
        <v>50442.457602417315</v>
      </c>
      <c r="L11" s="593">
        <f ca="1">IF(OFFSET(Assumptions!J$109,MATCH($B$11,MWExisting,0),0)&lt;&gt;"",OFFSET(Assumptions!J$109,MATCH($B$11,MWExisting,0),0),"")</f>
        <v>50442.457602417315</v>
      </c>
      <c r="M11" s="593">
        <f ca="1">IF(OFFSET(Assumptions!K$109,MATCH($B$11,MWExisting,0),0)&lt;&gt;"",OFFSET(Assumptions!K$109,MATCH($B$11,MWExisting,0),0),"")</f>
        <v>50442.457602417315</v>
      </c>
      <c r="N11" s="593">
        <f ca="1">IF(OFFSET(Assumptions!L$109,MATCH($B$11,MWExisting,0),0)&lt;&gt;"",OFFSET(Assumptions!L$109,MATCH($B$11,MWExisting,0),0),"")</f>
        <v>50442.457602417315</v>
      </c>
      <c r="O11" s="593">
        <f ca="1">IF(OFFSET(Assumptions!M$109,MATCH($B$11,MWExisting,0),0)&lt;&gt;"",OFFSET(Assumptions!M$109,MATCH($B$11,MWExisting,0),0),"")</f>
        <v>50442.457602417315</v>
      </c>
      <c r="P11" s="626">
        <f ca="1">IF(OFFSET(Assumptions!N$109,MATCH($B$11,MWExisting,0),0)&lt;&gt;"",OFFSET(Assumptions!N$109,MATCH($B$11,MWExisting,0),0),"")</f>
        <v>50442.457602417315</v>
      </c>
      <c r="Q11" s="593">
        <f ca="1">IF(OFFSET(Assumptions!O$109,MATCH($B$11,MWExisting,0),0)&lt;&gt;"",OFFSET(Assumptions!O$109,MATCH($B$11,MWExisting,0),0),"")</f>
        <v>50442.457602417315</v>
      </c>
      <c r="R11" s="593">
        <f ca="1">IF(OFFSET(Assumptions!P$109,MATCH($B$11,MWExisting,0),0)&lt;&gt;"",OFFSET(Assumptions!P$109,MATCH($B$11,MWExisting,0),0),"")</f>
        <v>50442.457602417315</v>
      </c>
      <c r="S11" s="593">
        <f ca="1">IF(OFFSET(Assumptions!Q$109,MATCH($B$11,MWExisting,0),0)&lt;&gt;"",OFFSET(Assumptions!Q$109,MATCH($B$11,MWExisting,0),0),"")</f>
        <v>50442.457602417315</v>
      </c>
      <c r="T11" s="593">
        <f ca="1">IF(OFFSET(Assumptions!R$109,MATCH($B$11,MWExisting,0),0)&lt;&gt;"",OFFSET(Assumptions!R$109,MATCH($B$11,MWExisting,0),0),"")</f>
        <v>50442.457602417315</v>
      </c>
      <c r="U11" s="593">
        <f ca="1">IF(OFFSET(Assumptions!S$109,MATCH($B$11,MWExisting,0),0)&lt;&gt;"",OFFSET(Assumptions!S$109,MATCH($B$11,MWExisting,0),0),"")</f>
        <v>50442.457602417315</v>
      </c>
      <c r="V11" s="593">
        <f ca="1">IF(OFFSET(Assumptions!T$109,MATCH($B$11,MWExisting,0),0)&lt;&gt;"",OFFSET(Assumptions!T$109,MATCH($B$11,MWExisting,0),0),"")</f>
        <v>50442.457602417315</v>
      </c>
      <c r="W11" s="593">
        <f ca="1">IF(OFFSET(Assumptions!U$109,MATCH($B$11,MWExisting,0),0)&lt;&gt;"",OFFSET(Assumptions!U$109,MATCH($B$11,MWExisting,0),0),"")</f>
        <v>50442.457602417315</v>
      </c>
      <c r="X11" s="593">
        <f ca="1">IF(OFFSET(Assumptions!V$109,MATCH($B$11,MWExisting,0),0)&lt;&gt;"",OFFSET(Assumptions!V$109,MATCH($B$11,MWExisting,0),0),"")</f>
        <v>50442.457602417315</v>
      </c>
      <c r="Y11" s="593">
        <f ca="1">IF(OFFSET(Assumptions!W$109,MATCH($B$11,MWExisting,0),0)&lt;&gt;"",OFFSET(Assumptions!W$109,MATCH($B$11,MWExisting,0),0),"")</f>
        <v>50442.457602417315</v>
      </c>
      <c r="Z11" s="593">
        <f ca="1">IF(OFFSET(Assumptions!X$109,MATCH($B$11,MWExisting,0),0)&lt;&gt;"",OFFSET(Assumptions!X$109,MATCH($B$11,MWExisting,0),0),"")</f>
        <v>50442.457602417315</v>
      </c>
      <c r="AA11" s="593">
        <f ca="1">IF(OFFSET(Assumptions!Y$109,MATCH($B$11,MWExisting,0),0)&lt;&gt;"",OFFSET(Assumptions!Y$109,MATCH($B$11,MWExisting,0),0),"")</f>
        <v>50442.457602417315</v>
      </c>
      <c r="AB11" s="606"/>
    </row>
    <row r="12" spans="1:28" ht="15.75" thickBot="1" x14ac:dyDescent="0.3">
      <c r="A12" s="605"/>
      <c r="B12" s="676"/>
      <c r="C12" s="572"/>
      <c r="D12" s="562" t="s">
        <v>4752</v>
      </c>
      <c r="E12" s="593">
        <f ca="1">SUM(E13:E14)</f>
        <v>1207.5127078527378</v>
      </c>
      <c r="F12" s="593">
        <f t="shared" ref="F12:AA12" ca="1" si="3">SUM(F13:F14)</f>
        <v>5441.7085465055161</v>
      </c>
      <c r="G12" s="593">
        <f t="shared" ca="1" si="3"/>
        <v>6024.5442127679562</v>
      </c>
      <c r="H12" s="593">
        <f t="shared" ca="1" si="3"/>
        <v>6720.3644854032627</v>
      </c>
      <c r="I12" s="593">
        <f t="shared" ca="1" si="3"/>
        <v>7326.9656752559258</v>
      </c>
      <c r="J12" s="593">
        <f t="shared" ca="1" si="3"/>
        <v>8995.4234774237593</v>
      </c>
      <c r="K12" s="593">
        <f t="shared" ca="1" si="3"/>
        <v>9382.5166442112204</v>
      </c>
      <c r="L12" s="593">
        <f t="shared" ca="1" si="3"/>
        <v>9382.5166442112204</v>
      </c>
      <c r="M12" s="593">
        <f t="shared" ca="1" si="3"/>
        <v>9604.7568634159143</v>
      </c>
      <c r="N12" s="593">
        <f t="shared" ca="1" si="3"/>
        <v>9604.7568634159143</v>
      </c>
      <c r="O12" s="593">
        <f t="shared" ca="1" si="3"/>
        <v>9604.7568634159143</v>
      </c>
      <c r="P12" s="626">
        <f t="shared" ca="1" si="3"/>
        <v>9604.7568634159143</v>
      </c>
      <c r="Q12" s="593">
        <f t="shared" ca="1" si="3"/>
        <v>9604.7568634159143</v>
      </c>
      <c r="R12" s="593">
        <f t="shared" ca="1" si="3"/>
        <v>9604.7568634159143</v>
      </c>
      <c r="S12" s="593">
        <f t="shared" ca="1" si="3"/>
        <v>9604.7568634159143</v>
      </c>
      <c r="T12" s="593">
        <f t="shared" ca="1" si="3"/>
        <v>9604.7568634159143</v>
      </c>
      <c r="U12" s="593">
        <f t="shared" ca="1" si="3"/>
        <v>9604.7568634159143</v>
      </c>
      <c r="V12" s="593">
        <f t="shared" ca="1" si="3"/>
        <v>9604.7568634159143</v>
      </c>
      <c r="W12" s="593">
        <f t="shared" ca="1" si="3"/>
        <v>9604.7568634159143</v>
      </c>
      <c r="X12" s="593">
        <f t="shared" ca="1" si="3"/>
        <v>9604.7568634159143</v>
      </c>
      <c r="Y12" s="593">
        <f t="shared" ca="1" si="3"/>
        <v>9604.7568634159143</v>
      </c>
      <c r="Z12" s="593">
        <f t="shared" ca="1" si="3"/>
        <v>9604.7568634159143</v>
      </c>
      <c r="AA12" s="593">
        <f t="shared" ca="1" si="3"/>
        <v>9604.7568634159143</v>
      </c>
      <c r="AB12" s="606"/>
    </row>
    <row r="13" spans="1:28" ht="15.75" thickBot="1" x14ac:dyDescent="0.3">
      <c r="A13" s="605"/>
      <c r="B13" s="563" t="s">
        <v>4832</v>
      </c>
      <c r="C13" s="572"/>
      <c r="D13" s="564" t="s">
        <v>4827</v>
      </c>
      <c r="E13" s="593">
        <f ca="1">IF(OFFSET(Assumptions!C$114,MATCH($B$13,MWResourceAdds,0),0)&lt;&gt;"",OFFSET(Assumptions!C$114,MATCH($B$13,MWResourceAdds,0),0),"")</f>
        <v>1055</v>
      </c>
      <c r="F13" s="593">
        <f ca="1">IF(OFFSET(Assumptions!D$114,MATCH($B$13,MWResourceAdds,0),0)&lt;&gt;"",OFFSET(Assumptions!D$114,MATCH($B$13,MWResourceAdds,0),0),"")</f>
        <v>4655</v>
      </c>
      <c r="G13" s="593">
        <f ca="1">IF(OFFSET(Assumptions!E$114,MATCH($B$13,MWResourceAdds,0),0)&lt;&gt;"",OFFSET(Assumptions!E$114,MATCH($B$13,MWResourceAdds,0),0),"")</f>
        <v>4655</v>
      </c>
      <c r="H13" s="593">
        <f ca="1">IF(OFFSET(Assumptions!F$114,MATCH($B$13,MWResourceAdds,0),0)&lt;&gt;"",OFFSET(Assumptions!F$114,MATCH($B$13,MWResourceAdds,0),0),"")</f>
        <v>4655</v>
      </c>
      <c r="I13" s="593">
        <f ca="1">IF(OFFSET(Assumptions!G$114,MATCH($B$13,MWResourceAdds,0),0)&lt;&gt;"",OFFSET(Assumptions!G$114,MATCH($B$13,MWResourceAdds,0),0),"")</f>
        <v>4655</v>
      </c>
      <c r="J13" s="593">
        <f ca="1">IF(OFFSET(Assumptions!H$114,MATCH($B$13,MWResourceAdds,0),0)&lt;&gt;"",OFFSET(Assumptions!H$114,MATCH($B$13,MWResourceAdds,0),0),"")</f>
        <v>5984</v>
      </c>
      <c r="K13" s="593">
        <f ca="1">IF(OFFSET(Assumptions!I$114,MATCH($B$13,MWResourceAdds,0),0)&lt;&gt;"",OFFSET(Assumptions!I$114,MATCH($B$13,MWResourceAdds,0),0),"")</f>
        <v>5984</v>
      </c>
      <c r="L13" s="593">
        <f ca="1">IF(OFFSET(Assumptions!J$114,MATCH($B$13,MWResourceAdds,0),0)&lt;&gt;"",OFFSET(Assumptions!J$114,MATCH($B$13,MWResourceAdds,0),0),"")</f>
        <v>5984</v>
      </c>
      <c r="M13" s="593">
        <f ca="1">IF(OFFSET(Assumptions!K$114,MATCH($B$13,MWResourceAdds,0),0)&lt;&gt;"",OFFSET(Assumptions!K$114,MATCH($B$13,MWResourceAdds,0),0),"")</f>
        <v>5984</v>
      </c>
      <c r="N13" s="593">
        <f ca="1">IF(OFFSET(Assumptions!L$114,MATCH($B$13,MWResourceAdds,0),0)&lt;&gt;"",OFFSET(Assumptions!L$114,MATCH($B$13,MWResourceAdds,0),0),"")</f>
        <v>5984</v>
      </c>
      <c r="O13" s="593">
        <f ca="1">IF(OFFSET(Assumptions!M$114,MATCH($B$13,MWResourceAdds,0),0)&lt;&gt;"",OFFSET(Assumptions!M$114,MATCH($B$13,MWResourceAdds,0),0),"")</f>
        <v>5984</v>
      </c>
      <c r="P13" s="626">
        <f ca="1">IF(OFFSET(Assumptions!N$114,MATCH($B$13,MWResourceAdds,0),0)&lt;&gt;"",OFFSET(Assumptions!N$114,MATCH($B$13,MWResourceAdds,0),0),"")</f>
        <v>5984</v>
      </c>
      <c r="Q13" s="593">
        <f ca="1">IF(OFFSET(Assumptions!O$114,MATCH($B$13,MWResourceAdds,0),0)&lt;&gt;"",OFFSET(Assumptions!O$114,MATCH($B$13,MWResourceAdds,0),0),"")</f>
        <v>5984</v>
      </c>
      <c r="R13" s="593">
        <f ca="1">IF(OFFSET(Assumptions!P$114,MATCH($B$13,MWResourceAdds,0),0)&lt;&gt;"",OFFSET(Assumptions!P$114,MATCH($B$13,MWResourceAdds,0),0),"")</f>
        <v>5984</v>
      </c>
      <c r="S13" s="593">
        <f ca="1">IF(OFFSET(Assumptions!Q$114,MATCH($B$13,MWResourceAdds,0),0)&lt;&gt;"",OFFSET(Assumptions!Q$114,MATCH($B$13,MWResourceAdds,0),0),"")</f>
        <v>5984</v>
      </c>
      <c r="T13" s="593">
        <f ca="1">IF(OFFSET(Assumptions!R$114,MATCH($B$13,MWResourceAdds,0),0)&lt;&gt;"",OFFSET(Assumptions!R$114,MATCH($B$13,MWResourceAdds,0),0),"")</f>
        <v>5984</v>
      </c>
      <c r="U13" s="593">
        <f ca="1">IF(OFFSET(Assumptions!S$114,MATCH($B$13,MWResourceAdds,0),0)&lt;&gt;"",OFFSET(Assumptions!S$114,MATCH($B$13,MWResourceAdds,0),0),"")</f>
        <v>5984</v>
      </c>
      <c r="V13" s="593">
        <f ca="1">IF(OFFSET(Assumptions!T$114,MATCH($B$13,MWResourceAdds,0),0)&lt;&gt;"",OFFSET(Assumptions!T$114,MATCH($B$13,MWResourceAdds,0),0),"")</f>
        <v>5984</v>
      </c>
      <c r="W13" s="593">
        <f ca="1">IF(OFFSET(Assumptions!U$114,MATCH($B$13,MWResourceAdds,0),0)&lt;&gt;"",OFFSET(Assumptions!U$114,MATCH($B$13,MWResourceAdds,0),0),"")</f>
        <v>5984</v>
      </c>
      <c r="X13" s="593">
        <f ca="1">IF(OFFSET(Assumptions!V$114,MATCH($B$13,MWResourceAdds,0),0)&lt;&gt;"",OFFSET(Assumptions!V$114,MATCH($B$13,MWResourceAdds,0),0),"")</f>
        <v>5984</v>
      </c>
      <c r="Y13" s="593">
        <f ca="1">IF(OFFSET(Assumptions!W$114,MATCH($B$13,MWResourceAdds,0),0)&lt;&gt;"",OFFSET(Assumptions!W$114,MATCH($B$13,MWResourceAdds,0),0),"")</f>
        <v>5984</v>
      </c>
      <c r="Z13" s="593">
        <f ca="1">IF(OFFSET(Assumptions!X$114,MATCH($B$13,MWResourceAdds,0),0)&lt;&gt;"",OFFSET(Assumptions!X$114,MATCH($B$13,MWResourceAdds,0),0),"")</f>
        <v>5984</v>
      </c>
      <c r="AA13" s="593">
        <f ca="1">IF(OFFSET(Assumptions!Y$114,MATCH($B$13,MWResourceAdds,0),0)&lt;&gt;"",OFFSET(Assumptions!Y$114,MATCH($B$13,MWResourceAdds,0),0),"")</f>
        <v>5984</v>
      </c>
      <c r="AB13" s="606"/>
    </row>
    <row r="14" spans="1:28" ht="15.75" thickBot="1" x14ac:dyDescent="0.3">
      <c r="A14" s="605"/>
      <c r="B14" s="563" t="s">
        <v>3144</v>
      </c>
      <c r="C14" s="572"/>
      <c r="D14" s="565" t="s">
        <v>3426</v>
      </c>
      <c r="E14" s="593">
        <f ca="1">IF(OFFSET(Assumptions!C$117,MATCH($B$14,MWResourceAddsRPS,0),0)&lt;&gt;"",OFFSET(Assumptions!C$117,MATCH($B$14,MWResourceAddsRPS,0),0),"")</f>
        <v>152.51270785273772</v>
      </c>
      <c r="F14" s="593">
        <f ca="1">IF(OFFSET(Assumptions!D$117,MATCH($B$14,MWResourceAddsRPS,0),0)&lt;&gt;"",OFFSET(Assumptions!D$117,MATCH($B$14,MWResourceAddsRPS,0),0),"")</f>
        <v>786.70854650551632</v>
      </c>
      <c r="G14" s="593">
        <f ca="1">IF(OFFSET(Assumptions!E$117,MATCH($B$14,MWResourceAddsRPS,0),0)&lt;&gt;"",OFFSET(Assumptions!E$117,MATCH($B$14,MWResourceAddsRPS,0),0),"")</f>
        <v>1369.5442127679557</v>
      </c>
      <c r="H14" s="593">
        <f ca="1">IF(OFFSET(Assumptions!F$117,MATCH($B$14,MWResourceAddsRPS,0),0)&lt;&gt;"",OFFSET(Assumptions!F$117,MATCH($B$14,MWResourceAddsRPS,0),0),"")</f>
        <v>2065.3644854032627</v>
      </c>
      <c r="I14" s="593">
        <f ca="1">IF(OFFSET(Assumptions!G$117,MATCH($B$14,MWResourceAddsRPS,0),0)&lt;&gt;"",OFFSET(Assumptions!G$117,MATCH($B$14,MWResourceAddsRPS,0),0),"")</f>
        <v>2671.9656752559258</v>
      </c>
      <c r="J14" s="593">
        <f ca="1">IF(OFFSET(Assumptions!H$117,MATCH($B$14,MWResourceAddsRPS,0),0)&lt;&gt;"",OFFSET(Assumptions!H$117,MATCH($B$14,MWResourceAddsRPS,0),0),"")</f>
        <v>3011.4234774237598</v>
      </c>
      <c r="K14" s="593">
        <f ca="1">IF(OFFSET(Assumptions!I$117,MATCH($B$14,MWResourceAddsRPS,0),0)&lt;&gt;"",OFFSET(Assumptions!I$117,MATCH($B$14,MWResourceAddsRPS,0),0),"")</f>
        <v>3398.5166442112209</v>
      </c>
      <c r="L14" s="593">
        <f ca="1">IF(OFFSET(Assumptions!J$117,MATCH($B$14,MWResourceAddsRPS,0),0)&lt;&gt;"",OFFSET(Assumptions!J$117,MATCH($B$14,MWResourceAddsRPS,0),0),"")</f>
        <v>3398.5166442112209</v>
      </c>
      <c r="M14" s="593">
        <f ca="1">IF(OFFSET(Assumptions!K$117,MATCH($B$14,MWResourceAddsRPS,0),0)&lt;&gt;"",OFFSET(Assumptions!K$117,MATCH($B$14,MWResourceAddsRPS,0),0),"")</f>
        <v>3620.7568634159134</v>
      </c>
      <c r="N14" s="593">
        <f ca="1">IF(OFFSET(Assumptions!L$117,MATCH($B$14,MWResourceAddsRPS,0),0)&lt;&gt;"",OFFSET(Assumptions!L$117,MATCH($B$14,MWResourceAddsRPS,0),0),"")</f>
        <v>3620.7568634159134</v>
      </c>
      <c r="O14" s="593">
        <f ca="1">IF(OFFSET(Assumptions!M$117,MATCH($B$14,MWResourceAddsRPS,0),0)&lt;&gt;"",OFFSET(Assumptions!M$117,MATCH($B$14,MWResourceAddsRPS,0),0),"")</f>
        <v>3620.7568634159134</v>
      </c>
      <c r="P14" s="626">
        <f ca="1">IF(OFFSET(Assumptions!N$117,MATCH($B$14,MWResourceAddsRPS,0),0)&lt;&gt;"",OFFSET(Assumptions!N$117,MATCH($B$14,MWResourceAddsRPS,0),0),"")</f>
        <v>3620.7568634159134</v>
      </c>
      <c r="Q14" s="593">
        <f ca="1">IF(OFFSET(Assumptions!O$117,MATCH($B$14,MWResourceAddsRPS,0),0)&lt;&gt;"",OFFSET(Assumptions!O$117,MATCH($B$14,MWResourceAddsRPS,0),0),"")</f>
        <v>3620.7568634159134</v>
      </c>
      <c r="R14" s="593">
        <f ca="1">IF(OFFSET(Assumptions!P$117,MATCH($B$14,MWResourceAddsRPS,0),0)&lt;&gt;"",OFFSET(Assumptions!P$117,MATCH($B$14,MWResourceAddsRPS,0),0),"")</f>
        <v>3620.7568634159134</v>
      </c>
      <c r="S14" s="593">
        <f ca="1">IF(OFFSET(Assumptions!Q$117,MATCH($B$14,MWResourceAddsRPS,0),0)&lt;&gt;"",OFFSET(Assumptions!Q$117,MATCH($B$14,MWResourceAddsRPS,0),0),"")</f>
        <v>3620.7568634159134</v>
      </c>
      <c r="T14" s="593">
        <f ca="1">IF(OFFSET(Assumptions!R$117,MATCH($B$14,MWResourceAddsRPS,0),0)&lt;&gt;"",OFFSET(Assumptions!R$117,MATCH($B$14,MWResourceAddsRPS,0),0),"")</f>
        <v>3620.7568634159134</v>
      </c>
      <c r="U14" s="593">
        <f ca="1">IF(OFFSET(Assumptions!S$117,MATCH($B$14,MWResourceAddsRPS,0),0)&lt;&gt;"",OFFSET(Assumptions!S$117,MATCH($B$14,MWResourceAddsRPS,0),0),"")</f>
        <v>3620.7568634159134</v>
      </c>
      <c r="V14" s="593">
        <f ca="1">IF(OFFSET(Assumptions!T$117,MATCH($B$14,MWResourceAddsRPS,0),0)&lt;&gt;"",OFFSET(Assumptions!T$117,MATCH($B$14,MWResourceAddsRPS,0),0),"")</f>
        <v>3620.7568634159134</v>
      </c>
      <c r="W14" s="593">
        <f ca="1">IF(OFFSET(Assumptions!U$117,MATCH($B$14,MWResourceAddsRPS,0),0)&lt;&gt;"",OFFSET(Assumptions!U$117,MATCH($B$14,MWResourceAddsRPS,0),0),"")</f>
        <v>3620.7568634159134</v>
      </c>
      <c r="X14" s="593">
        <f ca="1">IF(OFFSET(Assumptions!V$117,MATCH($B$14,MWResourceAddsRPS,0),0)&lt;&gt;"",OFFSET(Assumptions!V$117,MATCH($B$14,MWResourceAddsRPS,0),0),"")</f>
        <v>3620.7568634159134</v>
      </c>
      <c r="Y14" s="593">
        <f ca="1">IF(OFFSET(Assumptions!W$117,MATCH($B$14,MWResourceAddsRPS,0),0)&lt;&gt;"",OFFSET(Assumptions!W$117,MATCH($B$14,MWResourceAddsRPS,0),0),"")</f>
        <v>3620.7568634159134</v>
      </c>
      <c r="Z14" s="593">
        <f ca="1">IF(OFFSET(Assumptions!X$117,MATCH($B$14,MWResourceAddsRPS,0),0)&lt;&gt;"",OFFSET(Assumptions!X$117,MATCH($B$14,MWResourceAddsRPS,0),0),"")</f>
        <v>3620.7568634159134</v>
      </c>
      <c r="AA14" s="593">
        <f ca="1">IF(OFFSET(Assumptions!Y$117,MATCH($B$14,MWResourceAddsRPS,0),0)&lt;&gt;"",OFFSET(Assumptions!Y$117,MATCH($B$14,MWResourceAddsRPS,0),0),"")</f>
        <v>3620.7568634159134</v>
      </c>
      <c r="AB14" s="606"/>
    </row>
    <row r="15" spans="1:28" ht="15.75" thickBot="1" x14ac:dyDescent="0.3">
      <c r="A15" s="605"/>
      <c r="B15" s="563" t="s">
        <v>4680</v>
      </c>
      <c r="C15" s="572"/>
      <c r="D15" s="516" t="s">
        <v>24</v>
      </c>
      <c r="E15" s="593">
        <f ca="1">IF(OFFSET(Assumptions!C$99,MATCH($B$15,MWImports,0),0)&lt;&gt;"",OFFSET(Assumptions!C$99,MATCH($B$15,MWImports,0),0),"")</f>
        <v>15819</v>
      </c>
      <c r="F15" s="593">
        <f ca="1">IF(OFFSET(Assumptions!D$99,MATCH($B$15,MWImports,0),0)&lt;&gt;"",OFFSET(Assumptions!D$99,MATCH($B$15,MWImports,0),0),"")</f>
        <v>16469</v>
      </c>
      <c r="G15" s="593">
        <f ca="1">IF(OFFSET(Assumptions!E$99,MATCH($B$15,MWImports,0),0)&lt;&gt;"",OFFSET(Assumptions!E$99,MATCH($B$15,MWImports,0),0),"")</f>
        <v>16469</v>
      </c>
      <c r="H15" s="593">
        <f ca="1">IF(OFFSET(Assumptions!F$99,MATCH($B$15,MWImports,0),0)&lt;&gt;"",OFFSET(Assumptions!F$99,MATCH($B$15,MWImports,0),0),"")</f>
        <v>16469</v>
      </c>
      <c r="I15" s="593">
        <f ca="1">IF(OFFSET(Assumptions!G$99,MATCH($B$15,MWImports,0),0)&lt;&gt;"",OFFSET(Assumptions!G$99,MATCH($B$15,MWImports,0),0),"")</f>
        <v>16469</v>
      </c>
      <c r="J15" s="593">
        <f ca="1">IF(OFFSET(Assumptions!H$99,MATCH($B$15,MWImports,0),0)&lt;&gt;"",OFFSET(Assumptions!H$99,MATCH($B$15,MWImports,0),0),"")</f>
        <v>16469</v>
      </c>
      <c r="K15" s="593">
        <f ca="1">IF(OFFSET(Assumptions!I$99,MATCH($B$15,MWImports,0),0)&lt;&gt;"",OFFSET(Assumptions!I$99,MATCH($B$15,MWImports,0),0),"")</f>
        <v>16469</v>
      </c>
      <c r="L15" s="593">
        <f ca="1">IF(OFFSET(Assumptions!J$99,MATCH($B$15,MWImports,0),0)&lt;&gt;"",OFFSET(Assumptions!J$99,MATCH($B$15,MWImports,0),0),"")</f>
        <v>16469</v>
      </c>
      <c r="M15" s="593">
        <f ca="1">IF(OFFSET(Assumptions!K$99,MATCH($B$15,MWImports,0),0)&lt;&gt;"",OFFSET(Assumptions!K$99,MATCH($B$15,MWImports,0),0),"")</f>
        <v>16469</v>
      </c>
      <c r="N15" s="593">
        <f ca="1">IF(OFFSET(Assumptions!L$99,MATCH($B$15,MWImports,0),0)&lt;&gt;"",OFFSET(Assumptions!L$99,MATCH($B$15,MWImports,0),0),"")</f>
        <v>16469</v>
      </c>
      <c r="O15" s="593">
        <f ca="1">IF(OFFSET(Assumptions!M$99,MATCH($B$15,MWImports,0),0)&lt;&gt;"",OFFSET(Assumptions!M$99,MATCH($B$15,MWImports,0),0),"")</f>
        <v>16469</v>
      </c>
      <c r="P15" s="626">
        <f ca="1">IF(OFFSET(Assumptions!N$99,MATCH($B$15,MWImports,0),0)&lt;&gt;"",OFFSET(Assumptions!N$99,MATCH($B$15,MWImports,0),0),"")</f>
        <v>16469</v>
      </c>
      <c r="Q15" s="593">
        <f ca="1">IF(OFFSET(Assumptions!O$99,MATCH($B$15,MWImports,0),0)&lt;&gt;"",OFFSET(Assumptions!O$99,MATCH($B$15,MWImports,0),0),"")</f>
        <v>16469</v>
      </c>
      <c r="R15" s="593">
        <f ca="1">IF(OFFSET(Assumptions!P$99,MATCH($B$15,MWImports,0),0)&lt;&gt;"",OFFSET(Assumptions!P$99,MATCH($B$15,MWImports,0),0),"")</f>
        <v>16469</v>
      </c>
      <c r="S15" s="593">
        <f ca="1">IF(OFFSET(Assumptions!Q$99,MATCH($B$15,MWImports,0),0)&lt;&gt;"",OFFSET(Assumptions!Q$99,MATCH($B$15,MWImports,0),0),"")</f>
        <v>16469</v>
      </c>
      <c r="T15" s="593">
        <f ca="1">IF(OFFSET(Assumptions!R$99,MATCH($B$15,MWImports,0),0)&lt;&gt;"",OFFSET(Assumptions!R$99,MATCH($B$15,MWImports,0),0),"")</f>
        <v>16469</v>
      </c>
      <c r="U15" s="593">
        <f ca="1">IF(OFFSET(Assumptions!S$99,MATCH($B$15,MWImports,0),0)&lt;&gt;"",OFFSET(Assumptions!S$99,MATCH($B$15,MWImports,0),0),"")</f>
        <v>16469</v>
      </c>
      <c r="V15" s="593">
        <f ca="1">IF(OFFSET(Assumptions!T$99,MATCH($B$15,MWImports,0),0)&lt;&gt;"",OFFSET(Assumptions!T$99,MATCH($B$15,MWImports,0),0),"")</f>
        <v>16469</v>
      </c>
      <c r="W15" s="593">
        <f ca="1">IF(OFFSET(Assumptions!U$99,MATCH($B$15,MWImports,0),0)&lt;&gt;"",OFFSET(Assumptions!U$99,MATCH($B$15,MWImports,0),0),"")</f>
        <v>16469</v>
      </c>
      <c r="X15" s="593">
        <f ca="1">IF(OFFSET(Assumptions!V$99,MATCH($B$15,MWImports,0),0)&lt;&gt;"",OFFSET(Assumptions!V$99,MATCH($B$15,MWImports,0),0),"")</f>
        <v>16469</v>
      </c>
      <c r="Y15" s="593">
        <f ca="1">IF(OFFSET(Assumptions!W$99,MATCH($B$15,MWImports,0),0)&lt;&gt;"",OFFSET(Assumptions!W$99,MATCH($B$15,MWImports,0),0),"")</f>
        <v>16469</v>
      </c>
      <c r="Z15" s="593">
        <f ca="1">IF(OFFSET(Assumptions!X$99,MATCH($B$15,MWImports,0),0)&lt;&gt;"",OFFSET(Assumptions!X$99,MATCH($B$15,MWImports,0),0),"")</f>
        <v>16469</v>
      </c>
      <c r="AA15" s="593">
        <f ca="1">IF(OFFSET(Assumptions!Y$99,MATCH($B$15,MWImports,0),0)&lt;&gt;"",OFFSET(Assumptions!Y$99,MATCH($B$15,MWImports,0),0),"")</f>
        <v>16469</v>
      </c>
      <c r="AB15" s="606"/>
    </row>
    <row r="16" spans="1:28" ht="15.75" thickBot="1" x14ac:dyDescent="0.3">
      <c r="A16" s="605"/>
      <c r="B16" s="563" t="s">
        <v>0</v>
      </c>
      <c r="C16" s="572"/>
      <c r="D16" s="549" t="s">
        <v>4754</v>
      </c>
      <c r="E16" s="593">
        <f ca="1">IF(OFFSET(Assumptions!C$78,MATCH($B$16,MWIncSCHP,0),0)&lt;&gt;"",OFFSET(Assumptions!C$78,MATCH($B$16,MWIncSCHP,0),0),"")</f>
        <v>0</v>
      </c>
      <c r="F16" s="593">
        <f ca="1">IF(OFFSET(Assumptions!D$78,MATCH($B$16,MWIncSCHP,0),0)&lt;&gt;"",OFFSET(Assumptions!D$78,MATCH($B$16,MWIncSCHP,0),0),"")</f>
        <v>0</v>
      </c>
      <c r="G16" s="593">
        <f ca="1">IF(OFFSET(Assumptions!E$78,MATCH($B$16,MWIncSCHP,0),0)&lt;&gt;"",OFFSET(Assumptions!E$78,MATCH($B$16,MWIncSCHP,0),0),"")</f>
        <v>0</v>
      </c>
      <c r="H16" s="593">
        <f ca="1">IF(OFFSET(Assumptions!F$78,MATCH($B$16,MWIncSCHP,0),0)&lt;&gt;"",OFFSET(Assumptions!F$78,MATCH($B$16,MWIncSCHP,0),0),"")</f>
        <v>0</v>
      </c>
      <c r="I16" s="593">
        <f ca="1">IF(OFFSET(Assumptions!G$78,MATCH($B$16,MWIncSCHP,0),0)&lt;&gt;"",OFFSET(Assumptions!G$78,MATCH($B$16,MWIncSCHP,0),0),"")</f>
        <v>0</v>
      </c>
      <c r="J16" s="593">
        <f ca="1">IF(OFFSET(Assumptions!H$78,MATCH($B$16,MWIncSCHP,0),0)&lt;&gt;"",OFFSET(Assumptions!H$78,MATCH($B$16,MWIncSCHP,0),0),"")</f>
        <v>0</v>
      </c>
      <c r="K16" s="593">
        <f ca="1">IF(OFFSET(Assumptions!I$78,MATCH($B$16,MWIncSCHP,0),0)&lt;&gt;"",OFFSET(Assumptions!I$78,MATCH($B$16,MWIncSCHP,0),0),"")</f>
        <v>0</v>
      </c>
      <c r="L16" s="593">
        <f ca="1">IF(OFFSET(Assumptions!J$78,MATCH($B$16,MWIncSCHP,0),0)&lt;&gt;"",OFFSET(Assumptions!J$78,MATCH($B$16,MWIncSCHP,0),0),"")</f>
        <v>0</v>
      </c>
      <c r="M16" s="593">
        <f ca="1">IF(OFFSET(Assumptions!K$78,MATCH($B$16,MWIncSCHP,0),0)&lt;&gt;"",OFFSET(Assumptions!K$78,MATCH($B$16,MWIncSCHP,0),0),"")</f>
        <v>0</v>
      </c>
      <c r="N16" s="593">
        <f ca="1">IF(OFFSET(Assumptions!L$78,MATCH($B$16,MWIncSCHP,0),0)&lt;&gt;"",OFFSET(Assumptions!L$78,MATCH($B$16,MWIncSCHP,0),0),"")</f>
        <v>0</v>
      </c>
      <c r="O16" s="593">
        <f ca="1">IF(OFFSET(Assumptions!M$78,MATCH($B$16,MWIncSCHP,0),0)&lt;&gt;"",OFFSET(Assumptions!M$78,MATCH($B$16,MWIncSCHP,0),0),"")</f>
        <v>0</v>
      </c>
      <c r="P16" s="626">
        <f ca="1">IF(OFFSET(Assumptions!N$78,MATCH($B$16,MWIncSCHP,0),0)&lt;&gt;"",OFFSET(Assumptions!N$78,MATCH($B$16,MWIncSCHP,0),0),"")</f>
        <v>0</v>
      </c>
      <c r="Q16" s="593">
        <f ca="1">IF(OFFSET(Assumptions!O$78,MATCH($B$16,MWIncSCHP,0),0)&lt;&gt;"",OFFSET(Assumptions!O$78,MATCH($B$16,MWIncSCHP,0),0),"")</f>
        <v>0</v>
      </c>
      <c r="R16" s="593">
        <f ca="1">IF(OFFSET(Assumptions!P$78,MATCH($B$16,MWIncSCHP,0),0)&lt;&gt;"",OFFSET(Assumptions!P$78,MATCH($B$16,MWIncSCHP,0),0),"")</f>
        <v>0</v>
      </c>
      <c r="S16" s="593">
        <f ca="1">IF(OFFSET(Assumptions!Q$78,MATCH($B$16,MWIncSCHP,0),0)&lt;&gt;"",OFFSET(Assumptions!Q$78,MATCH($B$16,MWIncSCHP,0),0),"")</f>
        <v>0</v>
      </c>
      <c r="T16" s="593">
        <f ca="1">IF(OFFSET(Assumptions!R$78,MATCH($B$16,MWIncSCHP,0),0)&lt;&gt;"",OFFSET(Assumptions!R$78,MATCH($B$16,MWIncSCHP,0),0),"")</f>
        <v>0</v>
      </c>
      <c r="U16" s="593">
        <f ca="1">IF(OFFSET(Assumptions!S$78,MATCH($B$16,MWIncSCHP,0),0)&lt;&gt;"",OFFSET(Assumptions!S$78,MATCH($B$16,MWIncSCHP,0),0),"")</f>
        <v>0</v>
      </c>
      <c r="V16" s="593">
        <f ca="1">IF(OFFSET(Assumptions!T$78,MATCH($B$16,MWIncSCHP,0),0)&lt;&gt;"",OFFSET(Assumptions!T$78,MATCH($B$16,MWIncSCHP,0),0),"")</f>
        <v>0</v>
      </c>
      <c r="W16" s="593">
        <f ca="1">IF(OFFSET(Assumptions!U$78,MATCH($B$16,MWIncSCHP,0),0)&lt;&gt;"",OFFSET(Assumptions!U$78,MATCH($B$16,MWIncSCHP,0),0),"")</f>
        <v>0</v>
      </c>
      <c r="X16" s="593">
        <f ca="1">IF(OFFSET(Assumptions!V$78,MATCH($B$16,MWIncSCHP,0),0)&lt;&gt;"",OFFSET(Assumptions!V$78,MATCH($B$16,MWIncSCHP,0),0),"")</f>
        <v>0</v>
      </c>
      <c r="Y16" s="593">
        <f ca="1">IF(OFFSET(Assumptions!W$78,MATCH($B$16,MWIncSCHP,0),0)&lt;&gt;"",OFFSET(Assumptions!W$78,MATCH($B$16,MWIncSCHP,0),0),"")</f>
        <v>0</v>
      </c>
      <c r="Z16" s="593">
        <f ca="1">IF(OFFSET(Assumptions!X$78,MATCH($B$16,MWIncSCHP,0),0)&lt;&gt;"",OFFSET(Assumptions!X$78,MATCH($B$16,MWIncSCHP,0),0),"")</f>
        <v>0</v>
      </c>
      <c r="AA16" s="593">
        <f ca="1">IF(OFFSET(Assumptions!Y$78,MATCH($B$16,MWIncSCHP,0),0)&lt;&gt;"",OFFSET(Assumptions!Y$78,MATCH($B$16,MWIncSCHP,0),0),"")</f>
        <v>0</v>
      </c>
      <c r="AB16" s="606"/>
    </row>
    <row r="17" spans="1:28" ht="15.75" thickBot="1" x14ac:dyDescent="0.3">
      <c r="A17" s="605"/>
      <c r="B17" s="563" t="s">
        <v>9</v>
      </c>
      <c r="C17" s="572"/>
      <c r="D17" s="553" t="s">
        <v>4825</v>
      </c>
      <c r="E17" s="593">
        <f ca="1">IF(OFFSET(Assumptions!C$92,MATCH($B$17,MWEventBasedDR,0),0)&lt;&gt;"",OFFSET(Assumptions!C$92,MATCH($B$17,MWEventBasedDR,0),0),"")</f>
        <v>2103</v>
      </c>
      <c r="F17" s="593">
        <f ca="1">IF(OFFSET(Assumptions!D$92,MATCH($B$17,MWEventBasedDR,0),0)&lt;&gt;"",OFFSET(Assumptions!D$92,MATCH($B$17,MWEventBasedDR,0),0),"")</f>
        <v>2326</v>
      </c>
      <c r="G17" s="593">
        <f ca="1">IF(OFFSET(Assumptions!E$92,MATCH($B$17,MWEventBasedDR,0),0)&lt;&gt;"",OFFSET(Assumptions!E$92,MATCH($B$17,MWEventBasedDR,0),0),"")</f>
        <v>2499</v>
      </c>
      <c r="H17" s="593">
        <f ca="1">IF(OFFSET(Assumptions!F$92,MATCH($B$17,MWEventBasedDR,0),0)&lt;&gt;"",OFFSET(Assumptions!F$92,MATCH($B$17,MWEventBasedDR,0),0),"")</f>
        <v>2537</v>
      </c>
      <c r="I17" s="593">
        <f ca="1">IF(OFFSET(Assumptions!G$92,MATCH($B$17,MWEventBasedDR,0),0)&lt;&gt;"",OFFSET(Assumptions!G$92,MATCH($B$17,MWEventBasedDR,0),0),"")</f>
        <v>2571</v>
      </c>
      <c r="J17" s="593">
        <f ca="1">IF(OFFSET(Assumptions!H$92,MATCH($B$17,MWEventBasedDR,0),0)&lt;&gt;"",OFFSET(Assumptions!H$92,MATCH($B$17,MWEventBasedDR,0),0),"")</f>
        <v>2589</v>
      </c>
      <c r="K17" s="593">
        <f ca="1">IF(OFFSET(Assumptions!I$92,MATCH($B$17,MWEventBasedDR,0),0)&lt;&gt;"",OFFSET(Assumptions!I$92,MATCH($B$17,MWEventBasedDR,0),0),"")</f>
        <v>2591</v>
      </c>
      <c r="L17" s="593">
        <f ca="1">IF(OFFSET(Assumptions!J$92,MATCH($B$17,MWEventBasedDR,0),0)&lt;&gt;"",OFFSET(Assumptions!J$92,MATCH($B$17,MWEventBasedDR,0),0),"")</f>
        <v>2593</v>
      </c>
      <c r="M17" s="593">
        <f ca="1">IF(OFFSET(Assumptions!K$92,MATCH($B$17,MWEventBasedDR,0),0)&lt;&gt;"",OFFSET(Assumptions!K$92,MATCH($B$17,MWEventBasedDR,0),0),"")</f>
        <v>2595</v>
      </c>
      <c r="N17" s="593">
        <f ca="1">IF(OFFSET(Assumptions!L$92,MATCH($B$17,MWEventBasedDR,0),0)&lt;&gt;"",OFFSET(Assumptions!L$92,MATCH($B$17,MWEventBasedDR,0),0),"")</f>
        <v>2595</v>
      </c>
      <c r="O17" s="593">
        <f ca="1">IF(OFFSET(Assumptions!M$92,MATCH($B$17,MWEventBasedDR,0),0)&lt;&gt;"",OFFSET(Assumptions!M$92,MATCH($B$17,MWEventBasedDR,0),0),"")</f>
        <v>2595</v>
      </c>
      <c r="P17" s="626">
        <f ca="1">IF(OFFSET(Assumptions!N$92,MATCH($B$17,MWEventBasedDR,0),0)&lt;&gt;"",OFFSET(Assumptions!N$92,MATCH($B$17,MWEventBasedDR,0),0),"")</f>
        <v>2595</v>
      </c>
      <c r="Q17" s="593">
        <f ca="1">IF(OFFSET(Assumptions!O$92,MATCH($B$17,MWEventBasedDR,0),0)&lt;&gt;"",OFFSET(Assumptions!O$92,MATCH($B$17,MWEventBasedDR,0),0),"")</f>
        <v>2595</v>
      </c>
      <c r="R17" s="593">
        <f ca="1">IF(OFFSET(Assumptions!P$92,MATCH($B$17,MWEventBasedDR,0),0)&lt;&gt;"",OFFSET(Assumptions!P$92,MATCH($B$17,MWEventBasedDR,0),0),"")</f>
        <v>2595</v>
      </c>
      <c r="S17" s="593">
        <f ca="1">IF(OFFSET(Assumptions!Q$92,MATCH($B$17,MWEventBasedDR,0),0)&lt;&gt;"",OFFSET(Assumptions!Q$92,MATCH($B$17,MWEventBasedDR,0),0),"")</f>
        <v>2595</v>
      </c>
      <c r="T17" s="593">
        <f ca="1">IF(OFFSET(Assumptions!R$92,MATCH($B$17,MWEventBasedDR,0),0)&lt;&gt;"",OFFSET(Assumptions!R$92,MATCH($B$17,MWEventBasedDR,0),0),"")</f>
        <v>2595</v>
      </c>
      <c r="U17" s="593">
        <f ca="1">IF(OFFSET(Assumptions!S$92,MATCH($B$17,MWEventBasedDR,0),0)&lt;&gt;"",OFFSET(Assumptions!S$92,MATCH($B$17,MWEventBasedDR,0),0),"")</f>
        <v>2595</v>
      </c>
      <c r="V17" s="593">
        <f ca="1">IF(OFFSET(Assumptions!T$92,MATCH($B$17,MWEventBasedDR,0),0)&lt;&gt;"",OFFSET(Assumptions!T$92,MATCH($B$17,MWEventBasedDR,0),0),"")</f>
        <v>2595</v>
      </c>
      <c r="W17" s="593">
        <f ca="1">IF(OFFSET(Assumptions!U$92,MATCH($B$17,MWEventBasedDR,0),0)&lt;&gt;"",OFFSET(Assumptions!U$92,MATCH($B$17,MWEventBasedDR,0),0),"")</f>
        <v>2595</v>
      </c>
      <c r="X17" s="593">
        <f ca="1">IF(OFFSET(Assumptions!V$92,MATCH($B$17,MWEventBasedDR,0),0)&lt;&gt;"",OFFSET(Assumptions!V$92,MATCH($B$17,MWEventBasedDR,0),0),"")</f>
        <v>2595</v>
      </c>
      <c r="Y17" s="593">
        <f ca="1">IF(OFFSET(Assumptions!W$92,MATCH($B$17,MWEventBasedDR,0),0)&lt;&gt;"",OFFSET(Assumptions!W$92,MATCH($B$17,MWEventBasedDR,0),0),"")</f>
        <v>2595</v>
      </c>
      <c r="Z17" s="593">
        <f ca="1">IF(OFFSET(Assumptions!X$92,MATCH($B$17,MWEventBasedDR,0),0)&lt;&gt;"",OFFSET(Assumptions!X$92,MATCH($B$17,MWEventBasedDR,0),0),"")</f>
        <v>2595</v>
      </c>
      <c r="AA17" s="593">
        <f ca="1">IF(OFFSET(Assumptions!Y$92,MATCH($B$17,MWEventBasedDR,0),0)&lt;&gt;"",OFFSET(Assumptions!Y$92,MATCH($B$17,MWEventBasedDR,0),0),"")</f>
        <v>2595</v>
      </c>
      <c r="AB17" s="606"/>
    </row>
    <row r="18" spans="1:28" ht="15.75" thickBot="1" x14ac:dyDescent="0.3">
      <c r="A18" s="605"/>
      <c r="B18" s="676"/>
      <c r="C18" s="572"/>
      <c r="D18" s="548" t="s">
        <v>4828</v>
      </c>
      <c r="E18" s="597">
        <f ca="1">SUM(E19:E23)</f>
        <v>2342.6099999999997</v>
      </c>
      <c r="F18" s="597">
        <f t="shared" ref="F18:H18" ca="1" si="4">SUM(F19:F23)</f>
        <v>3016.6099999999997</v>
      </c>
      <c r="G18" s="597">
        <f t="shared" ca="1" si="4"/>
        <v>3070.6099999999997</v>
      </c>
      <c r="H18" s="597">
        <f t="shared" ca="1" si="4"/>
        <v>4455.6099999999997</v>
      </c>
      <c r="I18" s="597">
        <f t="shared" ref="I18" ca="1" si="5">SUM(I19:I23)</f>
        <v>4527.75</v>
      </c>
      <c r="J18" s="597">
        <f t="shared" ref="J18" ca="1" si="6">SUM(J19:J23)</f>
        <v>8651.2899999999991</v>
      </c>
      <c r="K18" s="597">
        <f t="shared" ref="K18" ca="1" si="7">SUM(K19:K23)</f>
        <v>9307.49</v>
      </c>
      <c r="L18" s="597">
        <f t="shared" ref="L18" ca="1" si="8">SUM(L19:L23)</f>
        <v>9357.49</v>
      </c>
      <c r="M18" s="597">
        <f t="shared" ref="M18" ca="1" si="9">SUM(M19:M23)</f>
        <v>15815.000000000002</v>
      </c>
      <c r="N18" s="597">
        <f t="shared" ref="N18" ca="1" si="10">SUM(N19:N23)</f>
        <v>15821.030000000002</v>
      </c>
      <c r="O18" s="597">
        <f t="shared" ref="O18" ca="1" si="11">SUM(O19:O23)</f>
        <v>15921.740000000002</v>
      </c>
      <c r="P18" s="629">
        <f t="shared" ref="P18" ca="1" si="12">SUM(P19:P23)</f>
        <v>16127.130000000001</v>
      </c>
      <c r="Q18" s="597">
        <f t="shared" ref="Q18" ca="1" si="13">SUM(Q19:Q23)</f>
        <v>16282.060000000001</v>
      </c>
      <c r="R18" s="597">
        <f t="shared" ref="R18" ca="1" si="14">SUM(R19:R23)</f>
        <v>16721.240000000002</v>
      </c>
      <c r="S18" s="597">
        <f t="shared" ref="S18" ca="1" si="15">SUM(S19:S23)</f>
        <v>17074.870000000003</v>
      </c>
      <c r="T18" s="597">
        <f t="shared" ref="T18" ca="1" si="16">SUM(T19:T23)</f>
        <v>17923.97</v>
      </c>
      <c r="U18" s="597">
        <f t="shared" ref="U18" ca="1" si="17">SUM(U19:U23)</f>
        <v>18279.850000000002</v>
      </c>
      <c r="V18" s="597">
        <f t="shared" ref="V18" ca="1" si="18">SUM(V19:V23)</f>
        <v>19221.86</v>
      </c>
      <c r="W18" s="597">
        <f t="shared" ref="W18" ca="1" si="19">SUM(W19:W23)</f>
        <v>19801.460000000003</v>
      </c>
      <c r="X18" s="597">
        <f t="shared" ref="X18" ca="1" si="20">SUM(X19:X23)</f>
        <v>20030.300000000003</v>
      </c>
      <c r="Y18" s="597">
        <f t="shared" ref="Y18" ca="1" si="21">SUM(Y19:Y23)</f>
        <v>20053.120000000003</v>
      </c>
      <c r="Z18" s="597">
        <f t="shared" ref="Z18" ca="1" si="22">SUM(Z19:Z23)</f>
        <v>20069.490000000005</v>
      </c>
      <c r="AA18" s="598">
        <f t="shared" ref="AA18" ca="1" si="23">SUM(AA19:AA23)</f>
        <v>20113.450000000004</v>
      </c>
      <c r="AB18" s="606"/>
    </row>
    <row r="19" spans="1:28" ht="15.75" thickBot="1" x14ac:dyDescent="0.3">
      <c r="A19" s="605"/>
      <c r="B19" s="579" t="s">
        <v>9</v>
      </c>
      <c r="C19" s="572"/>
      <c r="D19" s="551" t="s">
        <v>29</v>
      </c>
      <c r="E19" s="593">
        <f ca="1">OFFSET(Assumptions!C$136,MATCH($B$19,MWOTCRetires,0),0)</f>
        <v>452</v>
      </c>
      <c r="F19" s="593">
        <f ca="1">OFFSET(Assumptions!D$136,MATCH($B$19,MWOTCRetires,0),0)</f>
        <v>1126</v>
      </c>
      <c r="G19" s="593">
        <f ca="1">OFFSET(Assumptions!E$136,MATCH($B$19,MWOTCRetires,0),0)</f>
        <v>1126</v>
      </c>
      <c r="H19" s="593">
        <f ca="1">OFFSET(Assumptions!F$136,MATCH($B$19,MWOTCRetires,0),0)</f>
        <v>2446</v>
      </c>
      <c r="I19" s="593">
        <f ca="1">OFFSET(Assumptions!G$136,MATCH($B$19,MWOTCRetires,0),0)</f>
        <v>2446</v>
      </c>
      <c r="J19" s="593">
        <f ca="1">OFFSET(Assumptions!H$136,MATCH($B$19,MWOTCRetires,0),0)</f>
        <v>6569.53</v>
      </c>
      <c r="K19" s="593">
        <f ca="1">OFFSET(Assumptions!I$136,MATCH($B$19,MWOTCRetires,0),0)</f>
        <v>6569.53</v>
      </c>
      <c r="L19" s="593">
        <f ca="1">OFFSET(Assumptions!J$136,MATCH($B$19,MWOTCRetires,0),0)</f>
        <v>6569.53</v>
      </c>
      <c r="M19" s="593">
        <f ca="1">OFFSET(Assumptions!K$136,MATCH($B$19,MWOTCRetires,0),0)</f>
        <v>12463.750000000002</v>
      </c>
      <c r="N19" s="593">
        <f ca="1">OFFSET(Assumptions!L$136,MATCH($B$19,MWOTCRetires,0),0)</f>
        <v>12463.750000000002</v>
      </c>
      <c r="O19" s="593">
        <f ca="1">OFFSET(Assumptions!M$136,MATCH($B$19,MWOTCRetires,0),0)</f>
        <v>12463.750000000002</v>
      </c>
      <c r="P19" s="626">
        <f ca="1">OFFSET(Assumptions!N$136,MATCH($B$19,MWOTCRetires,0),0)</f>
        <v>12463.750000000002</v>
      </c>
      <c r="Q19" s="593">
        <f ca="1">OFFSET(Assumptions!O$136,MATCH($B$19,MWOTCRetires,0),0)</f>
        <v>12463.750000000002</v>
      </c>
      <c r="R19" s="593">
        <f ca="1">OFFSET(Assumptions!P$136,MATCH($B$19,MWOTCRetires,0),0)</f>
        <v>12463.750000000002</v>
      </c>
      <c r="S19" s="593">
        <f ca="1">OFFSET(Assumptions!Q$136,MATCH($B$19,MWOTCRetires,0),0)</f>
        <v>12463.750000000002</v>
      </c>
      <c r="T19" s="593">
        <f ca="1">OFFSET(Assumptions!R$136,MATCH($B$19,MWOTCRetires,0),0)</f>
        <v>12463.750000000002</v>
      </c>
      <c r="U19" s="593">
        <f ca="1">OFFSET(Assumptions!S$136,MATCH($B$19,MWOTCRetires,0),0)</f>
        <v>12463.750000000002</v>
      </c>
      <c r="V19" s="593">
        <f ca="1">OFFSET(Assumptions!T$136,MATCH($B$19,MWOTCRetires,0),0)</f>
        <v>12463.750000000002</v>
      </c>
      <c r="W19" s="593">
        <f ca="1">OFFSET(Assumptions!U$136,MATCH($B$19,MWOTCRetires,0),0)</f>
        <v>12463.750000000002</v>
      </c>
      <c r="X19" s="593">
        <f ca="1">OFFSET(Assumptions!V$136,MATCH($B$19,MWOTCRetires,0),0)</f>
        <v>12463.750000000002</v>
      </c>
      <c r="Y19" s="593">
        <f ca="1">OFFSET(Assumptions!W$136,MATCH($B$19,MWOTCRetires,0),0)</f>
        <v>12463.750000000002</v>
      </c>
      <c r="Z19" s="593">
        <f ca="1">OFFSET(Assumptions!X$136,MATCH($B$19,MWOTCRetires,0),0)</f>
        <v>12463.750000000002</v>
      </c>
      <c r="AA19" s="594">
        <f ca="1">OFFSET(Assumptions!Y$136,MATCH($B$19,MWOTCRetires,0),0)</f>
        <v>12463.750000000002</v>
      </c>
      <c r="AB19" s="606"/>
    </row>
    <row r="20" spans="1:28" ht="15.75" thickBot="1" x14ac:dyDescent="0.3">
      <c r="A20" s="605"/>
      <c r="B20" s="579" t="s">
        <v>0</v>
      </c>
      <c r="C20" s="572"/>
      <c r="D20" s="550" t="s">
        <v>4751</v>
      </c>
      <c r="E20" s="593">
        <f ca="1">OFFSET(Assumptions!C$140,MATCH($B$20,MWNuclearRetires,0),0)</f>
        <v>0</v>
      </c>
      <c r="F20" s="593">
        <f ca="1">OFFSET(Assumptions!D$140,MATCH($B$20,MWNuclearRetires,0),0)</f>
        <v>0</v>
      </c>
      <c r="G20" s="593">
        <f ca="1">OFFSET(Assumptions!E$140,MATCH($B$20,MWNuclearRetires,0),0)</f>
        <v>0</v>
      </c>
      <c r="H20" s="593">
        <f ca="1">OFFSET(Assumptions!F$140,MATCH($B$20,MWNuclearRetires,0),0)</f>
        <v>0</v>
      </c>
      <c r="I20" s="593">
        <f ca="1">OFFSET(Assumptions!G$140,MATCH($B$20,MWNuclearRetires,0),0)</f>
        <v>0</v>
      </c>
      <c r="J20" s="593">
        <f ca="1">OFFSET(Assumptions!H$140,MATCH($B$20,MWNuclearRetires,0),0)</f>
        <v>0</v>
      </c>
      <c r="K20" s="593">
        <f ca="1">OFFSET(Assumptions!I$140,MATCH($B$20,MWNuclearRetires,0),0)</f>
        <v>0</v>
      </c>
      <c r="L20" s="593">
        <f ca="1">OFFSET(Assumptions!J$140,MATCH($B$20,MWNuclearRetires,0),0)</f>
        <v>0</v>
      </c>
      <c r="M20" s="593">
        <f ca="1">OFFSET(Assumptions!K$140,MATCH($B$20,MWNuclearRetires,0),0)</f>
        <v>0</v>
      </c>
      <c r="N20" s="593">
        <f ca="1">OFFSET(Assumptions!L$140,MATCH($B$20,MWNuclearRetires,0),0)</f>
        <v>0</v>
      </c>
      <c r="O20" s="593">
        <f ca="1">OFFSET(Assumptions!M$140,MATCH($B$20,MWNuclearRetires,0),0)</f>
        <v>0</v>
      </c>
      <c r="P20" s="626">
        <f ca="1">OFFSET(Assumptions!N$140,MATCH($B$20,MWNuclearRetires,0),0)</f>
        <v>0</v>
      </c>
      <c r="Q20" s="593">
        <f ca="1">OFFSET(Assumptions!O$140,MATCH($B$20,MWNuclearRetires,0),0)</f>
        <v>0</v>
      </c>
      <c r="R20" s="593">
        <f ca="1">OFFSET(Assumptions!P$140,MATCH($B$20,MWNuclearRetires,0),0)</f>
        <v>0</v>
      </c>
      <c r="S20" s="593">
        <f ca="1">OFFSET(Assumptions!Q$140,MATCH($B$20,MWNuclearRetires,0),0)</f>
        <v>0</v>
      </c>
      <c r="T20" s="593">
        <f ca="1">OFFSET(Assumptions!R$140,MATCH($B$20,MWNuclearRetires,0),0)</f>
        <v>0</v>
      </c>
      <c r="U20" s="593">
        <f ca="1">OFFSET(Assumptions!S$140,MATCH($B$20,MWNuclearRetires,0),0)</f>
        <v>0</v>
      </c>
      <c r="V20" s="593">
        <f ca="1">OFFSET(Assumptions!T$140,MATCH($B$20,MWNuclearRetires,0),0)</f>
        <v>0</v>
      </c>
      <c r="W20" s="593">
        <f ca="1">OFFSET(Assumptions!U$140,MATCH($B$20,MWNuclearRetires,0),0)</f>
        <v>0</v>
      </c>
      <c r="X20" s="593">
        <f ca="1">OFFSET(Assumptions!V$140,MATCH($B$20,MWNuclearRetires,0),0)</f>
        <v>0</v>
      </c>
      <c r="Y20" s="593">
        <f ca="1">OFFSET(Assumptions!W$140,MATCH($B$20,MWNuclearRetires,0),0)</f>
        <v>0</v>
      </c>
      <c r="Z20" s="593">
        <f ca="1">OFFSET(Assumptions!X$140,MATCH($B$20,MWNuclearRetires,0),0)</f>
        <v>0</v>
      </c>
      <c r="AA20" s="594">
        <f ca="1">OFFSET(Assumptions!Y$140,MATCH($B$20,MWNuclearRetires,0),0)</f>
        <v>0</v>
      </c>
      <c r="AB20" s="606"/>
    </row>
    <row r="21" spans="1:28" ht="15.75" thickBot="1" x14ac:dyDescent="0.3">
      <c r="A21" s="605"/>
      <c r="B21" s="579" t="s">
        <v>0</v>
      </c>
      <c r="C21" s="572"/>
      <c r="D21" s="637" t="s">
        <v>4858</v>
      </c>
      <c r="E21" s="593">
        <f ca="1">OFFSET(Assumptions!C$145,MATCH($B$21,MWSolarWindRetires,0),0)</f>
        <v>0</v>
      </c>
      <c r="F21" s="593">
        <f ca="1">OFFSET(Assumptions!D$145,MATCH($B$21,MWSolarWindRetires,0),0)</f>
        <v>0</v>
      </c>
      <c r="G21" s="593">
        <f ca="1">OFFSET(Assumptions!E$145,MATCH($B$21,MWSolarWindRetires,0),0)</f>
        <v>0</v>
      </c>
      <c r="H21" s="593">
        <f ca="1">OFFSET(Assumptions!F$145,MATCH($B$21,MWSolarWindRetires,0),0)</f>
        <v>0</v>
      </c>
      <c r="I21" s="593">
        <f ca="1">OFFSET(Assumptions!G$145,MATCH($B$21,MWSolarWindRetires,0),0)</f>
        <v>0</v>
      </c>
      <c r="J21" s="593">
        <f ca="1">OFFSET(Assumptions!H$145,MATCH($B$21,MWSolarWindRetires,0),0)</f>
        <v>0</v>
      </c>
      <c r="K21" s="593">
        <f ca="1">OFFSET(Assumptions!I$145,MATCH($B$21,MWSolarWindRetires,0),0)</f>
        <v>0</v>
      </c>
      <c r="L21" s="593">
        <f ca="1">OFFSET(Assumptions!J$145,MATCH($B$21,MWSolarWindRetires,0),0)</f>
        <v>0</v>
      </c>
      <c r="M21" s="593">
        <f ca="1">OFFSET(Assumptions!K$145,MATCH($B$21,MWSolarWindRetires,0),0)</f>
        <v>0</v>
      </c>
      <c r="N21" s="593">
        <f ca="1">OFFSET(Assumptions!L$145,MATCH($B$21,MWSolarWindRetires,0),0)</f>
        <v>0</v>
      </c>
      <c r="O21" s="593">
        <f ca="1">OFFSET(Assumptions!M$145,MATCH($B$21,MWSolarWindRetires,0),0)</f>
        <v>0</v>
      </c>
      <c r="P21" s="626">
        <f ca="1">OFFSET(Assumptions!N$145,MATCH($B$21,MWSolarWindRetires,0),0)</f>
        <v>0</v>
      </c>
      <c r="Q21" s="593">
        <f ca="1">OFFSET(Assumptions!O$145,MATCH($B$21,MWSolarWindRetires,0),0)</f>
        <v>0</v>
      </c>
      <c r="R21" s="593">
        <f ca="1">OFFSET(Assumptions!P$145,MATCH($B$21,MWSolarWindRetires,0),0)</f>
        <v>0</v>
      </c>
      <c r="S21" s="593">
        <f ca="1">OFFSET(Assumptions!Q$145,MATCH($B$21,MWSolarWindRetires,0),0)</f>
        <v>0</v>
      </c>
      <c r="T21" s="593">
        <f ca="1">OFFSET(Assumptions!R$145,MATCH($B$21,MWSolarWindRetires,0),0)</f>
        <v>0</v>
      </c>
      <c r="U21" s="593">
        <f ca="1">OFFSET(Assumptions!S$145,MATCH($B$21,MWSolarWindRetires,0),0)</f>
        <v>0</v>
      </c>
      <c r="V21" s="593">
        <f ca="1">OFFSET(Assumptions!T$145,MATCH($B$21,MWSolarWindRetires,0),0)</f>
        <v>0</v>
      </c>
      <c r="W21" s="593">
        <f ca="1">OFFSET(Assumptions!U$145,MATCH($B$21,MWSolarWindRetires,0),0)</f>
        <v>0</v>
      </c>
      <c r="X21" s="593">
        <f ca="1">OFFSET(Assumptions!V$145,MATCH($B$21,MWSolarWindRetires,0),0)</f>
        <v>0</v>
      </c>
      <c r="Y21" s="593">
        <f ca="1">OFFSET(Assumptions!W$145,MATCH($B$21,MWSolarWindRetires,0),0)</f>
        <v>0</v>
      </c>
      <c r="Z21" s="593">
        <f ca="1">OFFSET(Assumptions!X$145,MATCH($B$21,MWSolarWindRetires,0),0)</f>
        <v>0</v>
      </c>
      <c r="AA21" s="593">
        <f ca="1">OFFSET(Assumptions!Y$145,MATCH($B$21,MWSolarWindRetires,0),0)</f>
        <v>0</v>
      </c>
      <c r="AB21" s="606"/>
    </row>
    <row r="22" spans="1:28" ht="15.75" thickBot="1" x14ac:dyDescent="0.3">
      <c r="A22" s="605"/>
      <c r="B22" s="579" t="s">
        <v>0</v>
      </c>
      <c r="C22" s="572"/>
      <c r="D22" s="638" t="s">
        <v>4712</v>
      </c>
      <c r="E22" s="593">
        <f ca="1">OFFSET(Assumptions!C$149,MATCH($B$22,MWHydroRetires,0),0)</f>
        <v>0</v>
      </c>
      <c r="F22" s="593">
        <f ca="1">OFFSET(Assumptions!D$149,MATCH($B$22,MWHydroRetires,0),0)</f>
        <v>0</v>
      </c>
      <c r="G22" s="593">
        <f ca="1">OFFSET(Assumptions!E$149,MATCH($B$22,MWHydroRetires,0),0)</f>
        <v>0</v>
      </c>
      <c r="H22" s="593">
        <f ca="1">OFFSET(Assumptions!F$149,MATCH($B$22,MWHydroRetires,0),0)</f>
        <v>0</v>
      </c>
      <c r="I22" s="593">
        <f ca="1">OFFSET(Assumptions!G$149,MATCH($B$22,MWHydroRetires,0),0)</f>
        <v>0</v>
      </c>
      <c r="J22" s="593">
        <f ca="1">OFFSET(Assumptions!H$149,MATCH($B$22,MWHydroRetires,0),0)</f>
        <v>0</v>
      </c>
      <c r="K22" s="593">
        <f ca="1">OFFSET(Assumptions!I$149,MATCH($B$22,MWHydroRetires,0),0)</f>
        <v>0</v>
      </c>
      <c r="L22" s="593">
        <f ca="1">OFFSET(Assumptions!J$149,MATCH($B$22,MWHydroRetires,0),0)</f>
        <v>0</v>
      </c>
      <c r="M22" s="593">
        <f ca="1">OFFSET(Assumptions!K$149,MATCH($B$22,MWHydroRetires,0),0)</f>
        <v>0</v>
      </c>
      <c r="N22" s="593">
        <f ca="1">OFFSET(Assumptions!L$149,MATCH($B$22,MWHydroRetires,0),0)</f>
        <v>0</v>
      </c>
      <c r="O22" s="593">
        <f ca="1">OFFSET(Assumptions!M$149,MATCH($B$22,MWHydroRetires,0),0)</f>
        <v>0</v>
      </c>
      <c r="P22" s="626">
        <f ca="1">OFFSET(Assumptions!N$149,MATCH($B$22,MWHydroRetires,0),0)</f>
        <v>0</v>
      </c>
      <c r="Q22" s="593">
        <f ca="1">OFFSET(Assumptions!O$149,MATCH($B$22,MWHydroRetires,0),0)</f>
        <v>0</v>
      </c>
      <c r="R22" s="593">
        <f ca="1">OFFSET(Assumptions!P$149,MATCH($B$22,MWHydroRetires,0),0)</f>
        <v>0</v>
      </c>
      <c r="S22" s="593">
        <f ca="1">OFFSET(Assumptions!Q$149,MATCH($B$22,MWHydroRetires,0),0)</f>
        <v>0</v>
      </c>
      <c r="T22" s="593">
        <f ca="1">OFFSET(Assumptions!R$149,MATCH($B$22,MWHydroRetires,0),0)</f>
        <v>0</v>
      </c>
      <c r="U22" s="593">
        <f ca="1">OFFSET(Assumptions!S$149,MATCH($B$22,MWHydroRetires,0),0)</f>
        <v>0</v>
      </c>
      <c r="V22" s="593">
        <f ca="1">OFFSET(Assumptions!T$149,MATCH($B$22,MWHydroRetires,0),0)</f>
        <v>0</v>
      </c>
      <c r="W22" s="593">
        <f ca="1">OFFSET(Assumptions!U$149,MATCH($B$22,MWHydroRetires,0),0)</f>
        <v>0</v>
      </c>
      <c r="X22" s="593">
        <f ca="1">OFFSET(Assumptions!V$149,MATCH($B$22,MWHydroRetires,0),0)</f>
        <v>0</v>
      </c>
      <c r="Y22" s="593">
        <f ca="1">OFFSET(Assumptions!W$149,MATCH($B$22,MWHydroRetires,0),0)</f>
        <v>0</v>
      </c>
      <c r="Z22" s="593">
        <f ca="1">OFFSET(Assumptions!X$149,MATCH($B$22,MWHydroRetires,0),0)</f>
        <v>0</v>
      </c>
      <c r="AA22" s="593">
        <f ca="1">OFFSET(Assumptions!Y$149,MATCH($B$22,MWHydroRetires,0),0)</f>
        <v>0</v>
      </c>
      <c r="AB22" s="606"/>
    </row>
    <row r="23" spans="1:28" ht="15.75" thickBot="1" x14ac:dyDescent="0.3">
      <c r="A23" s="605"/>
      <c r="B23" s="579" t="s">
        <v>9</v>
      </c>
      <c r="C23" s="572"/>
      <c r="D23" s="544" t="s">
        <v>4753</v>
      </c>
      <c r="E23" s="593">
        <f ca="1">OFFSET(Assumptions!C$153,MATCH($B$23,MWOtherRetires,0),0)</f>
        <v>1890.61</v>
      </c>
      <c r="F23" s="593">
        <f ca="1">OFFSET(Assumptions!D$153,MATCH($B$23,MWOtherRetires,0),0)</f>
        <v>1890.61</v>
      </c>
      <c r="G23" s="593">
        <f ca="1">OFFSET(Assumptions!E$153,MATCH($B$23,MWOtherRetires,0),0)</f>
        <v>1944.61</v>
      </c>
      <c r="H23" s="593">
        <f ca="1">OFFSET(Assumptions!F$153,MATCH($B$23,MWOtherRetires,0),0)</f>
        <v>2009.61</v>
      </c>
      <c r="I23" s="593">
        <f ca="1">OFFSET(Assumptions!G$153,MATCH($B$23,MWOtherRetires,0),0)</f>
        <v>2081.75</v>
      </c>
      <c r="J23" s="593">
        <f ca="1">OFFSET(Assumptions!H$153,MATCH($B$23,MWOtherRetires,0),0)</f>
        <v>2081.7599999999998</v>
      </c>
      <c r="K23" s="593">
        <f ca="1">OFFSET(Assumptions!I$153,MATCH($B$23,MWOtherRetires,0),0)</f>
        <v>2737.96</v>
      </c>
      <c r="L23" s="593">
        <f ca="1">OFFSET(Assumptions!J$153,MATCH($B$23,MWOtherRetires,0),0)</f>
        <v>2787.96</v>
      </c>
      <c r="M23" s="593">
        <f ca="1">OFFSET(Assumptions!K$153,MATCH($B$23,MWOtherRetires,0),0)</f>
        <v>3351.25</v>
      </c>
      <c r="N23" s="593">
        <f ca="1">OFFSET(Assumptions!L$153,MATCH($B$23,MWOtherRetires,0),0)</f>
        <v>3357.28</v>
      </c>
      <c r="O23" s="593">
        <f ca="1">OFFSET(Assumptions!M$153,MATCH($B$23,MWOtherRetires,0),0)</f>
        <v>3457.9900000000002</v>
      </c>
      <c r="P23" s="626">
        <f ca="1">OFFSET(Assumptions!N$153,MATCH($B$23,MWOtherRetires,0),0)</f>
        <v>3663.38</v>
      </c>
      <c r="Q23" s="593">
        <f ca="1">OFFSET(Assumptions!O$153,MATCH($B$23,MWOtherRetires,0),0)</f>
        <v>3818.31</v>
      </c>
      <c r="R23" s="593">
        <f ca="1">OFFSET(Assumptions!P$153,MATCH($B$23,MWOtherRetires,0),0)</f>
        <v>4257.49</v>
      </c>
      <c r="S23" s="593">
        <f ca="1">OFFSET(Assumptions!Q$153,MATCH($B$23,MWOtherRetires,0),0)</f>
        <v>4611.12</v>
      </c>
      <c r="T23" s="593">
        <f ca="1">OFFSET(Assumptions!R$153,MATCH($B$23,MWOtherRetires,0),0)</f>
        <v>5460.2199999999993</v>
      </c>
      <c r="U23" s="593">
        <f ca="1">OFFSET(Assumptions!S$153,MATCH($B$23,MWOtherRetires,0),0)</f>
        <v>5816.0999999999995</v>
      </c>
      <c r="V23" s="593">
        <f ca="1">OFFSET(Assumptions!T$153,MATCH($B$23,MWOtherRetires,0),0)</f>
        <v>6758.11</v>
      </c>
      <c r="W23" s="593">
        <f ca="1">OFFSET(Assumptions!U$153,MATCH($B$23,MWOtherRetires,0),0)</f>
        <v>7337.7100000000009</v>
      </c>
      <c r="X23" s="593">
        <f ca="1">OFFSET(Assumptions!V$153,MATCH($B$23,MWOtherRetires,0),0)</f>
        <v>7566.5500000000011</v>
      </c>
      <c r="Y23" s="593">
        <f ca="1">OFFSET(Assumptions!W$153,MATCH($B$23,MWOtherRetires,0),0)</f>
        <v>7589.3700000000008</v>
      </c>
      <c r="Z23" s="593">
        <f ca="1">OFFSET(Assumptions!X$153,MATCH($B$23,MWOtherRetires,0),0)</f>
        <v>7605.7400000000016</v>
      </c>
      <c r="AA23" s="593">
        <f ca="1">OFFSET(Assumptions!Y$153,MATCH($B$23,MWOtherRetires,0),0)</f>
        <v>7649.7000000000007</v>
      </c>
      <c r="AB23" s="606"/>
    </row>
    <row r="24" spans="1:28" x14ac:dyDescent="0.25">
      <c r="A24" s="605"/>
      <c r="B24" s="676"/>
      <c r="C24" s="572"/>
      <c r="D24" s="517" t="s">
        <v>4826</v>
      </c>
      <c r="E24" s="557">
        <f ca="1">SUM(E11:E12)+SUM(E15:E17)-E18</f>
        <v>67229.360310270058</v>
      </c>
      <c r="F24" s="557">
        <f t="shared" ref="F24:AA24" ca="1" si="24">SUM(F11:F12)+SUM(F15:F17)-F18</f>
        <v>71662.556148922828</v>
      </c>
      <c r="G24" s="557">
        <f t="shared" ca="1" si="24"/>
        <v>72364.39181518527</v>
      </c>
      <c r="H24" s="557">
        <f t="shared" ca="1" si="24"/>
        <v>71713.212087820575</v>
      </c>
      <c r="I24" s="557">
        <f t="shared" ca="1" si="24"/>
        <v>72281.673277673239</v>
      </c>
      <c r="J24" s="557">
        <f t="shared" ca="1" si="24"/>
        <v>69844.591079841077</v>
      </c>
      <c r="K24" s="557">
        <f t="shared" ca="1" si="24"/>
        <v>69577.484246628534</v>
      </c>
      <c r="L24" s="557">
        <f t="shared" ca="1" si="24"/>
        <v>69529.484246628534</v>
      </c>
      <c r="M24" s="557">
        <f t="shared" ca="1" si="24"/>
        <v>63296.214465833225</v>
      </c>
      <c r="N24" s="557">
        <f t="shared" ca="1" si="24"/>
        <v>63290.184465833227</v>
      </c>
      <c r="O24" s="557">
        <f t="shared" ca="1" si="24"/>
        <v>63189.47446583322</v>
      </c>
      <c r="P24" s="557">
        <f t="shared" ca="1" si="24"/>
        <v>62984.084465833221</v>
      </c>
      <c r="Q24" s="557">
        <f t="shared" ca="1" si="24"/>
        <v>62829.154465833228</v>
      </c>
      <c r="R24" s="557">
        <f t="shared" ca="1" si="24"/>
        <v>62389.97446583322</v>
      </c>
      <c r="S24" s="557">
        <f t="shared" ca="1" si="24"/>
        <v>62036.344465833223</v>
      </c>
      <c r="T24" s="557">
        <f t="shared" ca="1" si="24"/>
        <v>61187.244465833224</v>
      </c>
      <c r="U24" s="557">
        <f t="shared" ca="1" si="24"/>
        <v>60831.36446583322</v>
      </c>
      <c r="V24" s="557">
        <f t="shared" ca="1" si="24"/>
        <v>59889.354465833225</v>
      </c>
      <c r="W24" s="557">
        <f t="shared" ca="1" si="24"/>
        <v>59309.754465833219</v>
      </c>
      <c r="X24" s="557">
        <f t="shared" ca="1" si="24"/>
        <v>59080.914465833222</v>
      </c>
      <c r="Y24" s="557">
        <f t="shared" ca="1" si="24"/>
        <v>59058.094465833223</v>
      </c>
      <c r="Z24" s="557">
        <f t="shared" ca="1" si="24"/>
        <v>59041.72446583322</v>
      </c>
      <c r="AA24" s="557">
        <f t="shared" ca="1" si="24"/>
        <v>58997.764465833221</v>
      </c>
      <c r="AB24" s="612"/>
    </row>
    <row r="25" spans="1:28" x14ac:dyDescent="0.25">
      <c r="A25" s="605"/>
      <c r="B25" s="676"/>
      <c r="C25" s="572"/>
      <c r="D25" s="510"/>
      <c r="E25" s="512"/>
      <c r="F25" s="512"/>
      <c r="G25" s="613"/>
      <c r="H25" s="511"/>
      <c r="I25" s="613"/>
      <c r="J25" s="511"/>
      <c r="K25" s="613"/>
      <c r="L25" s="511"/>
      <c r="M25" s="613"/>
      <c r="N25" s="511"/>
      <c r="O25" s="613"/>
      <c r="P25" s="511"/>
      <c r="Q25" s="613"/>
      <c r="R25" s="511"/>
      <c r="S25" s="613"/>
      <c r="T25" s="511"/>
      <c r="U25" s="613"/>
      <c r="V25" s="511"/>
      <c r="W25" s="613"/>
      <c r="X25" s="511"/>
      <c r="Y25" s="613"/>
      <c r="Z25" s="511"/>
      <c r="AA25" s="511"/>
      <c r="AB25" s="606"/>
    </row>
    <row r="26" spans="1:28" x14ac:dyDescent="0.25">
      <c r="A26" s="605"/>
      <c r="B26" s="676"/>
      <c r="C26" s="572"/>
      <c r="D26" s="510"/>
      <c r="E26" s="512"/>
      <c r="F26" s="512"/>
      <c r="G26" s="613"/>
      <c r="H26" s="511"/>
      <c r="I26" s="613"/>
      <c r="J26" s="511"/>
      <c r="K26" s="613"/>
      <c r="L26" s="511"/>
      <c r="M26" s="613"/>
      <c r="N26" s="511"/>
      <c r="O26" s="613"/>
      <c r="P26" s="511"/>
      <c r="Q26" s="613"/>
      <c r="R26" s="511"/>
      <c r="S26" s="613"/>
      <c r="T26" s="511"/>
      <c r="U26" s="613"/>
      <c r="V26" s="511"/>
      <c r="W26" s="613"/>
      <c r="X26" s="511"/>
      <c r="Y26" s="613"/>
      <c r="Z26" s="511"/>
      <c r="AA26" s="511"/>
      <c r="AB26" s="606"/>
    </row>
    <row r="27" spans="1:28" x14ac:dyDescent="0.25">
      <c r="A27" s="605"/>
      <c r="B27" s="676"/>
      <c r="C27" s="572"/>
      <c r="D27" s="508"/>
      <c r="E27" s="593"/>
      <c r="F27" s="593"/>
      <c r="G27" s="611"/>
      <c r="H27" s="594"/>
      <c r="I27" s="611"/>
      <c r="J27" s="594"/>
      <c r="K27" s="611"/>
      <c r="L27" s="594"/>
      <c r="M27" s="611"/>
      <c r="N27" s="594"/>
      <c r="O27" s="611"/>
      <c r="P27" s="628"/>
      <c r="Q27" s="611"/>
      <c r="R27" s="594"/>
      <c r="S27" s="611"/>
      <c r="T27" s="594"/>
      <c r="U27" s="611"/>
      <c r="V27" s="594"/>
      <c r="W27" s="611"/>
      <c r="X27" s="594"/>
      <c r="Y27" s="611"/>
      <c r="Z27" s="594"/>
      <c r="AA27" s="594"/>
      <c r="AB27" s="606"/>
    </row>
    <row r="28" spans="1:28" x14ac:dyDescent="0.25">
      <c r="A28" s="605"/>
      <c r="B28" s="676"/>
      <c r="C28" s="572"/>
      <c r="D28" s="509" t="s">
        <v>4948</v>
      </c>
      <c r="E28" s="593"/>
      <c r="F28" s="593"/>
      <c r="G28" s="611"/>
      <c r="H28" s="594"/>
      <c r="I28" s="611"/>
      <c r="J28" s="594"/>
      <c r="K28" s="611"/>
      <c r="L28" s="594"/>
      <c r="M28" s="611"/>
      <c r="N28" s="594"/>
      <c r="O28" s="611"/>
      <c r="P28" s="628"/>
      <c r="Q28" s="611"/>
      <c r="R28" s="594"/>
      <c r="S28" s="611"/>
      <c r="T28" s="594"/>
      <c r="U28" s="611"/>
      <c r="V28" s="594"/>
      <c r="W28" s="611"/>
      <c r="X28" s="594"/>
      <c r="Y28" s="611"/>
      <c r="Z28" s="594"/>
      <c r="AA28" s="594"/>
      <c r="AB28" s="606"/>
    </row>
    <row r="29" spans="1:28" x14ac:dyDescent="0.25">
      <c r="A29" s="605"/>
      <c r="B29" s="677" t="str">
        <f>B3</f>
        <v>Mid</v>
      </c>
      <c r="C29" s="572"/>
      <c r="D29" s="515" t="s">
        <v>4746</v>
      </c>
      <c r="E29" s="593">
        <f ca="1">IF(OFFSET(Assumptions!C$12,MATCH($B$3,GWhLoad,0),0)&lt;&gt;"",OFFSET(Assumptions!C$12,MATCH($B$3,GWhLoad,0),0),"")</f>
        <v>234900</v>
      </c>
      <c r="F29" s="593">
        <f ca="1">IF(OFFSET(Assumptions!D$12,MATCH($B$3,GWhLoad,0),0)&lt;&gt;"",OFFSET(Assumptions!D$12,MATCH($B$3,GWhLoad,0),0),"")</f>
        <v>237676</v>
      </c>
      <c r="G29" s="593">
        <f ca="1">IF(OFFSET(Assumptions!E$12,MATCH($B$3,GWhLoad,0),0)&lt;&gt;"",OFFSET(Assumptions!E$12,MATCH($B$3,GWhLoad,0),0),"")</f>
        <v>240638</v>
      </c>
      <c r="H29" s="593">
        <f ca="1">IF(OFFSET(Assumptions!F$12,MATCH($B$3,GWhLoad,0),0)&lt;&gt;"",OFFSET(Assumptions!F$12,MATCH($B$3,GWhLoad,0),0),"")</f>
        <v>243606</v>
      </c>
      <c r="I29" s="593">
        <f ca="1">IF(OFFSET(Assumptions!G$12,MATCH($B$3,GWhLoad,0),0)&lt;&gt;"",OFFSET(Assumptions!G$12,MATCH($B$3,GWhLoad,0),0),"")</f>
        <v>246606</v>
      </c>
      <c r="J29" s="593">
        <f ca="1">IF(OFFSET(Assumptions!H$12,MATCH($B$3,GWhLoad,0),0)&lt;&gt;"",OFFSET(Assumptions!H$12,MATCH($B$3,GWhLoad,0),0),"")</f>
        <v>249578</v>
      </c>
      <c r="K29" s="593">
        <f ca="1">IF(OFFSET(Assumptions!I$12,MATCH($B$3,GWhLoad,0),0)&lt;&gt;"",OFFSET(Assumptions!I$12,MATCH($B$3,GWhLoad,0),0),"")</f>
        <v>252430</v>
      </c>
      <c r="L29" s="593">
        <f ca="1">IF(OFFSET(Assumptions!J$12,MATCH($B$3,GWhLoad,0),0)&lt;&gt;"",OFFSET(Assumptions!J$12,MATCH($B$3,GWhLoad,0),0),"")</f>
        <v>255808</v>
      </c>
      <c r="M29" s="593">
        <f ca="1">IF(OFFSET(Assumptions!K$12,MATCH($B$3,GWhLoad,0),0)&lt;&gt;"",OFFSET(Assumptions!K$12,MATCH($B$3,GWhLoad,0),0),"")</f>
        <v>259106</v>
      </c>
      <c r="N29" s="593">
        <f ca="1">IF(OFFSET(Assumptions!L$12,MATCH($B$3,GWhLoad,0),0)&lt;&gt;"",OFFSET(Assumptions!L$12,MATCH($B$3,GWhLoad,0),0),"")</f>
        <v>262248</v>
      </c>
      <c r="O29" s="593">
        <f ca="1">IF(OFFSET(Assumptions!M$12,MATCH($B$3,GWhLoad,0),0)&lt;&gt;"",OFFSET(Assumptions!M$12,MATCH($B$3,GWhLoad,0),0),"")</f>
        <v>265210</v>
      </c>
      <c r="P29" s="626" t="str">
        <f ca="1">IF(OFFSET(Assumptions!N$12,MATCH($B$3,GWhLoad,0),0)&lt;&gt;"",OFFSET(Assumptions!N$12,MATCH($B$3,GWhLoad,0),0),"")</f>
        <v/>
      </c>
      <c r="Q29" s="593" t="str">
        <f ca="1">IF(OFFSET(Assumptions!O$12,MATCH($B$3,GWhLoad,0),0)&lt;&gt;"",OFFSET(Assumptions!O$12,MATCH($B$3,GWhLoad,0),0),"")</f>
        <v/>
      </c>
      <c r="R29" s="593" t="str">
        <f ca="1">IF(OFFSET(Assumptions!P$12,MATCH($B$3,GWhLoad,0),0)&lt;&gt;"",OFFSET(Assumptions!P$12,MATCH($B$3,GWhLoad,0),0),"")</f>
        <v/>
      </c>
      <c r="S29" s="593" t="str">
        <f ca="1">IF(OFFSET(Assumptions!Q$12,MATCH($B$3,GWhLoad,0),0)&lt;&gt;"",OFFSET(Assumptions!Q$12,MATCH($B$3,GWhLoad,0),0),"")</f>
        <v/>
      </c>
      <c r="T29" s="593" t="str">
        <f ca="1">IF(OFFSET(Assumptions!R$12,MATCH($B$3,GWhLoad,0),0)&lt;&gt;"",OFFSET(Assumptions!R$12,MATCH($B$3,GWhLoad,0),0),"")</f>
        <v/>
      </c>
      <c r="U29" s="593" t="str">
        <f ca="1">IF(OFFSET(Assumptions!S$12,MATCH($B$3,GWhLoad,0),0)&lt;&gt;"",OFFSET(Assumptions!S$12,MATCH($B$3,GWhLoad,0),0),"")</f>
        <v/>
      </c>
      <c r="V29" s="593" t="str">
        <f ca="1">IF(OFFSET(Assumptions!T$12,MATCH($B$3,GWhLoad,0),0)&lt;&gt;"",OFFSET(Assumptions!T$12,MATCH($B$3,GWhLoad,0),0),"")</f>
        <v/>
      </c>
      <c r="W29" s="593" t="str">
        <f ca="1">IF(OFFSET(Assumptions!U$12,MATCH($B$3,GWhLoad,0),0)&lt;&gt;"",OFFSET(Assumptions!U$12,MATCH($B$3,GWhLoad,0),0),"")</f>
        <v/>
      </c>
      <c r="X29" s="593" t="str">
        <f ca="1">IF(OFFSET(Assumptions!V$12,MATCH($B$3,GWhLoad,0),0)&lt;&gt;"",OFFSET(Assumptions!V$12,MATCH($B$3,GWhLoad,0),0),"")</f>
        <v/>
      </c>
      <c r="Y29" s="593" t="str">
        <f ca="1">IF(OFFSET(Assumptions!W$12,MATCH($B$3,GWhLoad,0),0)&lt;&gt;"",OFFSET(Assumptions!W$12,MATCH($B$3,GWhLoad,0),0),"")</f>
        <v/>
      </c>
      <c r="Z29" s="593" t="str">
        <f ca="1">IF(OFFSET(Assumptions!X$12,MATCH($B$3,GWhLoad,0),0)&lt;&gt;"",OFFSET(Assumptions!X$12,MATCH($B$3,GWhLoad,0),0),"")</f>
        <v/>
      </c>
      <c r="AA29" s="593" t="str">
        <f ca="1">IF(OFFSET(Assumptions!Y$12,MATCH($B$3,GWhLoad,0),0)&lt;&gt;"",OFFSET(Assumptions!Y$12,MATCH($B$3,GWhLoad,0),0),"")</f>
        <v/>
      </c>
      <c r="AB29" s="606"/>
    </row>
    <row r="30" spans="1:28" x14ac:dyDescent="0.25">
      <c r="A30" s="605"/>
      <c r="B30" s="677" t="str">
        <f>B4</f>
        <v>Mid</v>
      </c>
      <c r="C30" s="572"/>
      <c r="D30" s="552" t="s">
        <v>4747</v>
      </c>
      <c r="E30" s="593">
        <f ca="1">IF(OFFSET(Assumptions!C$39,MATCH($B$4,GWhIncEE,0),0)&lt;&gt;"",OFFSET(Assumptions!C$39,MATCH($B$4,GWhIncEE,0),0),"")</f>
        <v>78.351806690929209</v>
      </c>
      <c r="F30" s="593">
        <f ca="1">IF(OFFSET(Assumptions!D$39,MATCH($B$4,GWhIncEE,0),0)&lt;&gt;"",OFFSET(Assumptions!D$39,MATCH($B$4,GWhIncEE,0),0),"")</f>
        <v>810.28070184849503</v>
      </c>
      <c r="G30" s="593">
        <f ca="1">IF(OFFSET(Assumptions!E$39,MATCH($B$4,GWhIncEE,0),0)&lt;&gt;"",OFFSET(Assumptions!E$39,MATCH($B$4,GWhIncEE,0),0),"")</f>
        <v>1967.5724750492516</v>
      </c>
      <c r="H30" s="593">
        <f ca="1">IF(OFFSET(Assumptions!F$39,MATCH($B$4,GWhIncEE,0),0)&lt;&gt;"",OFFSET(Assumptions!F$39,MATCH($B$4,GWhIncEE,0),0),"")</f>
        <v>3628.2104219975959</v>
      </c>
      <c r="I30" s="593">
        <f ca="1">IF(OFFSET(Assumptions!G$39,MATCH($B$4,GWhIncEE,0),0)&lt;&gt;"",OFFSET(Assumptions!G$39,MATCH($B$4,GWhIncEE,0),0),"")</f>
        <v>5368.2114095696888</v>
      </c>
      <c r="J30" s="593">
        <f ca="1">IF(OFFSET(Assumptions!H$39,MATCH($B$4,GWhIncEE,0),0)&lt;&gt;"",OFFSET(Assumptions!H$39,MATCH($B$4,GWhIncEE,0),0),"")</f>
        <v>6975.38278862268</v>
      </c>
      <c r="K30" s="593">
        <f ca="1">IF(OFFSET(Assumptions!I$39,MATCH($B$4,GWhIncEE,0),0)&lt;&gt;"",OFFSET(Assumptions!I$39,MATCH($B$4,GWhIncEE,0),0),"")</f>
        <v>8087.9192659482451</v>
      </c>
      <c r="L30" s="593">
        <f ca="1">IF(OFFSET(Assumptions!J$39,MATCH($B$4,GWhIncEE,0),0)&lt;&gt;"",OFFSET(Assumptions!J$39,MATCH($B$4,GWhIncEE,0),0),"")</f>
        <v>9810.5262624596908</v>
      </c>
      <c r="M30" s="593">
        <f ca="1">IF(OFFSET(Assumptions!K$39,MATCH($B$4,GWhIncEE,0),0)&lt;&gt;"",OFFSET(Assumptions!K$39,MATCH($B$4,GWhIncEE,0),0),"")</f>
        <v>11501.458947774594</v>
      </c>
      <c r="N30" s="593">
        <f ca="1">IF(OFFSET(Assumptions!L$39,MATCH($B$4,GWhIncEE,0),0)&lt;&gt;"",OFFSET(Assumptions!L$39,MATCH($B$4,GWhIncEE,0),0),"")</f>
        <v>13186.163229756743</v>
      </c>
      <c r="O30" s="593">
        <f ca="1">IF(OFFSET(Assumptions!M$39,MATCH($B$4,GWhIncEE,0),0)&lt;&gt;"",OFFSET(Assumptions!M$39,MATCH($B$4,GWhIncEE,0),0),"")</f>
        <v>14783.06310448942</v>
      </c>
      <c r="P30" s="626" t="str">
        <f ca="1">IF(OFFSET(Assumptions!N$39,MATCH($B$4,GWhIncEE,0),0)&lt;&gt;"",OFFSET(Assumptions!N$39,MATCH($B$4,GWhIncEE,0),0),"")</f>
        <v/>
      </c>
      <c r="Q30" s="593" t="str">
        <f ca="1">IF(OFFSET(Assumptions!O$39,MATCH($B$4,GWhIncEE,0),0)&lt;&gt;"",OFFSET(Assumptions!O$39,MATCH($B$4,GWhIncEE,0),0),"")</f>
        <v/>
      </c>
      <c r="R30" s="593" t="str">
        <f ca="1">IF(OFFSET(Assumptions!P$39,MATCH($B$4,GWhIncEE,0),0)&lt;&gt;"",OFFSET(Assumptions!P$39,MATCH($B$4,GWhIncEE,0),0),"")</f>
        <v/>
      </c>
      <c r="S30" s="593" t="str">
        <f ca="1">IF(OFFSET(Assumptions!Q$39,MATCH($B$4,GWhIncEE,0),0)&lt;&gt;"",OFFSET(Assumptions!Q$39,MATCH($B$4,GWhIncEE,0),0),"")</f>
        <v/>
      </c>
      <c r="T30" s="593" t="str">
        <f ca="1">IF(OFFSET(Assumptions!R$39,MATCH($B$4,GWhIncEE,0),0)&lt;&gt;"",OFFSET(Assumptions!R$39,MATCH($B$4,GWhIncEE,0),0),"")</f>
        <v/>
      </c>
      <c r="U30" s="593" t="str">
        <f ca="1">IF(OFFSET(Assumptions!S$39,MATCH($B$4,GWhIncEE,0),0)&lt;&gt;"",OFFSET(Assumptions!S$39,MATCH($B$4,GWhIncEE,0),0),"")</f>
        <v/>
      </c>
      <c r="V30" s="593" t="str">
        <f ca="1">IF(OFFSET(Assumptions!T$39,MATCH($B$4,GWhIncEE,0),0)&lt;&gt;"",OFFSET(Assumptions!T$39,MATCH($B$4,GWhIncEE,0),0),"")</f>
        <v/>
      </c>
      <c r="W30" s="593" t="str">
        <f ca="1">IF(OFFSET(Assumptions!U$39,MATCH($B$4,GWhIncEE,0),0)&lt;&gt;"",OFFSET(Assumptions!U$39,MATCH($B$4,GWhIncEE,0),0),"")</f>
        <v/>
      </c>
      <c r="X30" s="593" t="str">
        <f ca="1">IF(OFFSET(Assumptions!V$39,MATCH($B$4,GWhIncEE,0),0)&lt;&gt;"",OFFSET(Assumptions!V$39,MATCH($B$4,GWhIncEE,0),0),"")</f>
        <v/>
      </c>
      <c r="Y30" s="593" t="str">
        <f ca="1">IF(OFFSET(Assumptions!W$39,MATCH($B$4,GWhIncEE,0),0)&lt;&gt;"",OFFSET(Assumptions!W$39,MATCH($B$4,GWhIncEE,0),0),"")</f>
        <v/>
      </c>
      <c r="Z30" s="593" t="str">
        <f ca="1">IF(OFFSET(Assumptions!X$39,MATCH($B$4,GWhIncEE,0),0)&lt;&gt;"",OFFSET(Assumptions!X$39,MATCH($B$4,GWhIncEE,0),0),"")</f>
        <v/>
      </c>
      <c r="AA30" s="593" t="str">
        <f ca="1">IF(OFFSET(Assumptions!Y$39,MATCH($B$4,GWhIncEE,0),0)&lt;&gt;"",OFFSET(Assumptions!Y$39,MATCH($B$4,GWhIncEE,0),0),"")</f>
        <v/>
      </c>
      <c r="AB30" s="606"/>
    </row>
    <row r="31" spans="1:28" x14ac:dyDescent="0.25">
      <c r="A31" s="605"/>
      <c r="B31" s="677" t="str">
        <f>B5</f>
        <v>Mid</v>
      </c>
      <c r="C31" s="572"/>
      <c r="D31" s="546" t="s">
        <v>4748</v>
      </c>
      <c r="E31" s="593">
        <f ca="1">IF(OFFSET(Assumptions!C$56,MATCH($B$5,GWhIncSmPV,0),0)&lt;&gt;"",OFFSET(Assumptions!C$56,MATCH($B$5,GWhIncSmPV,0),0),"")</f>
        <v>239.86465130855325</v>
      </c>
      <c r="F31" s="593">
        <f ca="1">IF(OFFSET(Assumptions!D$56,MATCH($B$5,GWhIncSmPV,0),0)&lt;&gt;"",OFFSET(Assumptions!D$56,MATCH($B$5,GWhIncSmPV,0),0),"")</f>
        <v>479.7293026171065</v>
      </c>
      <c r="G31" s="593">
        <f ca="1">IF(OFFSET(Assumptions!E$56,MATCH($B$5,GWhIncSmPV,0),0)&lt;&gt;"",OFFSET(Assumptions!E$56,MATCH($B$5,GWhIncSmPV,0),0),"")</f>
        <v>719.59395392565978</v>
      </c>
      <c r="H31" s="593">
        <f ca="1">IF(OFFSET(Assumptions!F$56,MATCH($B$5,GWhIncSmPV,0),0)&lt;&gt;"",OFFSET(Assumptions!F$56,MATCH($B$5,GWhIncSmPV,0),0),"")</f>
        <v>959.458605234213</v>
      </c>
      <c r="I31" s="593">
        <f ca="1">IF(OFFSET(Assumptions!G$56,MATCH($B$5,GWhIncSmPV,0),0)&lt;&gt;"",OFFSET(Assumptions!G$56,MATCH($B$5,GWhIncSmPV,0),0),"")</f>
        <v>1199.3232565427661</v>
      </c>
      <c r="J31" s="593">
        <f ca="1">IF(OFFSET(Assumptions!H$56,MATCH($B$5,GWhIncSmPV,0),0)&lt;&gt;"",OFFSET(Assumptions!H$56,MATCH($B$5,GWhIncSmPV,0),0),"")</f>
        <v>1439.1879078513196</v>
      </c>
      <c r="K31" s="593">
        <f ca="1">IF(OFFSET(Assumptions!I$56,MATCH($B$5,GWhIncSmPV,0),0)&lt;&gt;"",OFFSET(Assumptions!I$56,MATCH($B$5,GWhIncSmPV,0),0),"")</f>
        <v>1679.0525591598725</v>
      </c>
      <c r="L31" s="593">
        <f ca="1">IF(OFFSET(Assumptions!J$56,MATCH($B$5,GWhIncSmPV,0),0)&lt;&gt;"",OFFSET(Assumptions!J$56,MATCH($B$5,GWhIncSmPV,0),0),"")</f>
        <v>1918.917210468426</v>
      </c>
      <c r="M31" s="593">
        <f ca="1">IF(OFFSET(Assumptions!K$56,MATCH($B$5,GWhIncSmPV,0),0)&lt;&gt;"",OFFSET(Assumptions!K$56,MATCH($B$5,GWhIncSmPV,0),0),"")</f>
        <v>2158.7818617769785</v>
      </c>
      <c r="N31" s="593">
        <f ca="1">IF(OFFSET(Assumptions!L$56,MATCH($B$5,GWhIncSmPV,0),0)&lt;&gt;"",OFFSET(Assumptions!L$56,MATCH($B$5,GWhIncSmPV,0),0),"")</f>
        <v>2158.7818617769785</v>
      </c>
      <c r="O31" s="593">
        <f ca="1">IF(OFFSET(Assumptions!M$56,MATCH($B$5,GWhIncSmPV,0),0)&lt;&gt;"",OFFSET(Assumptions!M$56,MATCH($B$5,GWhIncSmPV,0),0),"")</f>
        <v>2158.7818617769785</v>
      </c>
      <c r="P31" s="626" t="str">
        <f ca="1">IF(OFFSET(Assumptions!N$56,MATCH($B$5,GWhIncSmPV,0),0)&lt;&gt;"",OFFSET(Assumptions!N$56,MATCH($B$5,GWhIncSmPV,0),0),"")</f>
        <v/>
      </c>
      <c r="Q31" s="593" t="str">
        <f ca="1">IF(OFFSET(Assumptions!O$56,MATCH($B$5,GWhIncSmPV,0),0)&lt;&gt;"",OFFSET(Assumptions!O$56,MATCH($B$5,GWhIncSmPV,0),0),"")</f>
        <v/>
      </c>
      <c r="R31" s="593" t="str">
        <f ca="1">IF(OFFSET(Assumptions!P$56,MATCH($B$5,GWhIncSmPV,0),0)&lt;&gt;"",OFFSET(Assumptions!P$56,MATCH($B$5,GWhIncSmPV,0),0),"")</f>
        <v/>
      </c>
      <c r="S31" s="593" t="str">
        <f ca="1">IF(OFFSET(Assumptions!Q$56,MATCH($B$5,GWhIncSmPV,0),0)&lt;&gt;"",OFFSET(Assumptions!Q$56,MATCH($B$5,GWhIncSmPV,0),0),"")</f>
        <v/>
      </c>
      <c r="T31" s="593" t="str">
        <f ca="1">IF(OFFSET(Assumptions!R$56,MATCH($B$5,GWhIncSmPV,0),0)&lt;&gt;"",OFFSET(Assumptions!R$56,MATCH($B$5,GWhIncSmPV,0),0),"")</f>
        <v/>
      </c>
      <c r="U31" s="593" t="str">
        <f ca="1">IF(OFFSET(Assumptions!S$56,MATCH($B$5,GWhIncSmPV,0),0)&lt;&gt;"",OFFSET(Assumptions!S$56,MATCH($B$5,GWhIncSmPV,0),0),"")</f>
        <v/>
      </c>
      <c r="V31" s="593" t="str">
        <f ca="1">IF(OFFSET(Assumptions!T$56,MATCH($B$5,GWhIncSmPV,0),0)&lt;&gt;"",OFFSET(Assumptions!T$56,MATCH($B$5,GWhIncSmPV,0),0),"")</f>
        <v/>
      </c>
      <c r="W31" s="593" t="str">
        <f ca="1">IF(OFFSET(Assumptions!U$56,MATCH($B$5,GWhIncSmPV,0),0)&lt;&gt;"",OFFSET(Assumptions!U$56,MATCH($B$5,GWhIncSmPV,0),0),"")</f>
        <v/>
      </c>
      <c r="X31" s="593" t="str">
        <f ca="1">IF(OFFSET(Assumptions!V$56,MATCH($B$5,GWhIncSmPV,0),0)&lt;&gt;"",OFFSET(Assumptions!V$56,MATCH($B$5,GWhIncSmPV,0),0),"")</f>
        <v/>
      </c>
      <c r="Y31" s="593" t="str">
        <f ca="1">IF(OFFSET(Assumptions!W$56,MATCH($B$5,GWhIncSmPV,0),0)&lt;&gt;"",OFFSET(Assumptions!W$56,MATCH($B$5,GWhIncSmPV,0),0),"")</f>
        <v/>
      </c>
      <c r="Z31" s="593" t="str">
        <f ca="1">IF(OFFSET(Assumptions!X$56,MATCH($B$5,GWhIncSmPV,0),0)&lt;&gt;"",OFFSET(Assumptions!X$56,MATCH($B$5,GWhIncSmPV,0),0),"")</f>
        <v/>
      </c>
      <c r="AA31" s="593" t="str">
        <f ca="1">IF(OFFSET(Assumptions!Y$56,MATCH($B$5,GWhIncSmPV,0),0)&lt;&gt;"",OFFSET(Assumptions!Y$56,MATCH($B$5,GWhIncSmPV,0),0),"")</f>
        <v/>
      </c>
      <c r="AB31" s="606"/>
    </row>
    <row r="32" spans="1:28" x14ac:dyDescent="0.25">
      <c r="A32" s="605"/>
      <c r="B32" s="677" t="str">
        <f>B6</f>
        <v>Low</v>
      </c>
      <c r="C32" s="572"/>
      <c r="D32" s="547" t="s">
        <v>4750</v>
      </c>
      <c r="E32" s="593">
        <f ca="1">IF(OFFSET(Assumptions!C$70,MATCH($B$6,GWhIncDCHP,0),0)&lt;&gt;"",OFFSET(Assumptions!C$70,MATCH($B$6,GWhIncDCHP,0),0),"")</f>
        <v>0</v>
      </c>
      <c r="F32" s="593">
        <f ca="1">IF(OFFSET(Assumptions!D$70,MATCH($B$6,GWhIncDCHP,0),0)&lt;&gt;"",OFFSET(Assumptions!D$70,MATCH($B$6,GWhIncDCHP,0),0),"")</f>
        <v>0</v>
      </c>
      <c r="G32" s="593">
        <f ca="1">IF(OFFSET(Assumptions!E$70,MATCH($B$6,GWhIncDCHP,0),0)&lt;&gt;"",OFFSET(Assumptions!E$70,MATCH($B$6,GWhIncDCHP,0),0),"")</f>
        <v>0</v>
      </c>
      <c r="H32" s="593">
        <f ca="1">IF(OFFSET(Assumptions!F$70,MATCH($B$6,GWhIncDCHP,0),0)&lt;&gt;"",OFFSET(Assumptions!F$70,MATCH($B$6,GWhIncDCHP,0),0),"")</f>
        <v>0</v>
      </c>
      <c r="I32" s="593">
        <f ca="1">IF(OFFSET(Assumptions!G$70,MATCH($B$6,GWhIncDCHP,0),0)&lt;&gt;"",OFFSET(Assumptions!G$70,MATCH($B$6,GWhIncDCHP,0),0),"")</f>
        <v>0</v>
      </c>
      <c r="J32" s="593">
        <f ca="1">IF(OFFSET(Assumptions!H$70,MATCH($B$6,GWhIncDCHP,0),0)&lt;&gt;"",OFFSET(Assumptions!H$70,MATCH($B$6,GWhIncDCHP,0),0),"")</f>
        <v>0</v>
      </c>
      <c r="K32" s="593">
        <f ca="1">IF(OFFSET(Assumptions!I$70,MATCH($B$6,GWhIncDCHP,0),0)&lt;&gt;"",OFFSET(Assumptions!I$70,MATCH($B$6,GWhIncDCHP,0),0),"")</f>
        <v>0</v>
      </c>
      <c r="L32" s="593">
        <f ca="1">IF(OFFSET(Assumptions!J$70,MATCH($B$6,GWhIncDCHP,0),0)&lt;&gt;"",OFFSET(Assumptions!J$70,MATCH($B$6,GWhIncDCHP,0),0),"")</f>
        <v>0</v>
      </c>
      <c r="M32" s="593">
        <f ca="1">IF(OFFSET(Assumptions!K$70,MATCH($B$6,GWhIncDCHP,0),0)&lt;&gt;"",OFFSET(Assumptions!K$70,MATCH($B$6,GWhIncDCHP,0),0),"")</f>
        <v>0</v>
      </c>
      <c r="N32" s="593">
        <f ca="1">IF(OFFSET(Assumptions!L$70,MATCH($B$6,GWhIncDCHP,0),0)&lt;&gt;"",OFFSET(Assumptions!L$70,MATCH($B$6,GWhIncDCHP,0),0),"")</f>
        <v>0</v>
      </c>
      <c r="O32" s="593">
        <f ca="1">IF(OFFSET(Assumptions!M$70,MATCH($B$6,GWhIncDCHP,0),0)&lt;&gt;"",OFFSET(Assumptions!M$70,MATCH($B$6,GWhIncDCHP,0),0),"")</f>
        <v>0</v>
      </c>
      <c r="P32" s="626">
        <f ca="1">IF(OFFSET(Assumptions!N$70,MATCH($B$6,GWhIncDCHP,0),0)&lt;&gt;"",OFFSET(Assumptions!N$70,MATCH($B$6,GWhIncDCHP,0),0),"")</f>
        <v>0</v>
      </c>
      <c r="Q32" s="593">
        <f ca="1">IF(OFFSET(Assumptions!O$70,MATCH($B$6,GWhIncDCHP,0),0)&lt;&gt;"",OFFSET(Assumptions!O$70,MATCH($B$6,GWhIncDCHP,0),0),"")</f>
        <v>0</v>
      </c>
      <c r="R32" s="593">
        <f ca="1">IF(OFFSET(Assumptions!P$70,MATCH($B$6,GWhIncDCHP,0),0)&lt;&gt;"",OFFSET(Assumptions!P$70,MATCH($B$6,GWhIncDCHP,0),0),"")</f>
        <v>0</v>
      </c>
      <c r="S32" s="593">
        <f ca="1">IF(OFFSET(Assumptions!Q$70,MATCH($B$6,GWhIncDCHP,0),0)&lt;&gt;"",OFFSET(Assumptions!Q$70,MATCH($B$6,GWhIncDCHP,0),0),"")</f>
        <v>0</v>
      </c>
      <c r="T32" s="593">
        <f ca="1">IF(OFFSET(Assumptions!R$70,MATCH($B$6,GWhIncDCHP,0),0)&lt;&gt;"",OFFSET(Assumptions!R$70,MATCH($B$6,GWhIncDCHP,0),0),"")</f>
        <v>0</v>
      </c>
      <c r="U32" s="593">
        <f ca="1">IF(OFFSET(Assumptions!S$70,MATCH($B$6,GWhIncDCHP,0),0)&lt;&gt;"",OFFSET(Assumptions!S$70,MATCH($B$6,GWhIncDCHP,0),0),"")</f>
        <v>0</v>
      </c>
      <c r="V32" s="593">
        <f ca="1">IF(OFFSET(Assumptions!T$70,MATCH($B$6,GWhIncDCHP,0),0)&lt;&gt;"",OFFSET(Assumptions!T$70,MATCH($B$6,GWhIncDCHP,0),0),"")</f>
        <v>0</v>
      </c>
      <c r="W32" s="593">
        <f ca="1">IF(OFFSET(Assumptions!U$70,MATCH($B$6,GWhIncDCHP,0),0)&lt;&gt;"",OFFSET(Assumptions!U$70,MATCH($B$6,GWhIncDCHP,0),0),"")</f>
        <v>0</v>
      </c>
      <c r="X32" s="593">
        <f ca="1">IF(OFFSET(Assumptions!V$70,MATCH($B$6,GWhIncDCHP,0),0)&lt;&gt;"",OFFSET(Assumptions!V$70,MATCH($B$6,GWhIncDCHP,0),0),"")</f>
        <v>0</v>
      </c>
      <c r="Y32" s="593">
        <f ca="1">IF(OFFSET(Assumptions!W$70,MATCH($B$6,GWhIncDCHP,0),0)&lt;&gt;"",OFFSET(Assumptions!W$70,MATCH($B$6,GWhIncDCHP,0),0),"")</f>
        <v>0</v>
      </c>
      <c r="Z32" s="593">
        <f ca="1">IF(OFFSET(Assumptions!X$70,MATCH($B$6,GWhIncDCHP,0),0)&lt;&gt;"",OFFSET(Assumptions!X$70,MATCH($B$6,GWhIncDCHP,0),0),"")</f>
        <v>0</v>
      </c>
      <c r="AA32" s="593">
        <f ca="1">IF(OFFSET(Assumptions!Y$70,MATCH($B$6,GWhIncDCHP,0),0)&lt;&gt;"",OFFSET(Assumptions!Y$70,MATCH($B$6,GWhIncDCHP,0),0),"")</f>
        <v>0</v>
      </c>
      <c r="AB32" s="606"/>
    </row>
    <row r="33" spans="1:28" x14ac:dyDescent="0.25">
      <c r="A33" s="605"/>
      <c r="B33" s="676"/>
      <c r="C33" s="572"/>
      <c r="D33" s="554" t="s">
        <v>4821</v>
      </c>
      <c r="E33" s="555">
        <f t="shared" ref="E33:O33" ca="1" si="25">E29-SUM(E30:E32)</f>
        <v>234581.78354200051</v>
      </c>
      <c r="F33" s="555">
        <f t="shared" ca="1" si="25"/>
        <v>236385.98999553439</v>
      </c>
      <c r="G33" s="555">
        <f t="shared" ca="1" si="25"/>
        <v>237950.83357102508</v>
      </c>
      <c r="H33" s="555">
        <f t="shared" ca="1" si="25"/>
        <v>239018.33097276819</v>
      </c>
      <c r="I33" s="555">
        <f t="shared" ca="1" si="25"/>
        <v>240038.46533388755</v>
      </c>
      <c r="J33" s="555">
        <f t="shared" ca="1" si="25"/>
        <v>241163.42930352601</v>
      </c>
      <c r="K33" s="555">
        <f t="shared" ca="1" si="25"/>
        <v>242663.02817489189</v>
      </c>
      <c r="L33" s="555">
        <f t="shared" ca="1" si="25"/>
        <v>244078.55652707189</v>
      </c>
      <c r="M33" s="555">
        <f t="shared" ca="1" si="25"/>
        <v>245445.75919044841</v>
      </c>
      <c r="N33" s="555">
        <f t="shared" ca="1" si="25"/>
        <v>246903.05490846629</v>
      </c>
      <c r="O33" s="555">
        <f t="shared" ca="1" si="25"/>
        <v>248268.15503373361</v>
      </c>
      <c r="P33" s="555">
        <f t="shared" ref="P33:AA33" ca="1" si="26">O33*(1+$O$34)</f>
        <v>249679.96233822298</v>
      </c>
      <c r="Q33" s="555">
        <f t="shared" ca="1" si="26"/>
        <v>251099.79805805517</v>
      </c>
      <c r="R33" s="555">
        <f t="shared" ca="1" si="26"/>
        <v>252527.70784779842</v>
      </c>
      <c r="S33" s="555">
        <f t="shared" ca="1" si="26"/>
        <v>253963.73762164128</v>
      </c>
      <c r="T33" s="555">
        <f t="shared" ca="1" si="26"/>
        <v>255407.93355486894</v>
      </c>
      <c r="U33" s="555">
        <f t="shared" ca="1" si="26"/>
        <v>256860.34208534803</v>
      </c>
      <c r="V33" s="555">
        <f t="shared" ca="1" si="26"/>
        <v>258321.00991501976</v>
      </c>
      <c r="W33" s="555">
        <f t="shared" ca="1" si="26"/>
        <v>259789.98401140171</v>
      </c>
      <c r="X33" s="555">
        <f t="shared" ca="1" si="26"/>
        <v>261267.31160909799</v>
      </c>
      <c r="Y33" s="555">
        <f t="shared" ca="1" si="26"/>
        <v>262753.04021131806</v>
      </c>
      <c r="Z33" s="555">
        <f t="shared" ca="1" si="26"/>
        <v>264247.21759140422</v>
      </c>
      <c r="AA33" s="555">
        <f t="shared" ca="1" si="26"/>
        <v>265749.89179436769</v>
      </c>
      <c r="AB33" s="606"/>
    </row>
    <row r="34" spans="1:28" x14ac:dyDescent="0.25">
      <c r="A34" s="605"/>
      <c r="B34" s="676"/>
      <c r="C34" s="572"/>
      <c r="D34" s="636"/>
      <c r="E34" s="593"/>
      <c r="F34" s="593"/>
      <c r="G34" s="611"/>
      <c r="H34" s="594"/>
      <c r="I34" s="611"/>
      <c r="J34" s="594"/>
      <c r="K34" s="611"/>
      <c r="L34" s="594"/>
      <c r="M34" s="611"/>
      <c r="N34" s="594"/>
      <c r="O34" s="610">
        <f ca="1">((O33/E33)^(1/10)-1)</f>
        <v>5.6866226129466124E-3</v>
      </c>
      <c r="P34" s="628"/>
      <c r="Q34" s="611"/>
      <c r="R34" s="594"/>
      <c r="S34" s="611"/>
      <c r="T34" s="594"/>
      <c r="U34" s="611"/>
      <c r="V34" s="594"/>
      <c r="W34" s="611"/>
      <c r="X34" s="594"/>
      <c r="Y34" s="611"/>
      <c r="Z34" s="594"/>
      <c r="AA34" s="594"/>
      <c r="AB34" s="606"/>
    </row>
    <row r="35" spans="1:28" ht="15.75" thickBot="1" x14ac:dyDescent="0.3">
      <c r="A35" s="605"/>
      <c r="B35" s="676"/>
      <c r="C35" s="572"/>
      <c r="D35" s="671"/>
      <c r="E35" s="672"/>
      <c r="F35" s="672"/>
      <c r="G35" s="672"/>
      <c r="H35" s="672"/>
      <c r="I35" s="672"/>
      <c r="J35" s="672"/>
      <c r="K35" s="672"/>
      <c r="L35" s="672"/>
      <c r="M35" s="672"/>
      <c r="N35" s="672"/>
      <c r="O35" s="672"/>
      <c r="P35" s="673"/>
      <c r="Q35" s="672"/>
      <c r="R35" s="672"/>
      <c r="S35" s="672"/>
      <c r="T35" s="672"/>
      <c r="U35" s="672"/>
      <c r="V35" s="672"/>
      <c r="W35" s="672"/>
      <c r="X35" s="672"/>
      <c r="Y35" s="672"/>
      <c r="Z35" s="672"/>
      <c r="AA35" s="672"/>
      <c r="AB35" s="606"/>
    </row>
    <row r="36" spans="1:28" x14ac:dyDescent="0.25">
      <c r="A36" s="605"/>
      <c r="B36" s="676"/>
      <c r="C36" s="572"/>
      <c r="D36" s="572"/>
      <c r="E36" s="572"/>
      <c r="F36" s="572"/>
      <c r="G36" s="572"/>
      <c r="H36" s="572"/>
      <c r="I36" s="572"/>
      <c r="J36" s="572"/>
      <c r="K36" s="572"/>
      <c r="L36" s="572"/>
      <c r="M36" s="572"/>
      <c r="N36" s="572"/>
      <c r="O36" s="572"/>
      <c r="P36" s="630"/>
      <c r="Q36" s="572"/>
      <c r="R36" s="572"/>
      <c r="S36" s="572"/>
      <c r="T36" s="572"/>
      <c r="U36" s="572"/>
      <c r="V36" s="572"/>
      <c r="W36" s="572"/>
      <c r="X36" s="572"/>
      <c r="Y36" s="572"/>
      <c r="Z36" s="572"/>
      <c r="AA36" s="572"/>
      <c r="AB36" s="606"/>
    </row>
    <row r="37" spans="1:28" ht="15.75" thickBot="1" x14ac:dyDescent="0.3">
      <c r="A37" s="605"/>
      <c r="B37" s="676"/>
      <c r="C37" s="572"/>
      <c r="D37" s="543"/>
      <c r="E37" s="572"/>
      <c r="F37" s="572"/>
      <c r="G37" s="572"/>
      <c r="H37" s="572"/>
      <c r="I37" s="572"/>
      <c r="J37" s="572"/>
      <c r="K37" s="572"/>
      <c r="L37" s="572"/>
      <c r="M37" s="572"/>
      <c r="N37" s="572"/>
      <c r="O37" s="572"/>
      <c r="P37" s="631"/>
      <c r="Q37" s="572"/>
      <c r="R37" s="572"/>
      <c r="S37" s="572"/>
      <c r="T37" s="572"/>
      <c r="U37" s="572"/>
      <c r="V37" s="572"/>
      <c r="W37" s="572"/>
      <c r="X37" s="572"/>
      <c r="Y37" s="572"/>
      <c r="Z37" s="572"/>
      <c r="AA37" s="572"/>
      <c r="AB37" s="606"/>
    </row>
    <row r="38" spans="1:28" x14ac:dyDescent="0.25">
      <c r="A38" s="605"/>
      <c r="B38" s="676"/>
      <c r="C38" s="572"/>
      <c r="D38" s="558" t="s">
        <v>4755</v>
      </c>
      <c r="E38" s="559">
        <f t="shared" ref="E38:AA38" ca="1" si="27">E24-E7</f>
        <v>17640.374376453939</v>
      </c>
      <c r="F38" s="559">
        <f t="shared" ca="1" si="27"/>
        <v>21185.99427343766</v>
      </c>
      <c r="G38" s="559">
        <f t="shared" ca="1" si="27"/>
        <v>21486.059928609633</v>
      </c>
      <c r="H38" s="559">
        <f t="shared" ca="1" si="27"/>
        <v>20622.150757935669</v>
      </c>
      <c r="I38" s="559">
        <f t="shared" ca="1" si="27"/>
        <v>20963.214172058535</v>
      </c>
      <c r="J38" s="559">
        <f t="shared" ca="1" si="27"/>
        <v>18262.559920861851</v>
      </c>
      <c r="K38" s="559">
        <f t="shared" ca="1" si="27"/>
        <v>17644.737666298221</v>
      </c>
      <c r="L38" s="559">
        <f t="shared" ca="1" si="27"/>
        <v>17382.347670230251</v>
      </c>
      <c r="M38" s="559">
        <f t="shared" ca="1" si="27"/>
        <v>10964.436539077309</v>
      </c>
      <c r="N38" s="559">
        <f t="shared" ca="1" si="27"/>
        <v>10657.896625223533</v>
      </c>
      <c r="O38" s="559">
        <f t="shared" ca="1" si="27"/>
        <v>10304.375216430315</v>
      </c>
      <c r="P38" s="559">
        <f t="shared" ca="1" si="27"/>
        <v>9757.5570077445227</v>
      </c>
      <c r="Q38" s="559">
        <f t="shared" ca="1" si="27"/>
        <v>9258.9945255801795</v>
      </c>
      <c r="R38" s="559">
        <f t="shared" ca="1" si="27"/>
        <v>8473.963539063996</v>
      </c>
      <c r="S38" s="559">
        <f t="shared" ca="1" si="27"/>
        <v>7772.2497254476621</v>
      </c>
      <c r="T38" s="559">
        <f t="shared" ca="1" si="27"/>
        <v>6572.8186695146433</v>
      </c>
      <c r="U38" s="559">
        <f t="shared" ca="1" si="27"/>
        <v>5864.3458629832094</v>
      </c>
      <c r="V38" s="559">
        <f t="shared" ca="1" si="27"/>
        <v>4567.4667039056367</v>
      </c>
      <c r="W38" s="559">
        <f t="shared" ca="1" si="27"/>
        <v>3630.7064960634452</v>
      </c>
      <c r="X38" s="559">
        <f t="shared" ca="1" si="27"/>
        <v>3042.4004483588433</v>
      </c>
      <c r="Y38" s="559">
        <f t="shared" ca="1" si="27"/>
        <v>2657.793674202112</v>
      </c>
      <c r="Z38" s="559">
        <f t="shared" ca="1" si="27"/>
        <v>2277.3011908951667</v>
      </c>
      <c r="AA38" s="559">
        <f t="shared" ca="1" si="27"/>
        <v>1866.8679190110633</v>
      </c>
      <c r="AB38" s="606"/>
    </row>
    <row r="39" spans="1:28" ht="15.75" thickBot="1" x14ac:dyDescent="0.3">
      <c r="A39" s="605"/>
      <c r="B39" s="676"/>
      <c r="C39" s="572"/>
      <c r="D39" s="560"/>
      <c r="E39" s="561">
        <f t="shared" ref="E39:AA39" ca="1" si="28">E24/E7</f>
        <v>1.355731702196888</v>
      </c>
      <c r="F39" s="561">
        <f t="shared" ca="1" si="28"/>
        <v>1.4197194398005744</v>
      </c>
      <c r="G39" s="561">
        <f t="shared" ca="1" si="28"/>
        <v>1.4223027589919626</v>
      </c>
      <c r="H39" s="561">
        <f t="shared" ca="1" si="28"/>
        <v>1.4036351999967764</v>
      </c>
      <c r="I39" s="561">
        <f t="shared" ca="1" si="28"/>
        <v>1.4084926659414247</v>
      </c>
      <c r="J39" s="561">
        <f t="shared" ca="1" si="28"/>
        <v>1.3540488714873486</v>
      </c>
      <c r="K39" s="561">
        <f t="shared" ca="1" si="28"/>
        <v>1.339761303381193</v>
      </c>
      <c r="L39" s="561">
        <f t="shared" ca="1" si="28"/>
        <v>1.333332735245476</v>
      </c>
      <c r="M39" s="561">
        <f t="shared" ca="1" si="28"/>
        <v>1.2095177533318904</v>
      </c>
      <c r="N39" s="561">
        <f t="shared" ca="1" si="28"/>
        <v>1.2024973084487538</v>
      </c>
      <c r="O39" s="561">
        <f t="shared" ca="1" si="28"/>
        <v>1.1948445850093901</v>
      </c>
      <c r="P39" s="561">
        <f t="shared" ca="1" si="28"/>
        <v>1.1833213150233737</v>
      </c>
      <c r="Q39" s="561">
        <f t="shared" ca="1" si="28"/>
        <v>1.172838657489669</v>
      </c>
      <c r="R39" s="561">
        <f t="shared" ca="1" si="28"/>
        <v>1.1571697051284757</v>
      </c>
      <c r="S39" s="561">
        <f t="shared" ca="1" si="28"/>
        <v>1.1432300633159413</v>
      </c>
      <c r="T39" s="561">
        <f t="shared" ca="1" si="28"/>
        <v>1.120349496926464</v>
      </c>
      <c r="U39" s="561">
        <f t="shared" ca="1" si="28"/>
        <v>1.1066884472187681</v>
      </c>
      <c r="V39" s="561">
        <f t="shared" ca="1" si="28"/>
        <v>1.0825616566730565</v>
      </c>
      <c r="W39" s="561">
        <f t="shared" ca="1" si="28"/>
        <v>1.0652077689624775</v>
      </c>
      <c r="X39" s="561">
        <f t="shared" ca="1" si="28"/>
        <v>1.0542912406173037</v>
      </c>
      <c r="Y39" s="561">
        <f t="shared" ca="1" si="28"/>
        <v>1.047123749995966</v>
      </c>
      <c r="Z39" s="561">
        <f t="shared" ca="1" si="28"/>
        <v>1.0401184590542756</v>
      </c>
      <c r="AA39" s="561">
        <f t="shared" ca="1" si="28"/>
        <v>1.0326770282255426</v>
      </c>
      <c r="AB39" s="606"/>
    </row>
    <row r="40" spans="1:28" x14ac:dyDescent="0.25">
      <c r="A40" s="605"/>
      <c r="B40" s="675"/>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614"/>
    </row>
    <row r="41" spans="1:28" ht="15.75" thickBot="1" x14ac:dyDescent="0.3">
      <c r="A41" s="605"/>
      <c r="B41" s="675"/>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614"/>
    </row>
    <row r="42" spans="1:28" ht="15.75" thickBot="1" x14ac:dyDescent="0.3">
      <c r="A42" s="605"/>
      <c r="B42" s="675"/>
      <c r="C42" s="572"/>
      <c r="D42" s="576" t="s">
        <v>4845</v>
      </c>
      <c r="E42" s="573"/>
      <c r="F42" s="573"/>
      <c r="G42" s="573"/>
      <c r="H42" s="573"/>
      <c r="I42" s="574"/>
      <c r="J42" s="572"/>
      <c r="K42" s="572"/>
      <c r="L42" s="572"/>
      <c r="M42" s="572"/>
      <c r="N42" s="615"/>
      <c r="O42" s="572"/>
      <c r="P42" s="572"/>
      <c r="Q42" s="572"/>
      <c r="R42" s="572"/>
      <c r="S42" s="572"/>
      <c r="T42" s="572"/>
      <c r="U42" s="572"/>
      <c r="V42" s="572"/>
      <c r="W42" s="572"/>
      <c r="X42" s="572"/>
      <c r="Y42" s="572"/>
      <c r="Z42" s="572"/>
      <c r="AA42" s="572"/>
      <c r="AB42" s="614"/>
    </row>
    <row r="43" spans="1:28" ht="15.75" thickBot="1" x14ac:dyDescent="0.3">
      <c r="A43" s="605"/>
      <c r="B43" s="580">
        <v>29221</v>
      </c>
      <c r="C43" s="572"/>
      <c r="D43" s="583" t="s">
        <v>4865</v>
      </c>
      <c r="E43" s="570"/>
      <c r="F43" s="570"/>
      <c r="G43" s="570"/>
      <c r="H43" s="570"/>
      <c r="I43" s="584"/>
      <c r="J43" s="572"/>
      <c r="K43" s="572"/>
      <c r="L43" s="572"/>
      <c r="M43" s="572"/>
      <c r="N43" s="513"/>
      <c r="O43" s="572"/>
      <c r="P43" s="572"/>
      <c r="Q43" s="572"/>
      <c r="R43" s="572"/>
      <c r="S43" s="572"/>
      <c r="T43" s="572"/>
      <c r="U43" s="572"/>
      <c r="V43" s="572"/>
      <c r="W43" s="572"/>
      <c r="X43" s="572"/>
      <c r="Y43" s="572"/>
      <c r="Z43" s="572"/>
      <c r="AA43" s="572"/>
      <c r="AB43" s="614"/>
    </row>
    <row r="44" spans="1:28" ht="15.75" thickBot="1" x14ac:dyDescent="0.3">
      <c r="A44" s="605"/>
      <c r="B44" s="581">
        <v>2017</v>
      </c>
      <c r="C44" s="572"/>
      <c r="D44" s="583" t="s">
        <v>4866</v>
      </c>
      <c r="E44" s="570"/>
      <c r="F44" s="570"/>
      <c r="G44" s="570"/>
      <c r="H44" s="570"/>
      <c r="I44" s="584"/>
      <c r="J44" s="572"/>
      <c r="K44" s="572"/>
      <c r="L44" s="572"/>
      <c r="M44" s="572"/>
      <c r="N44" s="572"/>
      <c r="O44" s="572"/>
      <c r="P44" s="572"/>
      <c r="Q44" s="572"/>
      <c r="R44" s="572"/>
      <c r="S44" s="572"/>
      <c r="T44" s="572"/>
      <c r="U44" s="572"/>
      <c r="V44" s="572"/>
      <c r="W44" s="572"/>
      <c r="X44" s="572"/>
      <c r="Y44" s="572"/>
      <c r="Z44" s="572"/>
      <c r="AA44" s="572"/>
      <c r="AB44" s="614"/>
    </row>
    <row r="45" spans="1:28" ht="15.75" thickBot="1" x14ac:dyDescent="0.3">
      <c r="A45" s="605"/>
      <c r="B45" s="675"/>
      <c r="C45" s="572"/>
      <c r="D45" s="577" t="s">
        <v>4843</v>
      </c>
      <c r="E45" s="571"/>
      <c r="F45" s="571"/>
      <c r="G45" s="571"/>
      <c r="H45" s="571"/>
      <c r="I45" s="575"/>
      <c r="J45" s="572"/>
      <c r="K45" s="572"/>
      <c r="L45" s="572"/>
      <c r="M45" s="572"/>
      <c r="N45" s="572"/>
      <c r="O45" s="572"/>
      <c r="P45" s="572"/>
      <c r="Q45" s="572"/>
      <c r="R45" s="572"/>
      <c r="S45" s="572"/>
      <c r="T45" s="572"/>
      <c r="U45" s="572"/>
      <c r="V45" s="572"/>
      <c r="W45" s="572"/>
      <c r="X45" s="572"/>
      <c r="Y45" s="572"/>
      <c r="Z45" s="572"/>
      <c r="AA45" s="572"/>
      <c r="AB45" s="614"/>
    </row>
    <row r="46" spans="1:28" ht="15.75" thickBot="1" x14ac:dyDescent="0.3">
      <c r="A46" s="605"/>
      <c r="B46" s="579" t="s">
        <v>4733</v>
      </c>
      <c r="C46" s="572"/>
      <c r="D46" s="578" t="s">
        <v>4844</v>
      </c>
      <c r="E46" s="571"/>
      <c r="F46" s="571"/>
      <c r="G46" s="571"/>
      <c r="H46" s="571"/>
      <c r="I46" s="575"/>
      <c r="J46" s="572"/>
      <c r="K46" s="572"/>
      <c r="L46" s="572"/>
      <c r="M46" s="572"/>
      <c r="N46" s="572"/>
      <c r="O46" s="572"/>
      <c r="P46" s="572"/>
      <c r="Q46" s="572"/>
      <c r="R46" s="572"/>
      <c r="S46" s="572"/>
      <c r="T46" s="572"/>
      <c r="U46" s="572"/>
      <c r="V46" s="572"/>
      <c r="W46" s="572"/>
      <c r="X46" s="572"/>
      <c r="Y46" s="572"/>
      <c r="Z46" s="572"/>
      <c r="AA46" s="572"/>
      <c r="AB46" s="614"/>
    </row>
    <row r="47" spans="1:28" ht="15.75" thickBot="1" x14ac:dyDescent="0.3">
      <c r="A47" s="605"/>
      <c r="B47" s="674">
        <f>'Demand Individual Assumptions'!$B$159</f>
        <v>0.18956637353152256</v>
      </c>
      <c r="C47" s="572"/>
      <c r="D47" s="578" t="s">
        <v>4842</v>
      </c>
      <c r="E47" s="571"/>
      <c r="F47" s="571"/>
      <c r="G47" s="571"/>
      <c r="H47" s="571"/>
      <c r="I47" s="575"/>
      <c r="J47" s="572"/>
      <c r="K47" s="572"/>
      <c r="L47" s="572"/>
      <c r="M47" s="572"/>
      <c r="N47" s="572"/>
      <c r="O47" s="572"/>
      <c r="P47" s="572"/>
      <c r="Q47" s="572"/>
      <c r="R47" s="572"/>
      <c r="S47" s="572"/>
      <c r="T47" s="572"/>
      <c r="U47" s="572"/>
      <c r="V47" s="572"/>
      <c r="W47" s="572"/>
      <c r="X47" s="572"/>
      <c r="Y47" s="572"/>
      <c r="Z47" s="572"/>
      <c r="AA47" s="572"/>
      <c r="AB47" s="614"/>
    </row>
    <row r="48" spans="1:28" ht="15.75" thickBot="1" x14ac:dyDescent="0.3">
      <c r="A48" s="605"/>
      <c r="B48" s="582">
        <v>0.25</v>
      </c>
      <c r="C48" s="572"/>
      <c r="D48" s="578" t="s">
        <v>4734</v>
      </c>
      <c r="E48" s="571"/>
      <c r="F48" s="571"/>
      <c r="G48" s="571"/>
      <c r="H48" s="571"/>
      <c r="I48" s="575"/>
      <c r="J48" s="572"/>
      <c r="K48" s="572"/>
      <c r="L48" s="572"/>
      <c r="M48" s="572"/>
      <c r="N48" s="572"/>
      <c r="O48" s="572"/>
      <c r="P48" s="572"/>
      <c r="Q48" s="572"/>
      <c r="R48" s="572"/>
      <c r="S48" s="572"/>
      <c r="T48" s="572"/>
      <c r="U48" s="572"/>
      <c r="V48" s="572"/>
      <c r="W48" s="572"/>
      <c r="X48" s="572"/>
      <c r="Y48" s="572"/>
      <c r="Z48" s="572"/>
      <c r="AA48" s="572"/>
      <c r="AB48" s="614"/>
    </row>
    <row r="49" spans="1:28" ht="15.75" thickBot="1" x14ac:dyDescent="0.3">
      <c r="A49" s="605"/>
      <c r="B49" s="582">
        <v>0.75</v>
      </c>
      <c r="C49" s="572"/>
      <c r="D49" s="585" t="s">
        <v>4736</v>
      </c>
      <c r="E49" s="569"/>
      <c r="F49" s="569"/>
      <c r="G49" s="569"/>
      <c r="H49" s="569"/>
      <c r="I49" s="586"/>
      <c r="J49" s="572"/>
      <c r="K49" s="572"/>
      <c r="L49" s="572"/>
      <c r="M49" s="572"/>
      <c r="N49" s="572"/>
      <c r="O49" s="572"/>
      <c r="P49" s="572"/>
      <c r="Q49" s="572"/>
      <c r="R49" s="572"/>
      <c r="S49" s="572"/>
      <c r="T49" s="572"/>
      <c r="U49" s="572"/>
      <c r="V49" s="572"/>
      <c r="W49" s="572"/>
      <c r="X49" s="572"/>
      <c r="Y49" s="572"/>
      <c r="Z49" s="572"/>
      <c r="AA49" s="572"/>
      <c r="AB49" s="614"/>
    </row>
    <row r="50" spans="1:28" ht="15.75" thickBot="1" x14ac:dyDescent="0.3">
      <c r="A50" s="605"/>
      <c r="B50" s="582">
        <v>0.75</v>
      </c>
      <c r="C50" s="572"/>
      <c r="D50" s="587" t="s">
        <v>4737</v>
      </c>
      <c r="E50" s="588"/>
      <c r="F50" s="588"/>
      <c r="G50" s="588"/>
      <c r="H50" s="588"/>
      <c r="I50" s="589"/>
      <c r="J50" s="572"/>
      <c r="K50" s="572"/>
      <c r="L50" s="572"/>
      <c r="M50" s="572"/>
      <c r="N50" s="572"/>
      <c r="O50" s="572"/>
      <c r="P50" s="572"/>
      <c r="Q50" s="572"/>
      <c r="R50" s="572"/>
      <c r="S50" s="572"/>
      <c r="T50" s="572"/>
      <c r="U50" s="572"/>
      <c r="V50" s="572"/>
      <c r="W50" s="572"/>
      <c r="X50" s="572"/>
      <c r="Y50" s="572"/>
      <c r="Z50" s="572"/>
      <c r="AA50" s="572"/>
      <c r="AB50" s="614"/>
    </row>
    <row r="51" spans="1:28" x14ac:dyDescent="0.25">
      <c r="A51" s="605"/>
      <c r="B51" s="572"/>
      <c r="C51" s="572"/>
      <c r="D51" s="616"/>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614"/>
    </row>
    <row r="52" spans="1:28" x14ac:dyDescent="0.25">
      <c r="A52" s="605"/>
      <c r="B52" s="572"/>
      <c r="C52" s="572"/>
      <c r="D52" s="617" t="s">
        <v>4822</v>
      </c>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614"/>
    </row>
    <row r="53" spans="1:28" ht="15.75" thickBot="1" x14ac:dyDescent="0.3">
      <c r="A53" s="605"/>
      <c r="B53" s="572"/>
      <c r="C53" s="572"/>
      <c r="D53" s="679" t="s">
        <v>4949</v>
      </c>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614"/>
    </row>
    <row r="54" spans="1:28" ht="15.75" thickBot="1" x14ac:dyDescent="0.3">
      <c r="A54" s="605"/>
      <c r="B54" s="579" t="s">
        <v>4847</v>
      </c>
      <c r="C54" s="572"/>
      <c r="D54" s="680"/>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614"/>
    </row>
    <row r="55" spans="1:28" x14ac:dyDescent="0.25">
      <c r="A55" s="605"/>
      <c r="B55" s="572"/>
      <c r="C55" s="572"/>
      <c r="D55" s="680"/>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614"/>
    </row>
    <row r="56" spans="1:28" x14ac:dyDescent="0.25">
      <c r="A56" s="618"/>
      <c r="B56" s="621" t="b">
        <f>IF(IFERROR(SEARCH("2010",CONCATENATE(B3,B4,B5,B6,B11,B13,B14,B15,B16,B17)),0),TRUE,FALSE)</f>
        <v>0</v>
      </c>
      <c r="C56" s="622"/>
      <c r="D56" s="623" t="s">
        <v>4857</v>
      </c>
      <c r="E56" s="622"/>
      <c r="F56" s="622"/>
      <c r="G56" s="622"/>
      <c r="H56" s="622"/>
      <c r="I56" s="624"/>
      <c r="J56" s="619"/>
      <c r="K56" s="619"/>
      <c r="L56" s="619"/>
      <c r="M56" s="619"/>
      <c r="N56" s="619"/>
      <c r="O56" s="619"/>
      <c r="P56" s="619"/>
      <c r="Q56" s="619"/>
      <c r="R56" s="619"/>
      <c r="S56" s="619"/>
      <c r="T56" s="619"/>
      <c r="U56" s="619"/>
      <c r="V56" s="619"/>
      <c r="W56" s="619"/>
      <c r="X56" s="619"/>
      <c r="Y56" s="619"/>
      <c r="Z56" s="619"/>
      <c r="AA56" s="619"/>
      <c r="AB56" s="620"/>
    </row>
    <row r="57" spans="1:28" x14ac:dyDescent="0.25">
      <c r="D57" s="1"/>
    </row>
    <row r="59" spans="1:28" x14ac:dyDescent="0.25">
      <c r="D59" s="514"/>
    </row>
    <row r="60" spans="1:28" x14ac:dyDescent="0.25">
      <c r="D60" s="1"/>
    </row>
    <row r="61" spans="1:28" x14ac:dyDescent="0.25">
      <c r="D61" s="1"/>
    </row>
    <row r="62" spans="1:28" x14ac:dyDescent="0.25">
      <c r="D62" s="1"/>
    </row>
    <row r="63" spans="1:28" x14ac:dyDescent="0.25">
      <c r="D63" s="1"/>
    </row>
    <row r="64" spans="1:28" x14ac:dyDescent="0.25">
      <c r="D64" s="1"/>
    </row>
    <row r="66" spans="4:4" x14ac:dyDescent="0.25">
      <c r="D66" s="514"/>
    </row>
    <row r="67" spans="4:4" x14ac:dyDescent="0.25">
      <c r="D67" s="1"/>
    </row>
    <row r="68" spans="4:4" x14ac:dyDescent="0.25">
      <c r="D68" s="1"/>
    </row>
    <row r="69" spans="4:4" x14ac:dyDescent="0.25">
      <c r="D69" s="1"/>
    </row>
    <row r="70" spans="4:4" x14ac:dyDescent="0.25">
      <c r="D70" s="1"/>
    </row>
    <row r="71" spans="4:4" x14ac:dyDescent="0.25">
      <c r="D71" s="1"/>
    </row>
    <row r="72" spans="4:4" x14ac:dyDescent="0.25">
      <c r="D72" s="1"/>
    </row>
    <row r="73" spans="4:4" x14ac:dyDescent="0.25">
      <c r="D73" s="1"/>
    </row>
  </sheetData>
  <conditionalFormatting sqref="N1:AA39">
    <cfRule type="expression" dxfId="0" priority="2">
      <formula>$B$56</formula>
    </cfRule>
  </conditionalFormatting>
  <dataValidations count="16">
    <dataValidation type="list" allowBlank="1" showInputMessage="1" showErrorMessage="1" sqref="B23">
      <formula1>MWOtherRetires</formula1>
    </dataValidation>
    <dataValidation type="list" allowBlank="1" showInputMessage="1" showErrorMessage="1" sqref="B20">
      <formula1>MWNuclearRetires</formula1>
    </dataValidation>
    <dataValidation type="list" allowBlank="1" showInputMessage="1" showErrorMessage="1" sqref="B19">
      <formula1>MWOTCRetires</formula1>
    </dataValidation>
    <dataValidation type="list" allowBlank="1" showInputMessage="1" showErrorMessage="1" sqref="B11">
      <formula1>MWExisting</formula1>
    </dataValidation>
    <dataValidation type="list" allowBlank="1" showInputMessage="1" showErrorMessage="1" sqref="B17">
      <formula1>MWEventBasedDR</formula1>
    </dataValidation>
    <dataValidation type="list" allowBlank="1" showInputMessage="1" showErrorMessage="1" sqref="B16">
      <formula1>MWIncSCHP</formula1>
    </dataValidation>
    <dataValidation type="list" allowBlank="1" showInputMessage="1" showErrorMessage="1" sqref="B4">
      <formula1>MWIncEE</formula1>
    </dataValidation>
    <dataValidation type="list" allowBlank="1" showInputMessage="1" showErrorMessage="1" sqref="B15">
      <formula1>MWImports</formula1>
    </dataValidation>
    <dataValidation type="list" allowBlank="1" showInputMessage="1" showErrorMessage="1" sqref="B13">
      <formula1>MWResourceAdds</formula1>
    </dataValidation>
    <dataValidation type="list" allowBlank="1" showInputMessage="1" showErrorMessage="1" sqref="B3">
      <formula1>MWLoad</formula1>
    </dataValidation>
    <dataValidation type="list" allowBlank="1" showInputMessage="1" showErrorMessage="1" sqref="B6">
      <formula1>MWIncDCHP</formula1>
    </dataValidation>
    <dataValidation type="list" allowBlank="1" showInputMessage="1" showErrorMessage="1" sqref="B5">
      <formula1>MWIncSmPV</formula1>
    </dataValidation>
    <dataValidation type="list" allowBlank="1" showInputMessage="1" showErrorMessage="1" sqref="B14">
      <formula1>MWResourceAddsRPS</formula1>
    </dataValidation>
    <dataValidation type="list" showInputMessage="1" showErrorMessage="1" sqref="B46">
      <formula1>"CED forecast,user input"</formula1>
    </dataValidation>
    <dataValidation type="list" allowBlank="1" showInputMessage="1" showErrorMessage="1" sqref="B22">
      <formula1>MWHydroRetires</formula1>
    </dataValidation>
    <dataValidation type="list" allowBlank="1" showInputMessage="1" showErrorMessage="1" sqref="B21">
      <formula1>MWSolarWindRetires</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9"/>
  <sheetViews>
    <sheetView zoomScale="70" zoomScaleNormal="70" workbookViewId="0">
      <pane ySplit="3" topLeftCell="A130" activePane="bottomLeft" state="frozen"/>
      <selection pane="bottomLeft"/>
    </sheetView>
  </sheetViews>
  <sheetFormatPr defaultColWidth="8.85546875" defaultRowHeight="15" x14ac:dyDescent="0.25"/>
  <cols>
    <col min="1" max="1" width="8.85546875" style="3"/>
    <col min="2" max="2" width="30.7109375" customWidth="1"/>
    <col min="3" max="3" width="11.28515625" customWidth="1"/>
    <col min="4" max="10" width="13.7109375" bestFit="1" customWidth="1"/>
    <col min="11" max="11" width="13.7109375" style="518" bestFit="1" customWidth="1"/>
    <col min="12" max="13" width="13.7109375" bestFit="1" customWidth="1"/>
    <col min="14" max="14" width="11.140625" style="14" bestFit="1" customWidth="1"/>
    <col min="15" max="16" width="11.140625" bestFit="1" customWidth="1"/>
    <col min="17" max="17" width="11.42578125" bestFit="1" customWidth="1"/>
    <col min="18" max="18" width="12" bestFit="1" customWidth="1"/>
    <col min="19" max="19" width="11.42578125" bestFit="1" customWidth="1"/>
    <col min="20" max="25" width="12" bestFit="1" customWidth="1"/>
    <col min="26" max="26" width="8.85546875" style="10"/>
  </cols>
  <sheetData>
    <row r="1" spans="1:26" s="8" customFormat="1" x14ac:dyDescent="0.25">
      <c r="A1" s="3" t="s">
        <v>3374</v>
      </c>
      <c r="C1" s="16">
        <v>41111</v>
      </c>
      <c r="K1" s="518"/>
      <c r="N1" s="14"/>
      <c r="Z1" s="10"/>
    </row>
    <row r="3" spans="1:26" s="4" customFormat="1" x14ac:dyDescent="0.25">
      <c r="A3" s="11"/>
      <c r="C3" s="4">
        <v>2012</v>
      </c>
      <c r="D3" s="4">
        <f>C3+1</f>
        <v>2013</v>
      </c>
      <c r="E3" s="4">
        <f t="shared" ref="E3:N3" si="0">D3+1</f>
        <v>2014</v>
      </c>
      <c r="F3" s="4">
        <f t="shared" si="0"/>
        <v>2015</v>
      </c>
      <c r="G3" s="4">
        <f t="shared" si="0"/>
        <v>2016</v>
      </c>
      <c r="H3" s="4">
        <f t="shared" si="0"/>
        <v>2017</v>
      </c>
      <c r="I3" s="4">
        <f t="shared" si="0"/>
        <v>2018</v>
      </c>
      <c r="J3" s="4">
        <f t="shared" si="0"/>
        <v>2019</v>
      </c>
      <c r="K3" s="520">
        <f t="shared" si="0"/>
        <v>2020</v>
      </c>
      <c r="L3" s="4">
        <f>K3+1</f>
        <v>2021</v>
      </c>
      <c r="M3" s="4">
        <f t="shared" si="0"/>
        <v>2022</v>
      </c>
      <c r="N3" s="13">
        <f t="shared" si="0"/>
        <v>2023</v>
      </c>
      <c r="O3" s="4">
        <f>N3+1</f>
        <v>2024</v>
      </c>
      <c r="P3" s="4">
        <f t="shared" ref="P3:X3" si="1">O3+1</f>
        <v>2025</v>
      </c>
      <c r="Q3" s="4">
        <f t="shared" si="1"/>
        <v>2026</v>
      </c>
      <c r="R3" s="4">
        <f t="shared" si="1"/>
        <v>2027</v>
      </c>
      <c r="S3" s="4">
        <f t="shared" si="1"/>
        <v>2028</v>
      </c>
      <c r="T3" s="4">
        <f t="shared" si="1"/>
        <v>2029</v>
      </c>
      <c r="U3" s="4">
        <f t="shared" si="1"/>
        <v>2030</v>
      </c>
      <c r="V3" s="4">
        <f t="shared" si="1"/>
        <v>2031</v>
      </c>
      <c r="W3" s="4">
        <f t="shared" si="1"/>
        <v>2032</v>
      </c>
      <c r="X3" s="4">
        <f t="shared" si="1"/>
        <v>2033</v>
      </c>
      <c r="Y3" s="4">
        <f>X3+1</f>
        <v>2034</v>
      </c>
      <c r="Z3" s="12"/>
    </row>
    <row r="4" spans="1:26" x14ac:dyDescent="0.25">
      <c r="A4" s="505"/>
      <c r="B4" s="4" t="s">
        <v>4</v>
      </c>
    </row>
    <row r="5" spans="1:26" x14ac:dyDescent="0.25">
      <c r="A5" s="505"/>
      <c r="B5" s="1" t="s">
        <v>0</v>
      </c>
      <c r="C5" s="5">
        <f>SUM('Demand Individual Assumptions'!E5:E7)</f>
        <v>48579</v>
      </c>
      <c r="D5" s="5">
        <f>SUM('Demand Individual Assumptions'!F5:F7)</f>
        <v>48767</v>
      </c>
      <c r="E5" s="5">
        <f>SUM('Demand Individual Assumptions'!G5:G7)</f>
        <v>49145</v>
      </c>
      <c r="F5" s="5">
        <f>SUM('Demand Individual Assumptions'!H5:H7)</f>
        <v>49764</v>
      </c>
      <c r="G5" s="5">
        <f>SUM('Demand Individual Assumptions'!I5:I7)</f>
        <v>50575</v>
      </c>
      <c r="H5" s="5">
        <f>SUM('Demand Individual Assumptions'!J5:J7)</f>
        <v>51361</v>
      </c>
      <c r="I5" s="5">
        <f>SUM('Demand Individual Assumptions'!K5:K7)</f>
        <v>52019</v>
      </c>
      <c r="J5" s="5">
        <f>SUM('Demand Individual Assumptions'!L5:L7)</f>
        <v>52613</v>
      </c>
      <c r="K5" s="519">
        <f>SUM('Demand Individual Assumptions'!M5:M7)</f>
        <v>53144</v>
      </c>
      <c r="L5" s="5">
        <f>SUM('Demand Individual Assumptions'!N5:N7)</f>
        <v>53585</v>
      </c>
      <c r="M5" s="5">
        <f>SUM('Demand Individual Assumptions'!O5:O7)</f>
        <v>53985</v>
      </c>
      <c r="O5" s="446"/>
    </row>
    <row r="6" spans="1:26" x14ac:dyDescent="0.25">
      <c r="A6" s="505"/>
      <c r="B6" s="1" t="s">
        <v>9</v>
      </c>
      <c r="C6" s="5">
        <f>SUM('Demand Individual Assumptions'!E9:E11)</f>
        <v>49740</v>
      </c>
      <c r="D6" s="5">
        <f>SUM('Demand Individual Assumptions'!F9:F11)</f>
        <v>50944</v>
      </c>
      <c r="E6" s="5">
        <f>SUM('Demand Individual Assumptions'!G9:G11)</f>
        <v>51706</v>
      </c>
      <c r="F6" s="5">
        <f>SUM('Demand Individual Assumptions'!H9:H11)</f>
        <v>52409</v>
      </c>
      <c r="G6" s="5">
        <f>SUM('Demand Individual Assumptions'!I9:I11)</f>
        <v>53135</v>
      </c>
      <c r="H6" s="5">
        <f>SUM('Demand Individual Assumptions'!J9:J11)</f>
        <v>53869</v>
      </c>
      <c r="I6" s="5">
        <f>SUM('Demand Individual Assumptions'!K9:K11)</f>
        <v>54577</v>
      </c>
      <c r="J6" s="5">
        <f>SUM('Demand Individual Assumptions'!L9:L11)</f>
        <v>55322</v>
      </c>
      <c r="K6" s="519">
        <f>SUM('Demand Individual Assumptions'!M9:M11)</f>
        <v>56033</v>
      </c>
      <c r="L6" s="5">
        <f>SUM('Demand Individual Assumptions'!N9:N11)</f>
        <v>56690</v>
      </c>
      <c r="M6" s="5">
        <f>SUM('Demand Individual Assumptions'!O9:O11)</f>
        <v>57288</v>
      </c>
    </row>
    <row r="7" spans="1:26" x14ac:dyDescent="0.25">
      <c r="A7" s="505"/>
      <c r="B7" s="2" t="s">
        <v>4739</v>
      </c>
      <c r="C7" s="5">
        <f>SUM('Demand Individual Assumptions'!E17:E19)</f>
        <v>52116</v>
      </c>
      <c r="D7" s="5">
        <f>SUM('Demand Individual Assumptions'!F17:F19)</f>
        <v>53377</v>
      </c>
      <c r="E7" s="5">
        <f>SUM('Demand Individual Assumptions'!G17:G19)</f>
        <v>54176</v>
      </c>
      <c r="F7" s="5">
        <f>SUM('Demand Individual Assumptions'!H17:H19)</f>
        <v>54911</v>
      </c>
      <c r="G7" s="5">
        <f>SUM('Demand Individual Assumptions'!I17:I19)</f>
        <v>55674</v>
      </c>
      <c r="H7" s="5">
        <f>SUM('Demand Individual Assumptions'!J17:J19)</f>
        <v>56445</v>
      </c>
      <c r="I7" s="5">
        <f>SUM('Demand Individual Assumptions'!K17:K19)</f>
        <v>57188</v>
      </c>
      <c r="J7" s="5">
        <f>SUM('Demand Individual Assumptions'!L17:L19)</f>
        <v>57969</v>
      </c>
      <c r="K7" s="519">
        <f>SUM('Demand Individual Assumptions'!M17:M19)</f>
        <v>58715</v>
      </c>
      <c r="L7" s="5">
        <f>SUM('Demand Individual Assumptions'!N17:N19)</f>
        <v>59403</v>
      </c>
      <c r="M7" s="5">
        <f>SUM('Demand Individual Assumptions'!O17:O19)</f>
        <v>60029</v>
      </c>
    </row>
    <row r="8" spans="1:26" x14ac:dyDescent="0.25">
      <c r="A8" s="505"/>
      <c r="B8" s="2" t="s">
        <v>4740</v>
      </c>
      <c r="C8" s="5">
        <f>SUM('Demand Individual Assumptions'!E21:E23)</f>
        <v>53442</v>
      </c>
      <c r="D8" s="5">
        <f>SUM('Demand Individual Assumptions'!F21:F23)</f>
        <v>54736</v>
      </c>
      <c r="E8" s="5">
        <f>SUM('Demand Individual Assumptions'!G21:G23)</f>
        <v>55556</v>
      </c>
      <c r="F8" s="5">
        <f>SUM('Demand Individual Assumptions'!H21:H23)</f>
        <v>56310</v>
      </c>
      <c r="G8" s="5">
        <f>SUM('Demand Individual Assumptions'!I21:I23)</f>
        <v>57092</v>
      </c>
      <c r="H8" s="5">
        <f>SUM('Demand Individual Assumptions'!J21:J23)</f>
        <v>57883</v>
      </c>
      <c r="I8" s="5">
        <f>SUM('Demand Individual Assumptions'!K21:K23)</f>
        <v>58644</v>
      </c>
      <c r="J8" s="5">
        <f>SUM('Demand Individual Assumptions'!L21:L23)</f>
        <v>59444</v>
      </c>
      <c r="K8" s="519">
        <f>SUM('Demand Individual Assumptions'!M21:M23)</f>
        <v>60208</v>
      </c>
      <c r="L8" s="5">
        <f>SUM('Demand Individual Assumptions'!N21:N23)</f>
        <v>60914</v>
      </c>
      <c r="M8" s="5">
        <f>SUM('Demand Individual Assumptions'!O21:O23)</f>
        <v>61559</v>
      </c>
    </row>
    <row r="9" spans="1:26" x14ac:dyDescent="0.25">
      <c r="A9" s="505"/>
      <c r="B9" s="1" t="s">
        <v>1</v>
      </c>
      <c r="C9" s="5">
        <f>SUM('Demand Individual Assumptions'!E13:E15)</f>
        <v>49843</v>
      </c>
      <c r="D9" s="5">
        <f>SUM('Demand Individual Assumptions'!F13:F15)</f>
        <v>50929</v>
      </c>
      <c r="E9" s="5">
        <f>SUM('Demand Individual Assumptions'!G13:G15)</f>
        <v>52146</v>
      </c>
      <c r="F9" s="5">
        <f>SUM('Demand Individual Assumptions'!H13:H15)</f>
        <v>53149</v>
      </c>
      <c r="G9" s="5">
        <f>SUM('Demand Individual Assumptions'!I13:I15)</f>
        <v>54042</v>
      </c>
      <c r="H9" s="5">
        <f>SUM('Demand Individual Assumptions'!J13:J15)</f>
        <v>54918</v>
      </c>
      <c r="I9" s="5">
        <f>SUM('Demand Individual Assumptions'!K13:K15)</f>
        <v>55843</v>
      </c>
      <c r="J9" s="5">
        <f>SUM('Demand Individual Assumptions'!L13:L15)</f>
        <v>56850</v>
      </c>
      <c r="K9" s="519">
        <f>SUM('Demand Individual Assumptions'!M13:M15)</f>
        <v>57938</v>
      </c>
      <c r="L9" s="5">
        <f>SUM('Demand Individual Assumptions'!N13:N15)</f>
        <v>58917</v>
      </c>
      <c r="M9" s="5">
        <f>SUM('Demand Individual Assumptions'!O13:O15)</f>
        <v>59904</v>
      </c>
    </row>
    <row r="10" spans="1:26" s="8" customFormat="1" x14ac:dyDescent="0.25">
      <c r="A10" s="505"/>
      <c r="B10" s="1" t="s">
        <v>4846</v>
      </c>
      <c r="C10" s="5">
        <f>SUM('Demand Individual Assumptions'!E25:E27)</f>
        <v>52387</v>
      </c>
      <c r="D10" s="5">
        <f>SUM('Demand Individual Assumptions'!F25:F27)</f>
        <v>53224</v>
      </c>
      <c r="E10" s="5">
        <f>SUM('Demand Individual Assumptions'!G25:G27)</f>
        <v>53881</v>
      </c>
      <c r="F10" s="5">
        <f>SUM('Demand Individual Assumptions'!H25:H27)</f>
        <v>54562</v>
      </c>
      <c r="G10" s="5">
        <f>SUM('Demand Individual Assumptions'!I25:I27)</f>
        <v>55256</v>
      </c>
      <c r="H10" s="5">
        <f>SUM('Demand Individual Assumptions'!J25:J27)</f>
        <v>56004</v>
      </c>
      <c r="I10" s="5">
        <f>SUM('Demand Individual Assumptions'!K25:K27)</f>
        <v>56718</v>
      </c>
      <c r="J10" s="5">
        <f>SUM('Demand Individual Assumptions'!L25:L27)</f>
        <v>57440</v>
      </c>
      <c r="K10" s="519">
        <f>SUM('Demand Individual Assumptions'!M25:M27)</f>
        <v>58229</v>
      </c>
      <c r="L10" s="5"/>
      <c r="M10" s="5"/>
      <c r="N10" s="14"/>
      <c r="Z10" s="10"/>
    </row>
    <row r="11" spans="1:26" s="8" customFormat="1" x14ac:dyDescent="0.25">
      <c r="A11" s="505"/>
      <c r="B11" s="1"/>
      <c r="C11" s="5"/>
      <c r="D11" s="5"/>
      <c r="E11" s="5"/>
      <c r="F11" s="5"/>
      <c r="G11" s="5"/>
      <c r="H11" s="5"/>
      <c r="I11" s="5"/>
      <c r="J11" s="5"/>
      <c r="K11" s="519"/>
      <c r="L11" s="5"/>
      <c r="M11" s="5"/>
      <c r="N11" s="14"/>
      <c r="Z11" s="10"/>
    </row>
    <row r="12" spans="1:26" x14ac:dyDescent="0.25">
      <c r="A12" s="505"/>
      <c r="B12" s="4" t="s">
        <v>5</v>
      </c>
      <c r="C12" s="5"/>
      <c r="D12" s="5"/>
      <c r="E12" s="5"/>
      <c r="F12" s="5"/>
      <c r="G12" s="5"/>
      <c r="H12" s="5"/>
      <c r="I12" s="5"/>
      <c r="J12" s="5"/>
      <c r="K12" s="519"/>
      <c r="L12" s="5"/>
      <c r="M12" s="5"/>
    </row>
    <row r="13" spans="1:26" x14ac:dyDescent="0.25">
      <c r="A13" s="505"/>
      <c r="B13" s="1" t="s">
        <v>0</v>
      </c>
      <c r="C13" s="5">
        <f>SUM('Demand Individual Assumptions'!E31:E33)</f>
        <v>229531</v>
      </c>
      <c r="D13" s="5">
        <f>SUM('Demand Individual Assumptions'!F31:F33)</f>
        <v>230699</v>
      </c>
      <c r="E13" s="5">
        <f>SUM('Demand Individual Assumptions'!G31:G33)</f>
        <v>232433</v>
      </c>
      <c r="F13" s="5">
        <f>SUM('Demand Individual Assumptions'!H31:H33)</f>
        <v>235072</v>
      </c>
      <c r="G13" s="5">
        <f>SUM('Demand Individual Assumptions'!I31:I33)</f>
        <v>238447</v>
      </c>
      <c r="H13" s="5">
        <f>SUM('Demand Individual Assumptions'!J31:J33)</f>
        <v>241836</v>
      </c>
      <c r="I13" s="5">
        <f>SUM('Demand Individual Assumptions'!K31:K33)</f>
        <v>244563</v>
      </c>
      <c r="J13" s="5">
        <f>SUM('Demand Individual Assumptions'!L31:L33)</f>
        <v>247605</v>
      </c>
      <c r="K13" s="519">
        <f>SUM('Demand Individual Assumptions'!M31:M33)</f>
        <v>250463</v>
      </c>
      <c r="L13" s="5">
        <f>SUM('Demand Individual Assumptions'!N31:N33)</f>
        <v>253137</v>
      </c>
      <c r="M13" s="5">
        <f>SUM('Demand Individual Assumptions'!O31:O33)</f>
        <v>255744</v>
      </c>
      <c r="O13" s="446"/>
    </row>
    <row r="14" spans="1:26" x14ac:dyDescent="0.25">
      <c r="A14" s="505"/>
      <c r="B14" s="1" t="s">
        <v>9</v>
      </c>
      <c r="C14" s="5">
        <f>SUM('Demand Individual Assumptions'!E35:E37)</f>
        <v>234900</v>
      </c>
      <c r="D14" s="5">
        <f>SUM('Demand Individual Assumptions'!F35:F37)</f>
        <v>237676</v>
      </c>
      <c r="E14" s="5">
        <f>SUM('Demand Individual Assumptions'!G35:G37)</f>
        <v>240638</v>
      </c>
      <c r="F14" s="5">
        <f>SUM('Demand Individual Assumptions'!H35:H37)</f>
        <v>243606</v>
      </c>
      <c r="G14" s="5">
        <f>SUM('Demand Individual Assumptions'!I35:I37)</f>
        <v>246606</v>
      </c>
      <c r="H14" s="5">
        <f>SUM('Demand Individual Assumptions'!J35:J37)</f>
        <v>249578</v>
      </c>
      <c r="I14" s="5">
        <f>SUM('Demand Individual Assumptions'!K35:K37)</f>
        <v>252430</v>
      </c>
      <c r="J14" s="5">
        <f>SUM('Demand Individual Assumptions'!L35:L37)</f>
        <v>255808</v>
      </c>
      <c r="K14" s="519">
        <f>SUM('Demand Individual Assumptions'!M35:M37)</f>
        <v>259106</v>
      </c>
      <c r="L14" s="5">
        <f>SUM('Demand Individual Assumptions'!N35:N37)</f>
        <v>262248</v>
      </c>
      <c r="M14" s="5">
        <f>SUM('Demand Individual Assumptions'!O35:O37)</f>
        <v>265210</v>
      </c>
    </row>
    <row r="15" spans="1:26" s="115" customFormat="1" x14ac:dyDescent="0.25">
      <c r="A15" s="505"/>
      <c r="B15" s="2" t="s">
        <v>4739</v>
      </c>
      <c r="C15" s="5">
        <f>C14</f>
        <v>234900</v>
      </c>
      <c r="D15" s="5">
        <f t="shared" ref="D15:M15" si="2">D14</f>
        <v>237676</v>
      </c>
      <c r="E15" s="5">
        <f t="shared" si="2"/>
        <v>240638</v>
      </c>
      <c r="F15" s="5">
        <f t="shared" si="2"/>
        <v>243606</v>
      </c>
      <c r="G15" s="5">
        <f t="shared" si="2"/>
        <v>246606</v>
      </c>
      <c r="H15" s="5">
        <f t="shared" si="2"/>
        <v>249578</v>
      </c>
      <c r="I15" s="5">
        <f t="shared" si="2"/>
        <v>252430</v>
      </c>
      <c r="J15" s="5">
        <f t="shared" si="2"/>
        <v>255808</v>
      </c>
      <c r="K15" s="519">
        <f t="shared" si="2"/>
        <v>259106</v>
      </c>
      <c r="L15" s="5">
        <f t="shared" si="2"/>
        <v>262248</v>
      </c>
      <c r="M15" s="5">
        <f t="shared" si="2"/>
        <v>265210</v>
      </c>
      <c r="N15" s="14"/>
      <c r="Z15" s="10"/>
    </row>
    <row r="16" spans="1:26" s="115" customFormat="1" x14ac:dyDescent="0.25">
      <c r="A16" s="505"/>
      <c r="B16" s="2" t="s">
        <v>4740</v>
      </c>
      <c r="C16" s="5">
        <f>C14</f>
        <v>234900</v>
      </c>
      <c r="D16" s="5">
        <f t="shared" ref="D16:M16" si="3">D14</f>
        <v>237676</v>
      </c>
      <c r="E16" s="5">
        <f t="shared" si="3"/>
        <v>240638</v>
      </c>
      <c r="F16" s="5">
        <f t="shared" si="3"/>
        <v>243606</v>
      </c>
      <c r="G16" s="5">
        <f t="shared" si="3"/>
        <v>246606</v>
      </c>
      <c r="H16" s="5">
        <f t="shared" si="3"/>
        <v>249578</v>
      </c>
      <c r="I16" s="5">
        <f t="shared" si="3"/>
        <v>252430</v>
      </c>
      <c r="J16" s="5">
        <f t="shared" si="3"/>
        <v>255808</v>
      </c>
      <c r="K16" s="519">
        <f t="shared" si="3"/>
        <v>259106</v>
      </c>
      <c r="L16" s="5">
        <f t="shared" si="3"/>
        <v>262248</v>
      </c>
      <c r="M16" s="5">
        <f t="shared" si="3"/>
        <v>265210</v>
      </c>
      <c r="N16" s="14"/>
      <c r="Z16" s="10"/>
    </row>
    <row r="17" spans="1:26" x14ac:dyDescent="0.25">
      <c r="A17" s="505"/>
      <c r="B17" s="1" t="s">
        <v>1</v>
      </c>
      <c r="C17" s="5">
        <f>SUM('Demand Individual Assumptions'!E39:E41)</f>
        <v>236012</v>
      </c>
      <c r="D17" s="5">
        <f>SUM('Demand Individual Assumptions'!F39:F41)</f>
        <v>239811</v>
      </c>
      <c r="E17" s="5">
        <f>SUM('Demand Individual Assumptions'!G39:G41)</f>
        <v>244730</v>
      </c>
      <c r="F17" s="5">
        <f>SUM('Demand Individual Assumptions'!H39:H41)</f>
        <v>249057</v>
      </c>
      <c r="G17" s="5">
        <f>SUM('Demand Individual Assumptions'!I39:I41)</f>
        <v>253047</v>
      </c>
      <c r="H17" s="5">
        <f>SUM('Demand Individual Assumptions'!J39:J41)</f>
        <v>257123</v>
      </c>
      <c r="I17" s="5">
        <f>SUM('Demand Individual Assumptions'!K39:K41)</f>
        <v>261320</v>
      </c>
      <c r="J17" s="5">
        <f>SUM('Demand Individual Assumptions'!L39:L41)</f>
        <v>266286</v>
      </c>
      <c r="K17" s="519">
        <f>SUM('Demand Individual Assumptions'!M39:M41)</f>
        <v>271538</v>
      </c>
      <c r="L17" s="5">
        <f>SUM('Demand Individual Assumptions'!N39:N41)</f>
        <v>276254</v>
      </c>
      <c r="M17" s="5">
        <f>SUM('Demand Individual Assumptions'!O39:O41)</f>
        <v>280924</v>
      </c>
    </row>
    <row r="18" spans="1:26" x14ac:dyDescent="0.25">
      <c r="A18" s="505"/>
      <c r="B18" s="1" t="s">
        <v>4846</v>
      </c>
      <c r="C18" s="5">
        <f>SUM('Demand Individual Assumptions'!E43:E45)</f>
        <v>241516</v>
      </c>
      <c r="D18" s="5">
        <f>SUM('Demand Individual Assumptions'!F43:F45)</f>
        <v>245389</v>
      </c>
      <c r="E18" s="5">
        <f>SUM('Demand Individual Assumptions'!G43:G45)</f>
        <v>248236</v>
      </c>
      <c r="F18" s="5">
        <f>SUM('Demand Individual Assumptions'!H43:H45)</f>
        <v>251139</v>
      </c>
      <c r="G18" s="5">
        <f>SUM('Demand Individual Assumptions'!I43:I45)</f>
        <v>254086</v>
      </c>
      <c r="H18" s="5">
        <f>SUM('Demand Individual Assumptions'!J43:J45)</f>
        <v>257208</v>
      </c>
      <c r="I18" s="5">
        <f>SUM('Demand Individual Assumptions'!K43:K45)</f>
        <v>260193</v>
      </c>
      <c r="J18" s="5">
        <f>SUM('Demand Individual Assumptions'!L43:L45)</f>
        <v>263213</v>
      </c>
      <c r="K18" s="519">
        <f>SUM('Demand Individual Assumptions'!M43:M45)</f>
        <v>266357</v>
      </c>
      <c r="L18" s="5"/>
      <c r="M18" s="5"/>
    </row>
    <row r="19" spans="1:26" s="115" customFormat="1" x14ac:dyDescent="0.25">
      <c r="A19" s="505"/>
      <c r="B19" s="1"/>
      <c r="C19" s="5"/>
      <c r="D19" s="5"/>
      <c r="E19" s="5"/>
      <c r="F19" s="5"/>
      <c r="G19" s="5"/>
      <c r="H19" s="5"/>
      <c r="I19" s="5"/>
      <c r="J19" s="5"/>
      <c r="K19" s="519"/>
      <c r="L19" s="5"/>
      <c r="M19" s="5"/>
      <c r="N19" s="14"/>
      <c r="Z19" s="10"/>
    </row>
    <row r="20" spans="1:26" s="115" customFormat="1" x14ac:dyDescent="0.25">
      <c r="A20" s="505"/>
      <c r="B20" s="11" t="s">
        <v>4849</v>
      </c>
      <c r="C20" s="5"/>
      <c r="D20" s="5"/>
      <c r="E20" s="5"/>
      <c r="F20" s="5"/>
      <c r="G20" s="5"/>
      <c r="H20" s="5"/>
      <c r="I20" s="5"/>
      <c r="J20" s="5"/>
      <c r="K20" s="519"/>
      <c r="L20" s="5"/>
      <c r="M20" s="5"/>
      <c r="N20" s="14"/>
      <c r="Z20" s="10"/>
    </row>
    <row r="21" spans="1:26" s="115" customFormat="1" x14ac:dyDescent="0.25">
      <c r="A21" s="505"/>
      <c r="B21" s="635" t="s">
        <v>0</v>
      </c>
      <c r="C21" s="5">
        <f>'Demand Individual Assumptions'!E53</f>
        <v>9862.4000000000015</v>
      </c>
      <c r="D21" s="5">
        <f>'Demand Individual Assumptions'!F53</f>
        <v>9869.6</v>
      </c>
      <c r="E21" s="5">
        <f>'Demand Individual Assumptions'!G53</f>
        <v>9879.2000000000007</v>
      </c>
      <c r="F21" s="5">
        <f>'Demand Individual Assumptions'!H53</f>
        <v>9904.8000000000011</v>
      </c>
      <c r="G21" s="5">
        <f>'Demand Individual Assumptions'!I53</f>
        <v>9921.6</v>
      </c>
      <c r="H21" s="5">
        <f>'Demand Individual Assumptions'!J53</f>
        <v>9938.4000000000015</v>
      </c>
      <c r="I21" s="5">
        <f>'Demand Individual Assumptions'!K53</f>
        <v>9954.4000000000015</v>
      </c>
      <c r="J21" s="5">
        <f>'Demand Individual Assumptions'!L53</f>
        <v>9974.4000000000015</v>
      </c>
      <c r="K21" s="519">
        <f>'Demand Individual Assumptions'!M53</f>
        <v>9991.2000000000007</v>
      </c>
      <c r="L21" s="5">
        <f>'Demand Individual Assumptions'!N53</f>
        <v>10007.200000000001</v>
      </c>
      <c r="M21" s="5">
        <f>'Demand Individual Assumptions'!O53</f>
        <v>10024</v>
      </c>
      <c r="N21" s="14"/>
      <c r="Z21" s="10"/>
    </row>
    <row r="22" spans="1:26" s="115" customFormat="1" x14ac:dyDescent="0.25">
      <c r="A22" s="505"/>
      <c r="B22" s="635" t="s">
        <v>9</v>
      </c>
      <c r="C22" s="5">
        <f>'Demand Individual Assumptions'!E54</f>
        <v>9862.4000000000015</v>
      </c>
      <c r="D22" s="5">
        <f>'Demand Individual Assumptions'!F54</f>
        <v>9869.6</v>
      </c>
      <c r="E22" s="5">
        <f>'Demand Individual Assumptions'!G54</f>
        <v>9879.2000000000007</v>
      </c>
      <c r="F22" s="5">
        <f>'Demand Individual Assumptions'!H54</f>
        <v>9904.8000000000011</v>
      </c>
      <c r="G22" s="5">
        <f>'Demand Individual Assumptions'!I54</f>
        <v>9921.6</v>
      </c>
      <c r="H22" s="5">
        <f>'Demand Individual Assumptions'!J54</f>
        <v>9938.4000000000015</v>
      </c>
      <c r="I22" s="5">
        <f>'Demand Individual Assumptions'!K54</f>
        <v>9954.4000000000015</v>
      </c>
      <c r="J22" s="5">
        <f>'Demand Individual Assumptions'!L54</f>
        <v>9974.4000000000015</v>
      </c>
      <c r="K22" s="519">
        <f>'Demand Individual Assumptions'!M54</f>
        <v>9991.2000000000007</v>
      </c>
      <c r="L22" s="5">
        <f>'Demand Individual Assumptions'!N54</f>
        <v>10007.200000000001</v>
      </c>
      <c r="M22" s="5">
        <f>'Demand Individual Assumptions'!O54</f>
        <v>10024</v>
      </c>
      <c r="N22" s="14"/>
      <c r="Z22" s="10"/>
    </row>
    <row r="23" spans="1:26" s="115" customFormat="1" x14ac:dyDescent="0.25">
      <c r="A23" s="505"/>
      <c r="B23" s="2" t="s">
        <v>4739</v>
      </c>
      <c r="C23" s="5">
        <f>C22</f>
        <v>9862.4000000000015</v>
      </c>
      <c r="D23" s="5">
        <f t="shared" ref="D23:M23" si="4">D22</f>
        <v>9869.6</v>
      </c>
      <c r="E23" s="5">
        <f t="shared" si="4"/>
        <v>9879.2000000000007</v>
      </c>
      <c r="F23" s="5">
        <f t="shared" si="4"/>
        <v>9904.8000000000011</v>
      </c>
      <c r="G23" s="5">
        <f t="shared" si="4"/>
        <v>9921.6</v>
      </c>
      <c r="H23" s="5">
        <f t="shared" si="4"/>
        <v>9938.4000000000015</v>
      </c>
      <c r="I23" s="5">
        <f t="shared" si="4"/>
        <v>9954.4000000000015</v>
      </c>
      <c r="J23" s="5">
        <f t="shared" si="4"/>
        <v>9974.4000000000015</v>
      </c>
      <c r="K23" s="519">
        <f t="shared" si="4"/>
        <v>9991.2000000000007</v>
      </c>
      <c r="L23" s="5">
        <f t="shared" si="4"/>
        <v>10007.200000000001</v>
      </c>
      <c r="M23" s="5">
        <f t="shared" si="4"/>
        <v>10024</v>
      </c>
      <c r="N23" s="14"/>
      <c r="Z23" s="10"/>
    </row>
    <row r="24" spans="1:26" s="115" customFormat="1" x14ac:dyDescent="0.25">
      <c r="A24" s="505"/>
      <c r="B24" s="2" t="s">
        <v>4740</v>
      </c>
      <c r="C24" s="5">
        <f>C22</f>
        <v>9862.4000000000015</v>
      </c>
      <c r="D24" s="5">
        <f t="shared" ref="D24:M24" si="5">D22</f>
        <v>9869.6</v>
      </c>
      <c r="E24" s="5">
        <f t="shared" si="5"/>
        <v>9879.2000000000007</v>
      </c>
      <c r="F24" s="5">
        <f t="shared" si="5"/>
        <v>9904.8000000000011</v>
      </c>
      <c r="G24" s="5">
        <f t="shared" si="5"/>
        <v>9921.6</v>
      </c>
      <c r="H24" s="5">
        <f t="shared" si="5"/>
        <v>9938.4000000000015</v>
      </c>
      <c r="I24" s="5">
        <f t="shared" si="5"/>
        <v>9954.4000000000015</v>
      </c>
      <c r="J24" s="5">
        <f t="shared" si="5"/>
        <v>9974.4000000000015</v>
      </c>
      <c r="K24" s="519">
        <f t="shared" si="5"/>
        <v>9991.2000000000007</v>
      </c>
      <c r="L24" s="5">
        <f t="shared" si="5"/>
        <v>10007.200000000001</v>
      </c>
      <c r="M24" s="5">
        <f t="shared" si="5"/>
        <v>10024</v>
      </c>
      <c r="N24" s="14"/>
      <c r="Z24" s="10"/>
    </row>
    <row r="25" spans="1:26" s="115" customFormat="1" x14ac:dyDescent="0.25">
      <c r="A25" s="505"/>
      <c r="B25" s="635" t="s">
        <v>1</v>
      </c>
      <c r="C25" s="5">
        <f>'Demand Individual Assumptions'!E55</f>
        <v>9862.4000000000015</v>
      </c>
      <c r="D25" s="5">
        <f>'Demand Individual Assumptions'!F55</f>
        <v>9869.6</v>
      </c>
      <c r="E25" s="5">
        <f>'Demand Individual Assumptions'!G55</f>
        <v>9879.2000000000007</v>
      </c>
      <c r="F25" s="5">
        <f>'Demand Individual Assumptions'!H55</f>
        <v>9904.8000000000011</v>
      </c>
      <c r="G25" s="5">
        <f>'Demand Individual Assumptions'!I55</f>
        <v>9921.6</v>
      </c>
      <c r="H25" s="5">
        <f>'Demand Individual Assumptions'!J55</f>
        <v>9938.4000000000015</v>
      </c>
      <c r="I25" s="5">
        <f>'Demand Individual Assumptions'!K55</f>
        <v>9954.4000000000015</v>
      </c>
      <c r="J25" s="5">
        <f>'Demand Individual Assumptions'!L55</f>
        <v>9974.4000000000015</v>
      </c>
      <c r="K25" s="519">
        <f>'Demand Individual Assumptions'!M55</f>
        <v>9991.2000000000007</v>
      </c>
      <c r="L25" s="5">
        <f>'Demand Individual Assumptions'!N55</f>
        <v>10007.200000000001</v>
      </c>
      <c r="M25" s="5">
        <f>'Demand Individual Assumptions'!O55</f>
        <v>10024</v>
      </c>
      <c r="N25" s="14"/>
      <c r="Z25" s="10"/>
    </row>
    <row r="26" spans="1:26" s="115" customFormat="1" x14ac:dyDescent="0.25">
      <c r="A26" s="505"/>
      <c r="B26" s="1" t="s">
        <v>4846</v>
      </c>
      <c r="C26" s="5">
        <f>'Demand Individual Assumptions'!E56</f>
        <v>10686.786761164802</v>
      </c>
      <c r="D26" s="5">
        <f>'Demand Individual Assumptions'!F56</f>
        <v>10715.026761164801</v>
      </c>
      <c r="E26" s="5">
        <f>'Demand Individual Assumptions'!G56</f>
        <v>10733.578761164801</v>
      </c>
      <c r="F26" s="5">
        <f>'Demand Individual Assumptions'!H56</f>
        <v>10752.1547611648</v>
      </c>
      <c r="G26" s="5">
        <f>'Demand Individual Assumptions'!I56</f>
        <v>10769.994761164802</v>
      </c>
      <c r="H26" s="5">
        <f>'Demand Individual Assumptions'!J56</f>
        <v>10791.674761164802</v>
      </c>
      <c r="I26" s="5">
        <f>'Demand Individual Assumptions'!K56</f>
        <v>10809.186761164801</v>
      </c>
      <c r="J26" s="5">
        <f>'Demand Individual Assumptions'!L56</f>
        <v>10826.6187611648</v>
      </c>
      <c r="K26" s="519">
        <f>'Demand Individual Assumptions'!M56</f>
        <v>10845.170761164802</v>
      </c>
      <c r="L26" s="5"/>
      <c r="M26" s="5"/>
      <c r="N26" s="14"/>
      <c r="Z26" s="10"/>
    </row>
    <row r="27" spans="1:26" s="115" customFormat="1" x14ac:dyDescent="0.25">
      <c r="A27" s="505"/>
      <c r="B27" s="1"/>
      <c r="C27" s="5"/>
      <c r="D27" s="5"/>
      <c r="E27" s="5"/>
      <c r="F27" s="5"/>
      <c r="G27" s="5"/>
      <c r="H27" s="5"/>
      <c r="I27" s="5"/>
      <c r="J27" s="5"/>
      <c r="K27" s="519"/>
      <c r="L27" s="5"/>
      <c r="M27" s="5"/>
      <c r="N27" s="14"/>
      <c r="Z27" s="10"/>
    </row>
    <row r="28" spans="1:26" x14ac:dyDescent="0.25">
      <c r="A28" s="505"/>
      <c r="B28" s="566" t="s">
        <v>3442</v>
      </c>
      <c r="C28" s="44"/>
      <c r="D28" s="44"/>
      <c r="E28" s="44"/>
      <c r="F28" s="44"/>
      <c r="G28" s="44"/>
      <c r="H28" s="44"/>
      <c r="I28" s="44"/>
      <c r="J28" s="44"/>
      <c r="K28" s="44"/>
      <c r="L28" s="44"/>
      <c r="M28" s="44"/>
      <c r="N28" s="44"/>
      <c r="O28" s="44"/>
      <c r="P28" s="44"/>
      <c r="Q28" s="44"/>
      <c r="R28" s="44"/>
      <c r="S28" s="44"/>
      <c r="T28" s="44"/>
      <c r="U28" s="44"/>
      <c r="V28" s="44"/>
      <c r="W28" s="44"/>
      <c r="X28" s="44"/>
      <c r="Y28" s="44"/>
    </row>
    <row r="29" spans="1:26" x14ac:dyDescent="0.25">
      <c r="A29" s="505"/>
      <c r="B29" s="11" t="s">
        <v>18</v>
      </c>
    </row>
    <row r="30" spans="1:26" s="115" customFormat="1" x14ac:dyDescent="0.25">
      <c r="A30" s="505"/>
      <c r="B30" s="445" t="s">
        <v>4787</v>
      </c>
      <c r="C30" s="5">
        <f>0</f>
        <v>0</v>
      </c>
      <c r="D30" s="5">
        <f>C30</f>
        <v>0</v>
      </c>
      <c r="E30" s="5">
        <f t="shared" ref="E30:M30" si="6">D30</f>
        <v>0</v>
      </c>
      <c r="F30" s="5">
        <f t="shared" si="6"/>
        <v>0</v>
      </c>
      <c r="G30" s="5">
        <f t="shared" si="6"/>
        <v>0</v>
      </c>
      <c r="H30" s="5">
        <f t="shared" si="6"/>
        <v>0</v>
      </c>
      <c r="I30" s="5">
        <f t="shared" si="6"/>
        <v>0</v>
      </c>
      <c r="J30" s="5">
        <f t="shared" si="6"/>
        <v>0</v>
      </c>
      <c r="K30" s="519">
        <f t="shared" si="6"/>
        <v>0</v>
      </c>
      <c r="L30" s="5">
        <f t="shared" si="6"/>
        <v>0</v>
      </c>
      <c r="M30" s="5">
        <f t="shared" si="6"/>
        <v>0</v>
      </c>
      <c r="N30" s="14"/>
      <c r="Z30" s="10"/>
    </row>
    <row r="31" spans="1:26" x14ac:dyDescent="0.25">
      <c r="A31" s="505"/>
      <c r="B31" s="1" t="s">
        <v>0</v>
      </c>
      <c r="C31" s="5">
        <f>SUM('Demand Individual Assumptions'!E61,'Demand Individual Assumptions'!E63,'Demand Individual Assumptions'!E65)</f>
        <v>5.2556973915511085</v>
      </c>
      <c r="D31" s="5">
        <f>SUM('Demand Individual Assumptions'!F61,'Demand Individual Assumptions'!F63,'Demand Individual Assumptions'!F65)</f>
        <v>127.43378423774328</v>
      </c>
      <c r="E31" s="5">
        <f>SUM('Demand Individual Assumptions'!G61,'Demand Individual Assumptions'!G63,'Demand Individual Assumptions'!G65)</f>
        <v>289.37465040413548</v>
      </c>
      <c r="F31" s="5">
        <f>SUM('Demand Individual Assumptions'!H61,'Demand Individual Assumptions'!H63,'Demand Individual Assumptions'!H65)</f>
        <v>545.24520644816835</v>
      </c>
      <c r="G31" s="5">
        <f>SUM('Demand Individual Assumptions'!I61,'Demand Individual Assumptions'!I63,'Demand Individual Assumptions'!I65)</f>
        <v>780.27042578144471</v>
      </c>
      <c r="H31" s="5">
        <f>SUM('Demand Individual Assumptions'!J61,'Demand Individual Assumptions'!J63,'Demand Individual Assumptions'!J65)</f>
        <v>977.63471782457327</v>
      </c>
      <c r="I31" s="5">
        <f>SUM('Demand Individual Assumptions'!K61,'Demand Individual Assumptions'!K63,'Demand Individual Assumptions'!K65)</f>
        <v>1122.541573410263</v>
      </c>
      <c r="J31" s="5">
        <f>SUM('Demand Individual Assumptions'!L61,'Demand Individual Assumptions'!L63,'Demand Individual Assumptions'!L65)</f>
        <v>1335.3258077489111</v>
      </c>
      <c r="K31" s="519">
        <f>SUM('Demand Individual Assumptions'!M61,'Demand Individual Assumptions'!M63,'Demand Individual Assumptions'!M65)</f>
        <v>1537.5019037244508</v>
      </c>
      <c r="L31" s="5">
        <f>SUM('Demand Individual Assumptions'!N61,'Demand Individual Assumptions'!N63,'Demand Individual Assumptions'!N65)</f>
        <v>1729.7272048285042</v>
      </c>
      <c r="M31" s="5">
        <f>SUM('Demand Individual Assumptions'!O61,'Demand Individual Assumptions'!O63,'Demand Individual Assumptions'!O65)</f>
        <v>1925.8602812046261</v>
      </c>
    </row>
    <row r="32" spans="1:26" s="115" customFormat="1" x14ac:dyDescent="0.25">
      <c r="A32" s="505"/>
      <c r="B32" s="1" t="s">
        <v>4819</v>
      </c>
      <c r="C32" s="5">
        <f>SUM('Demand Individual Assumptions'!E61:E66)</f>
        <v>6.7379096574962052</v>
      </c>
      <c r="D32" s="5">
        <f>SUM('Demand Individual Assumptions'!F61:F66)</f>
        <v>210.98940541286092</v>
      </c>
      <c r="E32" s="5">
        <f>SUM('Demand Individual Assumptions'!G61:G66)</f>
        <v>439.59023867622722</v>
      </c>
      <c r="F32" s="5">
        <f>SUM('Demand Individual Assumptions'!H61:H66)</f>
        <v>885.41971842539033</v>
      </c>
      <c r="G32" s="5">
        <f>SUM('Demand Individual Assumptions'!I61:I66)</f>
        <v>1353.8836861025222</v>
      </c>
      <c r="H32" s="5">
        <f>SUM('Demand Individual Assumptions'!J61:J66)</f>
        <v>1776.0217941645044</v>
      </c>
      <c r="I32" s="5">
        <f>SUM('Demand Individual Assumptions'!K61:K66)</f>
        <v>2117.0925226790241</v>
      </c>
      <c r="J32" s="5">
        <f>SUM('Demand Individual Assumptions'!L61:L66)</f>
        <v>2489.5704576971875</v>
      </c>
      <c r="K32" s="519">
        <f>SUM('Demand Individual Assumptions'!M61:M66)</f>
        <v>2789.4309147412714</v>
      </c>
      <c r="L32" s="5">
        <f>SUM('Demand Individual Assumptions'!N61:N66)</f>
        <v>2990.7061494748114</v>
      </c>
      <c r="M32" s="5">
        <f>SUM('Demand Individual Assumptions'!O61:O66)</f>
        <v>3200.5681563623953</v>
      </c>
      <c r="N32" s="14"/>
      <c r="Z32" s="10"/>
    </row>
    <row r="33" spans="1:26" x14ac:dyDescent="0.25">
      <c r="A33" s="505"/>
      <c r="B33" s="1" t="s">
        <v>9</v>
      </c>
      <c r="C33" s="5">
        <f>SUM('Demand Individual Assumptions'!E68,'Demand Individual Assumptions'!E70,'Demand Individual Assumptions'!E72)</f>
        <v>6.5696217394388832</v>
      </c>
      <c r="D33" s="5">
        <f>SUM('Demand Individual Assumptions'!F68,'Demand Individual Assumptions'!F70,'Demand Individual Assumptions'!F72)</f>
        <v>178.5492356259453</v>
      </c>
      <c r="E33" s="5">
        <f>SUM('Demand Individual Assumptions'!G68,'Demand Individual Assumptions'!G70,'Demand Individual Assumptions'!G72)</f>
        <v>394.33478009103169</v>
      </c>
      <c r="F33" s="5">
        <f>SUM('Demand Individual Assumptions'!H68,'Demand Individual Assumptions'!H70,'Demand Individual Assumptions'!H72)</f>
        <v>740.16089233731429</v>
      </c>
      <c r="G33" s="5">
        <f>SUM('Demand Individual Assumptions'!I68,'Demand Individual Assumptions'!I70,'Demand Individual Assumptions'!I72)</f>
        <v>1094.3186721630768</v>
      </c>
      <c r="H33" s="5">
        <f>SUM('Demand Individual Assumptions'!J68,'Demand Individual Assumptions'!J70,'Demand Individual Assumptions'!J72)</f>
        <v>1420.302174354106</v>
      </c>
      <c r="I33" s="5">
        <f>SUM('Demand Individual Assumptions'!K68,'Demand Individual Assumptions'!K70,'Demand Individual Assumptions'!K72)</f>
        <v>1633.1423085585784</v>
      </c>
      <c r="J33" s="5">
        <f>SUM('Demand Individual Assumptions'!L68,'Demand Individual Assumptions'!L70,'Demand Individual Assumptions'!L72)</f>
        <v>2019.307868046162</v>
      </c>
      <c r="K33" s="519">
        <f>SUM('Demand Individual Assumptions'!M68,'Demand Individual Assumptions'!M70,'Demand Individual Assumptions'!M72)</f>
        <v>2401.2220732440851</v>
      </c>
      <c r="L33" s="5">
        <f>SUM('Demand Individual Assumptions'!N68,'Demand Individual Assumptions'!N70,'Demand Individual Assumptions'!N72)</f>
        <v>2757.7121593903066</v>
      </c>
      <c r="M33" s="5">
        <f>SUM('Demand Individual Assumptions'!O68,'Demand Individual Assumptions'!O70,'Demand Individual Assumptions'!O72)</f>
        <v>3102.9007505970922</v>
      </c>
    </row>
    <row r="34" spans="1:26" s="115" customFormat="1" x14ac:dyDescent="0.25">
      <c r="A34" s="505"/>
      <c r="B34" s="1" t="s">
        <v>4818</v>
      </c>
      <c r="C34" s="5">
        <f>SUM('Demand Individual Assumptions'!E68:E73)</f>
        <v>8.4223870718702543</v>
      </c>
      <c r="D34" s="5">
        <f>SUM('Demand Individual Assumptions'!F68:F73)</f>
        <v>267.1635120948423</v>
      </c>
      <c r="E34" s="5">
        <f>SUM('Demand Individual Assumptions'!G68:G73)</f>
        <v>521.0249028852744</v>
      </c>
      <c r="F34" s="5">
        <f>SUM('Demand Individual Assumptions'!H68:H73)</f>
        <v>1024.4373967092383</v>
      </c>
      <c r="G34" s="5">
        <f>SUM('Demand Individual Assumptions'!I68:I73)</f>
        <v>1589.730028088703</v>
      </c>
      <c r="H34" s="5">
        <f>SUM('Demand Individual Assumptions'!J68:J73)</f>
        <v>2111.8948331430133</v>
      </c>
      <c r="I34" s="5">
        <f>SUM('Demand Individual Assumptions'!K68:K73)</f>
        <v>2522.0313197040782</v>
      </c>
      <c r="J34" s="5">
        <f>SUM('Demand Individual Assumptions'!L68:L73)</f>
        <v>3076.2939831426497</v>
      </c>
      <c r="K34" s="519">
        <f>SUM('Demand Individual Assumptions'!M68:M73)</f>
        <v>3530.0881799915915</v>
      </c>
      <c r="L34" s="5">
        <f>SUM('Demand Individual Assumptions'!N68:N73)</f>
        <v>3884.8506625076452</v>
      </c>
      <c r="M34" s="5">
        <f>SUM('Demand Individual Assumptions'!O68:O73)</f>
        <v>4231.8162946677448</v>
      </c>
      <c r="N34" s="14"/>
      <c r="Z34" s="10"/>
    </row>
    <row r="35" spans="1:26" x14ac:dyDescent="0.25">
      <c r="A35" s="505"/>
      <c r="B35" s="1" t="s">
        <v>1</v>
      </c>
      <c r="C35" s="5">
        <f>SUM('Demand Individual Assumptions'!E75,'Demand Individual Assumptions'!E77,'Demand Individual Assumptions'!E79)</f>
        <v>6.5696217394388832</v>
      </c>
      <c r="D35" s="5">
        <f>SUM('Demand Individual Assumptions'!F75,'Demand Individual Assumptions'!F77,'Demand Individual Assumptions'!F79)</f>
        <v>212.7816828399537</v>
      </c>
      <c r="E35" s="5">
        <f>SUM('Demand Individual Assumptions'!G75,'Demand Individual Assumptions'!G77,'Demand Individual Assumptions'!G79)</f>
        <v>458.66974431200526</v>
      </c>
      <c r="F35" s="5">
        <f>SUM('Demand Individual Assumptions'!H75,'Demand Individual Assumptions'!H77,'Demand Individual Assumptions'!H79)</f>
        <v>844.97603949820711</v>
      </c>
      <c r="G35" s="5">
        <f>SUM('Demand Individual Assumptions'!I75,'Demand Individual Assumptions'!I77,'Demand Individual Assumptions'!I79)</f>
        <v>1221.5533961449448</v>
      </c>
      <c r="H35" s="5">
        <f>SUM('Demand Individual Assumptions'!J75,'Demand Individual Assumptions'!J77,'Demand Individual Assumptions'!J79)</f>
        <v>1571.3083537491466</v>
      </c>
      <c r="I35" s="5">
        <f>SUM('Demand Individual Assumptions'!K75,'Demand Individual Assumptions'!K77,'Demand Individual Assumptions'!K79)</f>
        <v>1789.6232435118111</v>
      </c>
      <c r="J35" s="5">
        <f>SUM('Demand Individual Assumptions'!L75,'Demand Individual Assumptions'!L77,'Demand Individual Assumptions'!L79)</f>
        <v>2209.7126997880473</v>
      </c>
      <c r="K35" s="519">
        <f>SUM('Demand Individual Assumptions'!M75,'Demand Individual Assumptions'!M77,'Demand Individual Assumptions'!M79)</f>
        <v>2624.1551094809133</v>
      </c>
      <c r="L35" s="5">
        <f>SUM('Demand Individual Assumptions'!N75,'Demand Individual Assumptions'!N77,'Demand Individual Assumptions'!N79)</f>
        <v>3014.4344400372802</v>
      </c>
      <c r="M35" s="5">
        <f>SUM('Demand Individual Assumptions'!O75,'Demand Individual Assumptions'!O77,'Demand Individual Assumptions'!O79)</f>
        <v>3391.2667111681203</v>
      </c>
    </row>
    <row r="36" spans="1:26" s="115" customFormat="1" x14ac:dyDescent="0.25">
      <c r="A36" s="505"/>
      <c r="B36" s="1" t="s">
        <v>4820</v>
      </c>
      <c r="C36" s="5">
        <f>SUM('Demand Individual Assumptions'!E75:E80)</f>
        <v>6.5696217394388832</v>
      </c>
      <c r="D36" s="5">
        <f>SUM('Demand Individual Assumptions'!F75:F80)</f>
        <v>212.7816828399537</v>
      </c>
      <c r="E36" s="5">
        <f>SUM('Demand Individual Assumptions'!G75:G80)</f>
        <v>458.66974431200526</v>
      </c>
      <c r="F36" s="5">
        <f>SUM('Demand Individual Assumptions'!H75:H80)</f>
        <v>844.97603949820711</v>
      </c>
      <c r="G36" s="5">
        <f>SUM('Demand Individual Assumptions'!I75:I80)</f>
        <v>1279.9228447573946</v>
      </c>
      <c r="H36" s="5">
        <f>SUM('Demand Individual Assumptions'!J75:J80)</f>
        <v>1800.0960498106797</v>
      </c>
      <c r="I36" s="5">
        <f>SUM('Demand Individual Assumptions'!K75:K80)</f>
        <v>2194.722758646828</v>
      </c>
      <c r="J36" s="5">
        <f>SUM('Demand Individual Assumptions'!L75:L80)</f>
        <v>2746.9909766260448</v>
      </c>
      <c r="K36" s="519">
        <f>SUM('Demand Individual Assumptions'!M75:M80)</f>
        <v>3204.032094954222</v>
      </c>
      <c r="L36" s="5">
        <f>SUM('Demand Individual Assumptions'!N75:N80)</f>
        <v>3613.4882992207317</v>
      </c>
      <c r="M36" s="5">
        <f>SUM('Demand Individual Assumptions'!O75:O80)</f>
        <v>4002.1314416888267</v>
      </c>
      <c r="N36" s="14"/>
      <c r="Z36" s="10"/>
    </row>
    <row r="37" spans="1:26" x14ac:dyDescent="0.25">
      <c r="A37" s="505"/>
      <c r="B37" s="1" t="s">
        <v>14</v>
      </c>
      <c r="C37" s="5">
        <f>'Demand Individual Assumptions'!E82</f>
        <v>192.98899999999998</v>
      </c>
      <c r="D37" s="5">
        <f>'Demand Individual Assumptions'!F82</f>
        <v>779.05</v>
      </c>
      <c r="E37" s="5">
        <f>'Demand Individual Assumptions'!G82</f>
        <v>1305.2649999999999</v>
      </c>
      <c r="F37" s="5">
        <f>'Demand Individual Assumptions'!H82</f>
        <v>1883.5660000000003</v>
      </c>
      <c r="G37" s="5">
        <f>'Demand Individual Assumptions'!I82</f>
        <v>2597.6600000000003</v>
      </c>
      <c r="H37" s="5">
        <f>'Demand Individual Assumptions'!J82</f>
        <v>3361.7690000000002</v>
      </c>
      <c r="I37" s="5">
        <f>'Demand Individual Assumptions'!K82</f>
        <v>4167.1210000000001</v>
      </c>
      <c r="J37" s="5">
        <f>'Demand Individual Assumptions'!L82</f>
        <v>4938.6789999999992</v>
      </c>
      <c r="K37" s="519">
        <f>'Demand Individual Assumptions'!M82</f>
        <v>5687.3269999999993</v>
      </c>
      <c r="L37" s="5"/>
      <c r="M37" s="5"/>
    </row>
    <row r="38" spans="1:26" x14ac:dyDescent="0.25">
      <c r="A38" s="505"/>
    </row>
    <row r="39" spans="1:26" x14ac:dyDescent="0.25">
      <c r="A39" s="505"/>
      <c r="B39" s="11" t="s">
        <v>19</v>
      </c>
    </row>
    <row r="40" spans="1:26" s="115" customFormat="1" x14ac:dyDescent="0.25">
      <c r="A40" s="505"/>
      <c r="B40" s="445" t="s">
        <v>4787</v>
      </c>
      <c r="C40" s="5">
        <v>0</v>
      </c>
      <c r="D40" s="5">
        <f>C40</f>
        <v>0</v>
      </c>
      <c r="E40" s="5">
        <f t="shared" ref="E40:M40" si="7">D40</f>
        <v>0</v>
      </c>
      <c r="F40" s="5">
        <f t="shared" si="7"/>
        <v>0</v>
      </c>
      <c r="G40" s="5">
        <f t="shared" si="7"/>
        <v>0</v>
      </c>
      <c r="H40" s="5">
        <f t="shared" si="7"/>
        <v>0</v>
      </c>
      <c r="I40" s="5">
        <f t="shared" si="7"/>
        <v>0</v>
      </c>
      <c r="J40" s="5">
        <f t="shared" si="7"/>
        <v>0</v>
      </c>
      <c r="K40" s="519">
        <f t="shared" si="7"/>
        <v>0</v>
      </c>
      <c r="L40" s="5">
        <f t="shared" si="7"/>
        <v>0</v>
      </c>
      <c r="M40" s="5">
        <f t="shared" si="7"/>
        <v>0</v>
      </c>
      <c r="N40" s="14"/>
      <c r="Z40" s="10"/>
    </row>
    <row r="41" spans="1:26" x14ac:dyDescent="0.25">
      <c r="A41" s="505"/>
      <c r="B41" s="1" t="s">
        <v>0</v>
      </c>
      <c r="C41" s="5">
        <f>SUM('Demand Individual Assumptions'!E86,'Demand Individual Assumptions'!E88,'Demand Individual Assumptions'!E90)</f>
        <v>62.681445352743367</v>
      </c>
      <c r="D41" s="5">
        <f>SUM('Demand Individual Assumptions'!F86,'Demand Individual Assumptions'!F88,'Demand Individual Assumptions'!F90)</f>
        <v>682.36275087416914</v>
      </c>
      <c r="E41" s="5">
        <f>SUM('Demand Individual Assumptions'!G86,'Demand Individual Assumptions'!G88,'Demand Individual Assumptions'!G90)</f>
        <v>1532.5467729192201</v>
      </c>
      <c r="F41" s="5">
        <f>SUM('Demand Individual Assumptions'!H86,'Demand Individual Assumptions'!H88,'Demand Individual Assumptions'!H90)</f>
        <v>2588.1586684709141</v>
      </c>
      <c r="G41" s="5">
        <f>SUM('Demand Individual Assumptions'!I86,'Demand Individual Assumptions'!I88,'Demand Individual Assumptions'!I90)</f>
        <v>3728.8628970660834</v>
      </c>
      <c r="H41" s="5">
        <f>SUM('Demand Individual Assumptions'!J86,'Demand Individual Assumptions'!J88,'Demand Individual Assumptions'!J90)</f>
        <v>4748.7565407477223</v>
      </c>
      <c r="I41" s="5">
        <f>SUM('Demand Individual Assumptions'!K86,'Demand Individual Assumptions'!K88,'Demand Individual Assumptions'!K90)</f>
        <v>5622.4508004733643</v>
      </c>
      <c r="J41" s="5">
        <f>SUM('Demand Individual Assumptions'!L86,'Demand Individual Assumptions'!L88,'Demand Individual Assumptions'!L90)</f>
        <v>6426.9214951642052</v>
      </c>
      <c r="K41" s="519">
        <f>SUM('Demand Individual Assumptions'!M86,'Demand Individual Assumptions'!M88,'Demand Individual Assumptions'!M90)</f>
        <v>7365.6280779206218</v>
      </c>
      <c r="L41" s="5">
        <f>SUM('Demand Individual Assumptions'!N86,'Demand Individual Assumptions'!N88,'Demand Individual Assumptions'!N90)</f>
        <v>8252.9873935187334</v>
      </c>
      <c r="M41" s="5">
        <f>SUM('Demand Individual Assumptions'!O86,'Demand Individual Assumptions'!O88,'Demand Individual Assumptions'!O90)</f>
        <v>9080.9140656227064</v>
      </c>
    </row>
    <row r="42" spans="1:26" s="115" customFormat="1" x14ac:dyDescent="0.25">
      <c r="A42" s="505"/>
      <c r="B42" s="1" t="s">
        <v>4819</v>
      </c>
      <c r="C42" s="5">
        <f>SUM('Demand Individual Assumptions'!E86:E91)</f>
        <v>75.236076195331563</v>
      </c>
      <c r="D42" s="5">
        <f>SUM('Demand Individual Assumptions'!F86:F91)</f>
        <v>1081.6715627184042</v>
      </c>
      <c r="E42" s="5">
        <f>SUM('Demand Individual Assumptions'!G86:G91)</f>
        <v>2339.7870253099045</v>
      </c>
      <c r="F42" s="5">
        <f>SUM('Demand Individual Assumptions'!H86:H91)</f>
        <v>4217.9933995405518</v>
      </c>
      <c r="G42" s="5">
        <f>SUM('Demand Individual Assumptions'!I86:I91)</f>
        <v>6532.8431702253338</v>
      </c>
      <c r="H42" s="5">
        <f>SUM('Demand Individual Assumptions'!J86:J91)</f>
        <v>8773.7691138799692</v>
      </c>
      <c r="I42" s="5">
        <f>SUM('Demand Individual Assumptions'!K86:K91)</f>
        <v>10638.917044445265</v>
      </c>
      <c r="J42" s="5">
        <f>SUM('Demand Individual Assumptions'!L86:L91)</f>
        <v>12298.35094054201</v>
      </c>
      <c r="K42" s="519">
        <f>SUM('Demand Individual Assumptions'!M86:M91)</f>
        <v>13895.450948066546</v>
      </c>
      <c r="L42" s="5">
        <f>SUM('Demand Individual Assumptions'!N86:N91)</f>
        <v>14916.671744156925</v>
      </c>
      <c r="M42" s="5">
        <f>SUM('Demand Individual Assumptions'!O86:O91)</f>
        <v>15795.159051501545</v>
      </c>
      <c r="N42" s="14"/>
      <c r="Z42" s="10"/>
    </row>
    <row r="43" spans="1:26" x14ac:dyDescent="0.25">
      <c r="A43" s="505"/>
      <c r="B43" s="1" t="s">
        <v>9</v>
      </c>
      <c r="C43" s="5">
        <f>SUM('Demand Individual Assumptions'!E93,'Demand Individual Assumptions'!E95,'Demand Individual Assumptions'!E97)</f>
        <v>78.351806690929209</v>
      </c>
      <c r="D43" s="5">
        <f>SUM('Demand Individual Assumptions'!F93,'Demand Individual Assumptions'!F95,'Demand Individual Assumptions'!F97)</f>
        <v>810.28070184849503</v>
      </c>
      <c r="E43" s="5">
        <f>SUM('Demand Individual Assumptions'!G93,'Demand Individual Assumptions'!G95,'Demand Individual Assumptions'!G97)</f>
        <v>1967.5724750492516</v>
      </c>
      <c r="F43" s="5">
        <f>SUM('Demand Individual Assumptions'!H93,'Demand Individual Assumptions'!H95,'Demand Individual Assumptions'!H97)</f>
        <v>3628.2104219975959</v>
      </c>
      <c r="G43" s="5">
        <f>SUM('Demand Individual Assumptions'!I93,'Demand Individual Assumptions'!I95,'Demand Individual Assumptions'!I97)</f>
        <v>5368.2114095696888</v>
      </c>
      <c r="H43" s="5">
        <f>SUM('Demand Individual Assumptions'!J93,'Demand Individual Assumptions'!J95,'Demand Individual Assumptions'!J97)</f>
        <v>6975.38278862268</v>
      </c>
      <c r="I43" s="5">
        <f>SUM('Demand Individual Assumptions'!K93,'Demand Individual Assumptions'!K95,'Demand Individual Assumptions'!K97)</f>
        <v>8087.9192659482451</v>
      </c>
      <c r="J43" s="5">
        <f>SUM('Demand Individual Assumptions'!L93,'Demand Individual Assumptions'!L95,'Demand Individual Assumptions'!L97)</f>
        <v>9810.5262624596908</v>
      </c>
      <c r="K43" s="519">
        <f>SUM('Demand Individual Assumptions'!M93,'Demand Individual Assumptions'!M95,'Demand Individual Assumptions'!M97)</f>
        <v>11501.458947774594</v>
      </c>
      <c r="L43" s="5">
        <f>SUM('Demand Individual Assumptions'!N93,'Demand Individual Assumptions'!N95,'Demand Individual Assumptions'!N97)</f>
        <v>13186.163229756743</v>
      </c>
      <c r="M43" s="5">
        <f>SUM('Demand Individual Assumptions'!O93,'Demand Individual Assumptions'!O95,'Demand Individual Assumptions'!O97)</f>
        <v>14783.06310448942</v>
      </c>
    </row>
    <row r="44" spans="1:26" s="115" customFormat="1" x14ac:dyDescent="0.25">
      <c r="A44" s="505"/>
      <c r="B44" s="1" t="s">
        <v>4818</v>
      </c>
      <c r="C44" s="5">
        <f>SUM('Demand Individual Assumptions'!E93:E98)</f>
        <v>94.045095244164472</v>
      </c>
      <c r="D44" s="5">
        <f>SUM('Demand Individual Assumptions'!F93:F98)</f>
        <v>1235.8566995912888</v>
      </c>
      <c r="E44" s="5">
        <f>SUM('Demand Individual Assumptions'!G93:G98)</f>
        <v>2688.2472795578042</v>
      </c>
      <c r="F44" s="5">
        <f>SUM('Demand Individual Assumptions'!H93:H98)</f>
        <v>5011.4750683171387</v>
      </c>
      <c r="G44" s="5">
        <f>SUM('Demand Individual Assumptions'!I93:I98)</f>
        <v>7853.8230567546398</v>
      </c>
      <c r="H44" s="5">
        <f>SUM('Demand Individual Assumptions'!J93:J98)</f>
        <v>10608.506810618766</v>
      </c>
      <c r="I44" s="5">
        <f>SUM('Demand Individual Assumptions'!K93:K98)</f>
        <v>12763.96454433952</v>
      </c>
      <c r="J44" s="5">
        <f>SUM('Demand Individual Assumptions'!L93:L98)</f>
        <v>15422.861959693408</v>
      </c>
      <c r="K44" s="519">
        <f>SUM('Demand Individual Assumptions'!M93:M98)</f>
        <v>17713.145536005293</v>
      </c>
      <c r="L44" s="5">
        <f>SUM('Demand Individual Assumptions'!N93:N98)</f>
        <v>19500.574250697937</v>
      </c>
      <c r="M44" s="5">
        <f>SUM('Demand Individual Assumptions'!O93:O98)</f>
        <v>21075.263727384168</v>
      </c>
      <c r="N44" s="14"/>
      <c r="Z44" s="10"/>
    </row>
    <row r="45" spans="1:26" x14ac:dyDescent="0.25">
      <c r="A45" s="505"/>
      <c r="B45" s="1" t="s">
        <v>1</v>
      </c>
      <c r="C45" s="5">
        <f>SUM('Demand Individual Assumptions'!E100,'Demand Individual Assumptions'!E102,'Demand Individual Assumptions'!E104)</f>
        <v>78.351806690929209</v>
      </c>
      <c r="D45" s="5">
        <f>SUM('Demand Individual Assumptions'!F100,'Demand Individual Assumptions'!F102,'Demand Individual Assumptions'!F104)</f>
        <v>958.95751519369094</v>
      </c>
      <c r="E45" s="5">
        <f>SUM('Demand Individual Assumptions'!G100,'Demand Individual Assumptions'!G102,'Demand Individual Assumptions'!G104)</f>
        <v>2309.0360660658826</v>
      </c>
      <c r="F45" s="5">
        <f>SUM('Demand Individual Assumptions'!H100,'Demand Individual Assumptions'!H102,'Demand Individual Assumptions'!H104)</f>
        <v>4142.3856786524157</v>
      </c>
      <c r="G45" s="5">
        <f>SUM('Demand Individual Assumptions'!I100,'Demand Individual Assumptions'!I102,'Demand Individual Assumptions'!I104)</f>
        <v>6021.7142547335525</v>
      </c>
      <c r="H45" s="5">
        <f>SUM('Demand Individual Assumptions'!J100,'Demand Individual Assumptions'!J102,'Demand Individual Assumptions'!J104)</f>
        <v>7786.7457105473677</v>
      </c>
      <c r="I45" s="5">
        <f>SUM('Demand Individual Assumptions'!K100,'Demand Individual Assumptions'!K102,'Demand Individual Assumptions'!K104)</f>
        <v>8989.496623241952</v>
      </c>
      <c r="J45" s="5">
        <f>SUM('Demand Individual Assumptions'!L100,'Demand Individual Assumptions'!L102,'Demand Individual Assumptions'!L104)</f>
        <v>10907.221827362249</v>
      </c>
      <c r="K45" s="519">
        <f>SUM('Demand Individual Assumptions'!M100,'Demand Individual Assumptions'!M102,'Demand Individual Assumptions'!M104)</f>
        <v>12797.047085482332</v>
      </c>
      <c r="L45" s="5">
        <f>SUM('Demand Individual Assumptions'!N100,'Demand Individual Assumptions'!N102,'Demand Individual Assumptions'!N104)</f>
        <v>14713.256522150321</v>
      </c>
      <c r="M45" s="5">
        <f>SUM('Demand Individual Assumptions'!O100,'Demand Individual Assumptions'!O102,'Demand Individual Assumptions'!O104)</f>
        <v>16493.666659132428</v>
      </c>
    </row>
    <row r="46" spans="1:26" s="115" customFormat="1" x14ac:dyDescent="0.25">
      <c r="A46" s="505"/>
      <c r="B46" s="1" t="s">
        <v>4820</v>
      </c>
      <c r="C46" s="5">
        <f>SUM('Demand Individual Assumptions'!E100:E105)</f>
        <v>78.351806690929209</v>
      </c>
      <c r="D46" s="5">
        <f>SUM('Demand Individual Assumptions'!F100:F105)</f>
        <v>958.95751519369094</v>
      </c>
      <c r="E46" s="5">
        <f>SUM('Demand Individual Assumptions'!G100:G105)</f>
        <v>2309.0360660658826</v>
      </c>
      <c r="F46" s="5">
        <f>SUM('Demand Individual Assumptions'!H100:H105)</f>
        <v>4142.3856786524157</v>
      </c>
      <c r="G46" s="5">
        <f>SUM('Demand Individual Assumptions'!I100:I105)</f>
        <v>6494.0472661628328</v>
      </c>
      <c r="H46" s="5">
        <f>SUM('Demand Individual Assumptions'!J100:J105)</f>
        <v>9279.7224988190883</v>
      </c>
      <c r="I46" s="5">
        <f>SUM('Demand Individual Assumptions'!K100:K105)</f>
        <v>11408.109262331842</v>
      </c>
      <c r="J46" s="5">
        <f>SUM('Demand Individual Assumptions'!L100:L105)</f>
        <v>14076.726980083755</v>
      </c>
      <c r="K46" s="519">
        <f>SUM('Demand Individual Assumptions'!M100:M105)</f>
        <v>16412.393755651341</v>
      </c>
      <c r="L46" s="5">
        <f>SUM('Demand Individual Assumptions'!N100:N105)</f>
        <v>18511.151759343029</v>
      </c>
      <c r="M46" s="5">
        <f>SUM('Demand Individual Assumptions'!O100:O105)</f>
        <v>20304.761925684928</v>
      </c>
      <c r="N46" s="14"/>
      <c r="Z46" s="10"/>
    </row>
    <row r="47" spans="1:26" x14ac:dyDescent="0.25">
      <c r="A47" s="505"/>
      <c r="B47" s="1" t="s">
        <v>14</v>
      </c>
      <c r="C47" s="5">
        <f>'Demand Individual Assumptions'!E107</f>
        <v>0</v>
      </c>
      <c r="D47" s="5">
        <f>'Demand Individual Assumptions'!F107</f>
        <v>3371</v>
      </c>
      <c r="E47" s="5">
        <f>'Demand Individual Assumptions'!G107</f>
        <v>5130</v>
      </c>
      <c r="F47" s="5">
        <f>'Demand Individual Assumptions'!H107</f>
        <v>6824</v>
      </c>
      <c r="G47" s="5">
        <f>'Demand Individual Assumptions'!I107</f>
        <v>8959</v>
      </c>
      <c r="H47" s="5">
        <f>'Demand Individual Assumptions'!J107</f>
        <v>11464</v>
      </c>
      <c r="I47" s="5">
        <f>'Demand Individual Assumptions'!K107</f>
        <v>13969</v>
      </c>
      <c r="J47" s="5">
        <f>'Demand Individual Assumptions'!L107</f>
        <v>16072</v>
      </c>
      <c r="K47" s="519">
        <f>'Demand Individual Assumptions'!M107</f>
        <v>17857</v>
      </c>
      <c r="L47" s="5"/>
      <c r="M47" s="5"/>
    </row>
    <row r="48" spans="1:26" x14ac:dyDescent="0.25">
      <c r="A48" s="505"/>
    </row>
    <row r="49" spans="1:26" x14ac:dyDescent="0.25">
      <c r="A49" s="505"/>
      <c r="B49" s="11" t="s">
        <v>22</v>
      </c>
    </row>
    <row r="50" spans="1:26" s="115" customFormat="1" x14ac:dyDescent="0.25">
      <c r="A50" s="505"/>
      <c r="B50" s="1" t="s">
        <v>4787</v>
      </c>
      <c r="C50" s="5">
        <v>0</v>
      </c>
      <c r="D50" s="5">
        <f>C50</f>
        <v>0</v>
      </c>
      <c r="E50" s="5">
        <f t="shared" ref="E50:M50" si="8">D50</f>
        <v>0</v>
      </c>
      <c r="F50" s="5">
        <f t="shared" si="8"/>
        <v>0</v>
      </c>
      <c r="G50" s="5">
        <f t="shared" si="8"/>
        <v>0</v>
      </c>
      <c r="H50" s="5">
        <f t="shared" si="8"/>
        <v>0</v>
      </c>
      <c r="I50" s="5">
        <f t="shared" si="8"/>
        <v>0</v>
      </c>
      <c r="J50" s="5">
        <f t="shared" si="8"/>
        <v>0</v>
      </c>
      <c r="K50" s="519">
        <f t="shared" si="8"/>
        <v>0</v>
      </c>
      <c r="L50" s="5">
        <f t="shared" si="8"/>
        <v>0</v>
      </c>
      <c r="M50" s="5">
        <f t="shared" si="8"/>
        <v>0</v>
      </c>
      <c r="N50" s="15"/>
      <c r="O50" s="5"/>
      <c r="P50" s="5"/>
      <c r="Q50" s="5"/>
      <c r="R50" s="5"/>
      <c r="S50" s="5"/>
      <c r="T50" s="5"/>
      <c r="U50" s="5"/>
      <c r="V50" s="5"/>
      <c r="W50" s="5"/>
      <c r="X50" s="5"/>
      <c r="Y50" s="5"/>
      <c r="Z50" s="10"/>
    </row>
    <row r="51" spans="1:26" x14ac:dyDescent="0.25">
      <c r="A51" s="505"/>
      <c r="B51" s="1" t="s">
        <v>0</v>
      </c>
      <c r="C51" s="5">
        <f>'Demand Individual Assumptions'!E111</f>
        <v>0</v>
      </c>
      <c r="D51" s="5">
        <f>'Demand Individual Assumptions'!F111</f>
        <v>0</v>
      </c>
      <c r="E51" s="5">
        <f>'Demand Individual Assumptions'!G111</f>
        <v>0</v>
      </c>
      <c r="F51" s="5">
        <f>'Demand Individual Assumptions'!H111</f>
        <v>0</v>
      </c>
      <c r="G51" s="5">
        <f>'Demand Individual Assumptions'!I111</f>
        <v>0</v>
      </c>
      <c r="H51" s="5">
        <f>'Demand Individual Assumptions'!J111</f>
        <v>0</v>
      </c>
      <c r="I51" s="5">
        <f>'Demand Individual Assumptions'!K111</f>
        <v>0</v>
      </c>
      <c r="J51" s="5">
        <f>'Demand Individual Assumptions'!L111</f>
        <v>0</v>
      </c>
      <c r="K51" s="519">
        <f>'Demand Individual Assumptions'!M111</f>
        <v>0</v>
      </c>
      <c r="L51" s="5">
        <f>'Demand Individual Assumptions'!N111</f>
        <v>0</v>
      </c>
      <c r="M51" s="5">
        <f>'Demand Individual Assumptions'!O111</f>
        <v>0</v>
      </c>
      <c r="N51" s="15"/>
      <c r="O51" s="5"/>
      <c r="P51" s="5"/>
      <c r="Q51" s="5"/>
      <c r="R51" s="5"/>
      <c r="S51" s="5"/>
      <c r="T51" s="5"/>
      <c r="U51" s="5"/>
      <c r="V51" s="5"/>
      <c r="W51" s="5"/>
      <c r="X51" s="5"/>
      <c r="Y51" s="5"/>
    </row>
    <row r="52" spans="1:26" x14ac:dyDescent="0.25">
      <c r="A52" s="505"/>
      <c r="B52" s="1" t="s">
        <v>9</v>
      </c>
      <c r="C52" s="5">
        <f>'Demand Individual Assumptions'!E112</f>
        <v>144.44444444444446</v>
      </c>
      <c r="D52" s="5">
        <f>'Demand Individual Assumptions'!F112</f>
        <v>288.88888888888891</v>
      </c>
      <c r="E52" s="5">
        <f>'Demand Individual Assumptions'!G112</f>
        <v>433.33333333333337</v>
      </c>
      <c r="F52" s="5">
        <f>'Demand Individual Assumptions'!H112</f>
        <v>577.77777777777783</v>
      </c>
      <c r="G52" s="5">
        <f>'Demand Individual Assumptions'!I112</f>
        <v>722.22222222222229</v>
      </c>
      <c r="H52" s="5">
        <f>'Demand Individual Assumptions'!J112</f>
        <v>866.66666666666674</v>
      </c>
      <c r="I52" s="5">
        <f>'Demand Individual Assumptions'!K112</f>
        <v>1011.1111111111112</v>
      </c>
      <c r="J52" s="5">
        <f>'Demand Individual Assumptions'!L112</f>
        <v>1155.5555555555557</v>
      </c>
      <c r="K52" s="519">
        <f>'Demand Individual Assumptions'!M112</f>
        <v>1300</v>
      </c>
      <c r="L52" s="5">
        <f>'Demand Individual Assumptions'!N112</f>
        <v>1300</v>
      </c>
      <c r="M52" s="5">
        <f>'Demand Individual Assumptions'!O112</f>
        <v>1300</v>
      </c>
      <c r="N52" s="15"/>
      <c r="O52" s="5"/>
      <c r="P52" s="5"/>
      <c r="Q52" s="5"/>
      <c r="R52" s="5"/>
      <c r="S52" s="5"/>
      <c r="T52" s="5"/>
      <c r="U52" s="5"/>
      <c r="V52" s="5"/>
      <c r="W52" s="5"/>
      <c r="X52" s="5"/>
      <c r="Y52" s="5"/>
    </row>
    <row r="53" spans="1:26" x14ac:dyDescent="0.25">
      <c r="A53" s="505"/>
      <c r="B53" s="1" t="s">
        <v>1</v>
      </c>
      <c r="C53" s="5">
        <f>'Demand Individual Assumptions'!E113</f>
        <v>366.66666666666669</v>
      </c>
      <c r="D53" s="5">
        <f>'Demand Individual Assumptions'!F113</f>
        <v>733.33333333333337</v>
      </c>
      <c r="E53" s="5">
        <f>'Demand Individual Assumptions'!G113</f>
        <v>1100</v>
      </c>
      <c r="F53" s="5">
        <f>'Demand Individual Assumptions'!H113</f>
        <v>1466.6666666666667</v>
      </c>
      <c r="G53" s="5">
        <f>'Demand Individual Assumptions'!I113</f>
        <v>1833.3333333333335</v>
      </c>
      <c r="H53" s="5">
        <f>'Demand Individual Assumptions'!J113</f>
        <v>2200</v>
      </c>
      <c r="I53" s="5">
        <f>'Demand Individual Assumptions'!K113</f>
        <v>2566.6666666666665</v>
      </c>
      <c r="J53" s="5">
        <f>'Demand Individual Assumptions'!L113</f>
        <v>2933.333333333333</v>
      </c>
      <c r="K53" s="519">
        <f>'Demand Individual Assumptions'!M113</f>
        <v>3300</v>
      </c>
      <c r="L53" s="5">
        <f>'Demand Individual Assumptions'!N113</f>
        <v>3300</v>
      </c>
      <c r="M53" s="5">
        <f>'Demand Individual Assumptions'!O113</f>
        <v>3300</v>
      </c>
      <c r="N53" s="15"/>
      <c r="O53" s="5"/>
      <c r="P53" s="5"/>
      <c r="Q53" s="5"/>
      <c r="R53" s="5"/>
      <c r="S53" s="5"/>
      <c r="T53" s="5"/>
      <c r="U53" s="5"/>
      <c r="V53" s="5"/>
      <c r="W53" s="5"/>
      <c r="X53" s="5"/>
      <c r="Y53" s="5"/>
    </row>
    <row r="54" spans="1:26" x14ac:dyDescent="0.25">
      <c r="A54" s="505"/>
      <c r="B54" s="1" t="s">
        <v>14</v>
      </c>
      <c r="C54" s="5">
        <f>'Demand Individual Assumptions'!E114</f>
        <v>0</v>
      </c>
      <c r="D54" s="5">
        <f>'Demand Individual Assumptions'!F114</f>
        <v>0</v>
      </c>
      <c r="E54" s="5">
        <f>'Demand Individual Assumptions'!G114</f>
        <v>0</v>
      </c>
      <c r="F54" s="5">
        <f>'Demand Individual Assumptions'!H114</f>
        <v>0</v>
      </c>
      <c r="G54" s="5">
        <f>'Demand Individual Assumptions'!I114</f>
        <v>0</v>
      </c>
      <c r="H54" s="5">
        <f>'Demand Individual Assumptions'!J114</f>
        <v>0</v>
      </c>
      <c r="I54" s="5">
        <f>'Demand Individual Assumptions'!K114</f>
        <v>0</v>
      </c>
      <c r="J54" s="5">
        <f>'Demand Individual Assumptions'!L114</f>
        <v>0</v>
      </c>
      <c r="K54" s="519">
        <f>'Demand Individual Assumptions'!M114</f>
        <v>0</v>
      </c>
      <c r="L54" s="5"/>
      <c r="M54" s="5"/>
      <c r="N54" s="15"/>
      <c r="O54" s="5"/>
      <c r="P54" s="5"/>
      <c r="Q54" s="5"/>
      <c r="R54" s="5"/>
      <c r="S54" s="5"/>
      <c r="T54" s="5"/>
      <c r="U54" s="5"/>
      <c r="V54" s="5"/>
      <c r="W54" s="5"/>
      <c r="X54" s="5"/>
      <c r="Y54" s="5"/>
    </row>
    <row r="55" spans="1:26" x14ac:dyDescent="0.25">
      <c r="A55" s="505"/>
    </row>
    <row r="56" spans="1:26" s="8" customFormat="1" x14ac:dyDescent="0.25">
      <c r="A56" s="505"/>
      <c r="B56" s="11" t="s">
        <v>3413</v>
      </c>
      <c r="K56" s="518"/>
      <c r="N56" s="14"/>
      <c r="Z56" s="10"/>
    </row>
    <row r="57" spans="1:26" s="115" customFormat="1" x14ac:dyDescent="0.25">
      <c r="A57" s="505"/>
      <c r="B57" s="1" t="s">
        <v>4787</v>
      </c>
      <c r="C57" s="5">
        <v>0</v>
      </c>
      <c r="D57" s="5">
        <f>C57</f>
        <v>0</v>
      </c>
      <c r="E57" s="5">
        <f t="shared" ref="E57:M57" si="9">D57</f>
        <v>0</v>
      </c>
      <c r="F57" s="5">
        <f t="shared" si="9"/>
        <v>0</v>
      </c>
      <c r="G57" s="5">
        <f t="shared" si="9"/>
        <v>0</v>
      </c>
      <c r="H57" s="5">
        <f t="shared" si="9"/>
        <v>0</v>
      </c>
      <c r="I57" s="5">
        <f t="shared" si="9"/>
        <v>0</v>
      </c>
      <c r="J57" s="5">
        <f t="shared" si="9"/>
        <v>0</v>
      </c>
      <c r="K57" s="519">
        <f t="shared" si="9"/>
        <v>0</v>
      </c>
      <c r="L57" s="5">
        <f t="shared" si="9"/>
        <v>0</v>
      </c>
      <c r="M57" s="5">
        <f t="shared" si="9"/>
        <v>0</v>
      </c>
      <c r="N57" s="14"/>
      <c r="Z57" s="10"/>
    </row>
    <row r="58" spans="1:26" s="8" customFormat="1" x14ac:dyDescent="0.25">
      <c r="A58" s="505"/>
      <c r="B58" s="1" t="s">
        <v>0</v>
      </c>
      <c r="C58" s="5">
        <f>'Demand Individual Assumptions'!E117</f>
        <v>0</v>
      </c>
      <c r="D58" s="5">
        <f>'Demand Individual Assumptions'!F117</f>
        <v>0</v>
      </c>
      <c r="E58" s="5">
        <f>'Demand Individual Assumptions'!G117</f>
        <v>0</v>
      </c>
      <c r="F58" s="5">
        <f>'Demand Individual Assumptions'!H117</f>
        <v>0</v>
      </c>
      <c r="G58" s="5">
        <f>'Demand Individual Assumptions'!I117</f>
        <v>0</v>
      </c>
      <c r="H58" s="5">
        <f>'Demand Individual Assumptions'!J117</f>
        <v>0</v>
      </c>
      <c r="I58" s="5">
        <f>'Demand Individual Assumptions'!K117</f>
        <v>0</v>
      </c>
      <c r="J58" s="5">
        <f>'Demand Individual Assumptions'!L117</f>
        <v>0</v>
      </c>
      <c r="K58" s="519">
        <f>'Demand Individual Assumptions'!M117</f>
        <v>0</v>
      </c>
      <c r="L58" s="5">
        <f>'Demand Individual Assumptions'!N117</f>
        <v>0</v>
      </c>
      <c r="M58" s="5">
        <f>'Demand Individual Assumptions'!O117</f>
        <v>0</v>
      </c>
      <c r="N58" s="14"/>
      <c r="Z58" s="10"/>
    </row>
    <row r="59" spans="1:26" s="8" customFormat="1" x14ac:dyDescent="0.25">
      <c r="A59" s="505"/>
      <c r="B59" s="1" t="s">
        <v>9</v>
      </c>
      <c r="C59" s="5">
        <f>'Demand Individual Assumptions'!E118</f>
        <v>239.86465130855325</v>
      </c>
      <c r="D59" s="5">
        <f>'Demand Individual Assumptions'!F118</f>
        <v>479.7293026171065</v>
      </c>
      <c r="E59" s="5">
        <f>'Demand Individual Assumptions'!G118</f>
        <v>719.59395392565978</v>
      </c>
      <c r="F59" s="5">
        <f>'Demand Individual Assumptions'!H118</f>
        <v>959.458605234213</v>
      </c>
      <c r="G59" s="5">
        <f>'Demand Individual Assumptions'!I118</f>
        <v>1199.3232565427661</v>
      </c>
      <c r="H59" s="5">
        <f>'Demand Individual Assumptions'!J118</f>
        <v>1439.1879078513196</v>
      </c>
      <c r="I59" s="5">
        <f>'Demand Individual Assumptions'!K118</f>
        <v>1679.0525591598725</v>
      </c>
      <c r="J59" s="5">
        <f>'Demand Individual Assumptions'!L118</f>
        <v>1918.917210468426</v>
      </c>
      <c r="K59" s="519">
        <f>'Demand Individual Assumptions'!M118</f>
        <v>2158.7818617769785</v>
      </c>
      <c r="L59" s="5">
        <f>'Demand Individual Assumptions'!N118</f>
        <v>2158.7818617769785</v>
      </c>
      <c r="M59" s="5">
        <f>'Demand Individual Assumptions'!O118</f>
        <v>2158.7818617769785</v>
      </c>
      <c r="N59" s="14"/>
      <c r="Z59" s="10"/>
    </row>
    <row r="60" spans="1:26" s="8" customFormat="1" x14ac:dyDescent="0.25">
      <c r="A60" s="505"/>
      <c r="B60" s="1" t="s">
        <v>1</v>
      </c>
      <c r="C60" s="5">
        <f>'Demand Individual Assumptions'!E119</f>
        <v>608.88719178325039</v>
      </c>
      <c r="D60" s="5">
        <f>'Demand Individual Assumptions'!F119</f>
        <v>1217.7743835665008</v>
      </c>
      <c r="E60" s="5">
        <f>'Demand Individual Assumptions'!G119</f>
        <v>1826.6615753497515</v>
      </c>
      <c r="F60" s="5">
        <f>'Demand Individual Assumptions'!H119</f>
        <v>2435.5487671330015</v>
      </c>
      <c r="G60" s="5">
        <f>'Demand Individual Assumptions'!I119</f>
        <v>3044.4359589162523</v>
      </c>
      <c r="H60" s="5">
        <f>'Demand Individual Assumptions'!J119</f>
        <v>3653.323150699503</v>
      </c>
      <c r="I60" s="5">
        <f>'Demand Individual Assumptions'!K119</f>
        <v>4262.2103424827528</v>
      </c>
      <c r="J60" s="5">
        <f>'Demand Individual Assumptions'!L119</f>
        <v>4871.0975342660031</v>
      </c>
      <c r="K60" s="519">
        <f>'Demand Individual Assumptions'!M119</f>
        <v>5479.9847260492534</v>
      </c>
      <c r="L60" s="5">
        <f>'Demand Individual Assumptions'!N119</f>
        <v>5479.9847260492534</v>
      </c>
      <c r="M60" s="5">
        <f>'Demand Individual Assumptions'!O119</f>
        <v>5479.9847260492534</v>
      </c>
      <c r="N60" s="14"/>
      <c r="Z60" s="10"/>
    </row>
    <row r="61" spans="1:26" s="8" customFormat="1" x14ac:dyDescent="0.25">
      <c r="A61" s="505"/>
      <c r="B61" s="1" t="s">
        <v>14</v>
      </c>
      <c r="C61" s="5">
        <f>'Demand Individual Assumptions'!E120</f>
        <v>0</v>
      </c>
      <c r="D61" s="5">
        <f>'Demand Individual Assumptions'!F120</f>
        <v>0</v>
      </c>
      <c r="E61" s="5">
        <f>'Demand Individual Assumptions'!G120</f>
        <v>0</v>
      </c>
      <c r="F61" s="5">
        <f>'Demand Individual Assumptions'!H120</f>
        <v>0</v>
      </c>
      <c r="G61" s="5">
        <f>'Demand Individual Assumptions'!I120</f>
        <v>0</v>
      </c>
      <c r="H61" s="5">
        <f>'Demand Individual Assumptions'!J120</f>
        <v>0</v>
      </c>
      <c r="I61" s="5">
        <f>'Demand Individual Assumptions'!K120</f>
        <v>0</v>
      </c>
      <c r="J61" s="5">
        <f>'Demand Individual Assumptions'!L120</f>
        <v>0</v>
      </c>
      <c r="K61" s="519">
        <f>'Demand Individual Assumptions'!M120</f>
        <v>0</v>
      </c>
      <c r="L61" s="5"/>
      <c r="M61" s="5"/>
      <c r="N61" s="14"/>
      <c r="Z61" s="10"/>
    </row>
    <row r="62" spans="1:26" s="8" customFormat="1" x14ac:dyDescent="0.25">
      <c r="A62" s="505"/>
      <c r="K62" s="518"/>
      <c r="N62" s="14"/>
      <c r="Z62" s="10"/>
    </row>
    <row r="63" spans="1:26" x14ac:dyDescent="0.25">
      <c r="A63" s="505"/>
      <c r="B63" s="11" t="s">
        <v>20</v>
      </c>
    </row>
    <row r="64" spans="1:26" s="115" customFormat="1" x14ac:dyDescent="0.25">
      <c r="A64" s="505"/>
      <c r="B64" s="1" t="s">
        <v>4787</v>
      </c>
      <c r="C64" s="5">
        <v>0</v>
      </c>
      <c r="D64" s="5">
        <f>C64</f>
        <v>0</v>
      </c>
      <c r="E64" s="5">
        <f t="shared" ref="E64:Y64" si="10">D64</f>
        <v>0</v>
      </c>
      <c r="F64" s="5">
        <f t="shared" si="10"/>
        <v>0</v>
      </c>
      <c r="G64" s="5">
        <f t="shared" si="10"/>
        <v>0</v>
      </c>
      <c r="H64" s="5">
        <f t="shared" si="10"/>
        <v>0</v>
      </c>
      <c r="I64" s="5">
        <f t="shared" si="10"/>
        <v>0</v>
      </c>
      <c r="J64" s="5">
        <f t="shared" si="10"/>
        <v>0</v>
      </c>
      <c r="K64" s="519">
        <f t="shared" si="10"/>
        <v>0</v>
      </c>
      <c r="L64" s="5">
        <f t="shared" si="10"/>
        <v>0</v>
      </c>
      <c r="M64" s="5">
        <f t="shared" si="10"/>
        <v>0</v>
      </c>
      <c r="N64" s="15">
        <f t="shared" si="10"/>
        <v>0</v>
      </c>
      <c r="O64" s="5">
        <f t="shared" si="10"/>
        <v>0</v>
      </c>
      <c r="P64" s="5">
        <f t="shared" si="10"/>
        <v>0</v>
      </c>
      <c r="Q64" s="5">
        <f t="shared" si="10"/>
        <v>0</v>
      </c>
      <c r="R64" s="5">
        <f t="shared" si="10"/>
        <v>0</v>
      </c>
      <c r="S64" s="5">
        <f t="shared" si="10"/>
        <v>0</v>
      </c>
      <c r="T64" s="5">
        <f t="shared" si="10"/>
        <v>0</v>
      </c>
      <c r="U64" s="5">
        <f t="shared" si="10"/>
        <v>0</v>
      </c>
      <c r="V64" s="5">
        <f t="shared" si="10"/>
        <v>0</v>
      </c>
      <c r="W64" s="5">
        <f t="shared" si="10"/>
        <v>0</v>
      </c>
      <c r="X64" s="5">
        <f t="shared" si="10"/>
        <v>0</v>
      </c>
      <c r="Y64" s="5">
        <f t="shared" si="10"/>
        <v>0</v>
      </c>
      <c r="Z64" s="10"/>
    </row>
    <row r="65" spans="1:26" x14ac:dyDescent="0.25">
      <c r="A65" s="505"/>
      <c r="B65" s="1" t="s">
        <v>0</v>
      </c>
      <c r="C65" s="5">
        <f>'Demand Individual Assumptions'!E124</f>
        <v>0</v>
      </c>
      <c r="D65" s="5">
        <f>'Demand Individual Assumptions'!F124</f>
        <v>0</v>
      </c>
      <c r="E65" s="5">
        <f>'Demand Individual Assumptions'!G124</f>
        <v>0</v>
      </c>
      <c r="F65" s="5">
        <f>'Demand Individual Assumptions'!H124</f>
        <v>0</v>
      </c>
      <c r="G65" s="5">
        <f>'Demand Individual Assumptions'!I124</f>
        <v>0</v>
      </c>
      <c r="H65" s="5">
        <f>'Demand Individual Assumptions'!J124</f>
        <v>0</v>
      </c>
      <c r="I65" s="5">
        <f>'Demand Individual Assumptions'!K124</f>
        <v>0</v>
      </c>
      <c r="J65" s="5">
        <f>'Demand Individual Assumptions'!L124</f>
        <v>0</v>
      </c>
      <c r="K65" s="519">
        <f>'Demand Individual Assumptions'!M124</f>
        <v>0</v>
      </c>
      <c r="L65" s="5">
        <f>'Demand Individual Assumptions'!N124</f>
        <v>0</v>
      </c>
      <c r="M65" s="5">
        <f>'Demand Individual Assumptions'!O124</f>
        <v>0</v>
      </c>
      <c r="N65" s="15">
        <f>'Demand Individual Assumptions'!P124</f>
        <v>0</v>
      </c>
      <c r="O65" s="5">
        <f>'Demand Individual Assumptions'!Q124</f>
        <v>0</v>
      </c>
      <c r="P65" s="5">
        <f>'Demand Individual Assumptions'!R124</f>
        <v>0</v>
      </c>
      <c r="Q65" s="5">
        <f>'Demand Individual Assumptions'!S124</f>
        <v>0</v>
      </c>
      <c r="R65" s="5">
        <f>'Demand Individual Assumptions'!T124</f>
        <v>0</v>
      </c>
      <c r="S65" s="5">
        <f>'Demand Individual Assumptions'!U124</f>
        <v>0</v>
      </c>
      <c r="T65" s="5">
        <f>'Demand Individual Assumptions'!V124</f>
        <v>0</v>
      </c>
      <c r="U65" s="5">
        <f>'Demand Individual Assumptions'!W124</f>
        <v>0</v>
      </c>
      <c r="V65" s="5">
        <f>'Demand Individual Assumptions'!X124</f>
        <v>0</v>
      </c>
      <c r="W65" s="5">
        <f>'Demand Individual Assumptions'!Y124</f>
        <v>0</v>
      </c>
      <c r="X65" s="5">
        <f>'Demand Individual Assumptions'!Z124</f>
        <v>0</v>
      </c>
      <c r="Y65" s="5">
        <f>'Demand Individual Assumptions'!AA124</f>
        <v>0</v>
      </c>
    </row>
    <row r="66" spans="1:26" x14ac:dyDescent="0.25">
      <c r="A66" s="505"/>
      <c r="B66" s="1" t="s">
        <v>9</v>
      </c>
      <c r="C66" s="5">
        <f>'Demand Individual Assumptions'!E125</f>
        <v>88</v>
      </c>
      <c r="D66" s="5">
        <f>'Demand Individual Assumptions'!F125</f>
        <v>176</v>
      </c>
      <c r="E66" s="5">
        <f>'Demand Individual Assumptions'!G125</f>
        <v>264</v>
      </c>
      <c r="F66" s="5">
        <f>'Demand Individual Assumptions'!H125</f>
        <v>352</v>
      </c>
      <c r="G66" s="5">
        <f>'Demand Individual Assumptions'!I125</f>
        <v>440</v>
      </c>
      <c r="H66" s="5">
        <f>'Demand Individual Assumptions'!J125</f>
        <v>528</v>
      </c>
      <c r="I66" s="5">
        <f>'Demand Individual Assumptions'!K125</f>
        <v>616</v>
      </c>
      <c r="J66" s="5">
        <f>'Demand Individual Assumptions'!L125</f>
        <v>704</v>
      </c>
      <c r="K66" s="519">
        <f>'Demand Individual Assumptions'!M125</f>
        <v>792</v>
      </c>
      <c r="L66" s="5">
        <f>'Demand Individual Assumptions'!N125</f>
        <v>880</v>
      </c>
      <c r="M66" s="5">
        <f>'Demand Individual Assumptions'!O125</f>
        <v>968</v>
      </c>
      <c r="N66" s="15">
        <f>'Demand Individual Assumptions'!P125</f>
        <v>1056</v>
      </c>
      <c r="O66" s="5">
        <f>'Demand Individual Assumptions'!Q125</f>
        <v>1144</v>
      </c>
      <c r="P66" s="5">
        <f>'Demand Individual Assumptions'!R125</f>
        <v>1232</v>
      </c>
      <c r="Q66" s="5">
        <f>'Demand Individual Assumptions'!S125</f>
        <v>1320</v>
      </c>
      <c r="R66" s="5">
        <f>'Demand Individual Assumptions'!T125</f>
        <v>1408</v>
      </c>
      <c r="S66" s="5">
        <f>'Demand Individual Assumptions'!U125</f>
        <v>1496</v>
      </c>
      <c r="T66" s="5">
        <f>'Demand Individual Assumptions'!V125</f>
        <v>1584</v>
      </c>
      <c r="U66" s="5">
        <f>'Demand Individual Assumptions'!W125</f>
        <v>1672</v>
      </c>
      <c r="V66" s="5">
        <f>'Demand Individual Assumptions'!X125</f>
        <v>1672</v>
      </c>
      <c r="W66" s="5">
        <f>'Demand Individual Assumptions'!Y125</f>
        <v>1672</v>
      </c>
      <c r="X66" s="5">
        <f>'Demand Individual Assumptions'!Z125</f>
        <v>1672</v>
      </c>
      <c r="Y66" s="5">
        <f>'Demand Individual Assumptions'!AA125</f>
        <v>1672</v>
      </c>
    </row>
    <row r="67" spans="1:26" x14ac:dyDescent="0.25">
      <c r="A67" s="505"/>
      <c r="B67" s="1" t="s">
        <v>1</v>
      </c>
      <c r="C67" s="5">
        <f>'Demand Individual Assumptions'!E126</f>
        <v>103.57894736842105</v>
      </c>
      <c r="D67" s="5">
        <f>'Demand Individual Assumptions'!F126</f>
        <v>207.15789473684211</v>
      </c>
      <c r="E67" s="5">
        <f>'Demand Individual Assumptions'!G126</f>
        <v>310.73684210526318</v>
      </c>
      <c r="F67" s="5">
        <f>'Demand Individual Assumptions'!H126</f>
        <v>414.31578947368422</v>
      </c>
      <c r="G67" s="5">
        <f>'Demand Individual Assumptions'!I126</f>
        <v>517.89473684210532</v>
      </c>
      <c r="H67" s="5">
        <f>'Demand Individual Assumptions'!J126</f>
        <v>621.47368421052636</v>
      </c>
      <c r="I67" s="5">
        <f>'Demand Individual Assumptions'!K126</f>
        <v>725.0526315789474</v>
      </c>
      <c r="J67" s="5">
        <f>'Demand Individual Assumptions'!L126</f>
        <v>828.63157894736844</v>
      </c>
      <c r="K67" s="519">
        <f>'Demand Individual Assumptions'!M126</f>
        <v>932.21052631578948</v>
      </c>
      <c r="L67" s="5">
        <f>'Demand Individual Assumptions'!N126</f>
        <v>1035.7894736842106</v>
      </c>
      <c r="M67" s="5">
        <f>'Demand Individual Assumptions'!O126</f>
        <v>1139.3684210526317</v>
      </c>
      <c r="N67" s="15">
        <f>'Demand Individual Assumptions'!P126</f>
        <v>1242.9473684210527</v>
      </c>
      <c r="O67" s="5">
        <f>'Demand Individual Assumptions'!Q126</f>
        <v>1346.5263157894738</v>
      </c>
      <c r="P67" s="5">
        <f>'Demand Individual Assumptions'!R126</f>
        <v>1450.1052631578948</v>
      </c>
      <c r="Q67" s="5">
        <f>'Demand Individual Assumptions'!S126</f>
        <v>1553.6842105263158</v>
      </c>
      <c r="R67" s="5">
        <f>'Demand Individual Assumptions'!T126</f>
        <v>1657.2631578947369</v>
      </c>
      <c r="S67" s="5">
        <f>'Demand Individual Assumptions'!U126</f>
        <v>1760.8421052631579</v>
      </c>
      <c r="T67" s="5">
        <f>'Demand Individual Assumptions'!V126</f>
        <v>1864.421052631579</v>
      </c>
      <c r="U67" s="5">
        <f>'Demand Individual Assumptions'!W126</f>
        <v>1968</v>
      </c>
      <c r="V67" s="5">
        <f>'Demand Individual Assumptions'!X126</f>
        <v>1968</v>
      </c>
      <c r="W67" s="5">
        <f>'Demand Individual Assumptions'!Y126</f>
        <v>1968</v>
      </c>
      <c r="X67" s="5">
        <f>'Demand Individual Assumptions'!Z126</f>
        <v>1968</v>
      </c>
      <c r="Y67" s="5">
        <f>'Demand Individual Assumptions'!AA126</f>
        <v>1968</v>
      </c>
    </row>
    <row r="68" spans="1:26" x14ac:dyDescent="0.25">
      <c r="A68" s="505"/>
      <c r="B68" s="1" t="s">
        <v>14</v>
      </c>
      <c r="C68" s="5">
        <f>'Demand Individual Assumptions'!E127</f>
        <v>164</v>
      </c>
      <c r="D68" s="5">
        <f>'Demand Individual Assumptions'!F127</f>
        <v>246</v>
      </c>
      <c r="E68" s="5">
        <f>'Demand Individual Assumptions'!G127</f>
        <v>328</v>
      </c>
      <c r="F68" s="5">
        <f>'Demand Individual Assumptions'!H127</f>
        <v>410</v>
      </c>
      <c r="G68" s="5">
        <f>'Demand Individual Assumptions'!I127</f>
        <v>491</v>
      </c>
      <c r="H68" s="5">
        <f>'Demand Individual Assumptions'!J127</f>
        <v>573</v>
      </c>
      <c r="I68" s="5">
        <f>'Demand Individual Assumptions'!K127</f>
        <v>655</v>
      </c>
      <c r="J68" s="5">
        <f>'Demand Individual Assumptions'!L127</f>
        <v>737</v>
      </c>
      <c r="K68" s="519">
        <f>'Demand Individual Assumptions'!M127</f>
        <v>819</v>
      </c>
      <c r="L68" s="5"/>
      <c r="M68" s="5"/>
      <c r="N68" s="15"/>
      <c r="O68" s="5"/>
      <c r="P68" s="5"/>
      <c r="Q68" s="5"/>
      <c r="R68" s="5"/>
      <c r="S68" s="5"/>
      <c r="T68" s="5"/>
      <c r="U68" s="5"/>
      <c r="V68" s="5"/>
      <c r="W68" s="5"/>
      <c r="X68" s="5"/>
      <c r="Y68" s="5"/>
    </row>
    <row r="69" spans="1:26" x14ac:dyDescent="0.25">
      <c r="A69" s="505"/>
      <c r="C69" s="5"/>
      <c r="D69" s="5"/>
      <c r="E69" s="5"/>
      <c r="F69" s="5"/>
      <c r="G69" s="5"/>
      <c r="H69" s="5"/>
      <c r="I69" s="5"/>
      <c r="J69" s="5"/>
      <c r="K69" s="519"/>
      <c r="L69" s="5"/>
      <c r="M69" s="5"/>
      <c r="N69" s="15"/>
      <c r="O69" s="5"/>
      <c r="P69" s="5"/>
      <c r="Q69" s="5"/>
      <c r="R69" s="5"/>
      <c r="S69" s="5"/>
      <c r="T69" s="5"/>
      <c r="U69" s="5"/>
      <c r="V69" s="5"/>
      <c r="W69" s="5"/>
      <c r="X69" s="5"/>
      <c r="Y69" s="5"/>
    </row>
    <row r="70" spans="1:26" x14ac:dyDescent="0.25">
      <c r="A70" s="505"/>
      <c r="B70" s="11" t="s">
        <v>21</v>
      </c>
      <c r="C70" s="5"/>
      <c r="D70" s="5"/>
      <c r="E70" s="5"/>
      <c r="F70" s="5"/>
      <c r="G70" s="5"/>
      <c r="H70" s="5"/>
      <c r="I70" s="5"/>
      <c r="J70" s="5"/>
      <c r="K70" s="519"/>
      <c r="L70" s="5"/>
      <c r="M70" s="5"/>
      <c r="N70" s="15"/>
      <c r="O70" s="5"/>
      <c r="P70" s="5"/>
      <c r="Q70" s="5"/>
      <c r="R70" s="5"/>
      <c r="S70" s="5"/>
      <c r="T70" s="5"/>
      <c r="U70" s="5"/>
      <c r="V70" s="5"/>
      <c r="W70" s="5"/>
      <c r="X70" s="5"/>
      <c r="Y70" s="5"/>
    </row>
    <row r="71" spans="1:26" s="115" customFormat="1" x14ac:dyDescent="0.25">
      <c r="A71" s="505"/>
      <c r="B71" s="1" t="s">
        <v>4787</v>
      </c>
      <c r="C71" s="5">
        <v>0</v>
      </c>
      <c r="D71" s="5">
        <f>C71</f>
        <v>0</v>
      </c>
      <c r="E71" s="5">
        <f t="shared" ref="E71:Y71" si="11">D71</f>
        <v>0</v>
      </c>
      <c r="F71" s="5">
        <f t="shared" si="11"/>
        <v>0</v>
      </c>
      <c r="G71" s="5">
        <f t="shared" si="11"/>
        <v>0</v>
      </c>
      <c r="H71" s="5">
        <f t="shared" si="11"/>
        <v>0</v>
      </c>
      <c r="I71" s="5">
        <f t="shared" si="11"/>
        <v>0</v>
      </c>
      <c r="J71" s="5">
        <f t="shared" si="11"/>
        <v>0</v>
      </c>
      <c r="K71" s="519">
        <f t="shared" si="11"/>
        <v>0</v>
      </c>
      <c r="L71" s="5">
        <f t="shared" si="11"/>
        <v>0</v>
      </c>
      <c r="M71" s="5">
        <f t="shared" si="11"/>
        <v>0</v>
      </c>
      <c r="N71" s="15">
        <f t="shared" si="11"/>
        <v>0</v>
      </c>
      <c r="O71" s="5">
        <f t="shared" si="11"/>
        <v>0</v>
      </c>
      <c r="P71" s="5">
        <f t="shared" si="11"/>
        <v>0</v>
      </c>
      <c r="Q71" s="5">
        <f t="shared" si="11"/>
        <v>0</v>
      </c>
      <c r="R71" s="5">
        <f t="shared" si="11"/>
        <v>0</v>
      </c>
      <c r="S71" s="5">
        <f t="shared" si="11"/>
        <v>0</v>
      </c>
      <c r="T71" s="5">
        <f t="shared" si="11"/>
        <v>0</v>
      </c>
      <c r="U71" s="5">
        <f t="shared" si="11"/>
        <v>0</v>
      </c>
      <c r="V71" s="5">
        <f t="shared" si="11"/>
        <v>0</v>
      </c>
      <c r="W71" s="5">
        <f t="shared" si="11"/>
        <v>0</v>
      </c>
      <c r="X71" s="5">
        <f t="shared" si="11"/>
        <v>0</v>
      </c>
      <c r="Y71" s="5">
        <f t="shared" si="11"/>
        <v>0</v>
      </c>
      <c r="Z71" s="10"/>
    </row>
    <row r="72" spans="1:26" x14ac:dyDescent="0.25">
      <c r="A72" s="505"/>
      <c r="B72" s="1" t="s">
        <v>0</v>
      </c>
      <c r="C72" s="5">
        <f>'Demand Individual Assumptions'!E130</f>
        <v>0</v>
      </c>
      <c r="D72" s="5">
        <f>'Demand Individual Assumptions'!F130</f>
        <v>0</v>
      </c>
      <c r="E72" s="5">
        <f>'Demand Individual Assumptions'!G130</f>
        <v>0</v>
      </c>
      <c r="F72" s="5">
        <f>'Demand Individual Assumptions'!H130</f>
        <v>0</v>
      </c>
      <c r="G72" s="5">
        <f>'Demand Individual Assumptions'!I130</f>
        <v>0</v>
      </c>
      <c r="H72" s="5">
        <f>'Demand Individual Assumptions'!J130</f>
        <v>0</v>
      </c>
      <c r="I72" s="5">
        <f>'Demand Individual Assumptions'!K130</f>
        <v>0</v>
      </c>
      <c r="J72" s="5">
        <f>'Demand Individual Assumptions'!L130</f>
        <v>0</v>
      </c>
      <c r="K72" s="519">
        <f>'Demand Individual Assumptions'!M130</f>
        <v>0</v>
      </c>
      <c r="L72" s="5">
        <f>'Demand Individual Assumptions'!N130</f>
        <v>0</v>
      </c>
      <c r="M72" s="5">
        <f>'Demand Individual Assumptions'!O130</f>
        <v>0</v>
      </c>
      <c r="N72" s="15">
        <f>'Demand Individual Assumptions'!P130</f>
        <v>0</v>
      </c>
      <c r="O72" s="5">
        <f>'Demand Individual Assumptions'!Q130</f>
        <v>0</v>
      </c>
      <c r="P72" s="5">
        <f>'Demand Individual Assumptions'!R130</f>
        <v>0</v>
      </c>
      <c r="Q72" s="5">
        <f>'Demand Individual Assumptions'!S130</f>
        <v>0</v>
      </c>
      <c r="R72" s="5">
        <f>'Demand Individual Assumptions'!T130</f>
        <v>0</v>
      </c>
      <c r="S72" s="5">
        <f>'Demand Individual Assumptions'!U130</f>
        <v>0</v>
      </c>
      <c r="T72" s="5">
        <f>'Demand Individual Assumptions'!V130</f>
        <v>0</v>
      </c>
      <c r="U72" s="5">
        <f>'Demand Individual Assumptions'!W130</f>
        <v>0</v>
      </c>
      <c r="V72" s="5">
        <f>'Demand Individual Assumptions'!X130</f>
        <v>0</v>
      </c>
      <c r="W72" s="5">
        <f>'Demand Individual Assumptions'!Y130</f>
        <v>0</v>
      </c>
      <c r="X72" s="5">
        <f>'Demand Individual Assumptions'!Z130</f>
        <v>0</v>
      </c>
      <c r="Y72" s="5">
        <f>'Demand Individual Assumptions'!AA130</f>
        <v>0</v>
      </c>
    </row>
    <row r="73" spans="1:26" x14ac:dyDescent="0.25">
      <c r="A73" s="505"/>
      <c r="B73" s="1" t="s">
        <v>9</v>
      </c>
      <c r="C73" s="5">
        <f>'Demand Individual Assumptions'!E131</f>
        <v>578.16</v>
      </c>
      <c r="D73" s="5">
        <f>'Demand Individual Assumptions'!F131</f>
        <v>1156.32</v>
      </c>
      <c r="E73" s="5">
        <f>'Demand Individual Assumptions'!G131</f>
        <v>1734.48</v>
      </c>
      <c r="F73" s="5">
        <f>'Demand Individual Assumptions'!H131</f>
        <v>2312.64</v>
      </c>
      <c r="G73" s="5">
        <f>'Demand Individual Assumptions'!I131</f>
        <v>2890.8</v>
      </c>
      <c r="H73" s="5">
        <f>'Demand Individual Assumptions'!J131</f>
        <v>3468.96</v>
      </c>
      <c r="I73" s="5">
        <f>'Demand Individual Assumptions'!K131</f>
        <v>4047.12</v>
      </c>
      <c r="J73" s="5">
        <f>'Demand Individual Assumptions'!L131</f>
        <v>4625.28</v>
      </c>
      <c r="K73" s="519">
        <f>'Demand Individual Assumptions'!M131</f>
        <v>5203.4399999999996</v>
      </c>
      <c r="L73" s="5">
        <f>'Demand Individual Assumptions'!N131</f>
        <v>5781.6</v>
      </c>
      <c r="M73" s="5">
        <f>'Demand Individual Assumptions'!O131</f>
        <v>6359.76</v>
      </c>
      <c r="N73" s="15">
        <f>'Demand Individual Assumptions'!P131</f>
        <v>6937.92</v>
      </c>
      <c r="O73" s="5">
        <f>'Demand Individual Assumptions'!Q131</f>
        <v>7516.08</v>
      </c>
      <c r="P73" s="5">
        <f>'Demand Individual Assumptions'!R131</f>
        <v>8094.24</v>
      </c>
      <c r="Q73" s="5">
        <f>'Demand Individual Assumptions'!S131</f>
        <v>8672.4</v>
      </c>
      <c r="R73" s="5">
        <f>'Demand Individual Assumptions'!T131</f>
        <v>9250.56</v>
      </c>
      <c r="S73" s="5">
        <f>'Demand Individual Assumptions'!U131</f>
        <v>9828.7199999999993</v>
      </c>
      <c r="T73" s="5">
        <f>'Demand Individual Assumptions'!V131</f>
        <v>10406.879999999999</v>
      </c>
      <c r="U73" s="5">
        <f>'Demand Individual Assumptions'!W131</f>
        <v>10985.04</v>
      </c>
      <c r="V73" s="5">
        <f>'Demand Individual Assumptions'!X131</f>
        <v>10985.04</v>
      </c>
      <c r="W73" s="5">
        <f>'Demand Individual Assumptions'!Y131</f>
        <v>10985.04</v>
      </c>
      <c r="X73" s="5">
        <f>'Demand Individual Assumptions'!Z131</f>
        <v>10985.04</v>
      </c>
      <c r="Y73" s="5">
        <f>'Demand Individual Assumptions'!AA131</f>
        <v>10985.04</v>
      </c>
    </row>
    <row r="74" spans="1:26" x14ac:dyDescent="0.25">
      <c r="A74" s="505"/>
      <c r="B74" s="1" t="s">
        <v>1</v>
      </c>
      <c r="C74" s="5">
        <f>'Demand Individual Assumptions'!E132</f>
        <v>680.51368421052632</v>
      </c>
      <c r="D74" s="5">
        <f>'Demand Individual Assumptions'!F132</f>
        <v>1361.0273684210526</v>
      </c>
      <c r="E74" s="5">
        <f>'Demand Individual Assumptions'!G132</f>
        <v>2041.5410526315793</v>
      </c>
      <c r="F74" s="5">
        <f>'Demand Individual Assumptions'!H132</f>
        <v>2722.0547368421053</v>
      </c>
      <c r="G74" s="5">
        <f>'Demand Individual Assumptions'!I132</f>
        <v>3402.5684210526319</v>
      </c>
      <c r="H74" s="5">
        <f>'Demand Individual Assumptions'!J132</f>
        <v>4083.0821052631586</v>
      </c>
      <c r="I74" s="5">
        <f>'Demand Individual Assumptions'!K132</f>
        <v>4763.5957894736848</v>
      </c>
      <c r="J74" s="5">
        <f>'Demand Individual Assumptions'!L132</f>
        <v>5444.1094736842106</v>
      </c>
      <c r="K74" s="519">
        <f>'Demand Individual Assumptions'!M132</f>
        <v>6124.6231578947363</v>
      </c>
      <c r="L74" s="5">
        <f>'Demand Individual Assumptions'!N132</f>
        <v>6805.1368421052639</v>
      </c>
      <c r="M74" s="5">
        <f>'Demand Individual Assumptions'!O132</f>
        <v>7485.6505263157896</v>
      </c>
      <c r="N74" s="15">
        <f>'Demand Individual Assumptions'!P132</f>
        <v>8166.1642105263172</v>
      </c>
      <c r="O74" s="5">
        <f>'Demand Individual Assumptions'!Q132</f>
        <v>8846.6778947368421</v>
      </c>
      <c r="P74" s="5">
        <f>'Demand Individual Assumptions'!R132</f>
        <v>9527.1915789473696</v>
      </c>
      <c r="Q74" s="5">
        <f>'Demand Individual Assumptions'!S132</f>
        <v>10207.705263157895</v>
      </c>
      <c r="R74" s="5">
        <f>'Demand Individual Assumptions'!T132</f>
        <v>10888.218947368421</v>
      </c>
      <c r="S74" s="5">
        <f>'Demand Individual Assumptions'!U132</f>
        <v>11568.732631578949</v>
      </c>
      <c r="T74" s="5">
        <f>'Demand Individual Assumptions'!V132</f>
        <v>12249.246315789473</v>
      </c>
      <c r="U74" s="5">
        <f>'Demand Individual Assumptions'!W132</f>
        <v>12929.76</v>
      </c>
      <c r="V74" s="5">
        <f>'Demand Individual Assumptions'!X132</f>
        <v>12929.76</v>
      </c>
      <c r="W74" s="5">
        <f>'Demand Individual Assumptions'!Y132</f>
        <v>12929.76</v>
      </c>
      <c r="X74" s="5">
        <f>'Demand Individual Assumptions'!Z132</f>
        <v>12929.76</v>
      </c>
      <c r="Y74" s="5">
        <f>'Demand Individual Assumptions'!AA132</f>
        <v>12929.76</v>
      </c>
    </row>
    <row r="75" spans="1:26" x14ac:dyDescent="0.25">
      <c r="A75" s="505"/>
      <c r="B75" s="1" t="s">
        <v>14</v>
      </c>
      <c r="C75" s="5">
        <f>'Demand Individual Assumptions'!E133</f>
        <v>1324.5820800000001</v>
      </c>
      <c r="D75" s="5">
        <f>'Demand Individual Assumptions'!F133</f>
        <v>1986.8731200000002</v>
      </c>
      <c r="E75" s="5">
        <f>'Demand Individual Assumptions'!G133</f>
        <v>2649.1641600000003</v>
      </c>
      <c r="F75" s="5">
        <f>'Demand Individual Assumptions'!H133</f>
        <v>3311.4552000000003</v>
      </c>
      <c r="G75" s="5">
        <f>'Demand Individual Assumptions'!I133</f>
        <v>3965.6695199999999</v>
      </c>
      <c r="H75" s="5">
        <f>'Demand Individual Assumptions'!J133</f>
        <v>4627.9605600000004</v>
      </c>
      <c r="I75" s="5">
        <f>'Demand Individual Assumptions'!K133</f>
        <v>5290.2516000000005</v>
      </c>
      <c r="J75" s="5">
        <f>'Demand Individual Assumptions'!L133</f>
        <v>5952.5426400000006</v>
      </c>
      <c r="K75" s="519">
        <f>'Demand Individual Assumptions'!M133</f>
        <v>6614.8336800000006</v>
      </c>
      <c r="L75" s="5"/>
      <c r="M75" s="5"/>
      <c r="N75" s="15"/>
      <c r="O75" s="5"/>
      <c r="P75" s="5"/>
      <c r="Q75" s="5"/>
      <c r="R75" s="5"/>
      <c r="S75" s="5"/>
      <c r="T75" s="5"/>
      <c r="U75" s="5"/>
      <c r="V75" s="5"/>
      <c r="W75" s="5"/>
      <c r="X75" s="5"/>
      <c r="Y75" s="5"/>
    </row>
    <row r="76" spans="1:26" x14ac:dyDescent="0.25">
      <c r="A76" s="505"/>
      <c r="C76" s="5"/>
      <c r="D76" s="5"/>
      <c r="E76" s="5"/>
      <c r="F76" s="5"/>
      <c r="G76" s="5"/>
      <c r="H76" s="5"/>
      <c r="I76" s="5"/>
      <c r="J76" s="5"/>
      <c r="K76" s="519"/>
      <c r="L76" s="5"/>
      <c r="M76" s="5"/>
      <c r="N76" s="15"/>
      <c r="O76" s="5"/>
      <c r="P76" s="5"/>
      <c r="Q76" s="5"/>
      <c r="R76" s="5"/>
      <c r="S76" s="5"/>
      <c r="T76" s="5"/>
      <c r="U76" s="5"/>
      <c r="V76" s="5"/>
      <c r="W76" s="5"/>
      <c r="X76" s="5"/>
      <c r="Y76" s="5"/>
    </row>
    <row r="77" spans="1:26" x14ac:dyDescent="0.25">
      <c r="A77" s="505"/>
      <c r="B77" s="567" t="s">
        <v>3443</v>
      </c>
      <c r="C77" s="45"/>
      <c r="D77" s="45"/>
      <c r="E77" s="45"/>
      <c r="F77" s="45"/>
      <c r="G77" s="45"/>
      <c r="H77" s="45"/>
      <c r="I77" s="45"/>
      <c r="J77" s="45"/>
      <c r="K77" s="45"/>
      <c r="L77" s="45"/>
      <c r="M77" s="45"/>
      <c r="N77" s="45"/>
      <c r="O77" s="45"/>
      <c r="P77" s="45"/>
      <c r="Q77" s="45"/>
      <c r="R77" s="45"/>
      <c r="S77" s="45"/>
      <c r="T77" s="45"/>
      <c r="U77" s="45"/>
      <c r="V77" s="45"/>
      <c r="W77" s="45"/>
      <c r="X77" s="45"/>
      <c r="Y77" s="45"/>
    </row>
    <row r="78" spans="1:26" x14ac:dyDescent="0.25">
      <c r="A78" s="505"/>
      <c r="B78" s="11" t="s">
        <v>25</v>
      </c>
    </row>
    <row r="79" spans="1:26" s="115" customFormat="1" x14ac:dyDescent="0.25">
      <c r="A79" s="505"/>
      <c r="B79" s="1" t="s">
        <v>4787</v>
      </c>
      <c r="C79" s="5">
        <v>0</v>
      </c>
      <c r="D79" s="5">
        <f>C79</f>
        <v>0</v>
      </c>
      <c r="E79" s="5">
        <f t="shared" ref="E79:Y79" si="12">D79</f>
        <v>0</v>
      </c>
      <c r="F79" s="5">
        <f t="shared" si="12"/>
        <v>0</v>
      </c>
      <c r="G79" s="5">
        <f t="shared" si="12"/>
        <v>0</v>
      </c>
      <c r="H79" s="5">
        <f t="shared" si="12"/>
        <v>0</v>
      </c>
      <c r="I79" s="5">
        <f t="shared" si="12"/>
        <v>0</v>
      </c>
      <c r="J79" s="5">
        <f t="shared" si="12"/>
        <v>0</v>
      </c>
      <c r="K79" s="519">
        <f t="shared" si="12"/>
        <v>0</v>
      </c>
      <c r="L79" s="5">
        <f t="shared" si="12"/>
        <v>0</v>
      </c>
      <c r="M79" s="5">
        <f t="shared" si="12"/>
        <v>0</v>
      </c>
      <c r="N79" s="15">
        <f t="shared" si="12"/>
        <v>0</v>
      </c>
      <c r="O79" s="5">
        <f t="shared" si="12"/>
        <v>0</v>
      </c>
      <c r="P79" s="5">
        <f t="shared" si="12"/>
        <v>0</v>
      </c>
      <c r="Q79" s="5">
        <f t="shared" si="12"/>
        <v>0</v>
      </c>
      <c r="R79" s="5">
        <f t="shared" si="12"/>
        <v>0</v>
      </c>
      <c r="S79" s="5">
        <f t="shared" si="12"/>
        <v>0</v>
      </c>
      <c r="T79" s="5">
        <f t="shared" si="12"/>
        <v>0</v>
      </c>
      <c r="U79" s="5">
        <f t="shared" si="12"/>
        <v>0</v>
      </c>
      <c r="V79" s="5">
        <f t="shared" si="12"/>
        <v>0</v>
      </c>
      <c r="W79" s="5">
        <f t="shared" si="12"/>
        <v>0</v>
      </c>
      <c r="X79" s="5">
        <f t="shared" si="12"/>
        <v>0</v>
      </c>
      <c r="Y79" s="5">
        <f t="shared" si="12"/>
        <v>0</v>
      </c>
      <c r="Z79" s="10"/>
    </row>
    <row r="80" spans="1:26" x14ac:dyDescent="0.25">
      <c r="A80" s="505"/>
      <c r="B80" s="1" t="s">
        <v>0</v>
      </c>
      <c r="C80" s="5">
        <f>'Supply Individual Assumptions'!E16</f>
        <v>0</v>
      </c>
      <c r="D80" s="5">
        <f>'Supply Individual Assumptions'!F16</f>
        <v>0</v>
      </c>
      <c r="E80" s="5">
        <f>'Supply Individual Assumptions'!G16</f>
        <v>0</v>
      </c>
      <c r="F80" s="5">
        <f>'Supply Individual Assumptions'!H16</f>
        <v>0</v>
      </c>
      <c r="G80" s="5">
        <f>'Supply Individual Assumptions'!I16</f>
        <v>0</v>
      </c>
      <c r="H80" s="5">
        <f>'Supply Individual Assumptions'!J16</f>
        <v>0</v>
      </c>
      <c r="I80" s="5">
        <f>'Supply Individual Assumptions'!K16</f>
        <v>0</v>
      </c>
      <c r="J80" s="5">
        <f>'Supply Individual Assumptions'!L16</f>
        <v>0</v>
      </c>
      <c r="K80" s="519">
        <f>'Supply Individual Assumptions'!M16</f>
        <v>0</v>
      </c>
      <c r="L80" s="5">
        <f>'Supply Individual Assumptions'!N16</f>
        <v>0</v>
      </c>
      <c r="M80" s="5">
        <f>'Supply Individual Assumptions'!O16</f>
        <v>0</v>
      </c>
      <c r="N80" s="15">
        <f>'Supply Individual Assumptions'!P16</f>
        <v>0</v>
      </c>
      <c r="O80" s="5">
        <f>'Supply Individual Assumptions'!Q16</f>
        <v>0</v>
      </c>
      <c r="P80" s="5">
        <f>'Supply Individual Assumptions'!R16</f>
        <v>0</v>
      </c>
      <c r="Q80" s="5">
        <f>'Supply Individual Assumptions'!S16</f>
        <v>0</v>
      </c>
      <c r="R80" s="5">
        <f>'Supply Individual Assumptions'!T16</f>
        <v>0</v>
      </c>
      <c r="S80" s="5">
        <f>'Supply Individual Assumptions'!U16</f>
        <v>0</v>
      </c>
      <c r="T80" s="5">
        <f>'Supply Individual Assumptions'!V16</f>
        <v>0</v>
      </c>
      <c r="U80" s="5">
        <f>'Supply Individual Assumptions'!W16</f>
        <v>0</v>
      </c>
      <c r="V80" s="5">
        <f>'Supply Individual Assumptions'!X16</f>
        <v>0</v>
      </c>
      <c r="W80" s="5">
        <f>'Supply Individual Assumptions'!Y16</f>
        <v>0</v>
      </c>
      <c r="X80" s="5">
        <f>'Supply Individual Assumptions'!Z16</f>
        <v>0</v>
      </c>
      <c r="Y80" s="5">
        <f>'Supply Individual Assumptions'!AA16</f>
        <v>0</v>
      </c>
    </row>
    <row r="81" spans="1:26" x14ac:dyDescent="0.25">
      <c r="A81" s="505"/>
      <c r="B81" s="1" t="s">
        <v>9</v>
      </c>
      <c r="C81" s="5">
        <f>'Supply Individual Assumptions'!E17</f>
        <v>11.210526315789474</v>
      </c>
      <c r="D81" s="5">
        <f>'Supply Individual Assumptions'!F17</f>
        <v>22.421052631578949</v>
      </c>
      <c r="E81" s="5">
        <f>'Supply Individual Assumptions'!G17</f>
        <v>33.631578947368425</v>
      </c>
      <c r="F81" s="5">
        <f>'Supply Individual Assumptions'!H17</f>
        <v>44.842105263157897</v>
      </c>
      <c r="G81" s="5">
        <f>'Supply Individual Assumptions'!I17</f>
        <v>56.05263157894737</v>
      </c>
      <c r="H81" s="5">
        <f>'Supply Individual Assumptions'!J17</f>
        <v>67.26315789473685</v>
      </c>
      <c r="I81" s="5">
        <f>'Supply Individual Assumptions'!K17</f>
        <v>78.473684210526329</v>
      </c>
      <c r="J81" s="5">
        <f>'Supply Individual Assumptions'!L17</f>
        <v>89.684210526315809</v>
      </c>
      <c r="K81" s="519">
        <f>'Supply Individual Assumptions'!M17</f>
        <v>100.89473684210529</v>
      </c>
      <c r="L81" s="5">
        <f>'Supply Individual Assumptions'!N17</f>
        <v>112.10526315789477</v>
      </c>
      <c r="M81" s="5">
        <f>'Supply Individual Assumptions'!O17</f>
        <v>123.31578947368425</v>
      </c>
      <c r="N81" s="15">
        <f>'Supply Individual Assumptions'!P17</f>
        <v>134.52631578947373</v>
      </c>
      <c r="O81" s="5">
        <f>'Supply Individual Assumptions'!Q17</f>
        <v>145.73684210526321</v>
      </c>
      <c r="P81" s="5">
        <f>'Supply Individual Assumptions'!R17</f>
        <v>156.94736842105269</v>
      </c>
      <c r="Q81" s="5">
        <f>'Supply Individual Assumptions'!S17</f>
        <v>168.15789473684217</v>
      </c>
      <c r="R81" s="5">
        <f>'Supply Individual Assumptions'!T17</f>
        <v>179.36842105263165</v>
      </c>
      <c r="S81" s="5">
        <f>'Supply Individual Assumptions'!U17</f>
        <v>190.57894736842113</v>
      </c>
      <c r="T81" s="5">
        <f>'Supply Individual Assumptions'!V17</f>
        <v>201.78947368421061</v>
      </c>
      <c r="U81" s="5">
        <f>'Supply Individual Assumptions'!W17</f>
        <v>213</v>
      </c>
      <c r="V81" s="5">
        <f>'Supply Individual Assumptions'!X17</f>
        <v>213</v>
      </c>
      <c r="W81" s="5">
        <f>'Supply Individual Assumptions'!Y17</f>
        <v>213</v>
      </c>
      <c r="X81" s="5">
        <f>'Supply Individual Assumptions'!Z17</f>
        <v>213</v>
      </c>
      <c r="Y81" s="5">
        <f>'Supply Individual Assumptions'!AA17</f>
        <v>213</v>
      </c>
    </row>
    <row r="82" spans="1:26" x14ac:dyDescent="0.25">
      <c r="A82" s="505"/>
      <c r="B82" s="1" t="s">
        <v>1</v>
      </c>
      <c r="C82" s="5">
        <f>'Supply Individual Assumptions'!E18</f>
        <v>87.421052631578945</v>
      </c>
      <c r="D82" s="5">
        <f>'Supply Individual Assumptions'!F18</f>
        <v>174.84210526315789</v>
      </c>
      <c r="E82" s="5">
        <f>'Supply Individual Assumptions'!G18</f>
        <v>262.26315789473682</v>
      </c>
      <c r="F82" s="5">
        <f>'Supply Individual Assumptions'!H18</f>
        <v>349.68421052631578</v>
      </c>
      <c r="G82" s="5">
        <f>'Supply Individual Assumptions'!I18</f>
        <v>437.10526315789474</v>
      </c>
      <c r="H82" s="5">
        <f>'Supply Individual Assumptions'!J18</f>
        <v>524.52631578947364</v>
      </c>
      <c r="I82" s="5">
        <f>'Supply Individual Assumptions'!K18</f>
        <v>611.9473684210526</v>
      </c>
      <c r="J82" s="5">
        <f>'Supply Individual Assumptions'!L18</f>
        <v>699.36842105263156</v>
      </c>
      <c r="K82" s="519">
        <f>'Supply Individual Assumptions'!M18</f>
        <v>786.78947368421052</v>
      </c>
      <c r="L82" s="5">
        <f>'Supply Individual Assumptions'!N18</f>
        <v>874.21052631578948</v>
      </c>
      <c r="M82" s="5">
        <f>'Supply Individual Assumptions'!O18</f>
        <v>961.63157894736844</v>
      </c>
      <c r="N82" s="15">
        <f>'Supply Individual Assumptions'!P18</f>
        <v>1049.0526315789473</v>
      </c>
      <c r="O82" s="5">
        <f>'Supply Individual Assumptions'!Q18</f>
        <v>1136.4736842105262</v>
      </c>
      <c r="P82" s="5">
        <f>'Supply Individual Assumptions'!R18</f>
        <v>1223.8947368421052</v>
      </c>
      <c r="Q82" s="5">
        <f>'Supply Individual Assumptions'!S18</f>
        <v>1311.3157894736842</v>
      </c>
      <c r="R82" s="5">
        <f>'Supply Individual Assumptions'!T18</f>
        <v>1398.7368421052631</v>
      </c>
      <c r="S82" s="5">
        <f>'Supply Individual Assumptions'!U18</f>
        <v>1486.1578947368421</v>
      </c>
      <c r="T82" s="5">
        <f>'Supply Individual Assumptions'!V18</f>
        <v>1573.578947368421</v>
      </c>
      <c r="U82" s="5">
        <f>'Supply Individual Assumptions'!W18</f>
        <v>1661</v>
      </c>
      <c r="V82" s="5">
        <f>'Supply Individual Assumptions'!X18</f>
        <v>1661</v>
      </c>
      <c r="W82" s="5">
        <f>'Supply Individual Assumptions'!Y18</f>
        <v>1661</v>
      </c>
      <c r="X82" s="5">
        <f>'Supply Individual Assumptions'!Z18</f>
        <v>1661</v>
      </c>
      <c r="Y82" s="5">
        <f>'Supply Individual Assumptions'!AA18</f>
        <v>1661</v>
      </c>
    </row>
    <row r="83" spans="1:26" x14ac:dyDescent="0.25">
      <c r="A83" s="505"/>
      <c r="B83" s="1" t="s">
        <v>14</v>
      </c>
      <c r="C83" s="5">
        <f>'Supply Individual Assumptions'!E20</f>
        <v>152</v>
      </c>
      <c r="D83" s="5">
        <f>'Supply Individual Assumptions'!F20</f>
        <v>228</v>
      </c>
      <c r="E83" s="5">
        <f>'Supply Individual Assumptions'!G20</f>
        <v>304</v>
      </c>
      <c r="F83" s="5">
        <f>'Supply Individual Assumptions'!H20</f>
        <v>380</v>
      </c>
      <c r="G83" s="5">
        <f>'Supply Individual Assumptions'!I20</f>
        <v>456</v>
      </c>
      <c r="H83" s="5">
        <f>'Supply Individual Assumptions'!J20</f>
        <v>532</v>
      </c>
      <c r="I83" s="5">
        <f>'Supply Individual Assumptions'!K20</f>
        <v>608</v>
      </c>
      <c r="J83" s="5">
        <f>'Supply Individual Assumptions'!L20</f>
        <v>685</v>
      </c>
      <c r="K83" s="519">
        <f>'Supply Individual Assumptions'!M20</f>
        <v>761</v>
      </c>
      <c r="L83" s="5"/>
      <c r="M83" s="5"/>
      <c r="N83" s="15"/>
      <c r="O83" s="5"/>
      <c r="P83" s="5"/>
      <c r="Q83" s="5"/>
      <c r="R83" s="5"/>
      <c r="S83" s="5"/>
      <c r="T83" s="5"/>
      <c r="U83" s="5"/>
      <c r="V83" s="5"/>
      <c r="W83" s="5"/>
      <c r="X83" s="5"/>
      <c r="Y83" s="5"/>
    </row>
    <row r="84" spans="1:26" x14ac:dyDescent="0.25">
      <c r="A84" s="505"/>
      <c r="B84" s="8"/>
      <c r="C84" s="5"/>
      <c r="D84" s="5"/>
      <c r="E84" s="5"/>
      <c r="F84" s="5"/>
      <c r="G84" s="5"/>
      <c r="H84" s="5"/>
      <c r="I84" s="5"/>
      <c r="J84" s="5"/>
      <c r="K84" s="519"/>
      <c r="L84" s="5"/>
      <c r="M84" s="5"/>
      <c r="N84" s="15"/>
      <c r="O84" s="5"/>
      <c r="P84" s="5"/>
      <c r="Q84" s="5"/>
      <c r="R84" s="5"/>
      <c r="S84" s="5"/>
      <c r="T84" s="5"/>
      <c r="U84" s="5"/>
      <c r="V84" s="5"/>
      <c r="W84" s="5"/>
      <c r="X84" s="5"/>
      <c r="Y84" s="5"/>
    </row>
    <row r="85" spans="1:26" x14ac:dyDescent="0.25">
      <c r="A85" s="505"/>
      <c r="B85" s="11" t="s">
        <v>26</v>
      </c>
      <c r="C85" s="5"/>
      <c r="D85" s="5"/>
      <c r="E85" s="5"/>
      <c r="F85" s="5"/>
      <c r="G85" s="5"/>
      <c r="H85" s="5"/>
      <c r="I85" s="5"/>
      <c r="J85" s="5"/>
      <c r="K85" s="519"/>
      <c r="L85" s="5"/>
      <c r="M85" s="5"/>
      <c r="N85" s="15"/>
      <c r="O85" s="5"/>
      <c r="P85" s="5"/>
      <c r="Q85" s="5"/>
      <c r="R85" s="5"/>
      <c r="S85" s="5"/>
      <c r="T85" s="5"/>
      <c r="U85" s="5"/>
      <c r="V85" s="5"/>
      <c r="W85" s="5"/>
      <c r="X85" s="5"/>
      <c r="Y85" s="5"/>
    </row>
    <row r="86" spans="1:26" s="115" customFormat="1" x14ac:dyDescent="0.25">
      <c r="A86" s="505"/>
      <c r="B86" s="1" t="s">
        <v>4787</v>
      </c>
      <c r="C86" s="5">
        <v>0</v>
      </c>
      <c r="D86" s="5">
        <f>C86</f>
        <v>0</v>
      </c>
      <c r="E86" s="5">
        <f t="shared" ref="E86:Y86" si="13">D86</f>
        <v>0</v>
      </c>
      <c r="F86" s="5">
        <f t="shared" si="13"/>
        <v>0</v>
      </c>
      <c r="G86" s="5">
        <f t="shared" si="13"/>
        <v>0</v>
      </c>
      <c r="H86" s="5">
        <f t="shared" si="13"/>
        <v>0</v>
      </c>
      <c r="I86" s="5">
        <f t="shared" si="13"/>
        <v>0</v>
      </c>
      <c r="J86" s="5">
        <f t="shared" si="13"/>
        <v>0</v>
      </c>
      <c r="K86" s="519">
        <f t="shared" si="13"/>
        <v>0</v>
      </c>
      <c r="L86" s="5">
        <f t="shared" si="13"/>
        <v>0</v>
      </c>
      <c r="M86" s="5">
        <f t="shared" si="13"/>
        <v>0</v>
      </c>
      <c r="N86" s="15">
        <f t="shared" si="13"/>
        <v>0</v>
      </c>
      <c r="O86" s="5">
        <f t="shared" si="13"/>
        <v>0</v>
      </c>
      <c r="P86" s="5">
        <f t="shared" si="13"/>
        <v>0</v>
      </c>
      <c r="Q86" s="5">
        <f t="shared" si="13"/>
        <v>0</v>
      </c>
      <c r="R86" s="5">
        <f t="shared" si="13"/>
        <v>0</v>
      </c>
      <c r="S86" s="5">
        <f t="shared" si="13"/>
        <v>0</v>
      </c>
      <c r="T86" s="5">
        <f t="shared" si="13"/>
        <v>0</v>
      </c>
      <c r="U86" s="5">
        <f t="shared" si="13"/>
        <v>0</v>
      </c>
      <c r="V86" s="5">
        <f t="shared" si="13"/>
        <v>0</v>
      </c>
      <c r="W86" s="5">
        <f t="shared" si="13"/>
        <v>0</v>
      </c>
      <c r="X86" s="5">
        <f t="shared" si="13"/>
        <v>0</v>
      </c>
      <c r="Y86" s="5">
        <f t="shared" si="13"/>
        <v>0</v>
      </c>
      <c r="Z86" s="10"/>
    </row>
    <row r="87" spans="1:26" x14ac:dyDescent="0.25">
      <c r="A87" s="505"/>
      <c r="B87" s="1" t="s">
        <v>0</v>
      </c>
      <c r="C87" s="5">
        <f>'Supply Individual Assumptions'!E23</f>
        <v>0</v>
      </c>
      <c r="D87" s="5">
        <f>'Supply Individual Assumptions'!F23</f>
        <v>0</v>
      </c>
      <c r="E87" s="5">
        <f>'Supply Individual Assumptions'!G23</f>
        <v>0</v>
      </c>
      <c r="F87" s="5">
        <f>'Supply Individual Assumptions'!H23</f>
        <v>0</v>
      </c>
      <c r="G87" s="5">
        <f>'Supply Individual Assumptions'!I23</f>
        <v>0</v>
      </c>
      <c r="H87" s="5">
        <f>'Supply Individual Assumptions'!J23</f>
        <v>0</v>
      </c>
      <c r="I87" s="5">
        <f>'Supply Individual Assumptions'!K23</f>
        <v>0</v>
      </c>
      <c r="J87" s="5">
        <f>'Supply Individual Assumptions'!L23</f>
        <v>0</v>
      </c>
      <c r="K87" s="519">
        <f>'Supply Individual Assumptions'!M23</f>
        <v>0</v>
      </c>
      <c r="L87" s="5">
        <f>'Supply Individual Assumptions'!N23</f>
        <v>0</v>
      </c>
      <c r="M87" s="5">
        <f>'Supply Individual Assumptions'!O23</f>
        <v>0</v>
      </c>
      <c r="N87" s="15">
        <f>'Supply Individual Assumptions'!P23</f>
        <v>0</v>
      </c>
      <c r="O87" s="5">
        <f>'Supply Individual Assumptions'!Q23</f>
        <v>0</v>
      </c>
      <c r="P87" s="5">
        <f>'Supply Individual Assumptions'!R23</f>
        <v>0</v>
      </c>
      <c r="Q87" s="5">
        <f>'Supply Individual Assumptions'!S23</f>
        <v>0</v>
      </c>
      <c r="R87" s="5">
        <f>'Supply Individual Assumptions'!T23</f>
        <v>0</v>
      </c>
      <c r="S87" s="5">
        <f>'Supply Individual Assumptions'!U23</f>
        <v>0</v>
      </c>
      <c r="T87" s="5">
        <f>'Supply Individual Assumptions'!V23</f>
        <v>0</v>
      </c>
      <c r="U87" s="5">
        <f>'Supply Individual Assumptions'!W23</f>
        <v>0</v>
      </c>
      <c r="V87" s="5">
        <f>'Supply Individual Assumptions'!X23</f>
        <v>0</v>
      </c>
      <c r="W87" s="5">
        <f>'Supply Individual Assumptions'!Y23</f>
        <v>0</v>
      </c>
      <c r="X87" s="5">
        <f>'Supply Individual Assumptions'!Z23</f>
        <v>0</v>
      </c>
      <c r="Y87" s="5">
        <f>'Supply Individual Assumptions'!AA23</f>
        <v>0</v>
      </c>
    </row>
    <row r="88" spans="1:26" x14ac:dyDescent="0.25">
      <c r="A88" s="505"/>
      <c r="B88" s="1" t="s">
        <v>9</v>
      </c>
      <c r="C88" s="5">
        <f>'Supply Individual Assumptions'!E24</f>
        <v>73.65315789473685</v>
      </c>
      <c r="D88" s="5">
        <f>'Supply Individual Assumptions'!F24</f>
        <v>147.3063157894737</v>
      </c>
      <c r="E88" s="5">
        <f>'Supply Individual Assumptions'!G24</f>
        <v>220.95947368421056</v>
      </c>
      <c r="F88" s="5">
        <f>'Supply Individual Assumptions'!H24</f>
        <v>294.6126315789474</v>
      </c>
      <c r="G88" s="5">
        <f>'Supply Individual Assumptions'!I24</f>
        <v>368.26578947368421</v>
      </c>
      <c r="H88" s="5">
        <f>'Supply Individual Assumptions'!J24</f>
        <v>441.91894736842113</v>
      </c>
      <c r="I88" s="5">
        <f>'Supply Individual Assumptions'!K24</f>
        <v>515.57210526315794</v>
      </c>
      <c r="J88" s="5">
        <f>'Supply Individual Assumptions'!L24</f>
        <v>589.2252631578948</v>
      </c>
      <c r="K88" s="519">
        <f>'Supply Individual Assumptions'!M24</f>
        <v>662.87842105263178</v>
      </c>
      <c r="L88" s="5">
        <f>'Supply Individual Assumptions'!N24</f>
        <v>736.53157894736864</v>
      </c>
      <c r="M88" s="5">
        <f>'Supply Individual Assumptions'!O24</f>
        <v>810.18473684210539</v>
      </c>
      <c r="N88" s="15">
        <f>'Supply Individual Assumptions'!P24</f>
        <v>883.83789473684249</v>
      </c>
      <c r="O88" s="5">
        <f>'Supply Individual Assumptions'!Q24</f>
        <v>957.49105263157924</v>
      </c>
      <c r="P88" s="5">
        <f>'Supply Individual Assumptions'!R24</f>
        <v>1031.1442105263161</v>
      </c>
      <c r="Q88" s="5">
        <f>'Supply Individual Assumptions'!S24</f>
        <v>1104.7973684210531</v>
      </c>
      <c r="R88" s="5">
        <f>'Supply Individual Assumptions'!T24</f>
        <v>1178.4505263157898</v>
      </c>
      <c r="S88" s="5">
        <f>'Supply Individual Assumptions'!U24</f>
        <v>1252.1036842105268</v>
      </c>
      <c r="T88" s="5">
        <f>'Supply Individual Assumptions'!V24</f>
        <v>1325.7568421052638</v>
      </c>
      <c r="U88" s="5">
        <f>'Supply Individual Assumptions'!W24</f>
        <v>1399.41</v>
      </c>
      <c r="V88" s="5">
        <f>'Supply Individual Assumptions'!X24</f>
        <v>1399.41</v>
      </c>
      <c r="W88" s="5">
        <f>'Supply Individual Assumptions'!Y24</f>
        <v>1399.41</v>
      </c>
      <c r="X88" s="5">
        <f>'Supply Individual Assumptions'!Z24</f>
        <v>1399.41</v>
      </c>
      <c r="Y88" s="5">
        <f>'Supply Individual Assumptions'!AA24</f>
        <v>1399.41</v>
      </c>
    </row>
    <row r="89" spans="1:26" x14ac:dyDescent="0.25">
      <c r="A89" s="505"/>
      <c r="B89" s="1" t="s">
        <v>1</v>
      </c>
      <c r="C89" s="5">
        <f>'Supply Individual Assumptions'!E25</f>
        <v>574.35631578947368</v>
      </c>
      <c r="D89" s="5">
        <f>'Supply Individual Assumptions'!F25</f>
        <v>1148.7126315789474</v>
      </c>
      <c r="E89" s="5">
        <f>'Supply Individual Assumptions'!G25</f>
        <v>1723.0689473684206</v>
      </c>
      <c r="F89" s="5">
        <f>'Supply Individual Assumptions'!H25</f>
        <v>2297.4252631578947</v>
      </c>
      <c r="G89" s="5">
        <f>'Supply Individual Assumptions'!I25</f>
        <v>2871.781578947368</v>
      </c>
      <c r="H89" s="5">
        <f>'Supply Individual Assumptions'!J25</f>
        <v>3446.1378947368412</v>
      </c>
      <c r="I89" s="5">
        <f>'Supply Individual Assumptions'!K25</f>
        <v>4020.4942105263153</v>
      </c>
      <c r="J89" s="5">
        <f>'Supply Individual Assumptions'!L25</f>
        <v>4594.8505263157895</v>
      </c>
      <c r="K89" s="519">
        <f>'Supply Individual Assumptions'!M25</f>
        <v>5169.2068421052636</v>
      </c>
      <c r="L89" s="5">
        <f>'Supply Individual Assumptions'!N25</f>
        <v>5743.5631578947359</v>
      </c>
      <c r="M89" s="5">
        <f>'Supply Individual Assumptions'!O25</f>
        <v>6317.919473684211</v>
      </c>
      <c r="N89" s="15">
        <f>'Supply Individual Assumptions'!P25</f>
        <v>6892.2757894736824</v>
      </c>
      <c r="O89" s="5">
        <f>'Supply Individual Assumptions'!Q25</f>
        <v>7466.6321052631574</v>
      </c>
      <c r="P89" s="5">
        <f>'Supply Individual Assumptions'!R25</f>
        <v>8040.9884210526307</v>
      </c>
      <c r="Q89" s="5">
        <f>'Supply Individual Assumptions'!S25</f>
        <v>8615.3447368421057</v>
      </c>
      <c r="R89" s="5">
        <f>'Supply Individual Assumptions'!T25</f>
        <v>9189.7010526315789</v>
      </c>
      <c r="S89" s="5">
        <f>'Supply Individual Assumptions'!U25</f>
        <v>9764.0573684210522</v>
      </c>
      <c r="T89" s="5">
        <f>'Supply Individual Assumptions'!V25</f>
        <v>10338.413684210527</v>
      </c>
      <c r="U89" s="5">
        <f>'Supply Individual Assumptions'!W25</f>
        <v>10912.77</v>
      </c>
      <c r="V89" s="5">
        <f>'Supply Individual Assumptions'!X25</f>
        <v>10912.77</v>
      </c>
      <c r="W89" s="5">
        <f>'Supply Individual Assumptions'!Y25</f>
        <v>10912.77</v>
      </c>
      <c r="X89" s="5">
        <f>'Supply Individual Assumptions'!Z25</f>
        <v>10912.77</v>
      </c>
      <c r="Y89" s="5">
        <f>'Supply Individual Assumptions'!AA25</f>
        <v>10912.77</v>
      </c>
    </row>
    <row r="90" spans="1:26" x14ac:dyDescent="0.25">
      <c r="A90" s="505"/>
      <c r="B90" s="1" t="s">
        <v>14</v>
      </c>
      <c r="C90" s="5">
        <f>'Supply Individual Assumptions'!E27</f>
        <v>1227.6614399999999</v>
      </c>
      <c r="D90" s="5">
        <f>'Supply Individual Assumptions'!F27</f>
        <v>1841.4921600000002</v>
      </c>
      <c r="E90" s="5">
        <f>'Supply Individual Assumptions'!G27</f>
        <v>2455.3228799999997</v>
      </c>
      <c r="F90" s="5">
        <f>'Supply Individual Assumptions'!H27</f>
        <v>3069.1536000000001</v>
      </c>
      <c r="G90" s="5">
        <f>'Supply Individual Assumptions'!I27</f>
        <v>3682.9843200000005</v>
      </c>
      <c r="H90" s="5">
        <f>'Supply Individual Assumptions'!J27</f>
        <v>4296.8150400000004</v>
      </c>
      <c r="I90" s="5">
        <f>'Supply Individual Assumptions'!K27</f>
        <v>4910.6457599999994</v>
      </c>
      <c r="J90" s="5">
        <f>'Supply Individual Assumptions'!L27</f>
        <v>5532.5532000000003</v>
      </c>
      <c r="K90" s="519">
        <f>'Supply Individual Assumptions'!M27</f>
        <v>6146.3839200000002</v>
      </c>
      <c r="L90" s="5"/>
      <c r="M90" s="5"/>
      <c r="N90" s="15"/>
      <c r="O90" s="5"/>
      <c r="P90" s="5"/>
      <c r="Q90" s="5"/>
      <c r="R90" s="5"/>
      <c r="S90" s="5"/>
      <c r="T90" s="5"/>
      <c r="U90" s="5"/>
      <c r="V90" s="5"/>
      <c r="W90" s="5"/>
      <c r="X90" s="5"/>
      <c r="Y90" s="5"/>
    </row>
    <row r="91" spans="1:26" x14ac:dyDescent="0.25">
      <c r="A91" s="505"/>
    </row>
    <row r="92" spans="1:26" x14ac:dyDescent="0.25">
      <c r="A92" s="505"/>
      <c r="B92" s="11" t="s">
        <v>31</v>
      </c>
    </row>
    <row r="93" spans="1:26" s="115" customFormat="1" x14ac:dyDescent="0.25">
      <c r="A93" s="505"/>
      <c r="B93" s="1" t="s">
        <v>4787</v>
      </c>
      <c r="C93" s="5">
        <v>0</v>
      </c>
      <c r="D93" s="5">
        <f>C93</f>
        <v>0</v>
      </c>
      <c r="E93" s="5">
        <f t="shared" ref="E93:Y93" si="14">D93</f>
        <v>0</v>
      </c>
      <c r="F93" s="5">
        <f t="shared" si="14"/>
        <v>0</v>
      </c>
      <c r="G93" s="5">
        <f t="shared" si="14"/>
        <v>0</v>
      </c>
      <c r="H93" s="5">
        <f t="shared" si="14"/>
        <v>0</v>
      </c>
      <c r="I93" s="5">
        <f t="shared" si="14"/>
        <v>0</v>
      </c>
      <c r="J93" s="5">
        <f t="shared" si="14"/>
        <v>0</v>
      </c>
      <c r="K93" s="519">
        <f t="shared" si="14"/>
        <v>0</v>
      </c>
      <c r="L93" s="5">
        <f t="shared" si="14"/>
        <v>0</v>
      </c>
      <c r="M93" s="5">
        <f t="shared" si="14"/>
        <v>0</v>
      </c>
      <c r="N93" s="15">
        <f t="shared" si="14"/>
        <v>0</v>
      </c>
      <c r="O93" s="5">
        <f t="shared" si="14"/>
        <v>0</v>
      </c>
      <c r="P93" s="5">
        <f t="shared" si="14"/>
        <v>0</v>
      </c>
      <c r="Q93" s="5">
        <f t="shared" si="14"/>
        <v>0</v>
      </c>
      <c r="R93" s="5">
        <f t="shared" si="14"/>
        <v>0</v>
      </c>
      <c r="S93" s="5">
        <f t="shared" si="14"/>
        <v>0</v>
      </c>
      <c r="T93" s="5">
        <f t="shared" si="14"/>
        <v>0</v>
      </c>
      <c r="U93" s="5">
        <f t="shared" si="14"/>
        <v>0</v>
      </c>
      <c r="V93" s="5">
        <f t="shared" si="14"/>
        <v>0</v>
      </c>
      <c r="W93" s="5">
        <f t="shared" si="14"/>
        <v>0</v>
      </c>
      <c r="X93" s="5">
        <f t="shared" si="14"/>
        <v>0</v>
      </c>
      <c r="Y93" s="5">
        <f t="shared" si="14"/>
        <v>0</v>
      </c>
      <c r="Z93" s="10"/>
    </row>
    <row r="94" spans="1:26" x14ac:dyDescent="0.25">
      <c r="A94" s="505"/>
      <c r="B94" s="1" t="s">
        <v>0</v>
      </c>
      <c r="C94" s="5">
        <f>'Supply Individual Assumptions'!E5</f>
        <v>1892.7</v>
      </c>
      <c r="D94" s="5">
        <f>'Supply Individual Assumptions'!F5</f>
        <v>2093.4</v>
      </c>
      <c r="E94" s="5">
        <f>'Supply Individual Assumptions'!G5</f>
        <v>2249.1</v>
      </c>
      <c r="F94" s="5">
        <f>'Supply Individual Assumptions'!H5</f>
        <v>2283.3000000000002</v>
      </c>
      <c r="G94" s="5">
        <f>'Supply Individual Assumptions'!I5</f>
        <v>2313.9</v>
      </c>
      <c r="H94" s="5">
        <f>'Supply Individual Assumptions'!J5</f>
        <v>2330.1</v>
      </c>
      <c r="I94" s="5">
        <f>'Supply Individual Assumptions'!K5</f>
        <v>2331.9</v>
      </c>
      <c r="J94" s="5">
        <f>'Supply Individual Assumptions'!L5</f>
        <v>2333.7000000000003</v>
      </c>
      <c r="K94" s="519">
        <f>'Supply Individual Assumptions'!M5</f>
        <v>2335.5</v>
      </c>
      <c r="L94" s="5">
        <f>'Supply Individual Assumptions'!N5</f>
        <v>2335.5</v>
      </c>
      <c r="M94" s="5">
        <f>'Supply Individual Assumptions'!O5</f>
        <v>2335.5</v>
      </c>
      <c r="N94" s="15">
        <f>'Supply Individual Assumptions'!P5</f>
        <v>2335.5</v>
      </c>
      <c r="O94" s="5">
        <f>'Supply Individual Assumptions'!Q5</f>
        <v>2335.5</v>
      </c>
      <c r="P94" s="5">
        <f>'Supply Individual Assumptions'!R5</f>
        <v>2335.5</v>
      </c>
      <c r="Q94" s="5">
        <f>'Supply Individual Assumptions'!S5</f>
        <v>2335.5</v>
      </c>
      <c r="R94" s="5">
        <f>'Supply Individual Assumptions'!T5</f>
        <v>2335.5</v>
      </c>
      <c r="S94" s="5">
        <f>'Supply Individual Assumptions'!U5</f>
        <v>2335.5</v>
      </c>
      <c r="T94" s="5">
        <f>'Supply Individual Assumptions'!V5</f>
        <v>2335.5</v>
      </c>
      <c r="U94" s="5">
        <f>'Supply Individual Assumptions'!W5</f>
        <v>2335.5</v>
      </c>
      <c r="V94" s="5">
        <f>'Supply Individual Assumptions'!X5</f>
        <v>2335.5</v>
      </c>
      <c r="W94" s="5">
        <f>'Supply Individual Assumptions'!Y5</f>
        <v>2335.5</v>
      </c>
      <c r="X94" s="5">
        <f>'Supply Individual Assumptions'!Z5</f>
        <v>2335.5</v>
      </c>
      <c r="Y94" s="5">
        <f>'Supply Individual Assumptions'!AA5</f>
        <v>2335.5</v>
      </c>
    </row>
    <row r="95" spans="1:26" x14ac:dyDescent="0.25">
      <c r="A95" s="505"/>
      <c r="B95" s="1" t="s">
        <v>9</v>
      </c>
      <c r="C95" s="5">
        <f>'Supply Individual Assumptions'!E6</f>
        <v>2103</v>
      </c>
      <c r="D95" s="5">
        <f>'Supply Individual Assumptions'!F6</f>
        <v>2326</v>
      </c>
      <c r="E95" s="5">
        <f>'Supply Individual Assumptions'!G6</f>
        <v>2499</v>
      </c>
      <c r="F95" s="5">
        <f>'Supply Individual Assumptions'!H6</f>
        <v>2537</v>
      </c>
      <c r="G95" s="5">
        <f>'Supply Individual Assumptions'!I6</f>
        <v>2571</v>
      </c>
      <c r="H95" s="5">
        <f>'Supply Individual Assumptions'!J6</f>
        <v>2589</v>
      </c>
      <c r="I95" s="5">
        <f>'Supply Individual Assumptions'!K6</f>
        <v>2591</v>
      </c>
      <c r="J95" s="5">
        <f>'Supply Individual Assumptions'!L6</f>
        <v>2593</v>
      </c>
      <c r="K95" s="519">
        <f>'Supply Individual Assumptions'!M6</f>
        <v>2595</v>
      </c>
      <c r="L95" s="5">
        <f>'Supply Individual Assumptions'!N6</f>
        <v>2595</v>
      </c>
      <c r="M95" s="5">
        <f>'Supply Individual Assumptions'!O6</f>
        <v>2595</v>
      </c>
      <c r="N95" s="15">
        <f>'Supply Individual Assumptions'!P6</f>
        <v>2595</v>
      </c>
      <c r="O95" s="5">
        <f>'Supply Individual Assumptions'!Q6</f>
        <v>2595</v>
      </c>
      <c r="P95" s="5">
        <f>'Supply Individual Assumptions'!R6</f>
        <v>2595</v>
      </c>
      <c r="Q95" s="5">
        <f>'Supply Individual Assumptions'!S6</f>
        <v>2595</v>
      </c>
      <c r="R95" s="5">
        <f>'Supply Individual Assumptions'!T6</f>
        <v>2595</v>
      </c>
      <c r="S95" s="5">
        <f>'Supply Individual Assumptions'!U6</f>
        <v>2595</v>
      </c>
      <c r="T95" s="5">
        <f>'Supply Individual Assumptions'!V6</f>
        <v>2595</v>
      </c>
      <c r="U95" s="5">
        <f>'Supply Individual Assumptions'!W6</f>
        <v>2595</v>
      </c>
      <c r="V95" s="5">
        <f>'Supply Individual Assumptions'!X6</f>
        <v>2595</v>
      </c>
      <c r="W95" s="5">
        <f>'Supply Individual Assumptions'!Y6</f>
        <v>2595</v>
      </c>
      <c r="X95" s="5">
        <f>'Supply Individual Assumptions'!Z6</f>
        <v>2595</v>
      </c>
      <c r="Y95" s="5">
        <f>'Supply Individual Assumptions'!AA6</f>
        <v>2595</v>
      </c>
    </row>
    <row r="96" spans="1:26" x14ac:dyDescent="0.25">
      <c r="A96" s="505"/>
      <c r="B96" s="1" t="s">
        <v>1</v>
      </c>
      <c r="C96" s="5">
        <f>'Supply Individual Assumptions'!E10</f>
        <v>2313.3000000000002</v>
      </c>
      <c r="D96" s="5">
        <f>'Supply Individual Assumptions'!F10</f>
        <v>2558.6000000000004</v>
      </c>
      <c r="E96" s="5">
        <f>'Supply Individual Assumptions'!G10</f>
        <v>2748.9</v>
      </c>
      <c r="F96" s="5">
        <f>'Supply Individual Assumptions'!H10</f>
        <v>2790.7000000000003</v>
      </c>
      <c r="G96" s="5">
        <f>'Supply Individual Assumptions'!I10</f>
        <v>2828.1000000000004</v>
      </c>
      <c r="H96" s="5">
        <f>'Supply Individual Assumptions'!J10</f>
        <v>2847.9</v>
      </c>
      <c r="I96" s="5">
        <f>'Supply Individual Assumptions'!K10</f>
        <v>2850.1000000000004</v>
      </c>
      <c r="J96" s="5">
        <f>'Supply Individual Assumptions'!L10</f>
        <v>2852.3</v>
      </c>
      <c r="K96" s="519">
        <f>'Supply Individual Assumptions'!M10</f>
        <v>2854.5000000000005</v>
      </c>
      <c r="L96" s="5">
        <f>'Supply Individual Assumptions'!N10</f>
        <v>2854.5000000000005</v>
      </c>
      <c r="M96" s="5">
        <f>'Supply Individual Assumptions'!O10</f>
        <v>2854.5000000000005</v>
      </c>
      <c r="N96" s="15">
        <f>'Supply Individual Assumptions'!P10</f>
        <v>2854.5000000000005</v>
      </c>
      <c r="O96" s="5">
        <f>'Supply Individual Assumptions'!Q10</f>
        <v>2854.5000000000005</v>
      </c>
      <c r="P96" s="5">
        <f>'Supply Individual Assumptions'!R10</f>
        <v>2854.5000000000005</v>
      </c>
      <c r="Q96" s="5">
        <f>'Supply Individual Assumptions'!S10</f>
        <v>2854.5000000000005</v>
      </c>
      <c r="R96" s="5">
        <f>'Supply Individual Assumptions'!T10</f>
        <v>2854.5000000000005</v>
      </c>
      <c r="S96" s="5">
        <f>'Supply Individual Assumptions'!U10</f>
        <v>2854.5000000000005</v>
      </c>
      <c r="T96" s="5">
        <f>'Supply Individual Assumptions'!V10</f>
        <v>2854.5000000000005</v>
      </c>
      <c r="U96" s="5">
        <f>'Supply Individual Assumptions'!W10</f>
        <v>2854.5000000000005</v>
      </c>
      <c r="V96" s="5">
        <f>'Supply Individual Assumptions'!X10</f>
        <v>2854.5000000000005</v>
      </c>
      <c r="W96" s="5">
        <f>'Supply Individual Assumptions'!Y10</f>
        <v>2854.5000000000005</v>
      </c>
      <c r="X96" s="5">
        <f>'Supply Individual Assumptions'!Z10</f>
        <v>2854.5000000000005</v>
      </c>
      <c r="Y96" s="5">
        <f>'Supply Individual Assumptions'!AA10</f>
        <v>2854.5000000000005</v>
      </c>
    </row>
    <row r="97" spans="1:26" x14ac:dyDescent="0.25">
      <c r="A97" s="505"/>
      <c r="B97" s="1" t="s">
        <v>14</v>
      </c>
      <c r="C97" s="5">
        <f>'Supply Individual Assumptions'!E12</f>
        <v>4046.7098000000005</v>
      </c>
      <c r="D97" s="5">
        <f>'Supply Individual Assumptions'!F12</f>
        <v>4297.3948000000009</v>
      </c>
      <c r="E97" s="5">
        <f>'Supply Individual Assumptions'!G12</f>
        <v>4414.1198000000004</v>
      </c>
      <c r="F97" s="5">
        <f>'Supply Individual Assumptions'!H12</f>
        <v>4566.4638000000004</v>
      </c>
      <c r="G97" s="5">
        <f>'Supply Individual Assumptions'!I12</f>
        <v>4619.9638000000014</v>
      </c>
      <c r="H97" s="5">
        <f>'Supply Individual Assumptions'!J12</f>
        <v>4673.4637999999995</v>
      </c>
      <c r="I97" s="5">
        <f>'Supply Individual Assumptions'!K12</f>
        <v>4724.6728000000003</v>
      </c>
      <c r="J97" s="5">
        <f>'Supply Individual Assumptions'!L12</f>
        <v>4772.6308000000008</v>
      </c>
      <c r="K97" s="519">
        <f>'Supply Individual Assumptions'!M12</f>
        <v>4817.3908000000001</v>
      </c>
      <c r="L97" s="5"/>
      <c r="M97" s="5"/>
    </row>
    <row r="98" spans="1:26" s="115" customFormat="1" x14ac:dyDescent="0.25">
      <c r="A98" s="505"/>
      <c r="B98" s="1"/>
      <c r="C98" s="5"/>
      <c r="D98" s="5"/>
      <c r="E98" s="5"/>
      <c r="F98" s="5"/>
      <c r="G98" s="5"/>
      <c r="H98" s="5"/>
      <c r="I98" s="5"/>
      <c r="J98" s="5"/>
      <c r="K98" s="519"/>
      <c r="L98" s="5"/>
      <c r="M98" s="5"/>
      <c r="N98" s="14"/>
      <c r="Z98" s="10"/>
    </row>
    <row r="99" spans="1:26" s="115" customFormat="1" x14ac:dyDescent="0.25">
      <c r="A99" s="505"/>
      <c r="B99" s="11" t="s">
        <v>4678</v>
      </c>
      <c r="C99" s="5"/>
      <c r="D99" s="5"/>
      <c r="E99" s="5"/>
      <c r="F99" s="5"/>
      <c r="G99" s="5"/>
      <c r="H99" s="5"/>
      <c r="I99" s="5"/>
      <c r="J99" s="5"/>
      <c r="K99" s="519"/>
      <c r="L99" s="5"/>
      <c r="M99" s="5"/>
      <c r="N99" s="14"/>
      <c r="Z99" s="10"/>
    </row>
    <row r="100" spans="1:26" x14ac:dyDescent="0.25">
      <c r="A100" s="505"/>
      <c r="B100" s="1" t="s">
        <v>4680</v>
      </c>
      <c r="C100" s="5">
        <f>'Supply Individual Assumptions'!E32</f>
        <v>15819</v>
      </c>
      <c r="D100" s="5">
        <f>'Supply Individual Assumptions'!F32</f>
        <v>16469</v>
      </c>
      <c r="E100" s="5">
        <f>'Supply Individual Assumptions'!G32</f>
        <v>16469</v>
      </c>
      <c r="F100" s="5">
        <f>'Supply Individual Assumptions'!H32</f>
        <v>16469</v>
      </c>
      <c r="G100" s="5">
        <f>'Supply Individual Assumptions'!I32</f>
        <v>16469</v>
      </c>
      <c r="H100" s="5">
        <f>'Supply Individual Assumptions'!J32</f>
        <v>16469</v>
      </c>
      <c r="I100" s="5">
        <f>'Supply Individual Assumptions'!K32</f>
        <v>16469</v>
      </c>
      <c r="J100" s="5">
        <f>'Supply Individual Assumptions'!L32</f>
        <v>16469</v>
      </c>
      <c r="K100" s="519">
        <f>'Supply Individual Assumptions'!M32</f>
        <v>16469</v>
      </c>
      <c r="L100" s="5">
        <f>'Supply Individual Assumptions'!N32</f>
        <v>16469</v>
      </c>
      <c r="M100" s="5">
        <f>'Supply Individual Assumptions'!O32</f>
        <v>16469</v>
      </c>
      <c r="N100" s="15">
        <f>'Supply Individual Assumptions'!P32</f>
        <v>16469</v>
      </c>
      <c r="O100" s="5">
        <f>'Supply Individual Assumptions'!Q32</f>
        <v>16469</v>
      </c>
      <c r="P100" s="5">
        <f>'Supply Individual Assumptions'!R32</f>
        <v>16469</v>
      </c>
      <c r="Q100" s="5">
        <f>'Supply Individual Assumptions'!S32</f>
        <v>16469</v>
      </c>
      <c r="R100" s="5">
        <f>'Supply Individual Assumptions'!T32</f>
        <v>16469</v>
      </c>
      <c r="S100" s="5">
        <f>'Supply Individual Assumptions'!U32</f>
        <v>16469</v>
      </c>
      <c r="T100" s="5">
        <f>'Supply Individual Assumptions'!V32</f>
        <v>16469</v>
      </c>
      <c r="U100" s="5">
        <f>'Supply Individual Assumptions'!W32</f>
        <v>16469</v>
      </c>
      <c r="V100" s="5">
        <f>'Supply Individual Assumptions'!X32</f>
        <v>16469</v>
      </c>
      <c r="W100" s="5">
        <f>'Supply Individual Assumptions'!Y32</f>
        <v>16469</v>
      </c>
      <c r="X100" s="5">
        <f>'Supply Individual Assumptions'!Z32</f>
        <v>16469</v>
      </c>
      <c r="Y100" s="5">
        <f>'Supply Individual Assumptions'!AA32</f>
        <v>16469</v>
      </c>
    </row>
    <row r="101" spans="1:26" s="115" customFormat="1" x14ac:dyDescent="0.25">
      <c r="A101" s="505"/>
      <c r="B101" s="1" t="s">
        <v>4679</v>
      </c>
      <c r="C101" s="5">
        <f>'Supply Individual Assumptions'!E33</f>
        <v>10350</v>
      </c>
      <c r="D101" s="5">
        <f>'Supply Individual Assumptions'!F33</f>
        <v>10350</v>
      </c>
      <c r="E101" s="5">
        <f>'Supply Individual Assumptions'!G33</f>
        <v>10350</v>
      </c>
      <c r="F101" s="5">
        <f>'Supply Individual Assumptions'!H33</f>
        <v>10350</v>
      </c>
      <c r="G101" s="5">
        <f>'Supply Individual Assumptions'!I33</f>
        <v>10350</v>
      </c>
      <c r="H101" s="5">
        <f>'Supply Individual Assumptions'!J33</f>
        <v>10350</v>
      </c>
      <c r="I101" s="5">
        <f>'Supply Individual Assumptions'!K33</f>
        <v>10350</v>
      </c>
      <c r="J101" s="5">
        <f>'Supply Individual Assumptions'!L33</f>
        <v>10350</v>
      </c>
      <c r="K101" s="519">
        <f>'Supply Individual Assumptions'!M33</f>
        <v>10350</v>
      </c>
      <c r="L101" s="5">
        <f>'Supply Individual Assumptions'!N33</f>
        <v>10350</v>
      </c>
      <c r="M101" s="5">
        <f>'Supply Individual Assumptions'!O33</f>
        <v>10350</v>
      </c>
      <c r="N101" s="15">
        <f>'Supply Individual Assumptions'!P33</f>
        <v>10350</v>
      </c>
      <c r="O101" s="5">
        <f>'Supply Individual Assumptions'!Q33</f>
        <v>10350</v>
      </c>
      <c r="P101" s="5">
        <f>'Supply Individual Assumptions'!R33</f>
        <v>10350</v>
      </c>
      <c r="Q101" s="5">
        <f>'Supply Individual Assumptions'!S33</f>
        <v>10350</v>
      </c>
      <c r="R101" s="5">
        <f>'Supply Individual Assumptions'!T33</f>
        <v>10350</v>
      </c>
      <c r="S101" s="5">
        <f>'Supply Individual Assumptions'!U33</f>
        <v>10350</v>
      </c>
      <c r="T101" s="5">
        <f>'Supply Individual Assumptions'!V33</f>
        <v>10350</v>
      </c>
      <c r="U101" s="5">
        <f>'Supply Individual Assumptions'!W33</f>
        <v>10350</v>
      </c>
      <c r="V101" s="5">
        <f>'Supply Individual Assumptions'!X33</f>
        <v>10350</v>
      </c>
      <c r="W101" s="5">
        <f>'Supply Individual Assumptions'!Y33</f>
        <v>10350</v>
      </c>
      <c r="X101" s="5">
        <f>'Supply Individual Assumptions'!Z33</f>
        <v>10350</v>
      </c>
      <c r="Y101" s="5">
        <f>'Supply Individual Assumptions'!AA33</f>
        <v>10350</v>
      </c>
      <c r="Z101" s="10"/>
    </row>
    <row r="102" spans="1:26" s="115" customFormat="1" x14ac:dyDescent="0.25">
      <c r="A102" s="505"/>
      <c r="B102" s="1" t="s">
        <v>14</v>
      </c>
      <c r="C102" s="5">
        <f>'Supply Individual Assumptions'!E35</f>
        <v>16954.75</v>
      </c>
      <c r="D102" s="5">
        <f>'Supply Individual Assumptions'!F35</f>
        <v>16954.75</v>
      </c>
      <c r="E102" s="5">
        <f>'Supply Individual Assumptions'!G35</f>
        <v>16954.75</v>
      </c>
      <c r="F102" s="5">
        <f>'Supply Individual Assumptions'!H35</f>
        <v>16954.75</v>
      </c>
      <c r="G102" s="5">
        <f>'Supply Individual Assumptions'!I35</f>
        <v>16954.75</v>
      </c>
      <c r="H102" s="5">
        <f>'Supply Individual Assumptions'!J35</f>
        <v>16954.75</v>
      </c>
      <c r="I102" s="5">
        <f>'Supply Individual Assumptions'!K35</f>
        <v>16954.75</v>
      </c>
      <c r="J102" s="5">
        <f>'Supply Individual Assumptions'!L35</f>
        <v>16954.75</v>
      </c>
      <c r="K102" s="519">
        <f>'Supply Individual Assumptions'!M35</f>
        <v>16954.75</v>
      </c>
      <c r="L102" s="5"/>
      <c r="M102" s="5"/>
      <c r="N102" s="15"/>
      <c r="O102" s="5"/>
      <c r="P102" s="5"/>
      <c r="Q102" s="5"/>
      <c r="R102" s="5"/>
      <c r="S102" s="5"/>
      <c r="T102" s="5"/>
      <c r="U102" s="5"/>
      <c r="V102" s="5"/>
      <c r="W102" s="5"/>
      <c r="X102" s="5"/>
      <c r="Y102" s="5"/>
      <c r="Z102" s="10"/>
    </row>
    <row r="103" spans="1:26" s="115" customFormat="1" x14ac:dyDescent="0.25">
      <c r="A103" s="505"/>
      <c r="K103" s="518"/>
      <c r="N103" s="14"/>
      <c r="Z103" s="10"/>
    </row>
    <row r="104" spans="1:26" x14ac:dyDescent="0.25">
      <c r="A104" s="505"/>
      <c r="B104" s="4" t="s">
        <v>4673</v>
      </c>
    </row>
    <row r="105" spans="1:26" s="115" customFormat="1" x14ac:dyDescent="0.25">
      <c r="A105" s="505"/>
      <c r="B105" s="464" t="s">
        <v>29</v>
      </c>
      <c r="C105" s="446">
        <f>'Supply Individual Assumptions'!E41</f>
        <v>12463.750000000002</v>
      </c>
      <c r="D105" s="446">
        <f>'Supply Individual Assumptions'!F41</f>
        <v>12463.750000000002</v>
      </c>
      <c r="E105" s="446">
        <f>'Supply Individual Assumptions'!G41</f>
        <v>12463.750000000002</v>
      </c>
      <c r="F105" s="446">
        <f>'Supply Individual Assumptions'!H41</f>
        <v>12463.750000000002</v>
      </c>
      <c r="G105" s="446">
        <f>'Supply Individual Assumptions'!I41</f>
        <v>12463.750000000002</v>
      </c>
      <c r="H105" s="446">
        <f>'Supply Individual Assumptions'!J41</f>
        <v>12463.750000000002</v>
      </c>
      <c r="I105" s="446">
        <f>'Supply Individual Assumptions'!K41</f>
        <v>12463.750000000002</v>
      </c>
      <c r="J105" s="446">
        <f>'Supply Individual Assumptions'!L41</f>
        <v>12463.750000000002</v>
      </c>
      <c r="K105" s="521">
        <f>'Supply Individual Assumptions'!M41</f>
        <v>12463.750000000002</v>
      </c>
      <c r="L105" s="446">
        <f>'Supply Individual Assumptions'!N41</f>
        <v>12463.750000000002</v>
      </c>
      <c r="M105" s="446">
        <f>'Supply Individual Assumptions'!O41</f>
        <v>12463.750000000002</v>
      </c>
      <c r="N105" s="447">
        <f>'Supply Individual Assumptions'!P41</f>
        <v>12463.750000000002</v>
      </c>
      <c r="O105" s="446">
        <f>'Supply Individual Assumptions'!Q41</f>
        <v>12463.750000000002</v>
      </c>
      <c r="P105" s="446">
        <f>'Supply Individual Assumptions'!R41</f>
        <v>12463.750000000002</v>
      </c>
      <c r="Q105" s="446">
        <f>'Supply Individual Assumptions'!S41</f>
        <v>12463.750000000002</v>
      </c>
      <c r="R105" s="446">
        <f>'Supply Individual Assumptions'!T41</f>
        <v>12463.750000000002</v>
      </c>
      <c r="S105" s="446">
        <f>'Supply Individual Assumptions'!U41</f>
        <v>12463.750000000002</v>
      </c>
      <c r="T105" s="446">
        <f>'Supply Individual Assumptions'!V41</f>
        <v>12463.750000000002</v>
      </c>
      <c r="U105" s="446">
        <f>'Supply Individual Assumptions'!W41</f>
        <v>12463.750000000002</v>
      </c>
      <c r="V105" s="446">
        <f>'Supply Individual Assumptions'!X41</f>
        <v>12463.750000000002</v>
      </c>
      <c r="W105" s="446">
        <f>'Supply Individual Assumptions'!Y41</f>
        <v>12463.750000000002</v>
      </c>
      <c r="X105" s="446">
        <f>'Supply Individual Assumptions'!Z41</f>
        <v>12463.750000000002</v>
      </c>
      <c r="Y105" s="446">
        <f>'Supply Individual Assumptions'!AA41</f>
        <v>12463.750000000002</v>
      </c>
      <c r="Z105" s="10"/>
    </row>
    <row r="106" spans="1:26" x14ac:dyDescent="0.25">
      <c r="A106" s="505"/>
      <c r="B106" s="2" t="s">
        <v>30</v>
      </c>
      <c r="C106" s="5">
        <f>'Supply Individual Assumptions'!E42</f>
        <v>4486</v>
      </c>
      <c r="D106" s="5">
        <f>'Supply Individual Assumptions'!F42</f>
        <v>4486</v>
      </c>
      <c r="E106" s="5">
        <f>'Supply Individual Assumptions'!G42</f>
        <v>4486</v>
      </c>
      <c r="F106" s="5">
        <f>'Supply Individual Assumptions'!H42</f>
        <v>4486</v>
      </c>
      <c r="G106" s="5">
        <f>'Supply Individual Assumptions'!I42</f>
        <v>4486</v>
      </c>
      <c r="H106" s="5">
        <f>'Supply Individual Assumptions'!J42</f>
        <v>4486</v>
      </c>
      <c r="I106" s="5">
        <f>'Supply Individual Assumptions'!K42</f>
        <v>4486</v>
      </c>
      <c r="J106" s="5">
        <f>'Supply Individual Assumptions'!L42</f>
        <v>4486</v>
      </c>
      <c r="K106" s="519">
        <f>'Supply Individual Assumptions'!M42</f>
        <v>4486</v>
      </c>
      <c r="L106" s="5">
        <f>'Supply Individual Assumptions'!N42</f>
        <v>4486</v>
      </c>
      <c r="M106" s="5">
        <f>'Supply Individual Assumptions'!O42</f>
        <v>4486</v>
      </c>
      <c r="N106" s="15">
        <f>'Supply Individual Assumptions'!P42</f>
        <v>4486</v>
      </c>
      <c r="O106" s="5">
        <f>'Supply Individual Assumptions'!Q42</f>
        <v>4486</v>
      </c>
      <c r="P106" s="5">
        <f>'Supply Individual Assumptions'!R42</f>
        <v>4486</v>
      </c>
      <c r="Q106" s="5">
        <f>'Supply Individual Assumptions'!S42</f>
        <v>4486</v>
      </c>
      <c r="R106" s="5">
        <f>'Supply Individual Assumptions'!T42</f>
        <v>4486</v>
      </c>
      <c r="S106" s="5">
        <f>'Supply Individual Assumptions'!U42</f>
        <v>4486</v>
      </c>
      <c r="T106" s="5">
        <f>'Supply Individual Assumptions'!V42</f>
        <v>4486</v>
      </c>
      <c r="U106" s="5">
        <f>'Supply Individual Assumptions'!W42</f>
        <v>4486</v>
      </c>
      <c r="V106" s="5">
        <f>'Supply Individual Assumptions'!X42</f>
        <v>4486</v>
      </c>
      <c r="W106" s="5">
        <f>'Supply Individual Assumptions'!Y42</f>
        <v>4486</v>
      </c>
      <c r="X106" s="5">
        <f>'Supply Individual Assumptions'!Z42</f>
        <v>4486</v>
      </c>
      <c r="Y106" s="5">
        <f>'Supply Individual Assumptions'!AA42</f>
        <v>4486</v>
      </c>
    </row>
    <row r="107" spans="1:26" x14ac:dyDescent="0.25">
      <c r="A107" s="505"/>
      <c r="B107" s="2" t="s">
        <v>4711</v>
      </c>
      <c r="C107" s="5">
        <f>SUM('Supply Individual Assumptions'!E47:E48)</f>
        <v>863.78102153260045</v>
      </c>
      <c r="D107" s="5">
        <f>SUM('Supply Individual Assumptions'!F47:F48)</f>
        <v>863.78102153260045</v>
      </c>
      <c r="E107" s="5">
        <f>SUM('Supply Individual Assumptions'!G47:G48)</f>
        <v>863.78102153260045</v>
      </c>
      <c r="F107" s="5">
        <f>SUM('Supply Individual Assumptions'!H47:H48)</f>
        <v>863.78102153260045</v>
      </c>
      <c r="G107" s="5">
        <f>SUM('Supply Individual Assumptions'!I47:I48)</f>
        <v>863.78102153260045</v>
      </c>
      <c r="H107" s="5">
        <f>SUM('Supply Individual Assumptions'!J47:J48)</f>
        <v>863.78102153260045</v>
      </c>
      <c r="I107" s="5">
        <f>SUM('Supply Individual Assumptions'!K47:K48)</f>
        <v>863.78102153260045</v>
      </c>
      <c r="J107" s="5">
        <f>SUM('Supply Individual Assumptions'!L47:L48)</f>
        <v>863.78102153260045</v>
      </c>
      <c r="K107" s="519">
        <f>SUM('Supply Individual Assumptions'!M47:M48)</f>
        <v>863.78102153260045</v>
      </c>
      <c r="L107" s="5">
        <f>SUM('Supply Individual Assumptions'!N47:N48)</f>
        <v>863.78102153260045</v>
      </c>
      <c r="M107" s="5">
        <f>SUM('Supply Individual Assumptions'!O47:O48)</f>
        <v>863.78102153260045</v>
      </c>
      <c r="N107" s="15">
        <f>SUM('Supply Individual Assumptions'!P47:P48)</f>
        <v>863.78102153260045</v>
      </c>
      <c r="O107" s="5">
        <f>SUM('Supply Individual Assumptions'!Q47:Q48)</f>
        <v>863.78102153260045</v>
      </c>
      <c r="P107" s="5">
        <f>SUM('Supply Individual Assumptions'!R47:R48)</f>
        <v>863.78102153260045</v>
      </c>
      <c r="Q107" s="5">
        <f>SUM('Supply Individual Assumptions'!S47:S48)</f>
        <v>863.78102153260045</v>
      </c>
      <c r="R107" s="5">
        <f>SUM('Supply Individual Assumptions'!T47:T48)</f>
        <v>863.78102153260045</v>
      </c>
      <c r="S107" s="5">
        <f>SUM('Supply Individual Assumptions'!U47:U48)</f>
        <v>863.78102153260045</v>
      </c>
      <c r="T107" s="5">
        <f>SUM('Supply Individual Assumptions'!V47:V48)</f>
        <v>863.78102153260045</v>
      </c>
      <c r="U107" s="5">
        <f>SUM('Supply Individual Assumptions'!W47:W48)</f>
        <v>863.78102153260045</v>
      </c>
      <c r="V107" s="5">
        <f>SUM('Supply Individual Assumptions'!X47:X48)</f>
        <v>863.78102153260045</v>
      </c>
      <c r="W107" s="5">
        <f>SUM('Supply Individual Assumptions'!Y47:Y48)</f>
        <v>863.78102153260045</v>
      </c>
      <c r="X107" s="5">
        <f>SUM('Supply Individual Assumptions'!Z47:Z48)</f>
        <v>863.78102153260045</v>
      </c>
      <c r="Y107" s="5">
        <f>SUM('Supply Individual Assumptions'!AA47:AA48)</f>
        <v>863.78102153260045</v>
      </c>
    </row>
    <row r="108" spans="1:26" s="115" customFormat="1" x14ac:dyDescent="0.25">
      <c r="A108" s="505"/>
      <c r="B108" s="2" t="s">
        <v>4712</v>
      </c>
      <c r="C108" s="5">
        <f>SUM('Supply Individual Assumptions'!E45:E46)</f>
        <v>8571.7706880000005</v>
      </c>
      <c r="D108" s="5">
        <f>SUM('Supply Individual Assumptions'!F45:F46)</f>
        <v>8571.7706880000005</v>
      </c>
      <c r="E108" s="5">
        <f>SUM('Supply Individual Assumptions'!G45:G46)</f>
        <v>8571.7706880000005</v>
      </c>
      <c r="F108" s="5">
        <f>SUM('Supply Individual Assumptions'!H45:H46)</f>
        <v>8571.7706880000005</v>
      </c>
      <c r="G108" s="5">
        <f>SUM('Supply Individual Assumptions'!I45:I46)</f>
        <v>8571.7706880000005</v>
      </c>
      <c r="H108" s="5">
        <f>SUM('Supply Individual Assumptions'!J45:J46)</f>
        <v>8571.7706880000005</v>
      </c>
      <c r="I108" s="5">
        <f>SUM('Supply Individual Assumptions'!K45:K46)</f>
        <v>8571.7706880000005</v>
      </c>
      <c r="J108" s="5">
        <f>SUM('Supply Individual Assumptions'!L45:L46)</f>
        <v>8571.7706880000005</v>
      </c>
      <c r="K108" s="519">
        <f>SUM('Supply Individual Assumptions'!M45:M46)</f>
        <v>8571.7706880000005</v>
      </c>
      <c r="L108" s="5">
        <f>SUM('Supply Individual Assumptions'!N45:N46)</f>
        <v>8571.7706880000005</v>
      </c>
      <c r="M108" s="5">
        <f>SUM('Supply Individual Assumptions'!O45:O46)</f>
        <v>8571.7706880000005</v>
      </c>
      <c r="N108" s="15">
        <f>SUM('Supply Individual Assumptions'!P45:P46)</f>
        <v>8571.7706880000005</v>
      </c>
      <c r="O108" s="5">
        <f>SUM('Supply Individual Assumptions'!Q45:Q46)</f>
        <v>8571.7706880000005</v>
      </c>
      <c r="P108" s="5">
        <f>SUM('Supply Individual Assumptions'!R45:R46)</f>
        <v>8571.7706880000005</v>
      </c>
      <c r="Q108" s="5">
        <f>SUM('Supply Individual Assumptions'!S45:S46)</f>
        <v>8571.7706880000005</v>
      </c>
      <c r="R108" s="5">
        <f>SUM('Supply Individual Assumptions'!T45:T46)</f>
        <v>8571.7706880000005</v>
      </c>
      <c r="S108" s="5">
        <f>SUM('Supply Individual Assumptions'!U45:U46)</f>
        <v>8571.7706880000005</v>
      </c>
      <c r="T108" s="5">
        <f>SUM('Supply Individual Assumptions'!V45:V46)</f>
        <v>8571.7706880000005</v>
      </c>
      <c r="U108" s="5">
        <f>SUM('Supply Individual Assumptions'!W45:W46)</f>
        <v>8571.7706880000005</v>
      </c>
      <c r="V108" s="5">
        <f>SUM('Supply Individual Assumptions'!X45:X46)</f>
        <v>8571.7706880000005</v>
      </c>
      <c r="W108" s="5">
        <f>SUM('Supply Individual Assumptions'!Y45:Y46)</f>
        <v>8571.7706880000005</v>
      </c>
      <c r="X108" s="5">
        <f>SUM('Supply Individual Assumptions'!Z45:Z46)</f>
        <v>8571.7706880000005</v>
      </c>
      <c r="Y108" s="5">
        <f>SUM('Supply Individual Assumptions'!AA45:AA46)</f>
        <v>8571.7706880000005</v>
      </c>
      <c r="Z108" s="10"/>
    </row>
    <row r="109" spans="1:26" s="115" customFormat="1" x14ac:dyDescent="0.25">
      <c r="A109" s="505"/>
      <c r="B109" s="2" t="s">
        <v>4001</v>
      </c>
      <c r="C109" s="5">
        <f>SUM('Supply Individual Assumptions'!E43:E44)</f>
        <v>24057.155892884719</v>
      </c>
      <c r="D109" s="5">
        <f>SUM('Supply Individual Assumptions'!F43:F44)</f>
        <v>24057.155892884719</v>
      </c>
      <c r="E109" s="5">
        <f>SUM('Supply Individual Assumptions'!G43:G44)</f>
        <v>24057.155892884719</v>
      </c>
      <c r="F109" s="5">
        <f>SUM('Supply Individual Assumptions'!H43:H44)</f>
        <v>24057.155892884719</v>
      </c>
      <c r="G109" s="5">
        <f>SUM('Supply Individual Assumptions'!I43:I44)</f>
        <v>24057.155892884719</v>
      </c>
      <c r="H109" s="5">
        <f>SUM('Supply Individual Assumptions'!J43:J44)</f>
        <v>24057.155892884719</v>
      </c>
      <c r="I109" s="5">
        <f>SUM('Supply Individual Assumptions'!K43:K44)</f>
        <v>24057.155892884719</v>
      </c>
      <c r="J109" s="5">
        <f>SUM('Supply Individual Assumptions'!L43:L44)</f>
        <v>24057.155892884719</v>
      </c>
      <c r="K109" s="519">
        <f>SUM('Supply Individual Assumptions'!M43:M44)</f>
        <v>24057.155892884719</v>
      </c>
      <c r="L109" s="5">
        <f>SUM('Supply Individual Assumptions'!N43:N44)</f>
        <v>24057.155892884719</v>
      </c>
      <c r="M109" s="5">
        <f>SUM('Supply Individual Assumptions'!O43:O44)</f>
        <v>24057.155892884719</v>
      </c>
      <c r="N109" s="15">
        <f>SUM('Supply Individual Assumptions'!P43:P44)</f>
        <v>24057.155892884719</v>
      </c>
      <c r="O109" s="5">
        <f>SUM('Supply Individual Assumptions'!Q43:Q44)</f>
        <v>24057.155892884719</v>
      </c>
      <c r="P109" s="5">
        <f>SUM('Supply Individual Assumptions'!R43:R44)</f>
        <v>24057.155892884719</v>
      </c>
      <c r="Q109" s="5">
        <f>SUM('Supply Individual Assumptions'!S43:S44)</f>
        <v>24057.155892884719</v>
      </c>
      <c r="R109" s="5">
        <f>SUM('Supply Individual Assumptions'!T43:T44)</f>
        <v>24057.155892884719</v>
      </c>
      <c r="S109" s="5">
        <f>SUM('Supply Individual Assumptions'!U43:U44)</f>
        <v>24057.155892884719</v>
      </c>
      <c r="T109" s="5">
        <f>SUM('Supply Individual Assumptions'!V43:V44)</f>
        <v>24057.155892884719</v>
      </c>
      <c r="U109" s="5">
        <f>SUM('Supply Individual Assumptions'!W43:W44)</f>
        <v>24057.155892884719</v>
      </c>
      <c r="V109" s="5">
        <f>SUM('Supply Individual Assumptions'!X43:X44)</f>
        <v>24057.155892884719</v>
      </c>
      <c r="W109" s="5">
        <f>SUM('Supply Individual Assumptions'!Y43:Y44)</f>
        <v>24057.155892884719</v>
      </c>
      <c r="X109" s="5">
        <f>SUM('Supply Individual Assumptions'!Z43:Z44)</f>
        <v>24057.155892884719</v>
      </c>
      <c r="Y109" s="5">
        <f>SUM('Supply Individual Assumptions'!AA43:AA44)</f>
        <v>24057.155892884719</v>
      </c>
      <c r="Z109" s="10"/>
    </row>
    <row r="110" spans="1:26" s="115" customFormat="1" x14ac:dyDescent="0.25">
      <c r="A110" s="505"/>
      <c r="B110" s="445" t="s">
        <v>4841</v>
      </c>
      <c r="C110" s="446">
        <f t="shared" ref="C110:Y110" si="15">SUM(C105:C109)</f>
        <v>50442.457602417315</v>
      </c>
      <c r="D110" s="446">
        <f t="shared" si="15"/>
        <v>50442.457602417315</v>
      </c>
      <c r="E110" s="446">
        <f t="shared" si="15"/>
        <v>50442.457602417315</v>
      </c>
      <c r="F110" s="446">
        <f t="shared" si="15"/>
        <v>50442.457602417315</v>
      </c>
      <c r="G110" s="446">
        <f t="shared" si="15"/>
        <v>50442.457602417315</v>
      </c>
      <c r="H110" s="446">
        <f t="shared" si="15"/>
        <v>50442.457602417315</v>
      </c>
      <c r="I110" s="446">
        <f t="shared" si="15"/>
        <v>50442.457602417315</v>
      </c>
      <c r="J110" s="446">
        <f t="shared" si="15"/>
        <v>50442.457602417315</v>
      </c>
      <c r="K110" s="521">
        <f t="shared" si="15"/>
        <v>50442.457602417315</v>
      </c>
      <c r="L110" s="446">
        <f t="shared" si="15"/>
        <v>50442.457602417315</v>
      </c>
      <c r="M110" s="446">
        <f t="shared" si="15"/>
        <v>50442.457602417315</v>
      </c>
      <c r="N110" s="447">
        <f t="shared" si="15"/>
        <v>50442.457602417315</v>
      </c>
      <c r="O110" s="446">
        <f t="shared" si="15"/>
        <v>50442.457602417315</v>
      </c>
      <c r="P110" s="446">
        <f t="shared" si="15"/>
        <v>50442.457602417315</v>
      </c>
      <c r="Q110" s="446">
        <f t="shared" si="15"/>
        <v>50442.457602417315</v>
      </c>
      <c r="R110" s="446">
        <f t="shared" si="15"/>
        <v>50442.457602417315</v>
      </c>
      <c r="S110" s="446">
        <f t="shared" si="15"/>
        <v>50442.457602417315</v>
      </c>
      <c r="T110" s="446">
        <f t="shared" si="15"/>
        <v>50442.457602417315</v>
      </c>
      <c r="U110" s="446">
        <f t="shared" si="15"/>
        <v>50442.457602417315</v>
      </c>
      <c r="V110" s="446">
        <f t="shared" si="15"/>
        <v>50442.457602417315</v>
      </c>
      <c r="W110" s="446">
        <f t="shared" si="15"/>
        <v>50442.457602417315</v>
      </c>
      <c r="X110" s="446">
        <f t="shared" si="15"/>
        <v>50442.457602417315</v>
      </c>
      <c r="Y110" s="446">
        <f t="shared" si="15"/>
        <v>50442.457602417315</v>
      </c>
      <c r="Z110" s="10"/>
    </row>
    <row r="111" spans="1:26" x14ac:dyDescent="0.25">
      <c r="A111" s="505"/>
      <c r="B111" s="1" t="s">
        <v>4691</v>
      </c>
      <c r="C111" s="5">
        <f>'Supply Individual Assumptions'!E50</f>
        <v>52436.350000000006</v>
      </c>
      <c r="D111" s="5">
        <f>'Supply Individual Assumptions'!F50</f>
        <v>52436.350000000006</v>
      </c>
      <c r="E111" s="5">
        <f>'Supply Individual Assumptions'!G50</f>
        <v>52436.350000000006</v>
      </c>
      <c r="F111" s="5">
        <f>'Supply Individual Assumptions'!H50</f>
        <v>52436.350000000006</v>
      </c>
      <c r="G111" s="5">
        <f>'Supply Individual Assumptions'!I50</f>
        <v>52436.350000000006</v>
      </c>
      <c r="H111" s="5">
        <f>'Supply Individual Assumptions'!J50</f>
        <v>52436.350000000006</v>
      </c>
      <c r="I111" s="5">
        <f>'Supply Individual Assumptions'!K50</f>
        <v>52436.350000000006</v>
      </c>
      <c r="J111" s="5">
        <f>'Supply Individual Assumptions'!L50</f>
        <v>52436.350000000006</v>
      </c>
      <c r="K111" s="519">
        <f>'Supply Individual Assumptions'!M50</f>
        <v>52436.350000000006</v>
      </c>
      <c r="L111" s="115"/>
      <c r="M111" s="115"/>
      <c r="O111" s="115"/>
      <c r="P111" s="115"/>
      <c r="Q111" s="115"/>
      <c r="R111" s="115"/>
      <c r="S111" s="115"/>
      <c r="T111" s="115"/>
      <c r="U111" s="115"/>
      <c r="V111" s="115"/>
      <c r="W111" s="115"/>
      <c r="X111" s="115"/>
      <c r="Y111" s="115"/>
    </row>
    <row r="112" spans="1:26" x14ac:dyDescent="0.25">
      <c r="A112" s="505"/>
    </row>
    <row r="113" spans="1:26" x14ac:dyDescent="0.25">
      <c r="A113" s="505"/>
      <c r="B113" s="11" t="s">
        <v>4672</v>
      </c>
    </row>
    <row r="114" spans="1:26" s="115" customFormat="1" x14ac:dyDescent="0.25">
      <c r="A114" s="505"/>
      <c r="B114" s="445" t="s">
        <v>4827</v>
      </c>
      <c r="C114" s="5"/>
      <c r="D114" s="5"/>
      <c r="E114" s="5"/>
      <c r="F114" s="5"/>
      <c r="G114" s="5"/>
      <c r="H114" s="5"/>
      <c r="I114" s="5"/>
      <c r="J114" s="5"/>
      <c r="K114" s="519"/>
      <c r="L114" s="5"/>
      <c r="M114" s="5"/>
      <c r="N114" s="15"/>
      <c r="O114" s="5"/>
      <c r="P114" s="5"/>
      <c r="Q114" s="5"/>
      <c r="R114" s="5"/>
      <c r="S114" s="5"/>
      <c r="T114" s="5"/>
      <c r="U114" s="5"/>
      <c r="V114" s="5"/>
      <c r="W114" s="5"/>
      <c r="X114" s="5"/>
      <c r="Y114" s="5"/>
      <c r="Z114" s="10"/>
    </row>
    <row r="115" spans="1:26" x14ac:dyDescent="0.25">
      <c r="A115" s="505"/>
      <c r="B115" s="2" t="s">
        <v>4832</v>
      </c>
      <c r="C115" s="5">
        <f>'Supply Individual Assumptions'!E55</f>
        <v>1055</v>
      </c>
      <c r="D115" s="5">
        <f>'Supply Individual Assumptions'!F55</f>
        <v>4655</v>
      </c>
      <c r="E115" s="5">
        <f>'Supply Individual Assumptions'!G55</f>
        <v>4655</v>
      </c>
      <c r="F115" s="5">
        <f>'Supply Individual Assumptions'!H55</f>
        <v>4655</v>
      </c>
      <c r="G115" s="5">
        <f>'Supply Individual Assumptions'!I55</f>
        <v>4655</v>
      </c>
      <c r="H115" s="5">
        <f>'Supply Individual Assumptions'!J55</f>
        <v>5984</v>
      </c>
      <c r="I115" s="5">
        <f>'Supply Individual Assumptions'!K55</f>
        <v>5984</v>
      </c>
      <c r="J115" s="5">
        <f>'Supply Individual Assumptions'!L55</f>
        <v>5984</v>
      </c>
      <c r="K115" s="519">
        <f>'Supply Individual Assumptions'!M55</f>
        <v>5984</v>
      </c>
      <c r="L115" s="5">
        <f>'Supply Individual Assumptions'!N55</f>
        <v>5984</v>
      </c>
      <c r="M115" s="5">
        <f>'Supply Individual Assumptions'!O55</f>
        <v>5984</v>
      </c>
      <c r="N115" s="15">
        <f>'Supply Individual Assumptions'!P55</f>
        <v>5984</v>
      </c>
      <c r="O115" s="5">
        <f>'Supply Individual Assumptions'!Q55</f>
        <v>5984</v>
      </c>
      <c r="P115" s="5">
        <f>'Supply Individual Assumptions'!R55</f>
        <v>5984</v>
      </c>
      <c r="Q115" s="5">
        <f>'Supply Individual Assumptions'!S55</f>
        <v>5984</v>
      </c>
      <c r="R115" s="5">
        <f>'Supply Individual Assumptions'!T55</f>
        <v>5984</v>
      </c>
      <c r="S115" s="5">
        <f>'Supply Individual Assumptions'!U55</f>
        <v>5984</v>
      </c>
      <c r="T115" s="5">
        <f>'Supply Individual Assumptions'!V55</f>
        <v>5984</v>
      </c>
      <c r="U115" s="5">
        <f>'Supply Individual Assumptions'!W55</f>
        <v>5984</v>
      </c>
      <c r="V115" s="5">
        <f>'Supply Individual Assumptions'!X55</f>
        <v>5984</v>
      </c>
      <c r="W115" s="5">
        <f>'Supply Individual Assumptions'!Y55</f>
        <v>5984</v>
      </c>
      <c r="X115" s="5">
        <f>'Supply Individual Assumptions'!Z55</f>
        <v>5984</v>
      </c>
      <c r="Y115" s="5">
        <f>'Supply Individual Assumptions'!AA55</f>
        <v>5984</v>
      </c>
    </row>
    <row r="116" spans="1:26" x14ac:dyDescent="0.25">
      <c r="A116" s="505"/>
      <c r="B116" s="2" t="s">
        <v>4691</v>
      </c>
      <c r="C116" s="5">
        <f>'Supply Individual Assumptions'!E57</f>
        <v>4044.8</v>
      </c>
      <c r="D116" s="5">
        <f>'Supply Individual Assumptions'!F57</f>
        <v>5952.8</v>
      </c>
      <c r="E116" s="5">
        <f>'Supply Individual Assumptions'!G57</f>
        <v>5952.8</v>
      </c>
      <c r="F116" s="5">
        <f>'Supply Individual Assumptions'!H57</f>
        <v>7306.3</v>
      </c>
      <c r="G116" s="5">
        <f>'Supply Individual Assumptions'!I57</f>
        <v>7306.8</v>
      </c>
      <c r="H116" s="5">
        <f>'Supply Individual Assumptions'!J57</f>
        <v>7306.8</v>
      </c>
      <c r="I116" s="5">
        <f>'Supply Individual Assumptions'!K57</f>
        <v>7306.8</v>
      </c>
      <c r="J116" s="5">
        <f>'Supply Individual Assumptions'!L57</f>
        <v>7306.8</v>
      </c>
      <c r="K116" s="519">
        <f>'Supply Individual Assumptions'!M57</f>
        <v>7306.8</v>
      </c>
      <c r="L116" s="5"/>
    </row>
    <row r="117" spans="1:26" s="115" customFormat="1" x14ac:dyDescent="0.25">
      <c r="A117" s="505"/>
      <c r="B117" s="1" t="s">
        <v>3426</v>
      </c>
      <c r="C117" s="5"/>
      <c r="D117" s="5"/>
      <c r="E117" s="5"/>
      <c r="F117" s="5"/>
      <c r="G117" s="5"/>
      <c r="H117" s="5"/>
      <c r="I117" s="5"/>
      <c r="J117" s="5"/>
      <c r="K117" s="519"/>
      <c r="L117" s="5"/>
      <c r="N117" s="14"/>
      <c r="Z117" s="10"/>
    </row>
    <row r="118" spans="1:26" s="115" customFormat="1" x14ac:dyDescent="0.25">
      <c r="A118" s="505"/>
      <c r="B118" s="2" t="s">
        <v>3144</v>
      </c>
      <c r="C118" s="5">
        <f>'Supply Individual Assumptions'!E59</f>
        <v>152.51270785273772</v>
      </c>
      <c r="D118" s="5">
        <f>'Supply Individual Assumptions'!F59</f>
        <v>786.70854650551632</v>
      </c>
      <c r="E118" s="5">
        <f>'Supply Individual Assumptions'!G59</f>
        <v>1369.5442127679557</v>
      </c>
      <c r="F118" s="5">
        <f>'Supply Individual Assumptions'!H59</f>
        <v>2065.3644854032627</v>
      </c>
      <c r="G118" s="5">
        <f>'Supply Individual Assumptions'!I59</f>
        <v>2671.9656752559258</v>
      </c>
      <c r="H118" s="5">
        <f>'Supply Individual Assumptions'!J59</f>
        <v>3011.4234774237598</v>
      </c>
      <c r="I118" s="5">
        <f>'Supply Individual Assumptions'!K59</f>
        <v>3398.5166442112209</v>
      </c>
      <c r="J118" s="5">
        <f>'Supply Individual Assumptions'!L59</f>
        <v>3398.5166442112209</v>
      </c>
      <c r="K118" s="519">
        <f>'Supply Individual Assumptions'!M59</f>
        <v>3620.7568634159134</v>
      </c>
      <c r="L118" s="5">
        <f>'Supply Individual Assumptions'!N59</f>
        <v>3620.7568634159134</v>
      </c>
      <c r="M118" s="5">
        <f>'Supply Individual Assumptions'!O59</f>
        <v>3620.7568634159134</v>
      </c>
      <c r="N118" s="15">
        <f>'Supply Individual Assumptions'!P59</f>
        <v>3620.7568634159134</v>
      </c>
      <c r="O118" s="5">
        <f>'Supply Individual Assumptions'!Q59</f>
        <v>3620.7568634159134</v>
      </c>
      <c r="P118" s="5">
        <f>'Supply Individual Assumptions'!R59</f>
        <v>3620.7568634159134</v>
      </c>
      <c r="Q118" s="5">
        <f>'Supply Individual Assumptions'!S59</f>
        <v>3620.7568634159134</v>
      </c>
      <c r="R118" s="5">
        <f>'Supply Individual Assumptions'!T59</f>
        <v>3620.7568634159134</v>
      </c>
      <c r="S118" s="5">
        <f>'Supply Individual Assumptions'!U59</f>
        <v>3620.7568634159134</v>
      </c>
      <c r="T118" s="5">
        <f>'Supply Individual Assumptions'!V59</f>
        <v>3620.7568634159134</v>
      </c>
      <c r="U118" s="5">
        <f>'Supply Individual Assumptions'!W59</f>
        <v>3620.7568634159134</v>
      </c>
      <c r="V118" s="5">
        <f>'Supply Individual Assumptions'!X59</f>
        <v>3620.7568634159134</v>
      </c>
      <c r="W118" s="5">
        <f>'Supply Individual Assumptions'!Y59</f>
        <v>3620.7568634159134</v>
      </c>
      <c r="X118" s="5">
        <f>'Supply Individual Assumptions'!Z59</f>
        <v>3620.7568634159134</v>
      </c>
      <c r="Y118" s="5">
        <f>'Supply Individual Assumptions'!AA59</f>
        <v>3620.7568634159134</v>
      </c>
      <c r="Z118" s="10"/>
    </row>
    <row r="119" spans="1:26" s="115" customFormat="1" x14ac:dyDescent="0.25">
      <c r="A119" s="505"/>
      <c r="B119" s="2" t="s">
        <v>4772</v>
      </c>
      <c r="C119" s="5">
        <f>'Supply Individual Assumptions'!E60</f>
        <v>165.33442466223383</v>
      </c>
      <c r="D119" s="5">
        <f>'Supply Individual Assumptions'!F60</f>
        <v>759.08251569461072</v>
      </c>
      <c r="E119" s="5">
        <f>'Supply Individual Assumptions'!G60</f>
        <v>1707.0720056039977</v>
      </c>
      <c r="F119" s="5">
        <f>'Supply Individual Assumptions'!H60</f>
        <v>2402.8922782393047</v>
      </c>
      <c r="G119" s="5">
        <f>'Supply Individual Assumptions'!I60</f>
        <v>3009.4934680919682</v>
      </c>
      <c r="H119" s="5">
        <f>'Supply Individual Assumptions'!J60</f>
        <v>3306.6573167498141</v>
      </c>
      <c r="I119" s="5">
        <f>'Supply Individual Assumptions'!K60</f>
        <v>3693.7504835372761</v>
      </c>
      <c r="J119" s="5">
        <f>'Supply Individual Assumptions'!L60</f>
        <v>3693.7504835372761</v>
      </c>
      <c r="K119" s="519">
        <f>'Supply Individual Assumptions'!M60</f>
        <v>3720.5511096434134</v>
      </c>
      <c r="L119" s="5">
        <f>'Supply Individual Assumptions'!N60</f>
        <v>3720.5511096434134</v>
      </c>
      <c r="M119" s="5">
        <f>'Supply Individual Assumptions'!O60</f>
        <v>3720.5511096434134</v>
      </c>
      <c r="N119" s="15">
        <f>'Supply Individual Assumptions'!P60</f>
        <v>3720.5511096434134</v>
      </c>
      <c r="O119" s="5">
        <f>'Supply Individual Assumptions'!Q60</f>
        <v>3720.5511096434134</v>
      </c>
      <c r="P119" s="5">
        <f>'Supply Individual Assumptions'!R60</f>
        <v>3720.5511096434134</v>
      </c>
      <c r="Q119" s="5">
        <f>'Supply Individual Assumptions'!S60</f>
        <v>3720.5511096434134</v>
      </c>
      <c r="R119" s="5">
        <f>'Supply Individual Assumptions'!T60</f>
        <v>3720.5511096434134</v>
      </c>
      <c r="S119" s="5">
        <f>'Supply Individual Assumptions'!U60</f>
        <v>3720.5511096434134</v>
      </c>
      <c r="T119" s="5">
        <f>'Supply Individual Assumptions'!V60</f>
        <v>3720.5511096434134</v>
      </c>
      <c r="U119" s="5">
        <f>'Supply Individual Assumptions'!W60</f>
        <v>3720.5511096434134</v>
      </c>
      <c r="V119" s="5">
        <f>'Supply Individual Assumptions'!X60</f>
        <v>3720.5511096434134</v>
      </c>
      <c r="W119" s="5">
        <f>'Supply Individual Assumptions'!Y60</f>
        <v>3720.5511096434134</v>
      </c>
      <c r="X119" s="5">
        <f>'Supply Individual Assumptions'!Z60</f>
        <v>3720.5511096434134</v>
      </c>
      <c r="Y119" s="5">
        <f>'Supply Individual Assumptions'!AA60</f>
        <v>3720.5511096434134</v>
      </c>
      <c r="Z119" s="10"/>
    </row>
    <row r="120" spans="1:26" s="115" customFormat="1" x14ac:dyDescent="0.25">
      <c r="A120" s="505"/>
      <c r="B120" s="2" t="s">
        <v>4793</v>
      </c>
      <c r="C120" s="5">
        <f>'Supply Individual Assumptions'!E61</f>
        <v>152.51270785273761</v>
      </c>
      <c r="D120" s="5">
        <f>'Supply Individual Assumptions'!F61</f>
        <v>786.70854650551621</v>
      </c>
      <c r="E120" s="5">
        <f>'Supply Individual Assumptions'!G61</f>
        <v>1206.9807262311049</v>
      </c>
      <c r="F120" s="5">
        <f>'Supply Individual Assumptions'!H61</f>
        <v>1754.7384806121904</v>
      </c>
      <c r="G120" s="5">
        <f>'Supply Individual Assumptions'!I61</f>
        <v>2029.377203708668</v>
      </c>
      <c r="H120" s="5">
        <f>'Supply Individual Assumptions'!J61</f>
        <v>2326.5410523665137</v>
      </c>
      <c r="I120" s="5">
        <f>'Supply Individual Assumptions'!K61</f>
        <v>2713.6342191539752</v>
      </c>
      <c r="J120" s="5">
        <f>'Supply Individual Assumptions'!L61</f>
        <v>2713.6342191539752</v>
      </c>
      <c r="K120" s="519">
        <f>'Supply Individual Assumptions'!M61</f>
        <v>2740.4348452601125</v>
      </c>
      <c r="L120" s="5">
        <f>'Supply Individual Assumptions'!N61</f>
        <v>2740.4348452601125</v>
      </c>
      <c r="M120" s="5">
        <f>'Supply Individual Assumptions'!O61</f>
        <v>2740.4348452601125</v>
      </c>
      <c r="N120" s="15">
        <f>'Supply Individual Assumptions'!P61</f>
        <v>2740.4348452601125</v>
      </c>
      <c r="O120" s="5">
        <f>'Supply Individual Assumptions'!Q61</f>
        <v>2740.4348452601125</v>
      </c>
      <c r="P120" s="5">
        <f>'Supply Individual Assumptions'!R61</f>
        <v>2740.4348452601125</v>
      </c>
      <c r="Q120" s="5">
        <f>'Supply Individual Assumptions'!S61</f>
        <v>2740.4348452601125</v>
      </c>
      <c r="R120" s="5">
        <f>'Supply Individual Assumptions'!T61</f>
        <v>2740.4348452601125</v>
      </c>
      <c r="S120" s="5">
        <f>'Supply Individual Assumptions'!U61</f>
        <v>2740.4348452601125</v>
      </c>
      <c r="T120" s="5">
        <f>'Supply Individual Assumptions'!V61</f>
        <v>2740.4348452601125</v>
      </c>
      <c r="U120" s="5">
        <f>'Supply Individual Assumptions'!W61</f>
        <v>2740.4348452601125</v>
      </c>
      <c r="V120" s="5">
        <f>'Supply Individual Assumptions'!X61</f>
        <v>2740.4348452601125</v>
      </c>
      <c r="W120" s="5">
        <f>'Supply Individual Assumptions'!Y61</f>
        <v>2740.4348452601125</v>
      </c>
      <c r="X120" s="5">
        <f>'Supply Individual Assumptions'!Z61</f>
        <v>2740.4348452601125</v>
      </c>
      <c r="Y120" s="5">
        <f>'Supply Individual Assumptions'!AA61</f>
        <v>2740.4348452601125</v>
      </c>
      <c r="Z120" s="10"/>
    </row>
    <row r="121" spans="1:26" s="115" customFormat="1" x14ac:dyDescent="0.25">
      <c r="A121" s="505"/>
      <c r="B121" s="2" t="s">
        <v>4830</v>
      </c>
      <c r="C121" s="5" t="e">
        <f>'Supply Individual Assumptions'!E62</f>
        <v>#VALUE!</v>
      </c>
      <c r="D121" s="5" t="e">
        <f>'Supply Individual Assumptions'!F62</f>
        <v>#VALUE!</v>
      </c>
      <c r="E121" s="5" t="e">
        <f>'Supply Individual Assumptions'!G62</f>
        <v>#VALUE!</v>
      </c>
      <c r="F121" s="5" t="e">
        <f>'Supply Individual Assumptions'!H62</f>
        <v>#VALUE!</v>
      </c>
      <c r="G121" s="5" t="e">
        <f>'Supply Individual Assumptions'!I62</f>
        <v>#VALUE!</v>
      </c>
      <c r="H121" s="5" t="e">
        <f>'Supply Individual Assumptions'!J62</f>
        <v>#VALUE!</v>
      </c>
      <c r="I121" s="5" t="e">
        <f>'Supply Individual Assumptions'!K62</f>
        <v>#VALUE!</v>
      </c>
      <c r="J121" s="5" t="e">
        <f>'Supply Individual Assumptions'!L62</f>
        <v>#VALUE!</v>
      </c>
      <c r="K121" s="519" t="e">
        <f>'Supply Individual Assumptions'!M62</f>
        <v>#VALUE!</v>
      </c>
      <c r="L121" s="5" t="e">
        <f>'Supply Individual Assumptions'!N62</f>
        <v>#VALUE!</v>
      </c>
      <c r="M121" s="5" t="e">
        <f>'Supply Individual Assumptions'!O62</f>
        <v>#VALUE!</v>
      </c>
      <c r="N121" s="15" t="e">
        <f>'Supply Individual Assumptions'!P62</f>
        <v>#VALUE!</v>
      </c>
      <c r="O121" s="5" t="e">
        <f>'Supply Individual Assumptions'!Q62</f>
        <v>#VALUE!</v>
      </c>
      <c r="P121" s="5" t="e">
        <f>'Supply Individual Assumptions'!R62</f>
        <v>#VALUE!</v>
      </c>
      <c r="Q121" s="5" t="e">
        <f>'Supply Individual Assumptions'!S62</f>
        <v>#VALUE!</v>
      </c>
      <c r="R121" s="5" t="e">
        <f>'Supply Individual Assumptions'!T62</f>
        <v>#VALUE!</v>
      </c>
      <c r="S121" s="5" t="e">
        <f>'Supply Individual Assumptions'!U62</f>
        <v>#VALUE!</v>
      </c>
      <c r="T121" s="5" t="e">
        <f>'Supply Individual Assumptions'!V62</f>
        <v>#VALUE!</v>
      </c>
      <c r="U121" s="5" t="e">
        <f>'Supply Individual Assumptions'!W62</f>
        <v>#VALUE!</v>
      </c>
      <c r="V121" s="5" t="e">
        <f>'Supply Individual Assumptions'!X62</f>
        <v>#VALUE!</v>
      </c>
      <c r="W121" s="5" t="e">
        <f>'Supply Individual Assumptions'!Y62</f>
        <v>#VALUE!</v>
      </c>
      <c r="X121" s="5" t="e">
        <f>'Supply Individual Assumptions'!Z62</f>
        <v>#VALUE!</v>
      </c>
      <c r="Y121" s="5" t="e">
        <f>'Supply Individual Assumptions'!AA62</f>
        <v>#VALUE!</v>
      </c>
      <c r="Z121" s="10"/>
    </row>
    <row r="122" spans="1:26" s="115" customFormat="1" x14ac:dyDescent="0.25">
      <c r="A122" s="505"/>
      <c r="B122" s="2" t="s">
        <v>4831</v>
      </c>
      <c r="C122" s="5">
        <f>'Supply Individual Assumptions'!E64</f>
        <v>101</v>
      </c>
      <c r="D122" s="5">
        <f>'Supply Individual Assumptions'!F64</f>
        <v>297</v>
      </c>
      <c r="E122" s="5">
        <f>'Supply Individual Assumptions'!G64</f>
        <v>830</v>
      </c>
      <c r="F122" s="5">
        <f>'Supply Individual Assumptions'!H64</f>
        <v>2623</v>
      </c>
      <c r="G122" s="5">
        <f>'Supply Individual Assumptions'!I64</f>
        <v>3269</v>
      </c>
      <c r="H122" s="5">
        <f>'Supply Individual Assumptions'!J64</f>
        <v>4119</v>
      </c>
      <c r="I122" s="5">
        <f>'Supply Individual Assumptions'!K64</f>
        <v>4119</v>
      </c>
      <c r="J122" s="5">
        <f>'Supply Individual Assumptions'!L64</f>
        <v>5232</v>
      </c>
      <c r="K122" s="519">
        <f>'Supply Individual Assumptions'!M64</f>
        <v>5232</v>
      </c>
      <c r="L122" s="5"/>
      <c r="M122" s="5"/>
      <c r="N122" s="15"/>
      <c r="O122" s="5"/>
      <c r="P122" s="5"/>
      <c r="Q122" s="5"/>
      <c r="R122" s="5"/>
      <c r="S122" s="5"/>
      <c r="T122" s="5"/>
      <c r="U122" s="5"/>
      <c r="V122" s="5"/>
      <c r="W122" s="5"/>
      <c r="X122" s="5"/>
      <c r="Y122" s="5"/>
      <c r="Z122" s="10"/>
    </row>
    <row r="123" spans="1:26" s="115" customFormat="1" x14ac:dyDescent="0.25">
      <c r="A123" s="505"/>
      <c r="B123" s="2"/>
      <c r="C123" s="5"/>
      <c r="D123" s="5"/>
      <c r="E123" s="5"/>
      <c r="F123" s="5"/>
      <c r="G123" s="5"/>
      <c r="H123" s="5"/>
      <c r="I123" s="5"/>
      <c r="J123" s="5"/>
      <c r="K123" s="519"/>
      <c r="L123" s="5"/>
      <c r="N123" s="14"/>
      <c r="Z123" s="10"/>
    </row>
    <row r="124" spans="1:26" s="115" customFormat="1" x14ac:dyDescent="0.25">
      <c r="A124" s="505"/>
      <c r="B124" s="11" t="s">
        <v>4839</v>
      </c>
      <c r="C124" s="5"/>
      <c r="D124" s="5"/>
      <c r="E124" s="5"/>
      <c r="F124" s="5"/>
      <c r="G124" s="5"/>
      <c r="H124" s="5"/>
      <c r="I124" s="5"/>
      <c r="J124" s="5"/>
      <c r="K124" s="519"/>
      <c r="L124" s="5"/>
      <c r="N124" s="14"/>
      <c r="Z124" s="10"/>
    </row>
    <row r="125" spans="1:26" s="115" customFormat="1" x14ac:dyDescent="0.25">
      <c r="A125" s="505"/>
      <c r="B125" s="2" t="s">
        <v>3144</v>
      </c>
      <c r="C125" s="5">
        <f>'Supply Individual Assumptions'!E68</f>
        <v>1599.2032445783325</v>
      </c>
      <c r="D125" s="5">
        <f>'Supply Individual Assumptions'!F68</f>
        <v>4916.0258623129521</v>
      </c>
      <c r="E125" s="5">
        <f>'Supply Individual Assumptions'!G68</f>
        <v>10644.419831542937</v>
      </c>
      <c r="F125" s="5">
        <f>'Supply Individual Assumptions'!H68</f>
        <v>15835.808835381846</v>
      </c>
      <c r="G125" s="5">
        <f>'Supply Individual Assumptions'!I68</f>
        <v>18161.482588749932</v>
      </c>
      <c r="H125" s="5">
        <f>'Supply Individual Assumptions'!J68</f>
        <v>20364.104821037006</v>
      </c>
      <c r="I125" s="5">
        <f>'Supply Individual Assumptions'!K68</f>
        <v>21754.388638870856</v>
      </c>
      <c r="J125" s="5">
        <f>'Supply Individual Assumptions'!L68</f>
        <v>21754.388638870856</v>
      </c>
      <c r="K125" s="519">
        <f>'Supply Individual Assumptions'!M68</f>
        <v>22875.455857168527</v>
      </c>
      <c r="L125" s="5">
        <f>'Supply Individual Assumptions'!N68</f>
        <v>22875.455857168527</v>
      </c>
      <c r="M125" s="5">
        <f>'Supply Individual Assumptions'!O68</f>
        <v>22875.455857168527</v>
      </c>
      <c r="N125" s="15">
        <f>'Supply Individual Assumptions'!P68</f>
        <v>22875.455857168527</v>
      </c>
      <c r="O125" s="5">
        <f>'Supply Individual Assumptions'!Q68</f>
        <v>22875.455857168527</v>
      </c>
      <c r="P125" s="5">
        <f>'Supply Individual Assumptions'!R68</f>
        <v>22875.455857168527</v>
      </c>
      <c r="Q125" s="5">
        <f>'Supply Individual Assumptions'!S68</f>
        <v>22875.455857168527</v>
      </c>
      <c r="R125" s="5">
        <f>'Supply Individual Assumptions'!T68</f>
        <v>22875.455857168527</v>
      </c>
      <c r="S125" s="5">
        <f>'Supply Individual Assumptions'!U68</f>
        <v>22875.455857168527</v>
      </c>
      <c r="T125" s="5">
        <f>'Supply Individual Assumptions'!V68</f>
        <v>22875.455857168527</v>
      </c>
      <c r="U125" s="5">
        <f>'Supply Individual Assumptions'!W68</f>
        <v>22875.455857168527</v>
      </c>
      <c r="V125" s="5">
        <f>'Supply Individual Assumptions'!X68</f>
        <v>22875.455857168527</v>
      </c>
      <c r="W125" s="5">
        <f>'Supply Individual Assumptions'!Y68</f>
        <v>22875.455857168527</v>
      </c>
      <c r="X125" s="5">
        <f>'Supply Individual Assumptions'!Z68</f>
        <v>22875.455857168527</v>
      </c>
      <c r="Y125" s="5">
        <f>'Supply Individual Assumptions'!AA68</f>
        <v>22875.455857168527</v>
      </c>
      <c r="Z125" s="10"/>
    </row>
    <row r="126" spans="1:26" s="115" customFormat="1" x14ac:dyDescent="0.25">
      <c r="A126" s="505"/>
      <c r="B126" s="2" t="s">
        <v>4772</v>
      </c>
      <c r="C126" s="5">
        <f>'Supply Individual Assumptions'!E69</f>
        <v>1823.1610615334109</v>
      </c>
      <c r="D126" s="5">
        <f>'Supply Individual Assumptions'!F69</f>
        <v>4955.0066122828448</v>
      </c>
      <c r="E126" s="5">
        <f>'Supply Individual Assumptions'!G69</f>
        <v>12176.551444421861</v>
      </c>
      <c r="F126" s="5">
        <f>'Supply Individual Assumptions'!H69</f>
        <v>17398.618922760168</v>
      </c>
      <c r="G126" s="5">
        <f>'Supply Individual Assumptions'!I69</f>
        <v>19724.292676128258</v>
      </c>
      <c r="H126" s="5">
        <f>'Supply Individual Assumptions'!J69</f>
        <v>21372.46725043422</v>
      </c>
      <c r="I126" s="5">
        <f>'Supply Individual Assumptions'!K69</f>
        <v>22762.751068268066</v>
      </c>
      <c r="J126" s="5">
        <f>'Supply Individual Assumptions'!L69</f>
        <v>22762.751068268066</v>
      </c>
      <c r="K126" s="519">
        <f>'Supply Individual Assumptions'!M69</f>
        <v>22859.008196990868</v>
      </c>
      <c r="L126" s="5">
        <f>'Supply Individual Assumptions'!N69</f>
        <v>22859.008196990868</v>
      </c>
      <c r="M126" s="5">
        <f>'Supply Individual Assumptions'!O69</f>
        <v>22859.008196990868</v>
      </c>
      <c r="N126" s="15">
        <f>'Supply Individual Assumptions'!P69</f>
        <v>22859.008196990868</v>
      </c>
      <c r="O126" s="5">
        <f>'Supply Individual Assumptions'!Q69</f>
        <v>22859.008196990868</v>
      </c>
      <c r="P126" s="5">
        <f>'Supply Individual Assumptions'!R69</f>
        <v>22859.008196990868</v>
      </c>
      <c r="Q126" s="5">
        <f>'Supply Individual Assumptions'!S69</f>
        <v>22859.008196990868</v>
      </c>
      <c r="R126" s="5">
        <f>'Supply Individual Assumptions'!T69</f>
        <v>22859.008196990868</v>
      </c>
      <c r="S126" s="5">
        <f>'Supply Individual Assumptions'!U69</f>
        <v>22859.008196990868</v>
      </c>
      <c r="T126" s="5">
        <f>'Supply Individual Assumptions'!V69</f>
        <v>22859.008196990868</v>
      </c>
      <c r="U126" s="5">
        <f>'Supply Individual Assumptions'!W69</f>
        <v>22859.008196990868</v>
      </c>
      <c r="V126" s="5">
        <f>'Supply Individual Assumptions'!X69</f>
        <v>22859.008196990868</v>
      </c>
      <c r="W126" s="5">
        <f>'Supply Individual Assumptions'!Y69</f>
        <v>22859.008196990868</v>
      </c>
      <c r="X126" s="5">
        <f>'Supply Individual Assumptions'!Z69</f>
        <v>22859.008196990868</v>
      </c>
      <c r="Y126" s="5">
        <f>'Supply Individual Assumptions'!AA69</f>
        <v>22859.008196990868</v>
      </c>
      <c r="Z126" s="10"/>
    </row>
    <row r="127" spans="1:26" s="115" customFormat="1" x14ac:dyDescent="0.25">
      <c r="A127" s="505"/>
      <c r="B127" s="2" t="s">
        <v>4793</v>
      </c>
      <c r="C127" s="5">
        <f>'Supply Individual Assumptions'!E70</f>
        <v>1599.2032445783307</v>
      </c>
      <c r="D127" s="5">
        <f>'Supply Individual Assumptions'!F70</f>
        <v>4916.0258623129503</v>
      </c>
      <c r="E127" s="5">
        <f>'Supply Individual Assumptions'!G70</f>
        <v>14005.032543080864</v>
      </c>
      <c r="F127" s="5">
        <f>'Supply Individual Assumptions'!H70</f>
        <v>18746.980513741037</v>
      </c>
      <c r="G127" s="5">
        <f>'Supply Individual Assumptions'!I70</f>
        <v>19794.084690898089</v>
      </c>
      <c r="H127" s="5">
        <f>'Supply Individual Assumptions'!J70</f>
        <v>21442.259265204055</v>
      </c>
      <c r="I127" s="5">
        <f>'Supply Individual Assumptions'!K70</f>
        <v>22832.543083037897</v>
      </c>
      <c r="J127" s="5">
        <f>'Supply Individual Assumptions'!L70</f>
        <v>22832.543083037897</v>
      </c>
      <c r="K127" s="519">
        <f>'Supply Individual Assumptions'!M70</f>
        <v>22928.800211760703</v>
      </c>
      <c r="L127" s="5">
        <f>'Supply Individual Assumptions'!N70</f>
        <v>22928.800211760703</v>
      </c>
      <c r="M127" s="5">
        <f>'Supply Individual Assumptions'!O70</f>
        <v>22928.800211760703</v>
      </c>
      <c r="N127" s="15">
        <f>'Supply Individual Assumptions'!P70</f>
        <v>22928.800211760703</v>
      </c>
      <c r="O127" s="5">
        <f>'Supply Individual Assumptions'!Q70</f>
        <v>22928.800211760703</v>
      </c>
      <c r="P127" s="5">
        <f>'Supply Individual Assumptions'!R70</f>
        <v>22928.800211760703</v>
      </c>
      <c r="Q127" s="5">
        <f>'Supply Individual Assumptions'!S70</f>
        <v>22928.800211760703</v>
      </c>
      <c r="R127" s="5">
        <f>'Supply Individual Assumptions'!T70</f>
        <v>22928.800211760703</v>
      </c>
      <c r="S127" s="5">
        <f>'Supply Individual Assumptions'!U70</f>
        <v>22928.800211760703</v>
      </c>
      <c r="T127" s="5">
        <f>'Supply Individual Assumptions'!V70</f>
        <v>22928.800211760703</v>
      </c>
      <c r="U127" s="5">
        <f>'Supply Individual Assumptions'!W70</f>
        <v>22928.800211760703</v>
      </c>
      <c r="V127" s="5">
        <f>'Supply Individual Assumptions'!X70</f>
        <v>22928.800211760703</v>
      </c>
      <c r="W127" s="5">
        <f>'Supply Individual Assumptions'!Y70</f>
        <v>22928.800211760703</v>
      </c>
      <c r="X127" s="5">
        <f>'Supply Individual Assumptions'!Z70</f>
        <v>22928.800211760703</v>
      </c>
      <c r="Y127" s="5">
        <f>'Supply Individual Assumptions'!AA70</f>
        <v>22928.800211760703</v>
      </c>
      <c r="Z127" s="10"/>
    </row>
    <row r="128" spans="1:26" s="115" customFormat="1" x14ac:dyDescent="0.25">
      <c r="A128" s="505"/>
      <c r="B128" s="2" t="s">
        <v>4830</v>
      </c>
      <c r="C128" s="5" t="e">
        <f>'Supply Individual Assumptions'!E71</f>
        <v>#VALUE!</v>
      </c>
      <c r="D128" s="5" t="e">
        <f>'Supply Individual Assumptions'!F71</f>
        <v>#VALUE!</v>
      </c>
      <c r="E128" s="5" t="e">
        <f>'Supply Individual Assumptions'!G71</f>
        <v>#VALUE!</v>
      </c>
      <c r="F128" s="5" t="e">
        <f>'Supply Individual Assumptions'!H71</f>
        <v>#VALUE!</v>
      </c>
      <c r="G128" s="5" t="e">
        <f>'Supply Individual Assumptions'!I71</f>
        <v>#VALUE!</v>
      </c>
      <c r="H128" s="5" t="e">
        <f>'Supply Individual Assumptions'!J71</f>
        <v>#VALUE!</v>
      </c>
      <c r="I128" s="5" t="e">
        <f>'Supply Individual Assumptions'!K71</f>
        <v>#VALUE!</v>
      </c>
      <c r="J128" s="5" t="e">
        <f>'Supply Individual Assumptions'!L71</f>
        <v>#VALUE!</v>
      </c>
      <c r="K128" s="519" t="e">
        <f>'Supply Individual Assumptions'!M71</f>
        <v>#VALUE!</v>
      </c>
      <c r="L128" s="5" t="e">
        <f>'Supply Individual Assumptions'!N71</f>
        <v>#VALUE!</v>
      </c>
      <c r="M128" s="5" t="e">
        <f>'Supply Individual Assumptions'!O71</f>
        <v>#VALUE!</v>
      </c>
      <c r="N128" s="15" t="e">
        <f>'Supply Individual Assumptions'!P71</f>
        <v>#VALUE!</v>
      </c>
      <c r="O128" s="5" t="e">
        <f>'Supply Individual Assumptions'!Q71</f>
        <v>#VALUE!</v>
      </c>
      <c r="P128" s="5" t="e">
        <f>'Supply Individual Assumptions'!R71</f>
        <v>#VALUE!</v>
      </c>
      <c r="Q128" s="5" t="e">
        <f>'Supply Individual Assumptions'!S71</f>
        <v>#VALUE!</v>
      </c>
      <c r="R128" s="5" t="e">
        <f>'Supply Individual Assumptions'!T71</f>
        <v>#VALUE!</v>
      </c>
      <c r="S128" s="5" t="e">
        <f>'Supply Individual Assumptions'!U71</f>
        <v>#VALUE!</v>
      </c>
      <c r="T128" s="5" t="e">
        <f>'Supply Individual Assumptions'!V71</f>
        <v>#VALUE!</v>
      </c>
      <c r="U128" s="5" t="e">
        <f>'Supply Individual Assumptions'!W71</f>
        <v>#VALUE!</v>
      </c>
      <c r="V128" s="5" t="e">
        <f>'Supply Individual Assumptions'!X71</f>
        <v>#VALUE!</v>
      </c>
      <c r="W128" s="5" t="e">
        <f>'Supply Individual Assumptions'!Y71</f>
        <v>#VALUE!</v>
      </c>
      <c r="X128" s="5" t="e">
        <f>'Supply Individual Assumptions'!Z71</f>
        <v>#VALUE!</v>
      </c>
      <c r="Y128" s="5" t="e">
        <f>'Supply Individual Assumptions'!AA71</f>
        <v>#VALUE!</v>
      </c>
      <c r="Z128" s="10"/>
    </row>
    <row r="129" spans="1:26" x14ac:dyDescent="0.25">
      <c r="A129" s="505"/>
    </row>
    <row r="130" spans="1:26" x14ac:dyDescent="0.25">
      <c r="A130" s="505"/>
      <c r="B130" s="4" t="s">
        <v>27</v>
      </c>
    </row>
    <row r="131" spans="1:26" s="115" customFormat="1" x14ac:dyDescent="0.25">
      <c r="A131" s="505"/>
      <c r="B131" s="1" t="s">
        <v>4692</v>
      </c>
      <c r="C131" s="5"/>
      <c r="D131" s="5"/>
      <c r="E131" s="5"/>
      <c r="F131" s="5"/>
      <c r="G131" s="5"/>
      <c r="H131" s="5"/>
      <c r="I131" s="5"/>
      <c r="J131" s="5"/>
      <c r="K131" s="519"/>
      <c r="L131" s="5"/>
      <c r="M131" s="5"/>
      <c r="N131" s="15"/>
      <c r="O131" s="5"/>
      <c r="P131" s="5"/>
      <c r="Q131" s="5"/>
      <c r="R131" s="5"/>
      <c r="S131" s="5"/>
      <c r="T131" s="5"/>
      <c r="U131" s="5"/>
      <c r="V131" s="5"/>
      <c r="W131" s="5"/>
      <c r="X131" s="5"/>
      <c r="Y131" s="5"/>
      <c r="Z131" s="10"/>
    </row>
    <row r="132" spans="1:26" s="115" customFormat="1" x14ac:dyDescent="0.25">
      <c r="A132" s="505"/>
      <c r="B132" s="464" t="s">
        <v>0</v>
      </c>
      <c r="C132" s="5">
        <f>'Supply Individual Assumptions'!E76</f>
        <v>452</v>
      </c>
      <c r="D132" s="5">
        <f>'Supply Individual Assumptions'!F76</f>
        <v>452</v>
      </c>
      <c r="E132" s="5">
        <f>'Supply Individual Assumptions'!G76</f>
        <v>452</v>
      </c>
      <c r="F132" s="5">
        <f>'Supply Individual Assumptions'!H76</f>
        <v>1772</v>
      </c>
      <c r="G132" s="5">
        <f>'Supply Individual Assumptions'!I76</f>
        <v>1772</v>
      </c>
      <c r="H132" s="5">
        <f>'Supply Individual Assumptions'!J76</f>
        <v>6569.53</v>
      </c>
      <c r="I132" s="5">
        <f>'Supply Individual Assumptions'!K76</f>
        <v>6569.53</v>
      </c>
      <c r="J132" s="5">
        <f>'Supply Individual Assumptions'!L76</f>
        <v>6569.53</v>
      </c>
      <c r="K132" s="519">
        <f>'Supply Individual Assumptions'!M76</f>
        <v>12463.750000000002</v>
      </c>
      <c r="L132" s="5">
        <f>'Supply Individual Assumptions'!N76</f>
        <v>12463.750000000002</v>
      </c>
      <c r="M132" s="5">
        <f>'Supply Individual Assumptions'!O76</f>
        <v>12463.750000000002</v>
      </c>
      <c r="N132" s="15">
        <f>'Supply Individual Assumptions'!P76</f>
        <v>12463.750000000002</v>
      </c>
      <c r="O132" s="5">
        <f>'Supply Individual Assumptions'!Q76</f>
        <v>12463.750000000002</v>
      </c>
      <c r="P132" s="5">
        <f>'Supply Individual Assumptions'!R76</f>
        <v>12463.750000000002</v>
      </c>
      <c r="Q132" s="5">
        <f>'Supply Individual Assumptions'!S76</f>
        <v>12463.750000000002</v>
      </c>
      <c r="R132" s="5">
        <f>'Supply Individual Assumptions'!T76</f>
        <v>12463.750000000002</v>
      </c>
      <c r="S132" s="5">
        <f>'Supply Individual Assumptions'!U76</f>
        <v>12463.750000000002</v>
      </c>
      <c r="T132" s="5">
        <f>'Supply Individual Assumptions'!V76</f>
        <v>12463.750000000002</v>
      </c>
      <c r="U132" s="5">
        <f>'Supply Individual Assumptions'!W76</f>
        <v>12463.750000000002</v>
      </c>
      <c r="V132" s="5">
        <f>'Supply Individual Assumptions'!X76</f>
        <v>12463.750000000002</v>
      </c>
      <c r="W132" s="5">
        <f>'Supply Individual Assumptions'!Y76</f>
        <v>12463.750000000002</v>
      </c>
      <c r="X132" s="5">
        <f>'Supply Individual Assumptions'!Z76</f>
        <v>12463.750000000002</v>
      </c>
      <c r="Y132" s="5">
        <f>'Supply Individual Assumptions'!AA76</f>
        <v>12463.750000000002</v>
      </c>
      <c r="Z132" s="10"/>
    </row>
    <row r="133" spans="1:26" x14ac:dyDescent="0.25">
      <c r="A133" s="505"/>
      <c r="B133" s="2" t="s">
        <v>9</v>
      </c>
      <c r="C133" s="5">
        <f>'Supply Individual Assumptions'!E89</f>
        <v>4265.63</v>
      </c>
      <c r="D133" s="5">
        <f>'Supply Individual Assumptions'!F89</f>
        <v>4975.6000000000004</v>
      </c>
      <c r="E133" s="5">
        <f>'Supply Individual Assumptions'!G89</f>
        <v>5189.6000000000004</v>
      </c>
      <c r="F133" s="5">
        <f>'Supply Individual Assumptions'!H89</f>
        <v>6574.6</v>
      </c>
      <c r="G133" s="5">
        <f>'Supply Individual Assumptions'!I89</f>
        <v>6646.7400000000007</v>
      </c>
      <c r="H133" s="5">
        <f>'Supply Individual Assumptions'!J89</f>
        <v>10770.55</v>
      </c>
      <c r="I133" s="5">
        <f>'Supply Individual Assumptions'!K89</f>
        <v>11538.75</v>
      </c>
      <c r="J133" s="5">
        <f>'Supply Individual Assumptions'!L89</f>
        <v>11702.84</v>
      </c>
      <c r="K133" s="519">
        <f>'Supply Individual Assumptions'!M89</f>
        <v>18272.350000000002</v>
      </c>
      <c r="L133" s="5">
        <f>'Supply Individual Assumptions'!N89</f>
        <v>18278.38</v>
      </c>
      <c r="M133" s="5">
        <f>'Supply Individual Assumptions'!O89</f>
        <v>20625.09</v>
      </c>
      <c r="N133" s="15">
        <f>'Supply Individual Assumptions'!P89</f>
        <v>20830.480000000007</v>
      </c>
      <c r="O133" s="5">
        <f>'Supply Individual Assumptions'!Q89</f>
        <v>23225.559999999998</v>
      </c>
      <c r="P133" s="5">
        <f>'Supply Individual Assumptions'!R89</f>
        <v>23759.739999999998</v>
      </c>
      <c r="Q133" s="5">
        <f>'Supply Individual Assumptions'!S89</f>
        <v>24123.209999999995</v>
      </c>
      <c r="R133" s="5">
        <f>'Supply Individual Assumptions'!T89</f>
        <v>25072.22</v>
      </c>
      <c r="S133" s="5">
        <f>'Supply Individual Assumptions'!U89</f>
        <v>26004.990000000005</v>
      </c>
      <c r="T133" s="5">
        <f>'Supply Individual Assumptions'!V89</f>
        <v>26947</v>
      </c>
      <c r="U133" s="5">
        <f>'Supply Individual Assumptions'!W89</f>
        <v>27541.94</v>
      </c>
      <c r="V133" s="5">
        <f>'Supply Individual Assumptions'!X89</f>
        <v>27807.63</v>
      </c>
      <c r="W133" s="5">
        <f>'Supply Individual Assumptions'!Y89</f>
        <v>27881.649999999998</v>
      </c>
      <c r="X133" s="5">
        <f>'Supply Individual Assumptions'!Z89</f>
        <v>28107.010000000002</v>
      </c>
      <c r="Y133" s="5">
        <f>'Supply Individual Assumptions'!AA89</f>
        <v>28187.101667236315</v>
      </c>
    </row>
    <row r="134" spans="1:26" x14ac:dyDescent="0.25">
      <c r="A134" s="505"/>
      <c r="B134" s="2" t="s">
        <v>1</v>
      </c>
      <c r="C134" s="5">
        <f>'Supply Individual Assumptions'!E102</f>
        <v>9090.81</v>
      </c>
      <c r="D134" s="5">
        <f>'Supply Individual Assumptions'!F102</f>
        <v>10324.049999999999</v>
      </c>
      <c r="E134" s="5">
        <f>'Supply Individual Assumptions'!G102</f>
        <v>11310.149999999998</v>
      </c>
      <c r="F134" s="5">
        <f>'Supply Individual Assumptions'!H102</f>
        <v>18084.829999999998</v>
      </c>
      <c r="G134" s="5">
        <f>'Supply Individual Assumptions'!I102</f>
        <v>18629.360000000004</v>
      </c>
      <c r="H134" s="5">
        <f>'Supply Individual Assumptions'!J102</f>
        <v>22898.7</v>
      </c>
      <c r="I134" s="5">
        <f>'Supply Individual Assumptions'!K102</f>
        <v>23803.070000000003</v>
      </c>
      <c r="J134" s="5">
        <f>'Supply Individual Assumptions'!L102</f>
        <v>24308.1</v>
      </c>
      <c r="K134" s="519">
        <f>'Supply Individual Assumptions'!M102</f>
        <v>30457.350000000006</v>
      </c>
      <c r="L134" s="5">
        <f>'Supply Individual Assumptions'!N102</f>
        <v>30523.105892884723</v>
      </c>
      <c r="M134" s="5">
        <f>'Supply Individual Assumptions'!O102</f>
        <v>30779.695892884716</v>
      </c>
      <c r="N134" s="15">
        <f>'Supply Individual Assumptions'!P102</f>
        <v>30865.575892884721</v>
      </c>
      <c r="O134" s="5">
        <f>'Supply Individual Assumptions'!Q102</f>
        <v>30884.745892884719</v>
      </c>
      <c r="P134" s="5">
        <f>'Supply Individual Assumptions'!R102</f>
        <v>30902.985892884721</v>
      </c>
      <c r="Q134" s="5">
        <f>'Supply Individual Assumptions'!S102</f>
        <v>33371.855892884727</v>
      </c>
      <c r="R134" s="5">
        <f>'Supply Individual Assumptions'!T102</f>
        <v>34675.975892884722</v>
      </c>
      <c r="S134" s="5">
        <f>'Supply Individual Assumptions'!U102</f>
        <v>38726.835892884723</v>
      </c>
      <c r="T134" s="5">
        <f>'Supply Individual Assumptions'!V102</f>
        <v>38863.277560121031</v>
      </c>
      <c r="U134" s="5">
        <f>'Supply Individual Assumptions'!W102</f>
        <v>42304.41756012103</v>
      </c>
      <c r="V134" s="5">
        <f>'Supply Individual Assumptions'!X102</f>
        <v>43638.746914417308</v>
      </c>
      <c r="W134" s="5">
        <f>'Supply Individual Assumptions'!Y102</f>
        <v>44183.336914417312</v>
      </c>
      <c r="X134" s="5">
        <f>'Supply Individual Assumptions'!Z102</f>
        <v>44368.206914417315</v>
      </c>
      <c r="Y134" s="5">
        <f>'Supply Individual Assumptions'!AA102</f>
        <v>47720.39691441731</v>
      </c>
    </row>
    <row r="135" spans="1:26" s="115" customFormat="1" x14ac:dyDescent="0.25">
      <c r="A135" s="505"/>
      <c r="B135" s="1" t="s">
        <v>4691</v>
      </c>
      <c r="C135" s="5">
        <f>'Supply Individual Assumptions'!E115</f>
        <v>1425</v>
      </c>
      <c r="D135" s="5">
        <f>'Supply Individual Assumptions'!F115</f>
        <v>1425</v>
      </c>
      <c r="E135" s="5">
        <f>'Supply Individual Assumptions'!G115</f>
        <v>2434</v>
      </c>
      <c r="F135" s="5">
        <f>'Supply Individual Assumptions'!H115</f>
        <v>4695</v>
      </c>
      <c r="G135" s="5">
        <f>'Supply Individual Assumptions'!I115</f>
        <v>6597</v>
      </c>
      <c r="H135" s="5">
        <f>'Supply Individual Assumptions'!J115</f>
        <v>11328.63</v>
      </c>
      <c r="I135" s="5">
        <f>'Supply Individual Assumptions'!K115</f>
        <v>12280</v>
      </c>
      <c r="J135" s="5">
        <f>'Supply Individual Assumptions'!L115</f>
        <v>13231</v>
      </c>
      <c r="K135" s="519">
        <f>'Supply Individual Assumptions'!M115</f>
        <v>14357.5</v>
      </c>
      <c r="L135" s="5"/>
      <c r="M135" s="5"/>
      <c r="N135" s="15"/>
      <c r="O135" s="5"/>
      <c r="P135" s="5"/>
      <c r="Q135" s="5"/>
      <c r="R135" s="5"/>
      <c r="S135" s="5"/>
      <c r="T135" s="5"/>
      <c r="U135" s="5"/>
      <c r="V135" s="5"/>
      <c r="W135" s="5"/>
      <c r="X135" s="5"/>
      <c r="Y135" s="5"/>
      <c r="Z135" s="10"/>
    </row>
    <row r="136" spans="1:26" x14ac:dyDescent="0.25">
      <c r="A136" s="505"/>
      <c r="B136" s="1" t="s">
        <v>29</v>
      </c>
      <c r="C136" s="5"/>
      <c r="D136" s="5"/>
      <c r="E136" s="5"/>
      <c r="F136" s="5"/>
      <c r="G136" s="5"/>
      <c r="H136" s="5"/>
      <c r="I136" s="5"/>
      <c r="J136" s="5"/>
      <c r="K136" s="519"/>
      <c r="L136" s="5"/>
      <c r="M136" s="5"/>
      <c r="N136" s="15"/>
      <c r="O136" s="5"/>
      <c r="P136" s="5"/>
      <c r="Q136" s="5"/>
      <c r="R136" s="5"/>
      <c r="S136" s="5"/>
      <c r="T136" s="5"/>
      <c r="U136" s="5"/>
      <c r="V136" s="5"/>
      <c r="W136" s="5"/>
      <c r="X136" s="5"/>
      <c r="Y136" s="5"/>
    </row>
    <row r="137" spans="1:26" x14ac:dyDescent="0.25">
      <c r="A137" s="505"/>
      <c r="B137" s="2" t="s">
        <v>0</v>
      </c>
      <c r="C137" s="5">
        <f>'Supply Individual Assumptions'!E77</f>
        <v>452</v>
      </c>
      <c r="D137" s="5">
        <f>'Supply Individual Assumptions'!F77</f>
        <v>452</v>
      </c>
      <c r="E137" s="5">
        <f>'Supply Individual Assumptions'!G77</f>
        <v>452</v>
      </c>
      <c r="F137" s="5">
        <f>'Supply Individual Assumptions'!H77</f>
        <v>1772</v>
      </c>
      <c r="G137" s="5">
        <f>'Supply Individual Assumptions'!I77</f>
        <v>1772</v>
      </c>
      <c r="H137" s="5">
        <f>'Supply Individual Assumptions'!J77</f>
        <v>6569.53</v>
      </c>
      <c r="I137" s="5">
        <f>'Supply Individual Assumptions'!K77</f>
        <v>6569.53</v>
      </c>
      <c r="J137" s="5">
        <f>'Supply Individual Assumptions'!L77</f>
        <v>6569.53</v>
      </c>
      <c r="K137" s="519">
        <f>'Supply Individual Assumptions'!M77</f>
        <v>12463.750000000002</v>
      </c>
      <c r="L137" s="5">
        <f>'Supply Individual Assumptions'!N77</f>
        <v>12463.750000000002</v>
      </c>
      <c r="M137" s="5">
        <f>'Supply Individual Assumptions'!O77</f>
        <v>12463.750000000002</v>
      </c>
      <c r="N137" s="15">
        <f>'Supply Individual Assumptions'!P77</f>
        <v>12463.750000000002</v>
      </c>
      <c r="O137" s="5">
        <f>'Supply Individual Assumptions'!Q77</f>
        <v>12463.750000000002</v>
      </c>
      <c r="P137" s="5">
        <f>'Supply Individual Assumptions'!R77</f>
        <v>12463.750000000002</v>
      </c>
      <c r="Q137" s="5">
        <f>'Supply Individual Assumptions'!S77</f>
        <v>12463.750000000002</v>
      </c>
      <c r="R137" s="5">
        <f>'Supply Individual Assumptions'!T77</f>
        <v>12463.750000000002</v>
      </c>
      <c r="S137" s="5">
        <f>'Supply Individual Assumptions'!U77</f>
        <v>12463.750000000002</v>
      </c>
      <c r="T137" s="5">
        <f>'Supply Individual Assumptions'!V77</f>
        <v>12463.750000000002</v>
      </c>
      <c r="U137" s="5">
        <f>'Supply Individual Assumptions'!W77</f>
        <v>12463.750000000002</v>
      </c>
      <c r="V137" s="5">
        <f>'Supply Individual Assumptions'!X77</f>
        <v>12463.750000000002</v>
      </c>
      <c r="W137" s="5">
        <f>'Supply Individual Assumptions'!Y77</f>
        <v>12463.750000000002</v>
      </c>
      <c r="X137" s="5">
        <f>'Supply Individual Assumptions'!Z77</f>
        <v>12463.750000000002</v>
      </c>
      <c r="Y137" s="5">
        <f>'Supply Individual Assumptions'!AA77</f>
        <v>12463.750000000002</v>
      </c>
    </row>
    <row r="138" spans="1:26" s="2" customFormat="1" x14ac:dyDescent="0.25">
      <c r="A138" s="505"/>
      <c r="B138" s="2" t="s">
        <v>9</v>
      </c>
      <c r="C138" s="5">
        <f>'Supply Individual Assumptions'!E90</f>
        <v>452</v>
      </c>
      <c r="D138" s="5">
        <f>'Supply Individual Assumptions'!F90</f>
        <v>1126</v>
      </c>
      <c r="E138" s="5">
        <f>'Supply Individual Assumptions'!G90</f>
        <v>1126</v>
      </c>
      <c r="F138" s="5">
        <f>'Supply Individual Assumptions'!H90</f>
        <v>2446</v>
      </c>
      <c r="G138" s="5">
        <f>'Supply Individual Assumptions'!I90</f>
        <v>2446</v>
      </c>
      <c r="H138" s="5">
        <f>'Supply Individual Assumptions'!J90</f>
        <v>6569.53</v>
      </c>
      <c r="I138" s="5">
        <f>'Supply Individual Assumptions'!K90</f>
        <v>6569.53</v>
      </c>
      <c r="J138" s="5">
        <f>'Supply Individual Assumptions'!L90</f>
        <v>6569.53</v>
      </c>
      <c r="K138" s="519">
        <f>'Supply Individual Assumptions'!M90</f>
        <v>12463.750000000002</v>
      </c>
      <c r="L138" s="5">
        <f>'Supply Individual Assumptions'!N90</f>
        <v>12463.750000000002</v>
      </c>
      <c r="M138" s="5">
        <f>'Supply Individual Assumptions'!O90</f>
        <v>12463.750000000002</v>
      </c>
      <c r="N138" s="15">
        <f>'Supply Individual Assumptions'!P90</f>
        <v>12463.750000000002</v>
      </c>
      <c r="O138" s="5">
        <f>'Supply Individual Assumptions'!Q90</f>
        <v>12463.750000000002</v>
      </c>
      <c r="P138" s="5">
        <f>'Supply Individual Assumptions'!R90</f>
        <v>12463.750000000002</v>
      </c>
      <c r="Q138" s="5">
        <f>'Supply Individual Assumptions'!S90</f>
        <v>12463.750000000002</v>
      </c>
      <c r="R138" s="5">
        <f>'Supply Individual Assumptions'!T90</f>
        <v>12463.750000000002</v>
      </c>
      <c r="S138" s="5">
        <f>'Supply Individual Assumptions'!U90</f>
        <v>12463.750000000002</v>
      </c>
      <c r="T138" s="5">
        <f>'Supply Individual Assumptions'!V90</f>
        <v>12463.750000000002</v>
      </c>
      <c r="U138" s="5">
        <f>'Supply Individual Assumptions'!W90</f>
        <v>12463.750000000002</v>
      </c>
      <c r="V138" s="5">
        <f>'Supply Individual Assumptions'!X90</f>
        <v>12463.750000000002</v>
      </c>
      <c r="W138" s="5">
        <f>'Supply Individual Assumptions'!Y90</f>
        <v>12463.750000000002</v>
      </c>
      <c r="X138" s="5">
        <f>'Supply Individual Assumptions'!Z90</f>
        <v>12463.750000000002</v>
      </c>
      <c r="Y138" s="5">
        <f>'Supply Individual Assumptions'!AA90</f>
        <v>12463.750000000002</v>
      </c>
      <c r="Z138" s="448"/>
    </row>
    <row r="139" spans="1:26" x14ac:dyDescent="0.25">
      <c r="A139" s="505"/>
      <c r="B139" s="465" t="s">
        <v>1</v>
      </c>
      <c r="C139" s="5">
        <f>'Supply Individual Assumptions'!E103</f>
        <v>452</v>
      </c>
      <c r="D139" s="5">
        <f>'Supply Individual Assumptions'!F103</f>
        <v>1126</v>
      </c>
      <c r="E139" s="5">
        <f>'Supply Individual Assumptions'!G103</f>
        <v>1126</v>
      </c>
      <c r="F139" s="5">
        <f>'Supply Individual Assumptions'!H103</f>
        <v>2446</v>
      </c>
      <c r="G139" s="5">
        <f>'Supply Individual Assumptions'!I103</f>
        <v>2446</v>
      </c>
      <c r="H139" s="5">
        <f>'Supply Individual Assumptions'!J103</f>
        <v>6569.53</v>
      </c>
      <c r="I139" s="5">
        <f>'Supply Individual Assumptions'!K103</f>
        <v>6569.53</v>
      </c>
      <c r="J139" s="5">
        <f>'Supply Individual Assumptions'!L103</f>
        <v>6569.53</v>
      </c>
      <c r="K139" s="519">
        <f>'Supply Individual Assumptions'!M103</f>
        <v>12463.750000000002</v>
      </c>
      <c r="L139" s="5">
        <f>'Supply Individual Assumptions'!N103</f>
        <v>12463.750000000002</v>
      </c>
      <c r="M139" s="5">
        <f>'Supply Individual Assumptions'!O103</f>
        <v>12463.750000000002</v>
      </c>
      <c r="N139" s="15">
        <f>'Supply Individual Assumptions'!P103</f>
        <v>12463.750000000002</v>
      </c>
      <c r="O139" s="5">
        <f>'Supply Individual Assumptions'!Q103</f>
        <v>12463.750000000002</v>
      </c>
      <c r="P139" s="5">
        <f>'Supply Individual Assumptions'!R103</f>
        <v>12463.750000000002</v>
      </c>
      <c r="Q139" s="5">
        <f>'Supply Individual Assumptions'!S103</f>
        <v>12463.750000000002</v>
      </c>
      <c r="R139" s="5">
        <f>'Supply Individual Assumptions'!T103</f>
        <v>12463.750000000002</v>
      </c>
      <c r="S139" s="5">
        <f>'Supply Individual Assumptions'!U103</f>
        <v>12463.750000000002</v>
      </c>
      <c r="T139" s="5">
        <f>'Supply Individual Assumptions'!V103</f>
        <v>12463.750000000002</v>
      </c>
      <c r="U139" s="5">
        <f>'Supply Individual Assumptions'!W103</f>
        <v>12463.750000000002</v>
      </c>
      <c r="V139" s="5">
        <f>'Supply Individual Assumptions'!X103</f>
        <v>12463.750000000002</v>
      </c>
      <c r="W139" s="5">
        <f>'Supply Individual Assumptions'!Y103</f>
        <v>12463.750000000002</v>
      </c>
      <c r="X139" s="5">
        <f>'Supply Individual Assumptions'!Z103</f>
        <v>12463.750000000002</v>
      </c>
      <c r="Y139" s="5">
        <f>'Supply Individual Assumptions'!AA103</f>
        <v>12463.750000000002</v>
      </c>
    </row>
    <row r="140" spans="1:26" x14ac:dyDescent="0.25">
      <c r="A140" s="505"/>
      <c r="B140" s="500" t="s">
        <v>30</v>
      </c>
      <c r="C140" s="5"/>
      <c r="D140" s="5"/>
      <c r="E140" s="5"/>
      <c r="F140" s="5"/>
      <c r="G140" s="5"/>
      <c r="H140" s="5"/>
      <c r="I140" s="5"/>
      <c r="J140" s="5"/>
      <c r="K140" s="519"/>
      <c r="L140" s="5"/>
      <c r="M140" s="5"/>
      <c r="N140" s="15"/>
      <c r="O140" s="5"/>
      <c r="P140" s="5"/>
      <c r="Q140" s="5"/>
      <c r="R140" s="5"/>
      <c r="S140" s="5"/>
      <c r="T140" s="5"/>
      <c r="U140" s="5"/>
      <c r="V140" s="5"/>
      <c r="W140" s="5"/>
      <c r="X140" s="5"/>
      <c r="Y140" s="5"/>
    </row>
    <row r="141" spans="1:26" x14ac:dyDescent="0.25">
      <c r="A141" s="505"/>
      <c r="B141" s="465" t="s">
        <v>0</v>
      </c>
      <c r="C141" s="5">
        <f>'Supply Individual Assumptions'!E78</f>
        <v>0</v>
      </c>
      <c r="D141" s="5">
        <f>'Supply Individual Assumptions'!F78</f>
        <v>0</v>
      </c>
      <c r="E141" s="5">
        <f>'Supply Individual Assumptions'!G78</f>
        <v>0</v>
      </c>
      <c r="F141" s="5">
        <f>'Supply Individual Assumptions'!H78</f>
        <v>0</v>
      </c>
      <c r="G141" s="5">
        <f>'Supply Individual Assumptions'!I78</f>
        <v>0</v>
      </c>
      <c r="H141" s="5">
        <f>'Supply Individual Assumptions'!J78</f>
        <v>0</v>
      </c>
      <c r="I141" s="5">
        <f>'Supply Individual Assumptions'!K78</f>
        <v>0</v>
      </c>
      <c r="J141" s="5">
        <f>'Supply Individual Assumptions'!L78</f>
        <v>0</v>
      </c>
      <c r="K141" s="519">
        <f>'Supply Individual Assumptions'!M78</f>
        <v>0</v>
      </c>
      <c r="L141" s="5">
        <f>'Supply Individual Assumptions'!N78</f>
        <v>0</v>
      </c>
      <c r="M141" s="5">
        <f>'Supply Individual Assumptions'!O78</f>
        <v>0</v>
      </c>
      <c r="N141" s="15">
        <f>'Supply Individual Assumptions'!P78</f>
        <v>0</v>
      </c>
      <c r="O141" s="5">
        <f>'Supply Individual Assumptions'!Q78</f>
        <v>0</v>
      </c>
      <c r="P141" s="5">
        <f>'Supply Individual Assumptions'!R78</f>
        <v>0</v>
      </c>
      <c r="Q141" s="5">
        <f>'Supply Individual Assumptions'!S78</f>
        <v>0</v>
      </c>
      <c r="R141" s="5">
        <f>'Supply Individual Assumptions'!T78</f>
        <v>0</v>
      </c>
      <c r="S141" s="5">
        <f>'Supply Individual Assumptions'!U78</f>
        <v>0</v>
      </c>
      <c r="T141" s="5">
        <f>'Supply Individual Assumptions'!V78</f>
        <v>0</v>
      </c>
      <c r="U141" s="5">
        <f>'Supply Individual Assumptions'!W78</f>
        <v>0</v>
      </c>
      <c r="V141" s="5">
        <f>'Supply Individual Assumptions'!X78</f>
        <v>0</v>
      </c>
      <c r="W141" s="5">
        <f>'Supply Individual Assumptions'!Y78</f>
        <v>0</v>
      </c>
      <c r="X141" s="5">
        <f>'Supply Individual Assumptions'!Z78</f>
        <v>0</v>
      </c>
      <c r="Y141" s="5">
        <f>'Supply Individual Assumptions'!AA78</f>
        <v>0</v>
      </c>
    </row>
    <row r="142" spans="1:26" x14ac:dyDescent="0.25">
      <c r="A142" s="505"/>
      <c r="B142" s="465" t="s">
        <v>9</v>
      </c>
      <c r="C142" s="5">
        <f>'Supply Individual Assumptions'!E91</f>
        <v>0</v>
      </c>
      <c r="D142" s="5">
        <f>'Supply Individual Assumptions'!F91</f>
        <v>0</v>
      </c>
      <c r="E142" s="5">
        <f>'Supply Individual Assumptions'!G91</f>
        <v>0</v>
      </c>
      <c r="F142" s="5">
        <f>'Supply Individual Assumptions'!H91</f>
        <v>0</v>
      </c>
      <c r="G142" s="5">
        <f>'Supply Individual Assumptions'!I91</f>
        <v>0</v>
      </c>
      <c r="H142" s="5">
        <f>'Supply Individual Assumptions'!J91</f>
        <v>0</v>
      </c>
      <c r="I142" s="5">
        <f>'Supply Individual Assumptions'!K91</f>
        <v>0</v>
      </c>
      <c r="J142" s="5">
        <f>'Supply Individual Assumptions'!L91</f>
        <v>0</v>
      </c>
      <c r="K142" s="519">
        <f>'Supply Individual Assumptions'!M91</f>
        <v>0</v>
      </c>
      <c r="L142" s="5">
        <f>'Supply Individual Assumptions'!N91</f>
        <v>0</v>
      </c>
      <c r="M142" s="5">
        <f>'Supply Individual Assumptions'!O91</f>
        <v>2246</v>
      </c>
      <c r="N142" s="15">
        <f>'Supply Individual Assumptions'!P91</f>
        <v>2246</v>
      </c>
      <c r="O142" s="5">
        <f>'Supply Individual Assumptions'!Q91</f>
        <v>4486</v>
      </c>
      <c r="P142" s="5">
        <f>'Supply Individual Assumptions'!R91</f>
        <v>4486</v>
      </c>
      <c r="Q142" s="5">
        <f>'Supply Individual Assumptions'!S91</f>
        <v>4486</v>
      </c>
      <c r="R142" s="5">
        <f>'Supply Individual Assumptions'!T91</f>
        <v>4486</v>
      </c>
      <c r="S142" s="5">
        <f>'Supply Individual Assumptions'!U91</f>
        <v>4486</v>
      </c>
      <c r="T142" s="5">
        <f>'Supply Individual Assumptions'!V91</f>
        <v>4486</v>
      </c>
      <c r="U142" s="5">
        <f>'Supply Individual Assumptions'!W91</f>
        <v>4486</v>
      </c>
      <c r="V142" s="5">
        <f>'Supply Individual Assumptions'!X91</f>
        <v>4486</v>
      </c>
      <c r="W142" s="5">
        <f>'Supply Individual Assumptions'!Y91</f>
        <v>4486</v>
      </c>
      <c r="X142" s="5">
        <f>'Supply Individual Assumptions'!Z91</f>
        <v>4486</v>
      </c>
      <c r="Y142" s="5">
        <f>'Supply Individual Assumptions'!AA91</f>
        <v>4486</v>
      </c>
    </row>
    <row r="143" spans="1:26" s="115" customFormat="1" x14ac:dyDescent="0.25">
      <c r="A143" s="505"/>
      <c r="B143" s="465" t="s">
        <v>4859</v>
      </c>
      <c r="C143" s="5">
        <f>'Supply Individual Assumptions'!E118</f>
        <v>0</v>
      </c>
      <c r="D143" s="5">
        <f>'Supply Individual Assumptions'!F118</f>
        <v>0</v>
      </c>
      <c r="E143" s="5">
        <f>'Supply Individual Assumptions'!G118</f>
        <v>0</v>
      </c>
      <c r="F143" s="5">
        <f>'Supply Individual Assumptions'!H118</f>
        <v>2246</v>
      </c>
      <c r="G143" s="5">
        <f>'Supply Individual Assumptions'!I118</f>
        <v>2246</v>
      </c>
      <c r="H143" s="5">
        <f>'Supply Individual Assumptions'!J118</f>
        <v>2246</v>
      </c>
      <c r="I143" s="5">
        <f>'Supply Individual Assumptions'!K118</f>
        <v>2246</v>
      </c>
      <c r="J143" s="5">
        <f>'Supply Individual Assumptions'!L118</f>
        <v>2246</v>
      </c>
      <c r="K143" s="519">
        <f>'Supply Individual Assumptions'!M118</f>
        <v>2246</v>
      </c>
      <c r="L143" s="5">
        <f>'Supply Individual Assumptions'!N118</f>
        <v>2246</v>
      </c>
      <c r="M143" s="5">
        <f>'Supply Individual Assumptions'!O118</f>
        <v>2246</v>
      </c>
      <c r="N143" s="15">
        <f>'Supply Individual Assumptions'!P118</f>
        <v>2246</v>
      </c>
      <c r="O143" s="5">
        <f>'Supply Individual Assumptions'!Q118</f>
        <v>4486</v>
      </c>
      <c r="P143" s="5">
        <f>'Supply Individual Assumptions'!R118</f>
        <v>4486</v>
      </c>
      <c r="Q143" s="5">
        <f>'Supply Individual Assumptions'!S118</f>
        <v>4486</v>
      </c>
      <c r="R143" s="5">
        <f>'Supply Individual Assumptions'!T118</f>
        <v>4486</v>
      </c>
      <c r="S143" s="5">
        <f>'Supply Individual Assumptions'!U118</f>
        <v>4486</v>
      </c>
      <c r="T143" s="5">
        <f>'Supply Individual Assumptions'!V118</f>
        <v>4486</v>
      </c>
      <c r="U143" s="5">
        <f>'Supply Individual Assumptions'!W118</f>
        <v>4486</v>
      </c>
      <c r="V143" s="5">
        <f>'Supply Individual Assumptions'!X118</f>
        <v>4486</v>
      </c>
      <c r="W143" s="5">
        <f>'Supply Individual Assumptions'!Y118</f>
        <v>4486</v>
      </c>
      <c r="X143" s="5">
        <f>'Supply Individual Assumptions'!Z118</f>
        <v>4486</v>
      </c>
      <c r="Y143" s="5">
        <f>'Supply Individual Assumptions'!AA118</f>
        <v>4486</v>
      </c>
      <c r="Z143" s="10"/>
    </row>
    <row r="144" spans="1:26" x14ac:dyDescent="0.25">
      <c r="A144" s="505"/>
      <c r="B144" s="2" t="s">
        <v>1</v>
      </c>
      <c r="C144" s="5">
        <f>'Supply Individual Assumptions'!E104</f>
        <v>0</v>
      </c>
      <c r="D144" s="5">
        <f>'Supply Individual Assumptions'!F104</f>
        <v>0</v>
      </c>
      <c r="E144" s="5">
        <f>'Supply Individual Assumptions'!G104</f>
        <v>0</v>
      </c>
      <c r="F144" s="5">
        <f>'Supply Individual Assumptions'!H104</f>
        <v>4486</v>
      </c>
      <c r="G144" s="5">
        <f>'Supply Individual Assumptions'!I104</f>
        <v>4486</v>
      </c>
      <c r="H144" s="5">
        <f>'Supply Individual Assumptions'!J104</f>
        <v>4486</v>
      </c>
      <c r="I144" s="5">
        <f>'Supply Individual Assumptions'!K104</f>
        <v>4486</v>
      </c>
      <c r="J144" s="5">
        <f>'Supply Individual Assumptions'!L104</f>
        <v>4486</v>
      </c>
      <c r="K144" s="519">
        <f>'Supply Individual Assumptions'!M104</f>
        <v>4486</v>
      </c>
      <c r="L144" s="5">
        <f>'Supply Individual Assumptions'!N104</f>
        <v>4486</v>
      </c>
      <c r="M144" s="5">
        <f>'Supply Individual Assumptions'!O104</f>
        <v>4486</v>
      </c>
      <c r="N144" s="15">
        <f>'Supply Individual Assumptions'!P104</f>
        <v>4486</v>
      </c>
      <c r="O144" s="5">
        <f>'Supply Individual Assumptions'!Q104</f>
        <v>4486</v>
      </c>
      <c r="P144" s="5">
        <f>'Supply Individual Assumptions'!R104</f>
        <v>4486</v>
      </c>
      <c r="Q144" s="5">
        <f>'Supply Individual Assumptions'!S104</f>
        <v>4486</v>
      </c>
      <c r="R144" s="5">
        <f>'Supply Individual Assumptions'!T104</f>
        <v>4486</v>
      </c>
      <c r="S144" s="5">
        <f>'Supply Individual Assumptions'!U104</f>
        <v>4486</v>
      </c>
      <c r="T144" s="5">
        <f>'Supply Individual Assumptions'!V104</f>
        <v>4486</v>
      </c>
      <c r="U144" s="5">
        <f>'Supply Individual Assumptions'!W104</f>
        <v>4486</v>
      </c>
      <c r="V144" s="5">
        <f>'Supply Individual Assumptions'!X104</f>
        <v>4486</v>
      </c>
      <c r="W144" s="5">
        <f>'Supply Individual Assumptions'!Y104</f>
        <v>4486</v>
      </c>
      <c r="X144" s="5">
        <f>'Supply Individual Assumptions'!Z104</f>
        <v>4486</v>
      </c>
      <c r="Y144" s="5">
        <f>'Supply Individual Assumptions'!AA104</f>
        <v>4486</v>
      </c>
    </row>
    <row r="145" spans="1:25" x14ac:dyDescent="0.25">
      <c r="A145" s="505"/>
      <c r="B145" s="500" t="s">
        <v>4711</v>
      </c>
      <c r="C145" s="5"/>
      <c r="D145" s="5"/>
      <c r="E145" s="5"/>
      <c r="F145" s="5"/>
      <c r="G145" s="5"/>
      <c r="H145" s="5"/>
      <c r="I145" s="5"/>
      <c r="J145" s="5"/>
      <c r="K145" s="519"/>
      <c r="L145" s="5"/>
      <c r="M145" s="5"/>
      <c r="N145" s="15"/>
      <c r="O145" s="5"/>
      <c r="P145" s="5"/>
      <c r="Q145" s="5"/>
      <c r="R145" s="5"/>
      <c r="S145" s="5"/>
      <c r="T145" s="5"/>
      <c r="U145" s="5"/>
      <c r="V145" s="5"/>
      <c r="W145" s="5"/>
      <c r="X145" s="5"/>
      <c r="Y145" s="5"/>
    </row>
    <row r="146" spans="1:25" x14ac:dyDescent="0.25">
      <c r="A146" s="505"/>
      <c r="B146" s="465" t="s">
        <v>0</v>
      </c>
      <c r="C146" s="5">
        <f>SUM('Supply Individual Assumptions'!E86:E87)</f>
        <v>0</v>
      </c>
      <c r="D146" s="5">
        <f>SUM('Supply Individual Assumptions'!F86:F87)</f>
        <v>0</v>
      </c>
      <c r="E146" s="5">
        <f>SUM('Supply Individual Assumptions'!G86:G87)</f>
        <v>0</v>
      </c>
      <c r="F146" s="5">
        <f>SUM('Supply Individual Assumptions'!H86:H87)</f>
        <v>0</v>
      </c>
      <c r="G146" s="5">
        <f>SUM('Supply Individual Assumptions'!I86:I87)</f>
        <v>0</v>
      </c>
      <c r="H146" s="5">
        <f>SUM('Supply Individual Assumptions'!J86:J87)</f>
        <v>0</v>
      </c>
      <c r="I146" s="5">
        <f>SUM('Supply Individual Assumptions'!K86:K87)</f>
        <v>0</v>
      </c>
      <c r="J146" s="5">
        <f>SUM('Supply Individual Assumptions'!L86:L87)</f>
        <v>0</v>
      </c>
      <c r="K146" s="519">
        <f>SUM('Supply Individual Assumptions'!M86:M87)</f>
        <v>0</v>
      </c>
      <c r="L146" s="5">
        <f>SUM('Supply Individual Assumptions'!N86:N87)</f>
        <v>0</v>
      </c>
      <c r="M146" s="5">
        <f>SUM('Supply Individual Assumptions'!O86:O87)</f>
        <v>0</v>
      </c>
      <c r="N146" s="15">
        <f>SUM('Supply Individual Assumptions'!P86:P87)</f>
        <v>0</v>
      </c>
      <c r="O146" s="5">
        <f>SUM('Supply Individual Assumptions'!Q86:Q87)</f>
        <v>0</v>
      </c>
      <c r="P146" s="5">
        <f>SUM('Supply Individual Assumptions'!R86:R87)</f>
        <v>0</v>
      </c>
      <c r="Q146" s="5">
        <f>SUM('Supply Individual Assumptions'!S86:S87)</f>
        <v>0</v>
      </c>
      <c r="R146" s="5">
        <f>SUM('Supply Individual Assumptions'!T86:T87)</f>
        <v>0</v>
      </c>
      <c r="S146" s="5">
        <f>SUM('Supply Individual Assumptions'!U86:U87)</f>
        <v>0</v>
      </c>
      <c r="T146" s="5">
        <f>SUM('Supply Individual Assumptions'!V86:V87)</f>
        <v>0</v>
      </c>
      <c r="U146" s="5">
        <f>SUM('Supply Individual Assumptions'!W86:W87)</f>
        <v>0</v>
      </c>
      <c r="V146" s="5">
        <f>SUM('Supply Individual Assumptions'!X86:X87)</f>
        <v>0</v>
      </c>
      <c r="W146" s="5">
        <f>SUM('Supply Individual Assumptions'!Y86:Y87)</f>
        <v>0</v>
      </c>
      <c r="X146" s="5">
        <f>SUM('Supply Individual Assumptions'!Z86:Z87)</f>
        <v>0</v>
      </c>
      <c r="Y146" s="5">
        <f>SUM('Supply Individual Assumptions'!AA86:AA87)</f>
        <v>0</v>
      </c>
    </row>
    <row r="147" spans="1:25" x14ac:dyDescent="0.25">
      <c r="A147" s="505"/>
      <c r="B147" s="465" t="s">
        <v>9</v>
      </c>
      <c r="C147" s="5">
        <f>SUM('Supply Individual Assumptions'!E99:E100)</f>
        <v>502.82999999999993</v>
      </c>
      <c r="D147" s="5">
        <f>SUM('Supply Individual Assumptions'!F99:F100)</f>
        <v>516.79999999999995</v>
      </c>
      <c r="E147" s="5">
        <f>SUM('Supply Individual Assumptions'!G99:G100)</f>
        <v>516.79999999999995</v>
      </c>
      <c r="F147" s="5">
        <f>SUM('Supply Individual Assumptions'!H99:H100)</f>
        <v>516.79999999999995</v>
      </c>
      <c r="G147" s="5">
        <f>SUM('Supply Individual Assumptions'!I99:I100)</f>
        <v>516.79999999999995</v>
      </c>
      <c r="H147" s="5">
        <f>SUM('Supply Individual Assumptions'!J99:J100)</f>
        <v>516.79999999999995</v>
      </c>
      <c r="I147" s="5">
        <f>SUM('Supply Individual Assumptions'!K99:K100)</f>
        <v>516.79999999999995</v>
      </c>
      <c r="J147" s="5">
        <f>SUM('Supply Individual Assumptions'!L99:L100)</f>
        <v>560.88999999999987</v>
      </c>
      <c r="K147" s="519">
        <f>SUM('Supply Individual Assumptions'!M99:M100)</f>
        <v>560.88999999999987</v>
      </c>
      <c r="L147" s="5">
        <f>SUM('Supply Individual Assumptions'!N99:N100)</f>
        <v>560.88999999999987</v>
      </c>
      <c r="M147" s="5">
        <f>SUM('Supply Individual Assumptions'!O99:O100)</f>
        <v>560.88999999999987</v>
      </c>
      <c r="N147" s="15">
        <f>SUM('Supply Individual Assumptions'!P99:P100)</f>
        <v>560.88999999999987</v>
      </c>
      <c r="O147" s="5">
        <f>SUM('Supply Individual Assumptions'!Q99:Q100)</f>
        <v>561.04</v>
      </c>
      <c r="P147" s="5">
        <f>SUM('Supply Individual Assumptions'!R99:R100)</f>
        <v>561.04</v>
      </c>
      <c r="Q147" s="5">
        <f>SUM('Supply Individual Assumptions'!S99:S100)</f>
        <v>570.87999999999988</v>
      </c>
      <c r="R147" s="5">
        <f>SUM('Supply Individual Assumptions'!T99:T100)</f>
        <v>590.42999999999995</v>
      </c>
      <c r="S147" s="5">
        <f>SUM('Supply Individual Assumptions'!U99:U100)</f>
        <v>628.54999999999995</v>
      </c>
      <c r="T147" s="5">
        <f>SUM('Supply Individual Assumptions'!V99:V100)</f>
        <v>628.54999999999995</v>
      </c>
      <c r="U147" s="5">
        <f>SUM('Supply Individual Assumptions'!W99:W100)</f>
        <v>643.88999999999987</v>
      </c>
      <c r="V147" s="5">
        <f>SUM('Supply Individual Assumptions'!X99:X100)</f>
        <v>680.74</v>
      </c>
      <c r="W147" s="5">
        <f>SUM('Supply Individual Assumptions'!Y99:Y100)</f>
        <v>680.74</v>
      </c>
      <c r="X147" s="5">
        <f>SUM('Supply Individual Assumptions'!Z99:Z100)</f>
        <v>686.36999999999989</v>
      </c>
      <c r="Y147" s="5">
        <f>SUM('Supply Individual Assumptions'!AA99:AA100)</f>
        <v>722.50166723631219</v>
      </c>
    </row>
    <row r="148" spans="1:25" x14ac:dyDescent="0.25">
      <c r="A148" s="505"/>
      <c r="B148" s="465" t="s">
        <v>1</v>
      </c>
      <c r="C148" s="5">
        <f>SUM('Supply Individual Assumptions'!E112:E113)</f>
        <v>516.79999999999995</v>
      </c>
      <c r="D148" s="5">
        <f>SUM('Supply Individual Assumptions'!F112:F113)</f>
        <v>516.79999999999995</v>
      </c>
      <c r="E148" s="5">
        <f>SUM('Supply Individual Assumptions'!G112:G113)</f>
        <v>560.88999999999987</v>
      </c>
      <c r="F148" s="5">
        <f>SUM('Supply Individual Assumptions'!H112:H113)</f>
        <v>560.88999999999987</v>
      </c>
      <c r="G148" s="5">
        <f>SUM('Supply Individual Assumptions'!I112:I113)</f>
        <v>560.88999999999987</v>
      </c>
      <c r="H148" s="5">
        <f>SUM('Supply Individual Assumptions'!J112:J113)</f>
        <v>560.88999999999987</v>
      </c>
      <c r="I148" s="5">
        <f>SUM('Supply Individual Assumptions'!K112:K113)</f>
        <v>560.88999999999987</v>
      </c>
      <c r="J148" s="5">
        <f>SUM('Supply Individual Assumptions'!L112:L113)</f>
        <v>561.04</v>
      </c>
      <c r="K148" s="519">
        <f>SUM('Supply Individual Assumptions'!M112:M113)</f>
        <v>561.04</v>
      </c>
      <c r="L148" s="5">
        <f>SUM('Supply Individual Assumptions'!N112:N113)</f>
        <v>570.87999999999988</v>
      </c>
      <c r="M148" s="5">
        <f>SUM('Supply Individual Assumptions'!O112:O113)</f>
        <v>590.42999999999995</v>
      </c>
      <c r="N148" s="15">
        <f>SUM('Supply Individual Assumptions'!P112:P113)</f>
        <v>628.54999999999995</v>
      </c>
      <c r="O148" s="5">
        <f>SUM('Supply Individual Assumptions'!Q112:Q113)</f>
        <v>628.54999999999995</v>
      </c>
      <c r="P148" s="5">
        <f>SUM('Supply Individual Assumptions'!R112:R113)</f>
        <v>643.88999999999987</v>
      </c>
      <c r="Q148" s="5">
        <f>SUM('Supply Individual Assumptions'!S112:S113)</f>
        <v>680.74</v>
      </c>
      <c r="R148" s="5">
        <f>SUM('Supply Individual Assumptions'!T112:T113)</f>
        <v>680.74</v>
      </c>
      <c r="S148" s="5">
        <f>SUM('Supply Individual Assumptions'!U112:U113)</f>
        <v>686.36999999999989</v>
      </c>
      <c r="T148" s="5">
        <f>SUM('Supply Individual Assumptions'!V112:V113)</f>
        <v>722.50166723631219</v>
      </c>
      <c r="U148" s="5">
        <f>SUM('Supply Individual Assumptions'!W112:W113)</f>
        <v>787.36166723631209</v>
      </c>
      <c r="V148" s="5">
        <f>SUM('Supply Individual Assumptions'!X112:X113)</f>
        <v>861.2110215326004</v>
      </c>
      <c r="W148" s="5">
        <f>SUM('Supply Individual Assumptions'!Y112:Y113)</f>
        <v>863.78102153260045</v>
      </c>
      <c r="X148" s="5">
        <f>SUM('Supply Individual Assumptions'!Z112:Z113)</f>
        <v>863.78102153260045</v>
      </c>
      <c r="Y148" s="5">
        <f>SUM('Supply Individual Assumptions'!AA112:AA113)</f>
        <v>863.78102153260045</v>
      </c>
    </row>
    <row r="149" spans="1:25" x14ac:dyDescent="0.25">
      <c r="A149" s="505"/>
      <c r="B149" s="500" t="s">
        <v>4712</v>
      </c>
      <c r="C149" s="5"/>
      <c r="D149" s="5"/>
      <c r="E149" s="5"/>
      <c r="F149" s="5"/>
      <c r="G149" s="5"/>
      <c r="H149" s="5"/>
      <c r="I149" s="5"/>
      <c r="J149" s="5"/>
      <c r="K149" s="519"/>
      <c r="L149" s="5"/>
      <c r="M149" s="5"/>
      <c r="N149" s="15"/>
      <c r="O149" s="5"/>
      <c r="P149" s="5"/>
      <c r="Q149" s="5"/>
      <c r="R149" s="5"/>
      <c r="S149" s="5"/>
      <c r="T149" s="5"/>
      <c r="U149" s="5"/>
      <c r="V149" s="5"/>
      <c r="W149" s="5"/>
      <c r="X149" s="5"/>
      <c r="Y149" s="5"/>
    </row>
    <row r="150" spans="1:25" x14ac:dyDescent="0.25">
      <c r="A150" s="505"/>
      <c r="B150" s="465" t="s">
        <v>0</v>
      </c>
      <c r="C150" s="5">
        <f>SUM('Supply Individual Assumptions'!E83:E84)</f>
        <v>0</v>
      </c>
      <c r="D150" s="5">
        <f>SUM('Supply Individual Assumptions'!F83:F84)</f>
        <v>0</v>
      </c>
      <c r="E150" s="5">
        <f>SUM('Supply Individual Assumptions'!G83:G84)</f>
        <v>0</v>
      </c>
      <c r="F150" s="5">
        <f>SUM('Supply Individual Assumptions'!H83:H84)</f>
        <v>0</v>
      </c>
      <c r="G150" s="5">
        <f>SUM('Supply Individual Assumptions'!I83:I84)</f>
        <v>0</v>
      </c>
      <c r="H150" s="5">
        <f>SUM('Supply Individual Assumptions'!J83:J84)</f>
        <v>0</v>
      </c>
      <c r="I150" s="5">
        <f>SUM('Supply Individual Assumptions'!K83:K84)</f>
        <v>0</v>
      </c>
      <c r="J150" s="5">
        <f>SUM('Supply Individual Assumptions'!L83:L84)</f>
        <v>0</v>
      </c>
      <c r="K150" s="519">
        <f>SUM('Supply Individual Assumptions'!M83:M84)</f>
        <v>0</v>
      </c>
      <c r="L150" s="5">
        <f>SUM('Supply Individual Assumptions'!N83:N84)</f>
        <v>0</v>
      </c>
      <c r="M150" s="5">
        <f>SUM('Supply Individual Assumptions'!O83:O84)</f>
        <v>0</v>
      </c>
      <c r="N150" s="15">
        <f>SUM('Supply Individual Assumptions'!P83:P84)</f>
        <v>0</v>
      </c>
      <c r="O150" s="5">
        <f>SUM('Supply Individual Assumptions'!Q83:Q84)</f>
        <v>0</v>
      </c>
      <c r="P150" s="5">
        <f>SUM('Supply Individual Assumptions'!R83:R84)</f>
        <v>0</v>
      </c>
      <c r="Q150" s="5">
        <f>SUM('Supply Individual Assumptions'!S83:S84)</f>
        <v>0</v>
      </c>
      <c r="R150" s="5">
        <f>SUM('Supply Individual Assumptions'!T83:T84)</f>
        <v>0</v>
      </c>
      <c r="S150" s="5">
        <f>SUM('Supply Individual Assumptions'!U83:U84)</f>
        <v>0</v>
      </c>
      <c r="T150" s="5">
        <f>SUM('Supply Individual Assumptions'!V83:V84)</f>
        <v>0</v>
      </c>
      <c r="U150" s="5">
        <f>SUM('Supply Individual Assumptions'!W83:W84)</f>
        <v>0</v>
      </c>
      <c r="V150" s="5">
        <f>SUM('Supply Individual Assumptions'!X83:X84)</f>
        <v>0</v>
      </c>
      <c r="W150" s="5">
        <f>SUM('Supply Individual Assumptions'!Y83:Y84)</f>
        <v>0</v>
      </c>
      <c r="X150" s="5">
        <f>SUM('Supply Individual Assumptions'!Z83:Z84)</f>
        <v>0</v>
      </c>
      <c r="Y150" s="5">
        <f>SUM('Supply Individual Assumptions'!AA83:AA84)</f>
        <v>0</v>
      </c>
    </row>
    <row r="151" spans="1:25" x14ac:dyDescent="0.25">
      <c r="A151" s="505"/>
      <c r="B151" s="465" t="s">
        <v>9</v>
      </c>
      <c r="C151" s="5">
        <f>SUM('Supply Individual Assumptions'!E96:E97)</f>
        <v>1420.1900000000003</v>
      </c>
      <c r="D151" s="5">
        <f>SUM('Supply Individual Assumptions'!F96:F97)</f>
        <v>1442.1900000000003</v>
      </c>
      <c r="E151" s="5">
        <f>SUM('Supply Individual Assumptions'!G96:G97)</f>
        <v>1602.1900000000003</v>
      </c>
      <c r="F151" s="5">
        <f>SUM('Supply Individual Assumptions'!H96:H97)</f>
        <v>1602.1900000000003</v>
      </c>
      <c r="G151" s="5">
        <f>SUM('Supply Individual Assumptions'!I96:I97)</f>
        <v>1602.1900000000003</v>
      </c>
      <c r="H151" s="5">
        <f>SUM('Supply Individual Assumptions'!J96:J97)</f>
        <v>1602.4600000000003</v>
      </c>
      <c r="I151" s="5">
        <f>SUM('Supply Individual Assumptions'!K96:K97)</f>
        <v>1714.4600000000003</v>
      </c>
      <c r="J151" s="5">
        <f>SUM('Supply Individual Assumptions'!L96:L97)</f>
        <v>1784.4600000000003</v>
      </c>
      <c r="K151" s="519">
        <f>SUM('Supply Individual Assumptions'!M96:M97)</f>
        <v>1896.4600000000003</v>
      </c>
      <c r="L151" s="5">
        <f>SUM('Supply Individual Assumptions'!N96:N97)</f>
        <v>1896.4600000000003</v>
      </c>
      <c r="M151" s="5">
        <f>SUM('Supply Individual Assumptions'!O96:O97)</f>
        <v>1896.4600000000003</v>
      </c>
      <c r="N151" s="15">
        <f>SUM('Supply Individual Assumptions'!P96:P97)</f>
        <v>1896.4600000000003</v>
      </c>
      <c r="O151" s="5">
        <f>SUM('Supply Individual Assumptions'!Q96:Q97)</f>
        <v>1896.4600000000003</v>
      </c>
      <c r="P151" s="5">
        <f>SUM('Supply Individual Assumptions'!R96:R97)</f>
        <v>1991.4600000000003</v>
      </c>
      <c r="Q151" s="5">
        <f>SUM('Supply Individual Assumptions'!S96:S97)</f>
        <v>1991.4600000000003</v>
      </c>
      <c r="R151" s="5">
        <f>SUM('Supply Individual Assumptions'!T96:T97)</f>
        <v>2071.8200000000002</v>
      </c>
      <c r="S151" s="5">
        <f>SUM('Supply Individual Assumptions'!U96:U97)</f>
        <v>2610.59</v>
      </c>
      <c r="T151" s="5">
        <f>SUM('Supply Individual Assumptions'!V96:V97)</f>
        <v>2610.59</v>
      </c>
      <c r="U151" s="5">
        <f>SUM('Supply Individual Assumptions'!W96:W97)</f>
        <v>2610.59</v>
      </c>
      <c r="V151" s="5">
        <f>SUM('Supply Individual Assumptions'!X96:X97)</f>
        <v>2610.59</v>
      </c>
      <c r="W151" s="5">
        <f>SUM('Supply Individual Assumptions'!Y96:Y97)</f>
        <v>2661.7900000000004</v>
      </c>
      <c r="X151" s="5">
        <f>SUM('Supply Individual Assumptions'!Z96:Z97)</f>
        <v>2865.1500000000005</v>
      </c>
      <c r="Y151" s="5">
        <f>SUM('Supply Individual Assumptions'!AA96:AA97)</f>
        <v>2865.1500000000005</v>
      </c>
    </row>
    <row r="152" spans="1:25" x14ac:dyDescent="0.25">
      <c r="A152" s="505"/>
      <c r="B152" s="2" t="s">
        <v>1</v>
      </c>
      <c r="C152" s="5">
        <f>SUM('Supply Individual Assumptions'!E109:E110)</f>
        <v>2661.7900000000004</v>
      </c>
      <c r="D152" s="5">
        <f>SUM('Supply Individual Assumptions'!F109:F110)</f>
        <v>2865.1500000000005</v>
      </c>
      <c r="E152" s="5">
        <f>SUM('Supply Individual Assumptions'!G109:G110)</f>
        <v>2865.1500000000005</v>
      </c>
      <c r="F152" s="5">
        <f>SUM('Supply Individual Assumptions'!H109:H110)</f>
        <v>3254.23</v>
      </c>
      <c r="G152" s="5">
        <f>SUM('Supply Individual Assumptions'!I109:I110)</f>
        <v>3569.9199999999996</v>
      </c>
      <c r="H152" s="5">
        <f>SUM('Supply Individual Assumptions'!J109:J110)</f>
        <v>3692.9099999999994</v>
      </c>
      <c r="I152" s="5">
        <f>SUM('Supply Individual Assumptions'!K109:K110)</f>
        <v>4580.9099999999989</v>
      </c>
      <c r="J152" s="5">
        <f>SUM('Supply Individual Assumptions'!L109:L110)</f>
        <v>5041.829999999999</v>
      </c>
      <c r="K152" s="519">
        <f>SUM('Supply Individual Assumptions'!M109:M110)</f>
        <v>5041.829999999999</v>
      </c>
      <c r="L152" s="5">
        <f>SUM('Supply Individual Assumptions'!N109:N110)</f>
        <v>5041.829999999999</v>
      </c>
      <c r="M152" s="5">
        <f>SUM('Supply Individual Assumptions'!O109:O110)</f>
        <v>5276.829999999999</v>
      </c>
      <c r="N152" s="15">
        <f>SUM('Supply Individual Assumptions'!P109:P110)</f>
        <v>5276.829999999999</v>
      </c>
      <c r="O152" s="5">
        <f>SUM('Supply Individual Assumptions'!Q109:Q110)</f>
        <v>5285.5099999999993</v>
      </c>
      <c r="P152" s="5">
        <f>SUM('Supply Individual Assumptions'!R109:R110)</f>
        <v>5285.5099999999993</v>
      </c>
      <c r="Q152" s="5">
        <f>SUM('Supply Individual Assumptions'!S109:S110)</f>
        <v>5285.5099999999993</v>
      </c>
      <c r="R152" s="5">
        <f>SUM('Supply Individual Assumptions'!T109:T110)</f>
        <v>5285.5099999999993</v>
      </c>
      <c r="S152" s="5">
        <f>SUM('Supply Individual Assumptions'!U109:U110)</f>
        <v>5285.5099999999993</v>
      </c>
      <c r="T152" s="5">
        <f>SUM('Supply Individual Assumptions'!V109:V110)</f>
        <v>5294.6799999999994</v>
      </c>
      <c r="U152" s="5">
        <f>SUM('Supply Individual Assumptions'!W109:W110)</f>
        <v>6380.73</v>
      </c>
      <c r="V152" s="5">
        <f>SUM('Supply Individual Assumptions'!X109:X110)</f>
        <v>6397.44</v>
      </c>
      <c r="W152" s="5">
        <f>SUM('Supply Individual Assumptions'!Y109:Y110)</f>
        <v>6479.71</v>
      </c>
      <c r="X152" s="5">
        <f>SUM('Supply Individual Assumptions'!Z109:Z110)</f>
        <v>6657.58</v>
      </c>
      <c r="Y152" s="5">
        <f>SUM('Supply Individual Assumptions'!AA109:AA110)</f>
        <v>7955.88</v>
      </c>
    </row>
    <row r="153" spans="1:25" x14ac:dyDescent="0.25">
      <c r="A153" s="505"/>
      <c r="B153" s="1" t="s">
        <v>4001</v>
      </c>
      <c r="C153" s="5"/>
      <c r="D153" s="5"/>
      <c r="E153" s="5"/>
      <c r="F153" s="5"/>
      <c r="G153" s="5"/>
      <c r="H153" s="5"/>
      <c r="I153" s="5"/>
      <c r="J153" s="5"/>
      <c r="K153" s="519"/>
      <c r="L153" s="5"/>
      <c r="M153" s="5"/>
      <c r="N153" s="15"/>
      <c r="O153" s="5"/>
      <c r="P153" s="5"/>
      <c r="Q153" s="5"/>
      <c r="R153" s="5"/>
      <c r="S153" s="5"/>
      <c r="T153" s="5"/>
      <c r="U153" s="5"/>
      <c r="V153" s="5"/>
      <c r="W153" s="5"/>
      <c r="X153" s="5"/>
      <c r="Y153" s="5"/>
    </row>
    <row r="154" spans="1:25" x14ac:dyDescent="0.25">
      <c r="A154" s="505"/>
      <c r="B154" s="2" t="s">
        <v>0</v>
      </c>
      <c r="C154" s="5">
        <f>SUM('Supply Individual Assumptions'!E80:E81)</f>
        <v>0</v>
      </c>
      <c r="D154" s="5">
        <f>SUM('Supply Individual Assumptions'!F80:F81)</f>
        <v>0</v>
      </c>
      <c r="E154" s="5">
        <f>SUM('Supply Individual Assumptions'!G80:G81)</f>
        <v>0</v>
      </c>
      <c r="F154" s="5">
        <f>SUM('Supply Individual Assumptions'!H80:H81)</f>
        <v>0</v>
      </c>
      <c r="G154" s="5">
        <f>SUM('Supply Individual Assumptions'!I80:I81)</f>
        <v>0</v>
      </c>
      <c r="H154" s="5">
        <f>SUM('Supply Individual Assumptions'!J80:J81)</f>
        <v>0</v>
      </c>
      <c r="I154" s="5">
        <f>SUM('Supply Individual Assumptions'!K80:K81)</f>
        <v>0</v>
      </c>
      <c r="J154" s="5">
        <f>SUM('Supply Individual Assumptions'!L80:L81)</f>
        <v>0</v>
      </c>
      <c r="K154" s="519">
        <f>SUM('Supply Individual Assumptions'!M80:M81)</f>
        <v>0</v>
      </c>
      <c r="L154" s="5">
        <f>SUM('Supply Individual Assumptions'!N80:N81)</f>
        <v>0</v>
      </c>
      <c r="M154" s="5">
        <f>SUM('Supply Individual Assumptions'!O80:O81)</f>
        <v>0</v>
      </c>
      <c r="N154" s="15">
        <f>SUM('Supply Individual Assumptions'!P80:P81)</f>
        <v>0</v>
      </c>
      <c r="O154" s="5">
        <f>SUM('Supply Individual Assumptions'!Q80:Q81)</f>
        <v>0</v>
      </c>
      <c r="P154" s="5">
        <f>SUM('Supply Individual Assumptions'!R80:R81)</f>
        <v>0</v>
      </c>
      <c r="Q154" s="5">
        <f>SUM('Supply Individual Assumptions'!S80:S81)</f>
        <v>0</v>
      </c>
      <c r="R154" s="5">
        <f>SUM('Supply Individual Assumptions'!T80:T81)</f>
        <v>0</v>
      </c>
      <c r="S154" s="5">
        <f>SUM('Supply Individual Assumptions'!U80:U81)</f>
        <v>0</v>
      </c>
      <c r="T154" s="5">
        <f>SUM('Supply Individual Assumptions'!V80:V81)</f>
        <v>0</v>
      </c>
      <c r="U154" s="5">
        <f>SUM('Supply Individual Assumptions'!W80:W81)</f>
        <v>0</v>
      </c>
      <c r="V154" s="5">
        <f>SUM('Supply Individual Assumptions'!X80:X81)</f>
        <v>0</v>
      </c>
      <c r="W154" s="5">
        <f>SUM('Supply Individual Assumptions'!Y80:Y81)</f>
        <v>0</v>
      </c>
      <c r="X154" s="5">
        <f>SUM('Supply Individual Assumptions'!Z80:Z81)</f>
        <v>0</v>
      </c>
      <c r="Y154" s="5">
        <f>SUM('Supply Individual Assumptions'!AA80:AA81)</f>
        <v>0</v>
      </c>
    </row>
    <row r="155" spans="1:25" x14ac:dyDescent="0.25">
      <c r="A155" s="505"/>
      <c r="B155" s="2" t="s">
        <v>9</v>
      </c>
      <c r="C155" s="5">
        <f>SUM('Supply Individual Assumptions'!E93:E94)</f>
        <v>1890.61</v>
      </c>
      <c r="D155" s="5">
        <f>SUM('Supply Individual Assumptions'!F93:F94)</f>
        <v>1890.61</v>
      </c>
      <c r="E155" s="5">
        <f>SUM('Supply Individual Assumptions'!G93:G94)</f>
        <v>1944.61</v>
      </c>
      <c r="F155" s="5">
        <f>SUM('Supply Individual Assumptions'!H93:H94)</f>
        <v>2009.61</v>
      </c>
      <c r="G155" s="5">
        <f>SUM('Supply Individual Assumptions'!I93:I94)</f>
        <v>2081.75</v>
      </c>
      <c r="H155" s="5">
        <f>SUM('Supply Individual Assumptions'!J93:J94)</f>
        <v>2081.7599999999998</v>
      </c>
      <c r="I155" s="5">
        <f>SUM('Supply Individual Assumptions'!K93:K94)</f>
        <v>2737.96</v>
      </c>
      <c r="J155" s="5">
        <f>SUM('Supply Individual Assumptions'!L93:L94)</f>
        <v>2787.96</v>
      </c>
      <c r="K155" s="519">
        <f>SUM('Supply Individual Assumptions'!M93:M94)</f>
        <v>3351.25</v>
      </c>
      <c r="L155" s="5">
        <f>SUM('Supply Individual Assumptions'!N93:N94)</f>
        <v>3357.28</v>
      </c>
      <c r="M155" s="5">
        <f>SUM('Supply Individual Assumptions'!O93:O94)</f>
        <v>3457.9900000000002</v>
      </c>
      <c r="N155" s="15">
        <f>SUM('Supply Individual Assumptions'!P93:P94)</f>
        <v>3663.38</v>
      </c>
      <c r="O155" s="5">
        <f>SUM('Supply Individual Assumptions'!Q93:Q94)</f>
        <v>3818.31</v>
      </c>
      <c r="P155" s="5">
        <f>SUM('Supply Individual Assumptions'!R93:R94)</f>
        <v>4257.49</v>
      </c>
      <c r="Q155" s="5">
        <f>SUM('Supply Individual Assumptions'!S93:S94)</f>
        <v>4611.12</v>
      </c>
      <c r="R155" s="5">
        <f>SUM('Supply Individual Assumptions'!T93:T94)</f>
        <v>5460.2199999999993</v>
      </c>
      <c r="S155" s="5">
        <f>SUM('Supply Individual Assumptions'!U93:U94)</f>
        <v>5816.0999999999995</v>
      </c>
      <c r="T155" s="5">
        <f>SUM('Supply Individual Assumptions'!V93:V94)</f>
        <v>6758.11</v>
      </c>
      <c r="U155" s="5">
        <f>SUM('Supply Individual Assumptions'!W93:W94)</f>
        <v>7337.7100000000009</v>
      </c>
      <c r="V155" s="5">
        <f>SUM('Supply Individual Assumptions'!X93:X94)</f>
        <v>7566.5500000000011</v>
      </c>
      <c r="W155" s="5">
        <f>SUM('Supply Individual Assumptions'!Y93:Y94)</f>
        <v>7589.3700000000008</v>
      </c>
      <c r="X155" s="5">
        <f>SUM('Supply Individual Assumptions'!Z93:Z94)</f>
        <v>7605.7400000000016</v>
      </c>
      <c r="Y155" s="5">
        <f>SUM('Supply Individual Assumptions'!AA93:AA94)</f>
        <v>7649.7000000000007</v>
      </c>
    </row>
    <row r="156" spans="1:25" x14ac:dyDescent="0.25">
      <c r="A156" s="505"/>
      <c r="B156" s="465" t="s">
        <v>1</v>
      </c>
      <c r="C156" s="5">
        <f>SUM('Supply Individual Assumptions'!E106:E107)</f>
        <v>5460.2199999999993</v>
      </c>
      <c r="D156" s="5">
        <f>SUM('Supply Individual Assumptions'!F106:F107)</f>
        <v>5816.0999999999995</v>
      </c>
      <c r="E156" s="5">
        <f>SUM('Supply Individual Assumptions'!G106:G107)</f>
        <v>6758.11</v>
      </c>
      <c r="F156" s="5">
        <f>SUM('Supply Individual Assumptions'!H106:H107)</f>
        <v>7337.7100000000009</v>
      </c>
      <c r="G156" s="5">
        <f>SUM('Supply Individual Assumptions'!I106:I107)</f>
        <v>7566.5500000000011</v>
      </c>
      <c r="H156" s="5">
        <f>SUM('Supply Individual Assumptions'!J106:J107)</f>
        <v>7589.3700000000008</v>
      </c>
      <c r="I156" s="5">
        <f>SUM('Supply Individual Assumptions'!K106:K107)</f>
        <v>7605.7400000000016</v>
      </c>
      <c r="J156" s="5">
        <f>SUM('Supply Individual Assumptions'!L106:L107)</f>
        <v>7649.7000000000007</v>
      </c>
      <c r="K156" s="519">
        <f>SUM('Supply Individual Assumptions'!M106:M107)</f>
        <v>7904.7300000000014</v>
      </c>
      <c r="L156" s="5">
        <f>SUM('Supply Individual Assumptions'!N106:N107)</f>
        <v>7960.6458928847187</v>
      </c>
      <c r="M156" s="5">
        <f>SUM('Supply Individual Assumptions'!O106:O107)</f>
        <v>7962.6858928847196</v>
      </c>
      <c r="N156" s="15">
        <f>SUM('Supply Individual Assumptions'!P106:P107)</f>
        <v>8010.4458928847189</v>
      </c>
      <c r="O156" s="5">
        <f>SUM('Supply Individual Assumptions'!Q106:Q107)</f>
        <v>8020.9358928847196</v>
      </c>
      <c r="P156" s="5">
        <f>SUM('Supply Individual Assumptions'!R106:R107)</f>
        <v>8023.8358928847192</v>
      </c>
      <c r="Q156" s="5">
        <f>SUM('Supply Individual Assumptions'!S106:S107)</f>
        <v>10455.85589288472</v>
      </c>
      <c r="R156" s="5">
        <f>SUM('Supply Individual Assumptions'!T106:T107)</f>
        <v>11759.975892884719</v>
      </c>
      <c r="S156" s="5">
        <f>SUM('Supply Individual Assumptions'!U106:U107)</f>
        <v>15805.20589288472</v>
      </c>
      <c r="T156" s="5">
        <f>SUM('Supply Individual Assumptions'!V106:V107)</f>
        <v>15896.345892884721</v>
      </c>
      <c r="U156" s="5">
        <f>SUM('Supply Individual Assumptions'!W106:W107)</f>
        <v>18186.575892884717</v>
      </c>
      <c r="V156" s="5">
        <f>SUM('Supply Individual Assumptions'!X106:X107)</f>
        <v>19430.345892884718</v>
      </c>
      <c r="W156" s="5">
        <f>SUM('Supply Individual Assumptions'!Y106:Y107)</f>
        <v>19890.095892884718</v>
      </c>
      <c r="X156" s="5">
        <f>SUM('Supply Individual Assumptions'!Z106:Z107)</f>
        <v>19897.095892884721</v>
      </c>
      <c r="Y156" s="5">
        <f>SUM('Supply Individual Assumptions'!AA106:AA107)</f>
        <v>21950.985892884721</v>
      </c>
    </row>
    <row r="157" spans="1:25" x14ac:dyDescent="0.25">
      <c r="A157" s="505"/>
    </row>
    <row r="158" spans="1:25" x14ac:dyDescent="0.25">
      <c r="A158" s="505"/>
      <c r="B158" s="506" t="s">
        <v>4744</v>
      </c>
      <c r="C158" s="115"/>
      <c r="D158" s="115"/>
      <c r="E158" s="115"/>
      <c r="F158" s="115"/>
      <c r="G158" s="115"/>
      <c r="H158" s="115"/>
      <c r="I158" s="115"/>
      <c r="J158" s="115"/>
      <c r="L158" s="115"/>
      <c r="M158" s="115"/>
      <c r="N158" s="15"/>
      <c r="O158" s="5"/>
      <c r="P158" s="5"/>
      <c r="Q158" s="5"/>
      <c r="R158" s="5"/>
      <c r="S158" s="5"/>
      <c r="T158" s="5"/>
      <c r="U158" s="5"/>
      <c r="V158" s="5"/>
      <c r="W158" s="5"/>
      <c r="X158" s="5"/>
      <c r="Y158" s="5"/>
    </row>
    <row r="159" spans="1:25" x14ac:dyDescent="0.25">
      <c r="A159" s="505"/>
      <c r="B159" s="504" t="s">
        <v>4741</v>
      </c>
      <c r="C159" s="446">
        <f t="shared" ref="C159:M159" si="16">C132-(C137+C141)</f>
        <v>0</v>
      </c>
      <c r="D159" s="446">
        <f t="shared" si="16"/>
        <v>0</v>
      </c>
      <c r="E159" s="446">
        <f t="shared" si="16"/>
        <v>0</v>
      </c>
      <c r="F159" s="446">
        <f t="shared" si="16"/>
        <v>0</v>
      </c>
      <c r="G159" s="446">
        <f t="shared" si="16"/>
        <v>0</v>
      </c>
      <c r="H159" s="446">
        <f t="shared" si="16"/>
        <v>0</v>
      </c>
      <c r="I159" s="446">
        <f t="shared" si="16"/>
        <v>0</v>
      </c>
      <c r="J159" s="446">
        <f t="shared" si="16"/>
        <v>0</v>
      </c>
      <c r="K159" s="521">
        <f t="shared" si="16"/>
        <v>0</v>
      </c>
      <c r="L159" s="446">
        <f t="shared" si="16"/>
        <v>0</v>
      </c>
      <c r="M159" s="446">
        <f t="shared" si="16"/>
        <v>0</v>
      </c>
      <c r="N159" s="447">
        <f t="shared" ref="N159:Y159" si="17">N131-(N136+N140)</f>
        <v>0</v>
      </c>
      <c r="O159" s="446">
        <f t="shared" si="17"/>
        <v>0</v>
      </c>
      <c r="P159" s="446">
        <f t="shared" si="17"/>
        <v>0</v>
      </c>
      <c r="Q159" s="446">
        <f t="shared" si="17"/>
        <v>0</v>
      </c>
      <c r="R159" s="446">
        <f t="shared" si="17"/>
        <v>0</v>
      </c>
      <c r="S159" s="446">
        <f t="shared" si="17"/>
        <v>0</v>
      </c>
      <c r="T159" s="446">
        <f t="shared" si="17"/>
        <v>0</v>
      </c>
      <c r="U159" s="446">
        <f t="shared" si="17"/>
        <v>0</v>
      </c>
      <c r="V159" s="446">
        <f t="shared" si="17"/>
        <v>0</v>
      </c>
      <c r="W159" s="446">
        <f t="shared" si="17"/>
        <v>0</v>
      </c>
      <c r="X159" s="446">
        <f t="shared" si="17"/>
        <v>0</v>
      </c>
      <c r="Y159" s="446">
        <f t="shared" si="17"/>
        <v>0</v>
      </c>
    </row>
    <row r="160" spans="1:25" x14ac:dyDescent="0.25">
      <c r="A160" s="505"/>
      <c r="B160" s="504" t="s">
        <v>4742</v>
      </c>
      <c r="C160" s="446">
        <f t="shared" ref="C160:M160" si="18">C133-(C138+C142)</f>
        <v>3813.63</v>
      </c>
      <c r="D160" s="446">
        <f t="shared" si="18"/>
        <v>3849.6000000000004</v>
      </c>
      <c r="E160" s="446">
        <f t="shared" si="18"/>
        <v>4063.6000000000004</v>
      </c>
      <c r="F160" s="446">
        <f t="shared" si="18"/>
        <v>4128.6000000000004</v>
      </c>
      <c r="G160" s="446">
        <f t="shared" si="18"/>
        <v>4200.7400000000007</v>
      </c>
      <c r="H160" s="446">
        <f t="shared" si="18"/>
        <v>4201.0199999999995</v>
      </c>
      <c r="I160" s="446">
        <f t="shared" si="18"/>
        <v>4969.22</v>
      </c>
      <c r="J160" s="446">
        <f t="shared" si="18"/>
        <v>5133.3100000000004</v>
      </c>
      <c r="K160" s="521">
        <f t="shared" si="18"/>
        <v>5808.6</v>
      </c>
      <c r="L160" s="446">
        <f t="shared" si="18"/>
        <v>5814.6299999999992</v>
      </c>
      <c r="M160" s="446">
        <f t="shared" si="18"/>
        <v>5915.3399999999983</v>
      </c>
      <c r="N160" s="447">
        <f t="shared" ref="N160:Y160" si="19">N133-(N138+N142)</f>
        <v>6120.730000000005</v>
      </c>
      <c r="O160" s="446">
        <f t="shared" si="19"/>
        <v>6275.8099999999977</v>
      </c>
      <c r="P160" s="446">
        <f t="shared" si="19"/>
        <v>6809.989999999998</v>
      </c>
      <c r="Q160" s="446">
        <f t="shared" si="19"/>
        <v>7173.4599999999955</v>
      </c>
      <c r="R160" s="446">
        <f t="shared" si="19"/>
        <v>8122.4700000000012</v>
      </c>
      <c r="S160" s="446">
        <f t="shared" si="19"/>
        <v>9055.2400000000052</v>
      </c>
      <c r="T160" s="446">
        <f t="shared" si="19"/>
        <v>9997.25</v>
      </c>
      <c r="U160" s="446">
        <f t="shared" si="19"/>
        <v>10592.189999999999</v>
      </c>
      <c r="V160" s="446">
        <f t="shared" si="19"/>
        <v>10857.880000000001</v>
      </c>
      <c r="W160" s="446">
        <f t="shared" si="19"/>
        <v>10931.899999999998</v>
      </c>
      <c r="X160" s="446">
        <f t="shared" si="19"/>
        <v>11157.260000000002</v>
      </c>
      <c r="Y160" s="446">
        <f t="shared" si="19"/>
        <v>11237.351667236315</v>
      </c>
    </row>
    <row r="161" spans="1:25" x14ac:dyDescent="0.25">
      <c r="A161" s="505"/>
      <c r="B161" s="504" t="s">
        <v>4743</v>
      </c>
      <c r="C161" s="446">
        <f t="shared" ref="C161:Y161" si="20">C134-(C139+C144)</f>
        <v>8638.81</v>
      </c>
      <c r="D161" s="446">
        <f t="shared" si="20"/>
        <v>9198.0499999999993</v>
      </c>
      <c r="E161" s="446">
        <f t="shared" si="20"/>
        <v>10184.149999999998</v>
      </c>
      <c r="F161" s="446">
        <f t="shared" si="20"/>
        <v>11152.829999999998</v>
      </c>
      <c r="G161" s="446">
        <f t="shared" si="20"/>
        <v>11697.360000000004</v>
      </c>
      <c r="H161" s="446">
        <f t="shared" si="20"/>
        <v>11843.170000000002</v>
      </c>
      <c r="I161" s="446">
        <f t="shared" si="20"/>
        <v>12747.540000000005</v>
      </c>
      <c r="J161" s="446">
        <f t="shared" si="20"/>
        <v>13252.57</v>
      </c>
      <c r="K161" s="521">
        <f t="shared" si="20"/>
        <v>13507.600000000006</v>
      </c>
      <c r="L161" s="446">
        <f t="shared" si="20"/>
        <v>13573.355892884723</v>
      </c>
      <c r="M161" s="446">
        <f t="shared" si="20"/>
        <v>13829.945892884716</v>
      </c>
      <c r="N161" s="447">
        <f t="shared" si="20"/>
        <v>13915.825892884721</v>
      </c>
      <c r="O161" s="446">
        <f t="shared" si="20"/>
        <v>13934.995892884719</v>
      </c>
      <c r="P161" s="446">
        <f t="shared" si="20"/>
        <v>13953.235892884721</v>
      </c>
      <c r="Q161" s="446">
        <f t="shared" si="20"/>
        <v>16422.105892884727</v>
      </c>
      <c r="R161" s="446">
        <f t="shared" si="20"/>
        <v>17726.225892884722</v>
      </c>
      <c r="S161" s="446">
        <f t="shared" si="20"/>
        <v>21777.085892884723</v>
      </c>
      <c r="T161" s="446">
        <f t="shared" si="20"/>
        <v>21913.527560121031</v>
      </c>
      <c r="U161" s="446">
        <f t="shared" si="20"/>
        <v>25354.66756012103</v>
      </c>
      <c r="V161" s="446">
        <f t="shared" si="20"/>
        <v>26688.996914417308</v>
      </c>
      <c r="W161" s="446">
        <f t="shared" si="20"/>
        <v>27233.586914417312</v>
      </c>
      <c r="X161" s="446">
        <f t="shared" si="20"/>
        <v>27418.456914417315</v>
      </c>
      <c r="Y161" s="446">
        <f t="shared" si="20"/>
        <v>30770.64691441731</v>
      </c>
    </row>
    <row r="162" spans="1:25" x14ac:dyDescent="0.25">
      <c r="A162" s="505"/>
    </row>
    <row r="163" spans="1:25" x14ac:dyDescent="0.25">
      <c r="A163" s="505"/>
      <c r="B163" s="115"/>
    </row>
    <row r="164" spans="1:25" x14ac:dyDescent="0.25">
      <c r="A164" s="505"/>
    </row>
    <row r="165" spans="1:25" x14ac:dyDescent="0.25">
      <c r="A165" s="505"/>
      <c r="C165" s="446"/>
    </row>
    <row r="166" spans="1:25" x14ac:dyDescent="0.25">
      <c r="A166" s="505"/>
      <c r="C166" s="446"/>
    </row>
    <row r="167" spans="1:25" x14ac:dyDescent="0.25">
      <c r="A167" s="505"/>
      <c r="C167" s="446"/>
    </row>
    <row r="168" spans="1:25" x14ac:dyDescent="0.25">
      <c r="A168" s="505"/>
    </row>
    <row r="169" spans="1:25" x14ac:dyDescent="0.25">
      <c r="A169" s="505"/>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59"/>
  <sheetViews>
    <sheetView zoomScale="70" zoomScaleNormal="70" zoomScalePageLayoutView="70" workbookViewId="0">
      <pane ySplit="2" topLeftCell="A3" activePane="bottomLeft" state="frozen"/>
      <selection pane="bottomLeft"/>
    </sheetView>
  </sheetViews>
  <sheetFormatPr defaultColWidth="8.85546875" defaultRowHeight="15" x14ac:dyDescent="0.25"/>
  <cols>
    <col min="1" max="3" width="8.85546875" style="17"/>
    <col min="4" max="4" width="11.7109375" style="17" customWidth="1"/>
    <col min="5" max="5" width="13.140625" style="17" bestFit="1" customWidth="1"/>
    <col min="6" max="6" width="14.42578125" style="17" bestFit="1" customWidth="1"/>
    <col min="7" max="7" width="15" style="17" bestFit="1" customWidth="1"/>
    <col min="8" max="13" width="15.42578125" style="17" bestFit="1" customWidth="1"/>
    <col min="14" max="14" width="15" style="17" bestFit="1" customWidth="1"/>
    <col min="15" max="18" width="15.42578125" style="17" bestFit="1" customWidth="1"/>
    <col min="19" max="19" width="14.85546875" style="17" customWidth="1"/>
    <col min="20" max="21" width="13.5703125" style="17" customWidth="1"/>
    <col min="22" max="22" width="13.42578125" style="17" customWidth="1"/>
    <col min="23" max="23" width="13" style="17" customWidth="1"/>
    <col min="24" max="27" width="10.7109375" style="17" bestFit="1" customWidth="1"/>
    <col min="28" max="28" width="8.85546875" style="472"/>
    <col min="29" max="16384" width="8.85546875" style="17"/>
  </cols>
  <sheetData>
    <row r="2" spans="2:27" x14ac:dyDescent="0.25">
      <c r="E2" s="17">
        <v>2012</v>
      </c>
      <c r="F2" s="17">
        <f>E2+1</f>
        <v>2013</v>
      </c>
      <c r="G2" s="17">
        <f t="shared" ref="G2:AA2" si="0">F2+1</f>
        <v>2014</v>
      </c>
      <c r="H2" s="17">
        <f t="shared" si="0"/>
        <v>2015</v>
      </c>
      <c r="I2" s="17">
        <f t="shared" si="0"/>
        <v>2016</v>
      </c>
      <c r="J2" s="17">
        <f t="shared" si="0"/>
        <v>2017</v>
      </c>
      <c r="K2" s="17">
        <f t="shared" si="0"/>
        <v>2018</v>
      </c>
      <c r="L2" s="17">
        <f t="shared" si="0"/>
        <v>2019</v>
      </c>
      <c r="M2" s="17">
        <f t="shared" si="0"/>
        <v>2020</v>
      </c>
      <c r="N2" s="17">
        <f t="shared" si="0"/>
        <v>2021</v>
      </c>
      <c r="O2" s="17">
        <f t="shared" si="0"/>
        <v>2022</v>
      </c>
      <c r="P2" s="17">
        <f t="shared" si="0"/>
        <v>2023</v>
      </c>
      <c r="Q2" s="17">
        <f t="shared" si="0"/>
        <v>2024</v>
      </c>
      <c r="R2" s="17">
        <f t="shared" si="0"/>
        <v>2025</v>
      </c>
      <c r="S2" s="17">
        <f t="shared" si="0"/>
        <v>2026</v>
      </c>
      <c r="T2" s="17">
        <f t="shared" si="0"/>
        <v>2027</v>
      </c>
      <c r="U2" s="17">
        <f t="shared" si="0"/>
        <v>2028</v>
      </c>
      <c r="V2" s="17">
        <f t="shared" si="0"/>
        <v>2029</v>
      </c>
      <c r="W2" s="17">
        <f t="shared" si="0"/>
        <v>2030</v>
      </c>
      <c r="X2" s="17">
        <f t="shared" si="0"/>
        <v>2031</v>
      </c>
      <c r="Y2" s="17">
        <f t="shared" si="0"/>
        <v>2032</v>
      </c>
      <c r="Z2" s="17">
        <f t="shared" si="0"/>
        <v>2033</v>
      </c>
      <c r="AA2" s="17">
        <f t="shared" si="0"/>
        <v>2034</v>
      </c>
    </row>
    <row r="3" spans="2:27" x14ac:dyDescent="0.25">
      <c r="B3" s="466" t="s">
        <v>4</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row>
    <row r="4" spans="2:27" x14ac:dyDescent="0.25">
      <c r="C4" s="17" t="s">
        <v>0</v>
      </c>
    </row>
    <row r="5" spans="2:27" x14ac:dyDescent="0.25">
      <c r="D5" s="17" t="s">
        <v>6</v>
      </c>
      <c r="E5" s="434">
        <v>22308</v>
      </c>
      <c r="F5" s="434">
        <v>22384</v>
      </c>
      <c r="G5" s="434">
        <v>22555</v>
      </c>
      <c r="H5" s="434">
        <v>22854</v>
      </c>
      <c r="I5" s="434">
        <v>23229</v>
      </c>
      <c r="J5" s="434">
        <v>23577</v>
      </c>
      <c r="K5" s="434">
        <v>23858</v>
      </c>
      <c r="L5" s="434">
        <v>24119</v>
      </c>
      <c r="M5" s="434">
        <v>24357</v>
      </c>
      <c r="N5" s="434">
        <v>24550</v>
      </c>
      <c r="O5" s="434">
        <v>24724</v>
      </c>
    </row>
    <row r="6" spans="2:27" x14ac:dyDescent="0.25">
      <c r="D6" s="17" t="s">
        <v>7</v>
      </c>
      <c r="E6" s="434">
        <v>21813</v>
      </c>
      <c r="F6" s="434">
        <v>21892</v>
      </c>
      <c r="G6" s="434">
        <v>22047</v>
      </c>
      <c r="H6" s="434">
        <v>22292</v>
      </c>
      <c r="I6" s="434">
        <v>22630</v>
      </c>
      <c r="J6" s="434">
        <v>22960</v>
      </c>
      <c r="K6" s="434">
        <v>23248</v>
      </c>
      <c r="L6" s="434">
        <v>23502</v>
      </c>
      <c r="M6" s="434">
        <v>23721</v>
      </c>
      <c r="N6" s="434">
        <v>23899</v>
      </c>
      <c r="O6" s="434">
        <v>24056</v>
      </c>
    </row>
    <row r="7" spans="2:27" x14ac:dyDescent="0.25">
      <c r="D7" s="17" t="s">
        <v>8</v>
      </c>
      <c r="E7" s="434">
        <v>4458</v>
      </c>
      <c r="F7" s="434">
        <v>4491</v>
      </c>
      <c r="G7" s="434">
        <v>4543</v>
      </c>
      <c r="H7" s="434">
        <v>4618</v>
      </c>
      <c r="I7" s="434">
        <v>4716</v>
      </c>
      <c r="J7" s="434">
        <v>4824</v>
      </c>
      <c r="K7" s="434">
        <v>4913</v>
      </c>
      <c r="L7" s="434">
        <v>4992</v>
      </c>
      <c r="M7" s="434">
        <v>5066</v>
      </c>
      <c r="N7" s="434">
        <v>5136</v>
      </c>
      <c r="O7" s="434">
        <v>5205</v>
      </c>
    </row>
    <row r="8" spans="2:27" x14ac:dyDescent="0.25">
      <c r="C8" s="17" t="s">
        <v>9</v>
      </c>
      <c r="E8" s="433"/>
      <c r="F8" s="433"/>
      <c r="G8" s="433"/>
      <c r="H8" s="433"/>
      <c r="I8" s="433"/>
      <c r="J8" s="433"/>
      <c r="K8" s="433"/>
      <c r="L8" s="433"/>
      <c r="M8" s="433"/>
      <c r="N8" s="433"/>
      <c r="O8" s="433"/>
    </row>
    <row r="9" spans="2:27" x14ac:dyDescent="0.25">
      <c r="D9" s="17" t="s">
        <v>6</v>
      </c>
      <c r="E9" s="434">
        <v>22840</v>
      </c>
      <c r="F9" s="434">
        <v>23387</v>
      </c>
      <c r="G9" s="434">
        <v>23737</v>
      </c>
      <c r="H9" s="434">
        <v>24060</v>
      </c>
      <c r="I9" s="434">
        <v>24377</v>
      </c>
      <c r="J9" s="434">
        <v>24687</v>
      </c>
      <c r="K9" s="434">
        <v>24983</v>
      </c>
      <c r="L9" s="434">
        <v>25306</v>
      </c>
      <c r="M9" s="434">
        <v>25620</v>
      </c>
      <c r="N9" s="434">
        <v>25903</v>
      </c>
      <c r="O9" s="434">
        <v>26161</v>
      </c>
    </row>
    <row r="10" spans="2:27" x14ac:dyDescent="0.25">
      <c r="D10" s="17" t="s">
        <v>7</v>
      </c>
      <c r="E10" s="434">
        <v>22340</v>
      </c>
      <c r="F10" s="434">
        <v>22872</v>
      </c>
      <c r="G10" s="434">
        <v>23193</v>
      </c>
      <c r="H10" s="434">
        <v>23484</v>
      </c>
      <c r="I10" s="434">
        <v>23796</v>
      </c>
      <c r="J10" s="434">
        <v>24114</v>
      </c>
      <c r="K10" s="434">
        <v>24427</v>
      </c>
      <c r="L10" s="434">
        <v>24751</v>
      </c>
      <c r="M10" s="434">
        <v>25054</v>
      </c>
      <c r="N10" s="434">
        <v>25337</v>
      </c>
      <c r="O10" s="434">
        <v>25591</v>
      </c>
    </row>
    <row r="11" spans="2:27" x14ac:dyDescent="0.25">
      <c r="D11" s="17" t="s">
        <v>8</v>
      </c>
      <c r="E11" s="434">
        <v>4560</v>
      </c>
      <c r="F11" s="434">
        <v>4685</v>
      </c>
      <c r="G11" s="434">
        <v>4776</v>
      </c>
      <c r="H11" s="434">
        <v>4865</v>
      </c>
      <c r="I11" s="434">
        <v>4962</v>
      </c>
      <c r="J11" s="434">
        <v>5068</v>
      </c>
      <c r="K11" s="434">
        <v>5167</v>
      </c>
      <c r="L11" s="434">
        <v>5265</v>
      </c>
      <c r="M11" s="434">
        <v>5359</v>
      </c>
      <c r="N11" s="434">
        <v>5450</v>
      </c>
      <c r="O11" s="434">
        <v>5536</v>
      </c>
    </row>
    <row r="12" spans="2:27" x14ac:dyDescent="0.25">
      <c r="C12" s="17" t="s">
        <v>1</v>
      </c>
      <c r="E12" s="433"/>
      <c r="F12" s="433"/>
      <c r="G12" s="433"/>
      <c r="H12" s="433"/>
      <c r="I12" s="433"/>
      <c r="J12" s="433"/>
      <c r="K12" s="433"/>
      <c r="L12" s="433"/>
      <c r="M12" s="433"/>
      <c r="N12" s="433"/>
      <c r="O12" s="433"/>
    </row>
    <row r="13" spans="2:27" x14ac:dyDescent="0.25">
      <c r="D13" s="17" t="s">
        <v>6</v>
      </c>
      <c r="E13" s="434">
        <v>22886</v>
      </c>
      <c r="F13" s="434">
        <v>23357</v>
      </c>
      <c r="G13" s="434">
        <v>23861</v>
      </c>
      <c r="H13" s="434">
        <v>24359</v>
      </c>
      <c r="I13" s="434">
        <v>24768</v>
      </c>
      <c r="J13" s="434">
        <v>25167</v>
      </c>
      <c r="K13" s="434">
        <v>25589</v>
      </c>
      <c r="L13" s="434">
        <v>26053</v>
      </c>
      <c r="M13" s="434">
        <v>26553</v>
      </c>
      <c r="N13" s="434">
        <v>27005</v>
      </c>
      <c r="O13" s="434">
        <v>27466</v>
      </c>
      <c r="Q13" s="474"/>
      <c r="R13" s="474"/>
    </row>
    <row r="14" spans="2:27" x14ac:dyDescent="0.25">
      <c r="D14" s="17" t="s">
        <v>7</v>
      </c>
      <c r="E14" s="434">
        <v>22398</v>
      </c>
      <c r="F14" s="434">
        <v>22904</v>
      </c>
      <c r="G14" s="434">
        <v>23479</v>
      </c>
      <c r="H14" s="434">
        <v>23875</v>
      </c>
      <c r="I14" s="434">
        <v>24255</v>
      </c>
      <c r="J14" s="434">
        <v>24622</v>
      </c>
      <c r="K14" s="434">
        <v>25013</v>
      </c>
      <c r="L14" s="434">
        <v>25442</v>
      </c>
      <c r="M14" s="434">
        <v>25907</v>
      </c>
      <c r="N14" s="434">
        <v>26323</v>
      </c>
      <c r="O14" s="434">
        <v>26739</v>
      </c>
      <c r="Q14" s="474"/>
      <c r="R14" s="474"/>
    </row>
    <row r="15" spans="2:27" x14ac:dyDescent="0.25">
      <c r="D15" s="17" t="s">
        <v>8</v>
      </c>
      <c r="E15" s="434">
        <v>4559</v>
      </c>
      <c r="F15" s="434">
        <v>4668</v>
      </c>
      <c r="G15" s="434">
        <v>4806</v>
      </c>
      <c r="H15" s="434">
        <v>4915</v>
      </c>
      <c r="I15" s="434">
        <v>5019</v>
      </c>
      <c r="J15" s="434">
        <v>5129</v>
      </c>
      <c r="K15" s="434">
        <v>5241</v>
      </c>
      <c r="L15" s="434">
        <v>5355</v>
      </c>
      <c r="M15" s="434">
        <v>5478</v>
      </c>
      <c r="N15" s="434">
        <v>5589</v>
      </c>
      <c r="O15" s="434">
        <v>5699</v>
      </c>
      <c r="Q15" s="474"/>
      <c r="R15" s="474"/>
    </row>
    <row r="16" spans="2:27" x14ac:dyDescent="0.25">
      <c r="C16" s="17" t="s">
        <v>11</v>
      </c>
      <c r="E16" s="433"/>
      <c r="F16" s="433"/>
      <c r="G16" s="433"/>
      <c r="H16" s="433"/>
      <c r="I16" s="433"/>
      <c r="J16" s="433"/>
      <c r="K16" s="433"/>
      <c r="L16" s="433"/>
      <c r="M16" s="433"/>
      <c r="N16" s="433"/>
      <c r="O16" s="433"/>
      <c r="Q16" s="474"/>
      <c r="R16" s="474"/>
    </row>
    <row r="17" spans="2:27" x14ac:dyDescent="0.25">
      <c r="D17" s="17" t="s">
        <v>6</v>
      </c>
      <c r="E17" s="434">
        <v>23891</v>
      </c>
      <c r="F17" s="434">
        <v>24463</v>
      </c>
      <c r="G17" s="434">
        <v>24829</v>
      </c>
      <c r="H17" s="434">
        <v>25166</v>
      </c>
      <c r="I17" s="434">
        <v>25499</v>
      </c>
      <c r="J17" s="434">
        <v>25823</v>
      </c>
      <c r="K17" s="434">
        <v>26133</v>
      </c>
      <c r="L17" s="434">
        <v>26470</v>
      </c>
      <c r="M17" s="434">
        <v>26798</v>
      </c>
      <c r="N17" s="434">
        <v>27095</v>
      </c>
      <c r="O17" s="434">
        <v>27365</v>
      </c>
      <c r="Q17" s="474"/>
      <c r="R17" s="474"/>
    </row>
    <row r="18" spans="2:27" x14ac:dyDescent="0.25">
      <c r="D18" s="17" t="s">
        <v>7</v>
      </c>
      <c r="E18" s="434">
        <v>23346</v>
      </c>
      <c r="F18" s="434">
        <v>23901</v>
      </c>
      <c r="G18" s="434">
        <v>24237</v>
      </c>
      <c r="H18" s="434">
        <v>24540</v>
      </c>
      <c r="I18" s="434">
        <v>24866</v>
      </c>
      <c r="J18" s="434">
        <v>25199</v>
      </c>
      <c r="K18" s="434">
        <v>25526</v>
      </c>
      <c r="L18" s="434">
        <v>25865</v>
      </c>
      <c r="M18" s="434">
        <v>26182</v>
      </c>
      <c r="N18" s="434">
        <v>26477</v>
      </c>
      <c r="O18" s="434">
        <v>26741</v>
      </c>
      <c r="Q18" s="474"/>
      <c r="R18" s="474"/>
    </row>
    <row r="19" spans="2:27" x14ac:dyDescent="0.25">
      <c r="D19" s="17" t="s">
        <v>8</v>
      </c>
      <c r="E19" s="434">
        <v>4879</v>
      </c>
      <c r="F19" s="434">
        <v>5013</v>
      </c>
      <c r="G19" s="434">
        <v>5110</v>
      </c>
      <c r="H19" s="434">
        <v>5205</v>
      </c>
      <c r="I19" s="434">
        <v>5309</v>
      </c>
      <c r="J19" s="434">
        <v>5423</v>
      </c>
      <c r="K19" s="434">
        <v>5529</v>
      </c>
      <c r="L19" s="434">
        <v>5634</v>
      </c>
      <c r="M19" s="434">
        <v>5735</v>
      </c>
      <c r="N19" s="434">
        <v>5831</v>
      </c>
      <c r="O19" s="434">
        <v>5923</v>
      </c>
      <c r="Q19" s="474"/>
      <c r="R19" s="474"/>
    </row>
    <row r="20" spans="2:27" x14ac:dyDescent="0.25">
      <c r="C20" s="17" t="s">
        <v>12</v>
      </c>
      <c r="E20" s="433"/>
      <c r="F20" s="433"/>
      <c r="G20" s="433"/>
      <c r="H20" s="433"/>
      <c r="I20" s="433"/>
      <c r="J20" s="433"/>
      <c r="K20" s="433"/>
      <c r="L20" s="433"/>
      <c r="M20" s="433"/>
      <c r="N20" s="433"/>
      <c r="O20" s="433"/>
      <c r="P20" s="474"/>
      <c r="Q20" s="474"/>
      <c r="R20" s="474"/>
    </row>
    <row r="21" spans="2:27" x14ac:dyDescent="0.25">
      <c r="D21" s="17" t="s">
        <v>6</v>
      </c>
      <c r="E21" s="434">
        <v>24416</v>
      </c>
      <c r="F21" s="434">
        <v>25001</v>
      </c>
      <c r="G21" s="434">
        <v>25375</v>
      </c>
      <c r="H21" s="434">
        <v>25720</v>
      </c>
      <c r="I21" s="434">
        <v>26060</v>
      </c>
      <c r="J21" s="434">
        <v>26391</v>
      </c>
      <c r="K21" s="434">
        <v>26707</v>
      </c>
      <c r="L21" s="434">
        <v>27052</v>
      </c>
      <c r="M21" s="434">
        <v>27387</v>
      </c>
      <c r="N21" s="434">
        <v>27690</v>
      </c>
      <c r="O21" s="434">
        <v>27967</v>
      </c>
      <c r="P21" s="474"/>
      <c r="Q21" s="474"/>
      <c r="R21" s="474"/>
    </row>
    <row r="22" spans="2:27" x14ac:dyDescent="0.25">
      <c r="D22" s="17" t="s">
        <v>7</v>
      </c>
      <c r="E22" s="434">
        <v>24038</v>
      </c>
      <c r="F22" s="434">
        <v>24610</v>
      </c>
      <c r="G22" s="434">
        <v>24956</v>
      </c>
      <c r="H22" s="434">
        <v>25268</v>
      </c>
      <c r="I22" s="434">
        <v>25604</v>
      </c>
      <c r="J22" s="434">
        <v>25947</v>
      </c>
      <c r="K22" s="434">
        <v>26284</v>
      </c>
      <c r="L22" s="434">
        <v>26632</v>
      </c>
      <c r="M22" s="434">
        <v>26958</v>
      </c>
      <c r="N22" s="434">
        <v>27262</v>
      </c>
      <c r="O22" s="434">
        <v>27536</v>
      </c>
      <c r="P22" s="474"/>
      <c r="Q22" s="474"/>
      <c r="R22" s="474"/>
    </row>
    <row r="23" spans="2:27" x14ac:dyDescent="0.25">
      <c r="D23" s="17" t="s">
        <v>8</v>
      </c>
      <c r="E23" s="434">
        <v>4988</v>
      </c>
      <c r="F23" s="434">
        <v>5125</v>
      </c>
      <c r="G23" s="434">
        <v>5225</v>
      </c>
      <c r="H23" s="434">
        <v>5322</v>
      </c>
      <c r="I23" s="434">
        <v>5428</v>
      </c>
      <c r="J23" s="434">
        <v>5545</v>
      </c>
      <c r="K23" s="434">
        <v>5653</v>
      </c>
      <c r="L23" s="434">
        <v>5760</v>
      </c>
      <c r="M23" s="434">
        <v>5863</v>
      </c>
      <c r="N23" s="434">
        <v>5962</v>
      </c>
      <c r="O23" s="434">
        <v>6056</v>
      </c>
      <c r="P23" s="474"/>
      <c r="Q23" s="474"/>
      <c r="R23" s="474"/>
    </row>
    <row r="24" spans="2:27" x14ac:dyDescent="0.25">
      <c r="C24" s="17" t="s">
        <v>15</v>
      </c>
      <c r="D24" s="474"/>
      <c r="E24" s="433"/>
      <c r="F24" s="433"/>
      <c r="G24" s="433"/>
      <c r="H24" s="433"/>
      <c r="I24" s="433"/>
      <c r="J24" s="433"/>
      <c r="K24" s="433"/>
      <c r="L24" s="433"/>
      <c r="M24" s="433"/>
      <c r="N24" s="433"/>
      <c r="O24" s="433"/>
      <c r="P24" s="474"/>
      <c r="Q24" s="474"/>
      <c r="R24" s="474"/>
    </row>
    <row r="25" spans="2:27" x14ac:dyDescent="0.25">
      <c r="D25" s="17" t="s">
        <v>6</v>
      </c>
      <c r="E25" s="434">
        <v>24192</v>
      </c>
      <c r="F25" s="434">
        <v>24574</v>
      </c>
      <c r="G25" s="434">
        <v>24866</v>
      </c>
      <c r="H25" s="434">
        <v>25163</v>
      </c>
      <c r="I25" s="434">
        <v>25469</v>
      </c>
      <c r="J25" s="434">
        <v>25805</v>
      </c>
      <c r="K25" s="434">
        <v>26125</v>
      </c>
      <c r="L25" s="434">
        <v>26445</v>
      </c>
      <c r="M25" s="434">
        <v>26805</v>
      </c>
      <c r="N25" s="433"/>
      <c r="O25" s="433"/>
      <c r="P25" s="474"/>
      <c r="Q25" s="474"/>
      <c r="R25" s="474"/>
    </row>
    <row r="26" spans="2:27" x14ac:dyDescent="0.25">
      <c r="D26" s="17" t="s">
        <v>7</v>
      </c>
      <c r="E26" s="434">
        <v>23537</v>
      </c>
      <c r="F26" s="434">
        <v>23912</v>
      </c>
      <c r="G26" s="434">
        <v>24218</v>
      </c>
      <c r="H26" s="434">
        <v>24543</v>
      </c>
      <c r="I26" s="434">
        <v>24876</v>
      </c>
      <c r="J26" s="434">
        <v>25226</v>
      </c>
      <c r="K26" s="434">
        <v>25561</v>
      </c>
      <c r="L26" s="434">
        <v>25901</v>
      </c>
      <c r="M26" s="434">
        <v>26267</v>
      </c>
      <c r="N26" s="433"/>
      <c r="O26" s="433"/>
      <c r="P26" s="474"/>
      <c r="Q26" s="474"/>
      <c r="R26" s="474"/>
    </row>
    <row r="27" spans="2:27" x14ac:dyDescent="0.25">
      <c r="D27" s="17" t="s">
        <v>8</v>
      </c>
      <c r="E27" s="434">
        <v>4658</v>
      </c>
      <c r="F27" s="434">
        <v>4738</v>
      </c>
      <c r="G27" s="434">
        <v>4797</v>
      </c>
      <c r="H27" s="434">
        <v>4856</v>
      </c>
      <c r="I27" s="434">
        <v>4911</v>
      </c>
      <c r="J27" s="434">
        <v>4973</v>
      </c>
      <c r="K27" s="434">
        <v>5032</v>
      </c>
      <c r="L27" s="434">
        <v>5094</v>
      </c>
      <c r="M27" s="434">
        <v>5157</v>
      </c>
      <c r="N27" s="433"/>
      <c r="O27" s="433"/>
      <c r="P27" s="474"/>
      <c r="Q27" s="474"/>
      <c r="R27" s="474"/>
    </row>
    <row r="28" spans="2:27" x14ac:dyDescent="0.25">
      <c r="E28" s="5"/>
      <c r="F28" s="5"/>
      <c r="G28" s="5"/>
      <c r="H28" s="5"/>
      <c r="I28" s="5"/>
      <c r="J28" s="5"/>
      <c r="K28" s="5"/>
      <c r="L28" s="5"/>
      <c r="M28" s="5"/>
      <c r="N28" s="5"/>
      <c r="O28" s="5"/>
      <c r="P28" s="474"/>
      <c r="Q28" s="474"/>
      <c r="R28" s="474"/>
    </row>
    <row r="29" spans="2:27" x14ac:dyDescent="0.25">
      <c r="B29" s="466" t="s">
        <v>5</v>
      </c>
      <c r="C29" s="473"/>
      <c r="D29" s="473"/>
      <c r="E29" s="467"/>
      <c r="F29" s="467"/>
      <c r="G29" s="467"/>
      <c r="H29" s="467"/>
      <c r="I29" s="467"/>
      <c r="J29" s="467"/>
      <c r="K29" s="467"/>
      <c r="L29" s="467"/>
      <c r="M29" s="467"/>
      <c r="N29" s="467"/>
      <c r="O29" s="467"/>
      <c r="P29" s="467"/>
      <c r="Q29" s="467"/>
      <c r="R29" s="467"/>
      <c r="S29" s="467"/>
      <c r="T29" s="467"/>
      <c r="U29" s="467"/>
      <c r="V29" s="467"/>
      <c r="W29" s="467"/>
      <c r="X29" s="467"/>
      <c r="Y29" s="467"/>
      <c r="Z29" s="467"/>
      <c r="AA29" s="467"/>
    </row>
    <row r="30" spans="2:27" x14ac:dyDescent="0.25">
      <c r="C30" s="17" t="s">
        <v>0</v>
      </c>
      <c r="E30" s="5"/>
      <c r="F30" s="5"/>
      <c r="G30" s="5"/>
      <c r="H30" s="5"/>
      <c r="I30" s="5"/>
      <c r="J30" s="5"/>
      <c r="K30" s="5"/>
      <c r="L30" s="5"/>
      <c r="M30" s="5"/>
      <c r="N30" s="5"/>
      <c r="O30" s="5"/>
      <c r="P30" s="474"/>
      <c r="Q30" s="474"/>
      <c r="R30" s="474"/>
    </row>
    <row r="31" spans="2:27" x14ac:dyDescent="0.25">
      <c r="D31" s="17" t="s">
        <v>6</v>
      </c>
      <c r="E31" s="434">
        <v>109424</v>
      </c>
      <c r="F31" s="434">
        <v>109911</v>
      </c>
      <c r="G31" s="434">
        <v>110797</v>
      </c>
      <c r="H31" s="434">
        <v>112144</v>
      </c>
      <c r="I31" s="434">
        <v>113846</v>
      </c>
      <c r="J31" s="434">
        <v>115511</v>
      </c>
      <c r="K31" s="434">
        <v>116794</v>
      </c>
      <c r="L31" s="434">
        <v>118229</v>
      </c>
      <c r="M31" s="434">
        <v>119584</v>
      </c>
      <c r="N31" s="434">
        <v>120802</v>
      </c>
      <c r="O31" s="434">
        <v>121992</v>
      </c>
      <c r="P31" s="474"/>
      <c r="Q31" s="474"/>
      <c r="R31" s="474"/>
    </row>
    <row r="32" spans="2:27" x14ac:dyDescent="0.25">
      <c r="D32" s="17" t="s">
        <v>7</v>
      </c>
      <c r="E32" s="434">
        <v>98824</v>
      </c>
      <c r="F32" s="434">
        <v>99317</v>
      </c>
      <c r="G32" s="434">
        <v>99937</v>
      </c>
      <c r="H32" s="434">
        <v>100895</v>
      </c>
      <c r="I32" s="434">
        <v>102111</v>
      </c>
      <c r="J32" s="434">
        <v>103351</v>
      </c>
      <c r="K32" s="434">
        <v>104393</v>
      </c>
      <c r="L32" s="434">
        <v>105557</v>
      </c>
      <c r="M32" s="434">
        <v>106623</v>
      </c>
      <c r="N32" s="434">
        <v>107642</v>
      </c>
      <c r="O32" s="434">
        <v>108619</v>
      </c>
      <c r="P32" s="474"/>
      <c r="Q32" s="474"/>
      <c r="R32" s="474"/>
    </row>
    <row r="33" spans="2:18" x14ac:dyDescent="0.25">
      <c r="D33" s="17" t="s">
        <v>8</v>
      </c>
      <c r="E33" s="434">
        <v>21283</v>
      </c>
      <c r="F33" s="434">
        <v>21471</v>
      </c>
      <c r="G33" s="434">
        <v>21699</v>
      </c>
      <c r="H33" s="434">
        <v>22033</v>
      </c>
      <c r="I33" s="434">
        <v>22490</v>
      </c>
      <c r="J33" s="434">
        <v>22974</v>
      </c>
      <c r="K33" s="434">
        <v>23376</v>
      </c>
      <c r="L33" s="434">
        <v>23819</v>
      </c>
      <c r="M33" s="434">
        <v>24256</v>
      </c>
      <c r="N33" s="434">
        <v>24693</v>
      </c>
      <c r="O33" s="434">
        <v>25133</v>
      </c>
      <c r="P33" s="474"/>
      <c r="Q33" s="474"/>
      <c r="R33" s="474"/>
    </row>
    <row r="34" spans="2:18" x14ac:dyDescent="0.25">
      <c r="C34" s="17" t="s">
        <v>9</v>
      </c>
      <c r="E34" s="5"/>
      <c r="F34" s="5"/>
      <c r="G34" s="5"/>
      <c r="H34" s="5"/>
      <c r="I34" s="5"/>
      <c r="J34" s="5"/>
      <c r="K34" s="5"/>
      <c r="L34" s="5"/>
      <c r="M34" s="5"/>
      <c r="N34" s="5"/>
      <c r="O34" s="5"/>
      <c r="P34" s="474"/>
      <c r="Q34" s="474"/>
      <c r="R34" s="474"/>
    </row>
    <row r="35" spans="2:18" x14ac:dyDescent="0.25">
      <c r="D35" s="17" t="s">
        <v>6</v>
      </c>
      <c r="E35" s="434">
        <v>112406</v>
      </c>
      <c r="F35" s="434">
        <v>113792</v>
      </c>
      <c r="G35" s="434">
        <v>115254</v>
      </c>
      <c r="H35" s="434">
        <v>116675</v>
      </c>
      <c r="I35" s="434">
        <v>118057</v>
      </c>
      <c r="J35" s="434">
        <v>119381</v>
      </c>
      <c r="K35" s="434">
        <v>120682</v>
      </c>
      <c r="L35" s="434">
        <v>122211</v>
      </c>
      <c r="M35" s="434">
        <v>123747</v>
      </c>
      <c r="N35" s="434">
        <v>125196</v>
      </c>
      <c r="O35" s="434">
        <v>126553</v>
      </c>
      <c r="P35" s="474"/>
      <c r="Q35" s="474"/>
      <c r="R35" s="474"/>
    </row>
    <row r="36" spans="2:18" x14ac:dyDescent="0.25">
      <c r="D36" s="17" t="s">
        <v>7</v>
      </c>
      <c r="E36" s="434">
        <v>100780</v>
      </c>
      <c r="F36" s="434">
        <v>101839</v>
      </c>
      <c r="G36" s="434">
        <v>102957</v>
      </c>
      <c r="H36" s="434">
        <v>104089</v>
      </c>
      <c r="I36" s="434">
        <v>105244</v>
      </c>
      <c r="J36" s="434">
        <v>106399</v>
      </c>
      <c r="K36" s="434">
        <v>107490</v>
      </c>
      <c r="L36" s="434">
        <v>108824</v>
      </c>
      <c r="M36" s="434">
        <v>110081</v>
      </c>
      <c r="N36" s="434">
        <v>111272</v>
      </c>
      <c r="O36" s="434">
        <v>112384</v>
      </c>
      <c r="Q36" s="474"/>
      <c r="R36" s="474"/>
    </row>
    <row r="37" spans="2:18" x14ac:dyDescent="0.25">
      <c r="D37" s="17" t="s">
        <v>8</v>
      </c>
      <c r="E37" s="434">
        <v>21714</v>
      </c>
      <c r="F37" s="434">
        <v>22045</v>
      </c>
      <c r="G37" s="434">
        <v>22427</v>
      </c>
      <c r="H37" s="434">
        <v>22842</v>
      </c>
      <c r="I37" s="434">
        <v>23305</v>
      </c>
      <c r="J37" s="434">
        <v>23798</v>
      </c>
      <c r="K37" s="434">
        <v>24258</v>
      </c>
      <c r="L37" s="434">
        <v>24773</v>
      </c>
      <c r="M37" s="434">
        <v>25278</v>
      </c>
      <c r="N37" s="434">
        <v>25780</v>
      </c>
      <c r="O37" s="434">
        <v>26273</v>
      </c>
    </row>
    <row r="38" spans="2:18" x14ac:dyDescent="0.25">
      <c r="C38" s="17" t="s">
        <v>1</v>
      </c>
      <c r="E38" s="5"/>
      <c r="F38" s="5"/>
      <c r="G38" s="5"/>
      <c r="H38" s="5"/>
      <c r="I38" s="5"/>
      <c r="J38" s="5"/>
      <c r="K38" s="5"/>
      <c r="L38" s="5"/>
      <c r="M38" s="5"/>
      <c r="N38" s="5"/>
      <c r="O38" s="5"/>
      <c r="Q38" s="474"/>
    </row>
    <row r="39" spans="2:18" x14ac:dyDescent="0.25">
      <c r="D39" s="17" t="s">
        <v>6</v>
      </c>
      <c r="E39" s="434">
        <v>112662</v>
      </c>
      <c r="F39" s="434">
        <v>114565</v>
      </c>
      <c r="G39" s="434">
        <v>117123</v>
      </c>
      <c r="H39" s="434">
        <v>119375</v>
      </c>
      <c r="I39" s="434">
        <v>121459</v>
      </c>
      <c r="J39" s="434">
        <v>123568</v>
      </c>
      <c r="K39" s="434">
        <v>125766</v>
      </c>
      <c r="L39" s="434">
        <v>128373</v>
      </c>
      <c r="M39" s="434">
        <v>131155</v>
      </c>
      <c r="N39" s="434">
        <v>133705</v>
      </c>
      <c r="O39" s="434">
        <v>136265</v>
      </c>
      <c r="Q39" s="474"/>
    </row>
    <row r="40" spans="2:18" x14ac:dyDescent="0.25">
      <c r="D40" s="17" t="s">
        <v>7</v>
      </c>
      <c r="E40" s="434">
        <v>101546</v>
      </c>
      <c r="F40" s="434">
        <v>103007</v>
      </c>
      <c r="G40" s="434">
        <v>104759</v>
      </c>
      <c r="H40" s="434">
        <v>106274</v>
      </c>
      <c r="I40" s="434">
        <v>107644</v>
      </c>
      <c r="J40" s="434">
        <v>109043</v>
      </c>
      <c r="K40" s="434">
        <v>110465</v>
      </c>
      <c r="L40" s="434">
        <v>112184</v>
      </c>
      <c r="M40" s="434">
        <v>113974</v>
      </c>
      <c r="N40" s="434">
        <v>115502</v>
      </c>
      <c r="O40" s="434">
        <v>116977</v>
      </c>
      <c r="Q40" s="474"/>
    </row>
    <row r="41" spans="2:18" x14ac:dyDescent="0.25">
      <c r="D41" s="17" t="s">
        <v>8</v>
      </c>
      <c r="E41" s="434">
        <v>21804</v>
      </c>
      <c r="F41" s="434">
        <v>22239</v>
      </c>
      <c r="G41" s="434">
        <v>22848</v>
      </c>
      <c r="H41" s="434">
        <v>23408</v>
      </c>
      <c r="I41" s="434">
        <v>23944</v>
      </c>
      <c r="J41" s="434">
        <v>24512</v>
      </c>
      <c r="K41" s="434">
        <v>25089</v>
      </c>
      <c r="L41" s="434">
        <v>25729</v>
      </c>
      <c r="M41" s="434">
        <v>26409</v>
      </c>
      <c r="N41" s="434">
        <v>27047</v>
      </c>
      <c r="O41" s="434">
        <v>27682</v>
      </c>
      <c r="Q41" s="474"/>
    </row>
    <row r="42" spans="2:18" x14ac:dyDescent="0.25">
      <c r="C42" s="17" t="s">
        <v>15</v>
      </c>
      <c r="D42" s="474"/>
      <c r="E42" s="5"/>
      <c r="F42" s="5"/>
      <c r="G42" s="5"/>
      <c r="H42" s="5"/>
      <c r="I42" s="5"/>
      <c r="J42" s="5"/>
      <c r="K42" s="5"/>
      <c r="L42" s="5"/>
      <c r="M42" s="5"/>
      <c r="N42" s="5"/>
      <c r="O42" s="5"/>
      <c r="Q42" s="474"/>
    </row>
    <row r="43" spans="2:18" x14ac:dyDescent="0.25">
      <c r="D43" s="17" t="s">
        <v>6</v>
      </c>
      <c r="E43" s="434">
        <v>115360</v>
      </c>
      <c r="F43" s="434">
        <v>117182</v>
      </c>
      <c r="G43" s="434">
        <v>118482</v>
      </c>
      <c r="H43" s="434">
        <v>119773</v>
      </c>
      <c r="I43" s="434">
        <v>121111</v>
      </c>
      <c r="J43" s="434">
        <v>122564</v>
      </c>
      <c r="K43" s="434">
        <v>123936</v>
      </c>
      <c r="L43" s="434">
        <v>125305</v>
      </c>
      <c r="M43" s="434">
        <v>126745</v>
      </c>
      <c r="N43" s="433"/>
      <c r="O43" s="433"/>
      <c r="Q43" s="474"/>
    </row>
    <row r="44" spans="2:18" x14ac:dyDescent="0.25">
      <c r="D44" s="17" t="s">
        <v>7</v>
      </c>
      <c r="E44" s="434">
        <v>103872</v>
      </c>
      <c r="F44" s="434">
        <v>105527</v>
      </c>
      <c r="G44" s="434">
        <v>106776</v>
      </c>
      <c r="H44" s="434">
        <v>108083</v>
      </c>
      <c r="I44" s="434">
        <v>109419</v>
      </c>
      <c r="J44" s="434">
        <v>110799</v>
      </c>
      <c r="K44" s="434">
        <v>112127</v>
      </c>
      <c r="L44" s="434">
        <v>113474</v>
      </c>
      <c r="M44" s="434">
        <v>114872</v>
      </c>
      <c r="N44" s="433"/>
      <c r="O44" s="433"/>
      <c r="Q44" s="474"/>
    </row>
    <row r="45" spans="2:18" x14ac:dyDescent="0.25">
      <c r="D45" s="17" t="s">
        <v>8</v>
      </c>
      <c r="E45" s="434">
        <v>22284</v>
      </c>
      <c r="F45" s="434">
        <v>22680</v>
      </c>
      <c r="G45" s="434">
        <v>22978</v>
      </c>
      <c r="H45" s="434">
        <v>23283</v>
      </c>
      <c r="I45" s="434">
        <v>23556</v>
      </c>
      <c r="J45" s="434">
        <v>23845</v>
      </c>
      <c r="K45" s="434">
        <v>24130</v>
      </c>
      <c r="L45" s="434">
        <v>24434</v>
      </c>
      <c r="M45" s="434">
        <v>24740</v>
      </c>
      <c r="N45" s="433"/>
      <c r="O45" s="433"/>
      <c r="Q45" s="474"/>
    </row>
    <row r="46" spans="2:18" x14ac:dyDescent="0.25">
      <c r="E46" s="433"/>
      <c r="F46" s="433"/>
      <c r="G46" s="433"/>
      <c r="H46" s="433"/>
      <c r="I46" s="433"/>
      <c r="J46" s="433"/>
      <c r="K46" s="433"/>
      <c r="L46" s="433"/>
      <c r="M46" s="433"/>
      <c r="N46" s="433"/>
      <c r="O46" s="433"/>
      <c r="Q46" s="474"/>
    </row>
    <row r="47" spans="2:18" x14ac:dyDescent="0.25">
      <c r="B47" s="632" t="s">
        <v>4848</v>
      </c>
      <c r="C47" s="633"/>
      <c r="D47" s="633"/>
      <c r="E47" s="634"/>
      <c r="F47" s="634"/>
      <c r="G47" s="634"/>
      <c r="H47" s="634"/>
      <c r="I47" s="634"/>
      <c r="J47" s="634"/>
      <c r="K47" s="634"/>
      <c r="L47" s="634"/>
      <c r="M47" s="634"/>
      <c r="N47" s="634"/>
      <c r="O47" s="634"/>
      <c r="Q47" s="474"/>
    </row>
    <row r="48" spans="2:18" x14ac:dyDescent="0.25">
      <c r="C48" s="17" t="s">
        <v>0</v>
      </c>
      <c r="E48" s="433">
        <f>E49</f>
        <v>12328</v>
      </c>
      <c r="F48" s="433">
        <f t="shared" ref="F48:O48" si="1">F49</f>
        <v>12337</v>
      </c>
      <c r="G48" s="433">
        <f t="shared" si="1"/>
        <v>12349</v>
      </c>
      <c r="H48" s="433">
        <f t="shared" si="1"/>
        <v>12381</v>
      </c>
      <c r="I48" s="433">
        <f t="shared" si="1"/>
        <v>12402</v>
      </c>
      <c r="J48" s="433">
        <f t="shared" si="1"/>
        <v>12423</v>
      </c>
      <c r="K48" s="433">
        <f t="shared" si="1"/>
        <v>12443</v>
      </c>
      <c r="L48" s="433">
        <f t="shared" si="1"/>
        <v>12468</v>
      </c>
      <c r="M48" s="433">
        <f t="shared" si="1"/>
        <v>12489</v>
      </c>
      <c r="N48" s="433">
        <f t="shared" si="1"/>
        <v>12509</v>
      </c>
      <c r="O48" s="433">
        <f t="shared" si="1"/>
        <v>12530</v>
      </c>
      <c r="Q48" s="474"/>
    </row>
    <row r="49" spans="2:27" x14ac:dyDescent="0.25">
      <c r="C49" s="17" t="s">
        <v>9</v>
      </c>
      <c r="E49" s="434">
        <v>12328</v>
      </c>
      <c r="F49" s="434">
        <v>12337</v>
      </c>
      <c r="G49" s="434">
        <v>12349</v>
      </c>
      <c r="H49" s="434">
        <v>12381</v>
      </c>
      <c r="I49" s="434">
        <v>12402</v>
      </c>
      <c r="J49" s="434">
        <v>12423</v>
      </c>
      <c r="K49" s="434">
        <v>12443</v>
      </c>
      <c r="L49" s="434">
        <v>12468</v>
      </c>
      <c r="M49" s="434">
        <v>12489</v>
      </c>
      <c r="N49" s="434">
        <v>12509</v>
      </c>
      <c r="O49" s="434">
        <v>12530</v>
      </c>
      <c r="Q49" s="474"/>
    </row>
    <row r="50" spans="2:27" x14ac:dyDescent="0.25">
      <c r="C50" s="17" t="s">
        <v>1</v>
      </c>
      <c r="E50" s="433">
        <f>E49</f>
        <v>12328</v>
      </c>
      <c r="F50" s="433">
        <f t="shared" ref="F50:O50" si="2">F49</f>
        <v>12337</v>
      </c>
      <c r="G50" s="433">
        <f t="shared" si="2"/>
        <v>12349</v>
      </c>
      <c r="H50" s="433">
        <f t="shared" si="2"/>
        <v>12381</v>
      </c>
      <c r="I50" s="433">
        <f t="shared" si="2"/>
        <v>12402</v>
      </c>
      <c r="J50" s="433">
        <f t="shared" si="2"/>
        <v>12423</v>
      </c>
      <c r="K50" s="433">
        <f t="shared" si="2"/>
        <v>12443</v>
      </c>
      <c r="L50" s="433">
        <f t="shared" si="2"/>
        <v>12468</v>
      </c>
      <c r="M50" s="433">
        <f t="shared" si="2"/>
        <v>12489</v>
      </c>
      <c r="N50" s="433">
        <f t="shared" si="2"/>
        <v>12509</v>
      </c>
      <c r="O50" s="433">
        <f t="shared" si="2"/>
        <v>12530</v>
      </c>
      <c r="Q50" s="474"/>
    </row>
    <row r="51" spans="2:27" x14ac:dyDescent="0.25">
      <c r="C51" s="17" t="s">
        <v>15</v>
      </c>
      <c r="E51" s="434">
        <v>13358.483451456001</v>
      </c>
      <c r="F51" s="434">
        <v>13393.783451456</v>
      </c>
      <c r="G51" s="434">
        <v>13416.973451456</v>
      </c>
      <c r="H51" s="434">
        <v>13440.193451456</v>
      </c>
      <c r="I51" s="434">
        <v>13462.493451456001</v>
      </c>
      <c r="J51" s="434">
        <v>13489.593451456001</v>
      </c>
      <c r="K51" s="434">
        <v>13511.483451456001</v>
      </c>
      <c r="L51" s="434">
        <v>13533.273451456</v>
      </c>
      <c r="M51" s="434">
        <v>13556.463451456</v>
      </c>
      <c r="N51" s="433"/>
      <c r="O51" s="433"/>
      <c r="Q51" s="474"/>
    </row>
    <row r="52" spans="2:27" x14ac:dyDescent="0.25">
      <c r="B52" s="632" t="s">
        <v>4849</v>
      </c>
      <c r="C52" s="633"/>
      <c r="D52" s="633"/>
      <c r="E52" s="634"/>
      <c r="F52" s="634"/>
      <c r="G52" s="634"/>
      <c r="H52" s="634"/>
      <c r="I52" s="634"/>
      <c r="J52" s="634"/>
      <c r="K52" s="634"/>
      <c r="L52" s="634"/>
      <c r="M52" s="634"/>
      <c r="N52" s="634"/>
      <c r="O52" s="634"/>
      <c r="Q52" s="474"/>
    </row>
    <row r="53" spans="2:27" x14ac:dyDescent="0.25">
      <c r="C53" s="17" t="s">
        <v>0</v>
      </c>
      <c r="E53" s="433">
        <f>0.8*E48</f>
        <v>9862.4000000000015</v>
      </c>
      <c r="F53" s="433">
        <f t="shared" ref="F53:O53" si="3">0.8*F48</f>
        <v>9869.6</v>
      </c>
      <c r="G53" s="433">
        <f t="shared" si="3"/>
        <v>9879.2000000000007</v>
      </c>
      <c r="H53" s="433">
        <f t="shared" si="3"/>
        <v>9904.8000000000011</v>
      </c>
      <c r="I53" s="433">
        <f t="shared" si="3"/>
        <v>9921.6</v>
      </c>
      <c r="J53" s="433">
        <f t="shared" si="3"/>
        <v>9938.4000000000015</v>
      </c>
      <c r="K53" s="433">
        <f t="shared" si="3"/>
        <v>9954.4000000000015</v>
      </c>
      <c r="L53" s="433">
        <f t="shared" si="3"/>
        <v>9974.4000000000015</v>
      </c>
      <c r="M53" s="433">
        <f t="shared" si="3"/>
        <v>9991.2000000000007</v>
      </c>
      <c r="N53" s="433">
        <f t="shared" si="3"/>
        <v>10007.200000000001</v>
      </c>
      <c r="O53" s="433">
        <f t="shared" si="3"/>
        <v>10024</v>
      </c>
      <c r="Q53" s="474"/>
    </row>
    <row r="54" spans="2:27" x14ac:dyDescent="0.25">
      <c r="C54" s="17" t="s">
        <v>9</v>
      </c>
      <c r="E54" s="433">
        <f>0.8*E49</f>
        <v>9862.4000000000015</v>
      </c>
      <c r="F54" s="433">
        <f t="shared" ref="F54:O54" si="4">0.8*F49</f>
        <v>9869.6</v>
      </c>
      <c r="G54" s="433">
        <f t="shared" si="4"/>
        <v>9879.2000000000007</v>
      </c>
      <c r="H54" s="433">
        <f t="shared" si="4"/>
        <v>9904.8000000000011</v>
      </c>
      <c r="I54" s="433">
        <f t="shared" si="4"/>
        <v>9921.6</v>
      </c>
      <c r="J54" s="433">
        <f t="shared" si="4"/>
        <v>9938.4000000000015</v>
      </c>
      <c r="K54" s="433">
        <f t="shared" si="4"/>
        <v>9954.4000000000015</v>
      </c>
      <c r="L54" s="433">
        <f t="shared" si="4"/>
        <v>9974.4000000000015</v>
      </c>
      <c r="M54" s="433">
        <f t="shared" si="4"/>
        <v>9991.2000000000007</v>
      </c>
      <c r="N54" s="433">
        <f t="shared" si="4"/>
        <v>10007.200000000001</v>
      </c>
      <c r="O54" s="433">
        <f t="shared" si="4"/>
        <v>10024</v>
      </c>
      <c r="Q54" s="474"/>
    </row>
    <row r="55" spans="2:27" x14ac:dyDescent="0.25">
      <c r="C55" s="17" t="s">
        <v>1</v>
      </c>
      <c r="E55" s="433">
        <f>0.8*E50</f>
        <v>9862.4000000000015</v>
      </c>
      <c r="F55" s="433">
        <f t="shared" ref="F55:O55" si="5">0.8*F50</f>
        <v>9869.6</v>
      </c>
      <c r="G55" s="433">
        <f t="shared" si="5"/>
        <v>9879.2000000000007</v>
      </c>
      <c r="H55" s="433">
        <f t="shared" si="5"/>
        <v>9904.8000000000011</v>
      </c>
      <c r="I55" s="433">
        <f t="shared" si="5"/>
        <v>9921.6</v>
      </c>
      <c r="J55" s="433">
        <f t="shared" si="5"/>
        <v>9938.4000000000015</v>
      </c>
      <c r="K55" s="433">
        <f t="shared" si="5"/>
        <v>9954.4000000000015</v>
      </c>
      <c r="L55" s="433">
        <f t="shared" si="5"/>
        <v>9974.4000000000015</v>
      </c>
      <c r="M55" s="433">
        <f t="shared" si="5"/>
        <v>9991.2000000000007</v>
      </c>
      <c r="N55" s="433">
        <f t="shared" si="5"/>
        <v>10007.200000000001</v>
      </c>
      <c r="O55" s="433">
        <f t="shared" si="5"/>
        <v>10024</v>
      </c>
      <c r="Q55" s="474"/>
    </row>
    <row r="56" spans="2:27" x14ac:dyDescent="0.25">
      <c r="C56" s="17" t="s">
        <v>15</v>
      </c>
      <c r="E56" s="433">
        <f>0.8*E51</f>
        <v>10686.786761164802</v>
      </c>
      <c r="F56" s="433">
        <f t="shared" ref="F56:M56" si="6">0.8*F51</f>
        <v>10715.026761164801</v>
      </c>
      <c r="G56" s="433">
        <f t="shared" si="6"/>
        <v>10733.578761164801</v>
      </c>
      <c r="H56" s="433">
        <f t="shared" si="6"/>
        <v>10752.1547611648</v>
      </c>
      <c r="I56" s="433">
        <f t="shared" si="6"/>
        <v>10769.994761164802</v>
      </c>
      <c r="J56" s="433">
        <f t="shared" si="6"/>
        <v>10791.674761164802</v>
      </c>
      <c r="K56" s="433">
        <f t="shared" si="6"/>
        <v>10809.186761164801</v>
      </c>
      <c r="L56" s="433">
        <f t="shared" si="6"/>
        <v>10826.6187611648</v>
      </c>
      <c r="M56" s="433">
        <f t="shared" si="6"/>
        <v>10845.170761164802</v>
      </c>
      <c r="N56" s="433"/>
      <c r="O56" s="433"/>
      <c r="Q56" s="474"/>
    </row>
    <row r="57" spans="2:27" x14ac:dyDescent="0.25">
      <c r="E57" s="5"/>
      <c r="F57" s="5"/>
      <c r="G57" s="5"/>
      <c r="H57" s="5"/>
      <c r="I57" s="5"/>
      <c r="J57" s="5"/>
      <c r="K57" s="5"/>
      <c r="L57" s="5"/>
      <c r="M57" s="5"/>
      <c r="N57" s="5"/>
      <c r="O57" s="5"/>
      <c r="Q57" s="474"/>
    </row>
    <row r="58" spans="2:27" x14ac:dyDescent="0.25">
      <c r="E58" s="5"/>
      <c r="F58" s="5"/>
      <c r="G58" s="5"/>
      <c r="H58" s="5"/>
      <c r="I58" s="5"/>
      <c r="J58" s="5"/>
      <c r="L58" s="474"/>
      <c r="Q58" s="474"/>
    </row>
    <row r="59" spans="2:27" x14ac:dyDescent="0.25">
      <c r="B59" s="468" t="s">
        <v>3415</v>
      </c>
      <c r="C59" s="475"/>
      <c r="D59" s="475"/>
      <c r="E59" s="470"/>
      <c r="F59" s="470"/>
      <c r="G59" s="470"/>
      <c r="H59" s="470"/>
      <c r="I59" s="470"/>
      <c r="J59" s="470"/>
      <c r="K59" s="475"/>
      <c r="L59" s="475"/>
      <c r="M59" s="475"/>
      <c r="N59" s="475"/>
      <c r="O59" s="475"/>
      <c r="P59" s="475"/>
      <c r="Q59" s="475"/>
      <c r="R59" s="475"/>
      <c r="S59" s="475"/>
      <c r="T59" s="475"/>
      <c r="U59" s="475"/>
      <c r="V59" s="475"/>
      <c r="W59" s="475"/>
      <c r="X59" s="475"/>
      <c r="Y59" s="475"/>
      <c r="Z59" s="475"/>
      <c r="AA59" s="475"/>
    </row>
    <row r="60" spans="2:27" x14ac:dyDescent="0.25">
      <c r="C60" s="17" t="s">
        <v>0</v>
      </c>
      <c r="E60" s="5"/>
      <c r="F60" s="5"/>
      <c r="G60" s="5"/>
      <c r="H60" s="5"/>
      <c r="I60" s="5"/>
      <c r="J60" s="5"/>
      <c r="Q60" s="474"/>
      <c r="R60" s="474"/>
    </row>
    <row r="61" spans="2:27" x14ac:dyDescent="0.25">
      <c r="D61" s="17" t="s">
        <v>6</v>
      </c>
      <c r="E61" s="433">
        <f>IUEE!F38</f>
        <v>2.3198910127381622</v>
      </c>
      <c r="F61" s="433">
        <f>IUEE!G38</f>
        <v>60.362384581635744</v>
      </c>
      <c r="G61" s="433">
        <f>IUEE!H38</f>
        <v>115.17769030907749</v>
      </c>
      <c r="H61" s="433">
        <f>IUEE!I38</f>
        <v>207.16533514753536</v>
      </c>
      <c r="I61" s="433">
        <f>IUEE!J38</f>
        <v>304.07336311190096</v>
      </c>
      <c r="J61" s="433">
        <f>IUEE!K38</f>
        <v>391.10838870772272</v>
      </c>
      <c r="K61" s="433">
        <f>IUEE!L38</f>
        <v>467.65466978577859</v>
      </c>
      <c r="L61" s="433">
        <f>IUEE!M38</f>
        <v>539.35545617671539</v>
      </c>
      <c r="M61" s="433">
        <f>IUEE!N38</f>
        <v>607.3236444876419</v>
      </c>
      <c r="N61" s="433">
        <f>IUEE!O38</f>
        <v>680.69487329633546</v>
      </c>
      <c r="O61" s="433">
        <f>IUEE!P38</f>
        <v>765.55921565035646</v>
      </c>
      <c r="Q61" s="474"/>
      <c r="R61" s="474"/>
    </row>
    <row r="62" spans="2:27" x14ac:dyDescent="0.25">
      <c r="D62" s="17" t="s">
        <v>17</v>
      </c>
      <c r="E62" s="433">
        <f>IUEE!F39</f>
        <v>0.6542558786325916</v>
      </c>
      <c r="F62" s="433">
        <f>IUEE!G39</f>
        <v>30.093224631662565</v>
      </c>
      <c r="G62" s="433">
        <f>IUEE!H39</f>
        <v>61.186826926422853</v>
      </c>
      <c r="H62" s="433">
        <f>IUEE!I39</f>
        <v>143.63385543549185</v>
      </c>
      <c r="I62" s="433">
        <f>IUEE!J39</f>
        <v>245.52729319670777</v>
      </c>
      <c r="J62" s="433">
        <f>IUEE!K39</f>
        <v>344.78402390603407</v>
      </c>
      <c r="K62" s="433">
        <f>IUEE!L39</f>
        <v>425.25567368258572</v>
      </c>
      <c r="L62" s="433">
        <f>IUEE!M39</f>
        <v>498.28630695261393</v>
      </c>
      <c r="M62" s="433">
        <f>IUEE!N39</f>
        <v>544.93998660658315</v>
      </c>
      <c r="N62" s="433">
        <f>IUEE!O39</f>
        <v>552.30060944366642</v>
      </c>
      <c r="O62" s="433">
        <f>IUEE!P39</f>
        <v>561.02403687747164</v>
      </c>
      <c r="Q62" s="474"/>
      <c r="R62" s="474"/>
    </row>
    <row r="63" spans="2:27" x14ac:dyDescent="0.25">
      <c r="D63" s="17" t="s">
        <v>7</v>
      </c>
      <c r="E63" s="433">
        <f>IUEE!F76</f>
        <v>2.3928080838647787</v>
      </c>
      <c r="F63" s="433">
        <f>IUEE!G76</f>
        <v>55.185116577950993</v>
      </c>
      <c r="G63" s="433">
        <f>IUEE!H76</f>
        <v>146.16672172265393</v>
      </c>
      <c r="H63" s="433">
        <f>IUEE!I76</f>
        <v>283.25100446760553</v>
      </c>
      <c r="I63" s="433">
        <f>IUEE!J76</f>
        <v>399.6778580430518</v>
      </c>
      <c r="J63" s="433">
        <f>IUEE!K76</f>
        <v>494.43957229276862</v>
      </c>
      <c r="K63" s="433">
        <f>IUEE!L76</f>
        <v>555.70272642747341</v>
      </c>
      <c r="L63" s="433">
        <f>IUEE!M76</f>
        <v>671.44627286741161</v>
      </c>
      <c r="M63" s="433">
        <f>IUEE!N76</f>
        <v>782.13333015923934</v>
      </c>
      <c r="N63" s="433">
        <f>IUEE!O76</f>
        <v>880.67186170078844</v>
      </c>
      <c r="O63" s="433">
        <f>IUEE!P76</f>
        <v>973.17184405629723</v>
      </c>
      <c r="Q63" s="474"/>
      <c r="R63" s="474"/>
    </row>
    <row r="64" spans="2:27" x14ac:dyDescent="0.25">
      <c r="D64" s="17" t="s">
        <v>17</v>
      </c>
      <c r="E64" s="433">
        <f>IUEE!F77</f>
        <v>0.67481995779636073</v>
      </c>
      <c r="F64" s="433">
        <f>IUEE!G77</f>
        <v>44.868488649096903</v>
      </c>
      <c r="G64" s="433">
        <f>IUEE!H77</f>
        <v>73.486568742496914</v>
      </c>
      <c r="H64" s="433">
        <f>IUEE!I77</f>
        <v>162.64699320048169</v>
      </c>
      <c r="I64" s="433">
        <f>IUEE!J77</f>
        <v>272.52547868224678</v>
      </c>
      <c r="J64" s="433">
        <f>IUEE!K77</f>
        <v>377.3175519528013</v>
      </c>
      <c r="K64" s="433">
        <f>IUEE!L77</f>
        <v>472.57861006878773</v>
      </c>
      <c r="L64" s="433">
        <f>IUEE!M77</f>
        <v>543.26710642230864</v>
      </c>
      <c r="M64" s="433">
        <f>IUEE!N77</f>
        <v>585.04840700348996</v>
      </c>
      <c r="N64" s="433">
        <f>IUEE!O77</f>
        <v>586.71843270765703</v>
      </c>
      <c r="O64" s="433">
        <f>IUEE!P77</f>
        <v>591.07213956993792</v>
      </c>
      <c r="Q64" s="474"/>
      <c r="R64" s="474"/>
    </row>
    <row r="65" spans="3:18" x14ac:dyDescent="0.25">
      <c r="D65" s="17" t="s">
        <v>8</v>
      </c>
      <c r="E65" s="433">
        <f>IUEE!F114</f>
        <v>0.54299829494816687</v>
      </c>
      <c r="F65" s="433">
        <f>IUEE!G114</f>
        <v>11.886283078156543</v>
      </c>
      <c r="G65" s="433">
        <f>IUEE!H114</f>
        <v>28.030238372404067</v>
      </c>
      <c r="H65" s="433">
        <f>IUEE!I114</f>
        <v>54.828866833027419</v>
      </c>
      <c r="I65" s="433">
        <f>IUEE!J114</f>
        <v>76.519204626491984</v>
      </c>
      <c r="J65" s="433">
        <f>IUEE!K114</f>
        <v>92.086756824081974</v>
      </c>
      <c r="K65" s="433">
        <f>IUEE!L114</f>
        <v>99.184177197010982</v>
      </c>
      <c r="L65" s="433">
        <f>IUEE!M114</f>
        <v>124.52407870478405</v>
      </c>
      <c r="M65" s="433">
        <f>IUEE!N114</f>
        <v>148.04492907756952</v>
      </c>
      <c r="N65" s="433">
        <f>IUEE!O114</f>
        <v>168.36046983138047</v>
      </c>
      <c r="O65" s="433">
        <f>IUEE!P114</f>
        <v>187.12922149797242</v>
      </c>
      <c r="Q65" s="474"/>
      <c r="R65" s="474"/>
    </row>
    <row r="66" spans="3:18" x14ac:dyDescent="0.25">
      <c r="D66" s="17" t="s">
        <v>17</v>
      </c>
      <c r="E66" s="433">
        <f>IUEE!F115</f>
        <v>0.15313642951614392</v>
      </c>
      <c r="F66" s="433">
        <f>IUEE!G115</f>
        <v>8.5939078943581411</v>
      </c>
      <c r="G66" s="433">
        <f>IUEE!H115</f>
        <v>15.542192603171927</v>
      </c>
      <c r="H66" s="433">
        <f>IUEE!I115</f>
        <v>33.893663341248441</v>
      </c>
      <c r="I66" s="433">
        <f>IUEE!J115</f>
        <v>55.560488442123003</v>
      </c>
      <c r="J66" s="433">
        <f>IUEE!K115</f>
        <v>76.285500481095909</v>
      </c>
      <c r="K66" s="433">
        <f>IUEE!L115</f>
        <v>96.716665517387383</v>
      </c>
      <c r="L66" s="433">
        <f>IUEE!M115</f>
        <v>112.69123657335373</v>
      </c>
      <c r="M66" s="433">
        <f>IUEE!N115</f>
        <v>121.94061740674772</v>
      </c>
      <c r="N66" s="433">
        <f>IUEE!O115</f>
        <v>121.9599024949829</v>
      </c>
      <c r="O66" s="433">
        <f>IUEE!P115</f>
        <v>122.61169871035909</v>
      </c>
      <c r="Q66" s="474"/>
      <c r="R66" s="474"/>
    </row>
    <row r="67" spans="3:18" x14ac:dyDescent="0.25">
      <c r="C67" s="17" t="s">
        <v>9</v>
      </c>
      <c r="E67" s="5"/>
      <c r="F67" s="5"/>
      <c r="G67" s="5"/>
      <c r="H67" s="5"/>
      <c r="I67" s="5"/>
      <c r="J67" s="5"/>
      <c r="K67" s="5"/>
      <c r="L67" s="5"/>
      <c r="M67" s="5"/>
      <c r="N67" s="5"/>
      <c r="O67" s="5"/>
      <c r="Q67" s="474"/>
      <c r="R67" s="474"/>
    </row>
    <row r="68" spans="3:18" x14ac:dyDescent="0.25">
      <c r="D68" s="17" t="s">
        <v>6</v>
      </c>
      <c r="E68" s="433">
        <f>IUEE!F193</f>
        <v>2.8998637659227025</v>
      </c>
      <c r="F68" s="433">
        <f>IUEE!G193</f>
        <v>68.871480727044684</v>
      </c>
      <c r="G68" s="433">
        <f>IUEE!H193</f>
        <v>135.74698788634686</v>
      </c>
      <c r="H68" s="433">
        <f>IUEE!I193</f>
        <v>256.39669485135164</v>
      </c>
      <c r="I68" s="433">
        <f>IUEE!J193</f>
        <v>390.95993145077153</v>
      </c>
      <c r="J68" s="433">
        <f>IUEE!K193</f>
        <v>510.37807341064354</v>
      </c>
      <c r="K68" s="433">
        <f>IUEE!L193</f>
        <v>606.87227473222322</v>
      </c>
      <c r="L68" s="433">
        <f>IUEE!M193</f>
        <v>755.08690479945335</v>
      </c>
      <c r="M68" s="433">
        <f>IUEE!N193</f>
        <v>906.33077359700167</v>
      </c>
      <c r="N68" s="433">
        <f>IUEE!O193</f>
        <v>1049.1029850423181</v>
      </c>
      <c r="O68" s="433">
        <f>IUEE!P193</f>
        <v>1191.2512919496471</v>
      </c>
      <c r="Q68" s="474"/>
      <c r="R68" s="474"/>
    </row>
    <row r="69" spans="3:18" x14ac:dyDescent="0.25">
      <c r="D69" s="17" t="s">
        <v>17</v>
      </c>
      <c r="E69" s="433">
        <f>IUEE!F194</f>
        <v>0.8178198482907395</v>
      </c>
      <c r="F69" s="433">
        <f>IUEE!G194</f>
        <v>31.96884328957821</v>
      </c>
      <c r="G69" s="433">
        <f>IUEE!H194</f>
        <v>50.453189627749076</v>
      </c>
      <c r="H69" s="433">
        <f>IUEE!I194</f>
        <v>118.39518838161834</v>
      </c>
      <c r="I69" s="433">
        <f>IUEE!J194</f>
        <v>210.32698199206871</v>
      </c>
      <c r="J69" s="433">
        <f>IUEE!K194</f>
        <v>297.02615181175463</v>
      </c>
      <c r="K69" s="433">
        <f>IUEE!L194</f>
        <v>377.71448019392858</v>
      </c>
      <c r="L69" s="433">
        <f>IUEE!M194</f>
        <v>454.51283143328953</v>
      </c>
      <c r="M69" s="433">
        <f>IUEE!N194</f>
        <v>489.82684937531661</v>
      </c>
      <c r="N69" s="433">
        <f>IUEE!O194</f>
        <v>492.20912201909363</v>
      </c>
      <c r="O69" s="433">
        <f>IUEE!P194</f>
        <v>495.29258851115583</v>
      </c>
      <c r="Q69" s="474"/>
      <c r="R69" s="474"/>
    </row>
    <row r="70" spans="3:18" x14ac:dyDescent="0.25">
      <c r="D70" s="17" t="s">
        <v>7</v>
      </c>
      <c r="E70" s="433">
        <f>IUEE!F231</f>
        <v>2.9910101048309725</v>
      </c>
      <c r="F70" s="433">
        <f>IUEE!G231</f>
        <v>90.286586275606865</v>
      </c>
      <c r="G70" s="433">
        <f>IUEE!H231</f>
        <v>215.4376629077347</v>
      </c>
      <c r="H70" s="433">
        <f>IUEE!I231</f>
        <v>402.94282145815873</v>
      </c>
      <c r="I70" s="433">
        <f>IUEE!J231</f>
        <v>586.2475694849702</v>
      </c>
      <c r="J70" s="433">
        <f>IUEE!K231</f>
        <v>760.08347483877003</v>
      </c>
      <c r="K70" s="433">
        <f>IUEE!L231</f>
        <v>862.58840419595697</v>
      </c>
      <c r="L70" s="433">
        <f>IUEE!M231</f>
        <v>1058.0859598511649</v>
      </c>
      <c r="M70" s="433">
        <f>IUEE!N231</f>
        <v>1248.2625135092335</v>
      </c>
      <c r="N70" s="433">
        <f>IUEE!O231</f>
        <v>1425.1011757697995</v>
      </c>
      <c r="O70" s="433">
        <f>IUEE!P231</f>
        <v>1593.285308611891</v>
      </c>
      <c r="Q70" s="474"/>
      <c r="R70" s="474"/>
    </row>
    <row r="71" spans="3:18" x14ac:dyDescent="0.25">
      <c r="D71" s="17" t="s">
        <v>17</v>
      </c>
      <c r="E71" s="433">
        <f>IUEE!F232</f>
        <v>0.84352494724545091</v>
      </c>
      <c r="F71" s="433">
        <f>IUEE!G232</f>
        <v>47.530923311371126</v>
      </c>
      <c r="G71" s="433">
        <f>IUEE!H232</f>
        <v>62.853453717709876</v>
      </c>
      <c r="H71" s="433">
        <f>IUEE!I232</f>
        <v>137.12327550815755</v>
      </c>
      <c r="I71" s="433">
        <f>IUEE!J232</f>
        <v>236.77730915379999</v>
      </c>
      <c r="J71" s="433">
        <f>IUEE!K232</f>
        <v>328.41135051654948</v>
      </c>
      <c r="K71" s="433">
        <f>IUEE!L232</f>
        <v>424.48350152707542</v>
      </c>
      <c r="L71" s="433">
        <f>IUEE!M232</f>
        <v>499.0504395718869</v>
      </c>
      <c r="M71" s="433">
        <f>IUEE!N232</f>
        <v>529.1568577773196</v>
      </c>
      <c r="N71" s="433">
        <f>IUEE!O232</f>
        <v>526.40352451082447</v>
      </c>
      <c r="O71" s="433">
        <f>IUEE!P232</f>
        <v>525.99259435155102</v>
      </c>
      <c r="Q71" s="474"/>
      <c r="R71" s="474"/>
    </row>
    <row r="72" spans="3:18" x14ac:dyDescent="0.25">
      <c r="D72" s="17" t="s">
        <v>8</v>
      </c>
      <c r="E72" s="433">
        <f>IUEE!F269</f>
        <v>0.67874786868520842</v>
      </c>
      <c r="F72" s="433">
        <f>IUEE!G269</f>
        <v>19.391168623293773</v>
      </c>
      <c r="G72" s="433">
        <f>IUEE!H269</f>
        <v>43.150129296950155</v>
      </c>
      <c r="H72" s="433">
        <f>IUEE!I269</f>
        <v>80.821376027803922</v>
      </c>
      <c r="I72" s="433">
        <f>IUEE!J269</f>
        <v>117.11117122733503</v>
      </c>
      <c r="J72" s="433">
        <f>IUEE!K269</f>
        <v>149.84062610469238</v>
      </c>
      <c r="K72" s="433">
        <f>IUEE!L269</f>
        <v>163.68162963039811</v>
      </c>
      <c r="L72" s="433">
        <f>IUEE!M269</f>
        <v>206.13500339554369</v>
      </c>
      <c r="M72" s="433">
        <f>IUEE!N269</f>
        <v>246.62878613785011</v>
      </c>
      <c r="N72" s="433">
        <f>IUEE!O269</f>
        <v>283.5079985781889</v>
      </c>
      <c r="O72" s="433">
        <f>IUEE!P269</f>
        <v>318.36415003555425</v>
      </c>
      <c r="R72" s="474"/>
    </row>
    <row r="73" spans="3:18" x14ac:dyDescent="0.25">
      <c r="D73" s="17" t="s">
        <v>17</v>
      </c>
      <c r="E73" s="433">
        <f>IUEE!F270</f>
        <v>0.1914205368951799</v>
      </c>
      <c r="F73" s="433">
        <f>IUEE!G270</f>
        <v>9.1145098679476764</v>
      </c>
      <c r="G73" s="433">
        <f>IUEE!H270</f>
        <v>13.38347944878366</v>
      </c>
      <c r="H73" s="433">
        <f>IUEE!I270</f>
        <v>28.758040482147983</v>
      </c>
      <c r="I73" s="433">
        <f>IUEE!J270</f>
        <v>48.307064779757383</v>
      </c>
      <c r="J73" s="433">
        <f>IUEE!K270</f>
        <v>66.155156460603564</v>
      </c>
      <c r="K73" s="433">
        <f>IUEE!L270</f>
        <v>86.691029424495895</v>
      </c>
      <c r="L73" s="433">
        <f>IUEE!M270</f>
        <v>103.42284409131142</v>
      </c>
      <c r="M73" s="433">
        <f>IUEE!N270</f>
        <v>109.88239959487002</v>
      </c>
      <c r="N73" s="433">
        <f>IUEE!O270</f>
        <v>108.52585658742075</v>
      </c>
      <c r="O73" s="433">
        <f>IUEE!P270</f>
        <v>107.63036120794553</v>
      </c>
      <c r="R73" s="474"/>
    </row>
    <row r="74" spans="3:18" x14ac:dyDescent="0.25">
      <c r="C74" s="17" t="s">
        <v>1</v>
      </c>
      <c r="E74" s="5"/>
      <c r="F74" s="5"/>
      <c r="G74" s="5"/>
      <c r="H74" s="5"/>
      <c r="I74" s="5"/>
      <c r="J74" s="5"/>
      <c r="K74" s="5"/>
      <c r="L74" s="5"/>
      <c r="M74" s="5"/>
      <c r="N74" s="5"/>
      <c r="O74" s="5"/>
      <c r="R74" s="474"/>
    </row>
    <row r="75" spans="3:18" x14ac:dyDescent="0.25">
      <c r="D75" s="17" t="s">
        <v>6</v>
      </c>
      <c r="E75" s="433">
        <f>IUEE!F348</f>
        <v>2.8998637659227025</v>
      </c>
      <c r="F75" s="433">
        <f>IUEE!G348</f>
        <v>78.328080727044679</v>
      </c>
      <c r="G75" s="433">
        <f>IUEE!H348</f>
        <v>152.50633788634687</v>
      </c>
      <c r="H75" s="433">
        <f>IUEE!I348</f>
        <v>295.46858681145483</v>
      </c>
      <c r="I75" s="433">
        <f>IUEE!J348</f>
        <v>437.6684241294613</v>
      </c>
      <c r="J75" s="433">
        <f>IUEE!K348</f>
        <v>564.38253936979334</v>
      </c>
      <c r="K75" s="433">
        <f>IUEE!L348</f>
        <v>660.90162821497711</v>
      </c>
      <c r="L75" s="433">
        <f>IUEE!M348</f>
        <v>824.75924820858472</v>
      </c>
      <c r="M75" s="433">
        <f>IUEE!N348</f>
        <v>989.42757475627491</v>
      </c>
      <c r="N75" s="433">
        <f>IUEE!O348</f>
        <v>1146.5730012074007</v>
      </c>
      <c r="O75" s="433">
        <f>IUEE!P348</f>
        <v>1302.825399068171</v>
      </c>
    </row>
    <row r="76" spans="3:18" x14ac:dyDescent="0.25">
      <c r="D76" s="17" t="s">
        <v>17</v>
      </c>
      <c r="E76" s="433">
        <f>IUEE!F349</f>
        <v>0</v>
      </c>
      <c r="F76" s="433">
        <f>IUEE!G349</f>
        <v>0</v>
      </c>
      <c r="G76" s="433">
        <f>IUEE!H349</f>
        <v>0</v>
      </c>
      <c r="H76" s="433">
        <f>IUEE!I349</f>
        <v>0</v>
      </c>
      <c r="I76" s="433">
        <f>IUEE!J349</f>
        <v>14.788463114371552</v>
      </c>
      <c r="J76" s="433">
        <f>IUEE!K349</f>
        <v>90.279732166744054</v>
      </c>
      <c r="K76" s="433">
        <f>IUEE!L349</f>
        <v>160.80710006985936</v>
      </c>
      <c r="L76" s="433">
        <f>IUEE!M349</f>
        <v>222.07886102903433</v>
      </c>
      <c r="M76" s="433">
        <f>IUEE!N349</f>
        <v>244.9104849864159</v>
      </c>
      <c r="N76" s="433">
        <f>IUEE!O349</f>
        <v>256.83217520332778</v>
      </c>
      <c r="O76" s="433">
        <f>IUEE!P349</f>
        <v>264.53261602024907</v>
      </c>
    </row>
    <row r="77" spans="3:18" x14ac:dyDescent="0.25">
      <c r="D77" s="17" t="s">
        <v>7</v>
      </c>
      <c r="E77" s="433">
        <f>IUEE!F386</f>
        <v>2.9910101048309725</v>
      </c>
      <c r="F77" s="433">
        <f>IUEE!G386</f>
        <v>110.21876332365615</v>
      </c>
      <c r="G77" s="433">
        <f>IUEE!H386</f>
        <v>254.44893365159845</v>
      </c>
      <c r="H77" s="433">
        <f>IUEE!I386</f>
        <v>459.56524358669469</v>
      </c>
      <c r="I77" s="433">
        <f>IUEE!J386</f>
        <v>658.34756069656862</v>
      </c>
      <c r="J77" s="433">
        <f>IUEE!K386</f>
        <v>849.43969556355114</v>
      </c>
      <c r="K77" s="433">
        <f>IUEE!L386</f>
        <v>960.55271664313727</v>
      </c>
      <c r="L77" s="433">
        <f>IUEE!M386</f>
        <v>1174.2218463453887</v>
      </c>
      <c r="M77" s="433">
        <f>IUEE!N386</f>
        <v>1383.060577485785</v>
      </c>
      <c r="N77" s="433">
        <f>IUEE!O386</f>
        <v>1578.8831088358811</v>
      </c>
      <c r="O77" s="433">
        <f>IUEE!P386</f>
        <v>1764.5669032494673</v>
      </c>
    </row>
    <row r="78" spans="3:18" x14ac:dyDescent="0.25">
      <c r="D78" s="17" t="s">
        <v>17</v>
      </c>
      <c r="E78" s="433">
        <f>IUEE!F387</f>
        <v>0</v>
      </c>
      <c r="F78" s="433">
        <f>IUEE!G387</f>
        <v>0</v>
      </c>
      <c r="G78" s="433">
        <f>IUEE!H387</f>
        <v>0</v>
      </c>
      <c r="H78" s="433">
        <f>IUEE!I387</f>
        <v>0</v>
      </c>
      <c r="I78" s="433">
        <f>IUEE!J387</f>
        <v>37.885327877121767</v>
      </c>
      <c r="J78" s="433">
        <f>IUEE!K387</f>
        <v>118.27204389560126</v>
      </c>
      <c r="K78" s="433">
        <f>IUEE!L387</f>
        <v>205.94075831770186</v>
      </c>
      <c r="L78" s="433">
        <f>IUEE!M387</f>
        <v>264.13113435330382</v>
      </c>
      <c r="M78" s="433">
        <f>IUEE!N387</f>
        <v>280.87428900501584</v>
      </c>
      <c r="N78" s="433">
        <f>IUEE!O387</f>
        <v>287.97075033907333</v>
      </c>
      <c r="O78" s="433">
        <f>IUEE!P387</f>
        <v>292.51465998520689</v>
      </c>
    </row>
    <row r="79" spans="3:18" x14ac:dyDescent="0.25">
      <c r="D79" s="17" t="s">
        <v>8</v>
      </c>
      <c r="E79" s="433">
        <f>IUEE!F424</f>
        <v>0.67874786868520842</v>
      </c>
      <c r="F79" s="433">
        <f>IUEE!G424</f>
        <v>24.234838789252883</v>
      </c>
      <c r="G79" s="433">
        <f>IUEE!H424</f>
        <v>51.714472774059928</v>
      </c>
      <c r="H79" s="433">
        <f>IUEE!I424</f>
        <v>89.942209100057539</v>
      </c>
      <c r="I79" s="433">
        <f>IUEE!J424</f>
        <v>125.53741131891485</v>
      </c>
      <c r="J79" s="433">
        <f>IUEE!K424</f>
        <v>157.48611881580206</v>
      </c>
      <c r="K79" s="433">
        <f>IUEE!L424</f>
        <v>168.16889865369677</v>
      </c>
      <c r="L79" s="433">
        <f>IUEE!M424</f>
        <v>210.7316052340737</v>
      </c>
      <c r="M79" s="433">
        <f>IUEE!N424</f>
        <v>251.66695723885317</v>
      </c>
      <c r="N79" s="433">
        <f>IUEE!O424</f>
        <v>288.97832999399793</v>
      </c>
      <c r="O79" s="433">
        <f>IUEE!P424</f>
        <v>323.87440885048176</v>
      </c>
    </row>
    <row r="80" spans="3:18" x14ac:dyDescent="0.25">
      <c r="D80" s="17" t="s">
        <v>17</v>
      </c>
      <c r="E80" s="433">
        <f>IUEE!F425</f>
        <v>0</v>
      </c>
      <c r="F80" s="433">
        <f>IUEE!G425</f>
        <v>0</v>
      </c>
      <c r="G80" s="433">
        <f>IUEE!H425</f>
        <v>0</v>
      </c>
      <c r="H80" s="433">
        <f>IUEE!I425</f>
        <v>0</v>
      </c>
      <c r="I80" s="433">
        <f>IUEE!J425</f>
        <v>5.6956576209566308</v>
      </c>
      <c r="J80" s="433">
        <f>IUEE!K425</f>
        <v>20.235919999187786</v>
      </c>
      <c r="K80" s="433">
        <f>IUEE!L425</f>
        <v>38.351656747455209</v>
      </c>
      <c r="L80" s="433">
        <f>IUEE!M425</f>
        <v>51.068281455659232</v>
      </c>
      <c r="M80" s="433">
        <f>IUEE!N425</f>
        <v>54.092211481877357</v>
      </c>
      <c r="N80" s="433">
        <f>IUEE!O425</f>
        <v>54.250933641050807</v>
      </c>
      <c r="O80" s="433">
        <f>IUEE!P425</f>
        <v>53.817454515250972</v>
      </c>
    </row>
    <row r="81" spans="2:27" x14ac:dyDescent="0.25">
      <c r="E81" s="5"/>
      <c r="F81" s="5"/>
      <c r="G81" s="5"/>
      <c r="H81" s="5"/>
      <c r="I81" s="5"/>
      <c r="J81" s="5"/>
      <c r="K81" s="6"/>
      <c r="L81" s="6"/>
      <c r="M81" s="6"/>
      <c r="N81" s="6"/>
      <c r="O81" s="6"/>
    </row>
    <row r="82" spans="2:27" x14ac:dyDescent="0.25">
      <c r="C82" s="17" t="s">
        <v>14</v>
      </c>
      <c r="E82" s="434">
        <v>192.98899999999998</v>
      </c>
      <c r="F82" s="434">
        <v>779.05</v>
      </c>
      <c r="G82" s="434">
        <v>1305.2649999999999</v>
      </c>
      <c r="H82" s="434">
        <v>1883.5660000000003</v>
      </c>
      <c r="I82" s="434">
        <v>2597.6600000000003</v>
      </c>
      <c r="J82" s="434">
        <v>3361.7690000000002</v>
      </c>
      <c r="K82" s="434">
        <v>4167.1210000000001</v>
      </c>
      <c r="L82" s="434">
        <v>4938.6789999999992</v>
      </c>
      <c r="M82" s="434">
        <v>5687.3269999999993</v>
      </c>
      <c r="N82" s="433"/>
      <c r="O82" s="433"/>
    </row>
    <row r="83" spans="2:27" x14ac:dyDescent="0.25">
      <c r="E83" s="5"/>
      <c r="F83" s="5"/>
      <c r="G83" s="5"/>
      <c r="H83" s="5"/>
      <c r="I83" s="5"/>
      <c r="J83" s="5"/>
      <c r="K83" s="6"/>
      <c r="L83" s="6"/>
      <c r="M83" s="6"/>
      <c r="N83" s="6"/>
      <c r="O83" s="6"/>
    </row>
    <row r="84" spans="2:27" x14ac:dyDescent="0.25">
      <c r="B84" s="468" t="s">
        <v>3416</v>
      </c>
      <c r="C84" s="475"/>
      <c r="D84" s="475"/>
      <c r="E84" s="470"/>
      <c r="F84" s="470"/>
      <c r="G84" s="470"/>
      <c r="H84" s="470"/>
      <c r="I84" s="470"/>
      <c r="J84" s="470"/>
      <c r="K84" s="471"/>
      <c r="L84" s="471"/>
      <c r="M84" s="471"/>
      <c r="N84" s="471"/>
      <c r="O84" s="471"/>
      <c r="P84" s="471"/>
      <c r="Q84" s="471"/>
      <c r="R84" s="471"/>
      <c r="S84" s="471"/>
      <c r="T84" s="471"/>
      <c r="U84" s="471"/>
      <c r="V84" s="471"/>
      <c r="W84" s="471"/>
      <c r="X84" s="471"/>
      <c r="Y84" s="471"/>
      <c r="Z84" s="471"/>
      <c r="AA84" s="471"/>
    </row>
    <row r="85" spans="2:27" x14ac:dyDescent="0.25">
      <c r="C85" s="17" t="s">
        <v>0</v>
      </c>
      <c r="E85" s="5"/>
      <c r="F85" s="5"/>
      <c r="G85" s="5"/>
      <c r="H85" s="5"/>
      <c r="I85" s="5"/>
      <c r="J85" s="5"/>
      <c r="K85" s="6"/>
      <c r="L85" s="6"/>
      <c r="M85" s="6"/>
      <c r="N85" s="6"/>
      <c r="O85" s="6"/>
    </row>
    <row r="86" spans="2:27" x14ac:dyDescent="0.25">
      <c r="D86" s="17" t="s">
        <v>6</v>
      </c>
      <c r="E86" s="433">
        <f>IUEE!F19</f>
        <v>27.667902260322428</v>
      </c>
      <c r="F86" s="433">
        <f>IUEE!G19</f>
        <v>346.27632757735114</v>
      </c>
      <c r="G86" s="433">
        <f>IUEE!H19</f>
        <v>745.52009102274144</v>
      </c>
      <c r="H86" s="433">
        <f>IUEE!I19</f>
        <v>1235.3949285240503</v>
      </c>
      <c r="I86" s="433">
        <f>IUEE!J19</f>
        <v>1764.6749035262974</v>
      </c>
      <c r="J86" s="433">
        <f>IUEE!K19</f>
        <v>2234.8394469207624</v>
      </c>
      <c r="K86" s="433">
        <f>IUEE!L19</f>
        <v>2638.5784255104122</v>
      </c>
      <c r="L86" s="433">
        <f>IUEE!M19</f>
        <v>3017.4910354235262</v>
      </c>
      <c r="M86" s="433">
        <f>IUEE!N19</f>
        <v>3376.8021702835877</v>
      </c>
      <c r="N86" s="433">
        <f>IUEE!O19</f>
        <v>3719.0545934577067</v>
      </c>
      <c r="O86" s="433">
        <f>IUEE!P19</f>
        <v>4052.190331588411</v>
      </c>
    </row>
    <row r="87" spans="2:27" x14ac:dyDescent="0.25">
      <c r="D87" s="17" t="s">
        <v>17</v>
      </c>
      <c r="E87" s="433">
        <f>IUEE!F20</f>
        <v>5.5416766016222248</v>
      </c>
      <c r="F87" s="433">
        <f>IUEE!G20</f>
        <v>156.91879703488655</v>
      </c>
      <c r="G87" s="433">
        <f>IUEE!H20</f>
        <v>371.84756250593296</v>
      </c>
      <c r="H87" s="433">
        <f>IUEE!I20</f>
        <v>747.97601782686957</v>
      </c>
      <c r="I87" s="433">
        <f>IUEE!J20</f>
        <v>1279.753593338221</v>
      </c>
      <c r="J87" s="433">
        <f>IUEE!K20</f>
        <v>1832.214331826136</v>
      </c>
      <c r="K87" s="433">
        <f>IUEE!L20</f>
        <v>2226.3839921182539</v>
      </c>
      <c r="L87" s="433">
        <f>IUEE!M20</f>
        <v>2611.254388116633</v>
      </c>
      <c r="M87" s="433">
        <f>IUEE!N20</f>
        <v>2909.9796061154716</v>
      </c>
      <c r="N87" s="433">
        <f>IUEE!O20</f>
        <v>2968.4433303843052</v>
      </c>
      <c r="O87" s="433">
        <f>IUEE!P20</f>
        <v>2988.6457022619561</v>
      </c>
    </row>
    <row r="88" spans="2:27" x14ac:dyDescent="0.25">
      <c r="D88" s="17" t="s">
        <v>7</v>
      </c>
      <c r="E88" s="433">
        <f>IUEE!F57</f>
        <v>28.537538974272621</v>
      </c>
      <c r="F88" s="433">
        <f>IUEE!G57</f>
        <v>271.65770977913195</v>
      </c>
      <c r="G88" s="433">
        <f>IUEE!H57</f>
        <v>645.0971665226034</v>
      </c>
      <c r="H88" s="433">
        <f>IUEE!I57</f>
        <v>1112.9025815186956</v>
      </c>
      <c r="I88" s="433">
        <f>IUEE!J57</f>
        <v>1617.6944301072444</v>
      </c>
      <c r="J88" s="433">
        <f>IUEE!K57</f>
        <v>2069.9482842159841</v>
      </c>
      <c r="K88" s="433">
        <f>IUEE!L57</f>
        <v>2456.4097310603779</v>
      </c>
      <c r="L88" s="433">
        <f>IUEE!M57</f>
        <v>2805.149494191347</v>
      </c>
      <c r="M88" s="433">
        <f>IUEE!N57</f>
        <v>3311.4464808149523</v>
      </c>
      <c r="N88" s="433">
        <f>IUEE!O57</f>
        <v>3789.3390266252363</v>
      </c>
      <c r="O88" s="433">
        <f>IUEE!P57</f>
        <v>4221.5168467807816</v>
      </c>
    </row>
    <row r="89" spans="2:27" x14ac:dyDescent="0.25">
      <c r="D89" s="17" t="s">
        <v>17</v>
      </c>
      <c r="E89" s="433">
        <f>IUEE!F58</f>
        <v>5.7158584165016446</v>
      </c>
      <c r="F89" s="433">
        <f>IUEE!G58</f>
        <v>207.73862569313457</v>
      </c>
      <c r="G89" s="433">
        <f>IUEE!H58</f>
        <v>365.82628086210553</v>
      </c>
      <c r="H89" s="433">
        <f>IUEE!I58</f>
        <v>740.83175386080597</v>
      </c>
      <c r="I89" s="433">
        <f>IUEE!J58</f>
        <v>1282.6587850109938</v>
      </c>
      <c r="J89" s="433">
        <f>IUEE!K58</f>
        <v>1843.8336005741721</v>
      </c>
      <c r="K89" s="433">
        <f>IUEE!L58</f>
        <v>2341.8534857713612</v>
      </c>
      <c r="L89" s="433">
        <f>IUEE!M58</f>
        <v>2732.9807273897186</v>
      </c>
      <c r="M89" s="433">
        <f>IUEE!N58</f>
        <v>3036.1327975793838</v>
      </c>
      <c r="N89" s="433">
        <f>IUEE!O58</f>
        <v>3110.292107058006</v>
      </c>
      <c r="O89" s="433">
        <f>IUEE!P58</f>
        <v>3146.4773856780348</v>
      </c>
    </row>
    <row r="90" spans="2:27" x14ac:dyDescent="0.25">
      <c r="D90" s="17" t="s">
        <v>8</v>
      </c>
      <c r="E90" s="433">
        <f>IUEE!F95</f>
        <v>6.4760041181483174</v>
      </c>
      <c r="F90" s="433">
        <f>IUEE!G95</f>
        <v>64.428713517686148</v>
      </c>
      <c r="G90" s="433">
        <f>IUEE!H95</f>
        <v>141.92951537387535</v>
      </c>
      <c r="H90" s="433">
        <f>IUEE!I95</f>
        <v>239.86115842816861</v>
      </c>
      <c r="I90" s="433">
        <f>IUEE!J95</f>
        <v>346.49356343254169</v>
      </c>
      <c r="J90" s="433">
        <f>IUEE!K95</f>
        <v>443.96880961097554</v>
      </c>
      <c r="K90" s="433">
        <f>IUEE!L95</f>
        <v>527.46264390257386</v>
      </c>
      <c r="L90" s="433">
        <f>IUEE!M95</f>
        <v>604.280965549332</v>
      </c>
      <c r="M90" s="433">
        <f>IUEE!N95</f>
        <v>677.379426822082</v>
      </c>
      <c r="N90" s="433">
        <f>IUEE!O95</f>
        <v>744.59377343578967</v>
      </c>
      <c r="O90" s="433">
        <f>IUEE!P95</f>
        <v>807.20688725351238</v>
      </c>
    </row>
    <row r="91" spans="2:27" x14ac:dyDescent="0.25">
      <c r="D91" s="17" t="s">
        <v>17</v>
      </c>
      <c r="E91" s="433">
        <f>IUEE!F96</f>
        <v>1.2970958244643365</v>
      </c>
      <c r="F91" s="433">
        <f>IUEE!G96</f>
        <v>34.651389116213792</v>
      </c>
      <c r="G91" s="433">
        <f>IUEE!H96</f>
        <v>69.566409022645686</v>
      </c>
      <c r="H91" s="433">
        <f>IUEE!I96</f>
        <v>141.02695938196194</v>
      </c>
      <c r="I91" s="433">
        <f>IUEE!J96</f>
        <v>241.56789481003608</v>
      </c>
      <c r="J91" s="433">
        <f>IUEE!K96</f>
        <v>348.96464073194022</v>
      </c>
      <c r="K91" s="433">
        <f>IUEE!L96</f>
        <v>448.22876608228353</v>
      </c>
      <c r="L91" s="433">
        <f>IUEE!M96</f>
        <v>527.1943298714516</v>
      </c>
      <c r="M91" s="433">
        <f>IUEE!N96</f>
        <v>583.71046645106981</v>
      </c>
      <c r="N91" s="433">
        <f>IUEE!O96</f>
        <v>584.94891319588237</v>
      </c>
      <c r="O91" s="433">
        <f>IUEE!P96</f>
        <v>579.12189793885068</v>
      </c>
    </row>
    <row r="92" spans="2:27" x14ac:dyDescent="0.25">
      <c r="C92" s="17" t="s">
        <v>9</v>
      </c>
      <c r="E92" s="5"/>
      <c r="F92" s="5"/>
      <c r="G92" s="5"/>
      <c r="H92" s="5"/>
      <c r="I92" s="5"/>
      <c r="J92" s="5"/>
      <c r="K92" s="5"/>
      <c r="L92" s="5"/>
      <c r="M92" s="5"/>
      <c r="N92" s="5"/>
      <c r="O92" s="5"/>
    </row>
    <row r="93" spans="2:27" x14ac:dyDescent="0.25">
      <c r="D93" s="17" t="s">
        <v>6</v>
      </c>
      <c r="E93" s="433">
        <f>IUEE!F174</f>
        <v>34.584877825403034</v>
      </c>
      <c r="F93" s="433">
        <f>IUEE!G174</f>
        <v>396.36590020946807</v>
      </c>
      <c r="G93" s="433">
        <f>IUEE!H174</f>
        <v>872.93270902686709</v>
      </c>
      <c r="H93" s="433">
        <f>IUEE!I174</f>
        <v>1480.5001840720802</v>
      </c>
      <c r="I93" s="433">
        <f>IUEE!J174</f>
        <v>2157.5551904213917</v>
      </c>
      <c r="J93" s="433">
        <f>IUEE!K174</f>
        <v>2788.1883571143671</v>
      </c>
      <c r="K93" s="433">
        <f>IUEE!L174</f>
        <v>3364.4649101676914</v>
      </c>
      <c r="L93" s="433">
        <f>IUEE!M174</f>
        <v>3932.6979012670713</v>
      </c>
      <c r="M93" s="433">
        <f>IUEE!N174</f>
        <v>4491.0460658195734</v>
      </c>
      <c r="N93" s="433">
        <f>IUEE!O174</f>
        <v>5171.6214162424894</v>
      </c>
      <c r="O93" s="433">
        <f>IUEE!P174</f>
        <v>5845.8723838647702</v>
      </c>
    </row>
    <row r="94" spans="2:27" x14ac:dyDescent="0.25">
      <c r="D94" s="17" t="s">
        <v>17</v>
      </c>
      <c r="E94" s="433">
        <f>IUEE!F175</f>
        <v>6.9270957520277809</v>
      </c>
      <c r="F94" s="433">
        <f>IUEE!G175</f>
        <v>167.4954689186082</v>
      </c>
      <c r="G94" s="433">
        <f>IUEE!H175</f>
        <v>330.43180370596684</v>
      </c>
      <c r="H94" s="433">
        <f>IUEE!I175</f>
        <v>628.98855648707979</v>
      </c>
      <c r="I94" s="433">
        <f>IUEE!J175</f>
        <v>1122.2792855350972</v>
      </c>
      <c r="J94" s="433">
        <f>IUEE!K175</f>
        <v>1635.242141114732</v>
      </c>
      <c r="K94" s="433">
        <f>IUEE!L175</f>
        <v>2045.6097098359523</v>
      </c>
      <c r="L94" s="433">
        <f>IUEE!M175</f>
        <v>2463.2932105798072</v>
      </c>
      <c r="M94" s="433">
        <f>IUEE!N175</f>
        <v>2730.8009379876576</v>
      </c>
      <c r="N94" s="433">
        <f>IUEE!O175</f>
        <v>2772.8406101833971</v>
      </c>
      <c r="O94" s="433">
        <f>IUEE!P175</f>
        <v>2758.0655757517106</v>
      </c>
    </row>
    <row r="95" spans="2:27" x14ac:dyDescent="0.25">
      <c r="D95" s="17" t="s">
        <v>7</v>
      </c>
      <c r="E95" s="433">
        <f>IUEE!F212</f>
        <v>35.671923717840777</v>
      </c>
      <c r="F95" s="433">
        <f>IUEE!G212</f>
        <v>335.94886429533773</v>
      </c>
      <c r="G95" s="433">
        <f>IUEE!H212</f>
        <v>918.12500053334441</v>
      </c>
      <c r="H95" s="433">
        <f>IUEE!I212</f>
        <v>1806.2836475551048</v>
      </c>
      <c r="I95" s="433">
        <f>IUEE!J212</f>
        <v>2692.182489846336</v>
      </c>
      <c r="J95" s="433">
        <f>IUEE!K212</f>
        <v>3516.018501272094</v>
      </c>
      <c r="K95" s="433">
        <f>IUEE!L212</f>
        <v>3985.2807688529033</v>
      </c>
      <c r="L95" s="433">
        <f>IUEE!M212</f>
        <v>4955.4038696448151</v>
      </c>
      <c r="M95" s="433">
        <f>IUEE!N212</f>
        <v>5883.0925090530445</v>
      </c>
      <c r="N95" s="433">
        <f>IUEE!O212</f>
        <v>6706.6902538509803</v>
      </c>
      <c r="O95" s="433">
        <f>IUEE!P212</f>
        <v>7464.2908822863837</v>
      </c>
    </row>
    <row r="96" spans="2:27" x14ac:dyDescent="0.25">
      <c r="D96" s="17" t="s">
        <v>17</v>
      </c>
      <c r="E96" s="433">
        <f>IUEE!F213</f>
        <v>7.1448230206270553</v>
      </c>
      <c r="F96" s="433">
        <f>IUEE!G213</f>
        <v>221.06287636641824</v>
      </c>
      <c r="G96" s="433">
        <f>IUEE!H213</f>
        <v>329.25029727380047</v>
      </c>
      <c r="H96" s="433">
        <f>IUEE!I213</f>
        <v>637.29221568910384</v>
      </c>
      <c r="I96" s="433">
        <f>IUEE!J213</f>
        <v>1153.0886299926472</v>
      </c>
      <c r="J96" s="433">
        <f>IUEE!K213</f>
        <v>1688.1106037926775</v>
      </c>
      <c r="K96" s="433">
        <f>IUEE!L213</f>
        <v>2216.4911556147454</v>
      </c>
      <c r="L96" s="433">
        <f>IUEE!M213</f>
        <v>2648.7841670149792</v>
      </c>
      <c r="M96" s="433">
        <f>IUEE!N213</f>
        <v>2931.426856327309</v>
      </c>
      <c r="N96" s="433">
        <f>IUEE!O213</f>
        <v>2995.9228806212395</v>
      </c>
      <c r="O96" s="433">
        <f>IUEE!P213</f>
        <v>3003.7723809884046</v>
      </c>
    </row>
    <row r="97" spans="2:28" x14ac:dyDescent="0.25">
      <c r="D97" s="17" t="s">
        <v>8</v>
      </c>
      <c r="E97" s="433">
        <f>IUEE!F250</f>
        <v>8.0950051476853968</v>
      </c>
      <c r="F97" s="433">
        <f>IUEE!G250</f>
        <v>77.965937343689234</v>
      </c>
      <c r="G97" s="433">
        <f>IUEE!H250</f>
        <v>176.51476548903992</v>
      </c>
      <c r="H97" s="433">
        <f>IUEE!I250</f>
        <v>341.42659037041085</v>
      </c>
      <c r="I97" s="433">
        <f>IUEE!J250</f>
        <v>518.47372930196093</v>
      </c>
      <c r="J97" s="433">
        <f>IUEE!K250</f>
        <v>671.17593023621896</v>
      </c>
      <c r="K97" s="433">
        <f>IUEE!L250</f>
        <v>738.17358692765038</v>
      </c>
      <c r="L97" s="433">
        <f>IUEE!M250</f>
        <v>922.42449154780445</v>
      </c>
      <c r="M97" s="433">
        <f>IUEE!N250</f>
        <v>1127.3203729019765</v>
      </c>
      <c r="N97" s="433">
        <f>IUEE!O250</f>
        <v>1307.8515596632733</v>
      </c>
      <c r="O97" s="433">
        <f>IUEE!P250</f>
        <v>1472.8998383382666</v>
      </c>
      <c r="Q97" s="476"/>
    </row>
    <row r="98" spans="2:28" x14ac:dyDescent="0.25">
      <c r="D98" s="17" t="s">
        <v>17</v>
      </c>
      <c r="E98" s="433">
        <f>IUEE!F251</f>
        <v>1.6213697805804206</v>
      </c>
      <c r="F98" s="433">
        <f>IUEE!G251</f>
        <v>37.017652457767241</v>
      </c>
      <c r="G98" s="433">
        <f>IUEE!H251</f>
        <v>60.992703528785682</v>
      </c>
      <c r="H98" s="433">
        <f>IUEE!I251</f>
        <v>116.98387414335966</v>
      </c>
      <c r="I98" s="433">
        <f>IUEE!J251</f>
        <v>210.24373165720812</v>
      </c>
      <c r="J98" s="433">
        <f>IUEE!K251</f>
        <v>309.77127708867715</v>
      </c>
      <c r="K98" s="433">
        <f>IUEE!L251</f>
        <v>413.94441294057674</v>
      </c>
      <c r="L98" s="433">
        <f>IUEE!M251</f>
        <v>500.25831963892904</v>
      </c>
      <c r="M98" s="433">
        <f>IUEE!N251</f>
        <v>549.45879391573237</v>
      </c>
      <c r="N98" s="433">
        <f>IUEE!O251</f>
        <v>545.64753013655775</v>
      </c>
      <c r="O98" s="433">
        <f>IUEE!P251</f>
        <v>530.36266615463182</v>
      </c>
      <c r="Q98" s="476"/>
    </row>
    <row r="99" spans="2:28" x14ac:dyDescent="0.25">
      <c r="C99" s="17" t="s">
        <v>1</v>
      </c>
      <c r="E99" s="5"/>
      <c r="F99" s="5"/>
      <c r="G99" s="5"/>
      <c r="H99" s="5"/>
      <c r="I99" s="5"/>
      <c r="J99" s="5"/>
      <c r="K99" s="5"/>
      <c r="L99" s="5"/>
      <c r="M99" s="5"/>
      <c r="N99" s="5"/>
      <c r="O99" s="5"/>
      <c r="Q99" s="476"/>
    </row>
    <row r="100" spans="2:28" x14ac:dyDescent="0.25">
      <c r="D100" s="17" t="s">
        <v>6</v>
      </c>
      <c r="E100" s="433">
        <f>IUEE!F329</f>
        <v>34.584877825403034</v>
      </c>
      <c r="F100" s="433">
        <f>IUEE!G329</f>
        <v>445.92787060946802</v>
      </c>
      <c r="G100" s="433">
        <f>IUEE!H329</f>
        <v>970.39525297686691</v>
      </c>
      <c r="H100" s="433">
        <f>IUEE!I329</f>
        <v>1629.14280317208</v>
      </c>
      <c r="I100" s="433">
        <f>IUEE!J329</f>
        <v>2362.4198679713918</v>
      </c>
      <c r="J100" s="433">
        <f>IUEE!K329</f>
        <v>3051.3798173643672</v>
      </c>
      <c r="K100" s="433">
        <f>IUEE!L329</f>
        <v>3686.8347139176913</v>
      </c>
      <c r="L100" s="433">
        <f>IUEE!M329</f>
        <v>4316.381692717071</v>
      </c>
      <c r="M100" s="433">
        <f>IUEE!N329</f>
        <v>4956.3157960035533</v>
      </c>
      <c r="N100" s="433">
        <f>IUEE!O329</f>
        <v>5749.63076884974</v>
      </c>
      <c r="O100" s="433">
        <f>IUEE!P329</f>
        <v>6501.7674266637296</v>
      </c>
      <c r="Q100" s="476"/>
    </row>
    <row r="101" spans="2:28" x14ac:dyDescent="0.25">
      <c r="D101" s="17" t="s">
        <v>17</v>
      </c>
      <c r="E101" s="433">
        <f>IUEE!F330</f>
        <v>0</v>
      </c>
      <c r="F101" s="433">
        <f>IUEE!G330</f>
        <v>0</v>
      </c>
      <c r="G101" s="433">
        <f>IUEE!H330</f>
        <v>0</v>
      </c>
      <c r="H101" s="433">
        <f>IUEE!I330</f>
        <v>0</v>
      </c>
      <c r="I101" s="433">
        <f>IUEE!J330</f>
        <v>188.16076890926752</v>
      </c>
      <c r="J101" s="433">
        <f>IUEE!K330</f>
        <v>644.52969844563859</v>
      </c>
      <c r="K101" s="433">
        <f>IUEE!L330</f>
        <v>994.4679864801692</v>
      </c>
      <c r="L101" s="433">
        <f>IUEE!M330</f>
        <v>1328.2281138733169</v>
      </c>
      <c r="M101" s="433">
        <f>IUEE!N330</f>
        <v>1526.7081450042133</v>
      </c>
      <c r="N101" s="433">
        <f>IUEE!O330</f>
        <v>1607.3076890570028</v>
      </c>
      <c r="O101" s="433">
        <f>IUEE!P330</f>
        <v>1610.0195268364505</v>
      </c>
      <c r="Q101" s="476"/>
    </row>
    <row r="102" spans="2:28" x14ac:dyDescent="0.25">
      <c r="D102" s="17" t="s">
        <v>7</v>
      </c>
      <c r="E102" s="433">
        <f>IUEE!F367</f>
        <v>35.671923717840777</v>
      </c>
      <c r="F102" s="433">
        <f>IUEE!G367</f>
        <v>425.6017073905337</v>
      </c>
      <c r="G102" s="433">
        <f>IUEE!H367</f>
        <v>1130.376952576041</v>
      </c>
      <c r="H102" s="433">
        <f>IUEE!I367</f>
        <v>2102.7417437443983</v>
      </c>
      <c r="I102" s="433">
        <f>IUEE!J367</f>
        <v>3060.4782625393373</v>
      </c>
      <c r="J102" s="433">
        <f>IUEE!K367</f>
        <v>3972.2063538603907</v>
      </c>
      <c r="K102" s="433">
        <f>IUEE!L367</f>
        <v>4494.5844810466097</v>
      </c>
      <c r="L102" s="433">
        <f>IUEE!M367</f>
        <v>5559.5155119202173</v>
      </c>
      <c r="M102" s="433">
        <f>IUEE!N367</f>
        <v>6583.3214143496443</v>
      </c>
      <c r="N102" s="433">
        <f>IUEE!O367</f>
        <v>7503.8756806101483</v>
      </c>
      <c r="O102" s="433">
        <f>IUEE!P367</f>
        <v>8347.9317151032737</v>
      </c>
      <c r="Q102" s="476"/>
    </row>
    <row r="103" spans="2:28" x14ac:dyDescent="0.25">
      <c r="D103" s="17" t="s">
        <v>17</v>
      </c>
      <c r="E103" s="433">
        <f>IUEE!F368</f>
        <v>0</v>
      </c>
      <c r="F103" s="433">
        <f>IUEE!G368</f>
        <v>0</v>
      </c>
      <c r="G103" s="433">
        <f>IUEE!H368</f>
        <v>0</v>
      </c>
      <c r="H103" s="433">
        <f>IUEE!I368</f>
        <v>0</v>
      </c>
      <c r="I103" s="433">
        <f>IUEE!J368</f>
        <v>278.45811107598388</v>
      </c>
      <c r="J103" s="433">
        <f>IUEE!K368</f>
        <v>760.63929996075603</v>
      </c>
      <c r="K103" s="433">
        <f>IUEE!L368</f>
        <v>1246.2921961469383</v>
      </c>
      <c r="L103" s="433">
        <f>IUEE!M368</f>
        <v>1599.1373695462003</v>
      </c>
      <c r="M103" s="433">
        <f>IUEE!N368</f>
        <v>1816.6523182554683</v>
      </c>
      <c r="N103" s="433">
        <f>IUEE!O368</f>
        <v>1918.3620273559236</v>
      </c>
      <c r="O103" s="433">
        <f>IUEE!P368</f>
        <v>1944.2108146390001</v>
      </c>
      <c r="Q103" s="476"/>
    </row>
    <row r="104" spans="2:28" x14ac:dyDescent="0.25">
      <c r="D104" s="17" t="s">
        <v>8</v>
      </c>
      <c r="E104" s="433">
        <f>IUEE!F405</f>
        <v>8.0950051476853968</v>
      </c>
      <c r="F104" s="433">
        <f>IUEE!G405</f>
        <v>87.427937193689218</v>
      </c>
      <c r="G104" s="433">
        <f>IUEE!H405</f>
        <v>208.26386051297436</v>
      </c>
      <c r="H104" s="433">
        <f>IUEE!I405</f>
        <v>410.50113173593718</v>
      </c>
      <c r="I104" s="433">
        <f>IUEE!J405</f>
        <v>598.81612422282308</v>
      </c>
      <c r="J104" s="433">
        <f>IUEE!K405</f>
        <v>763.15953932260982</v>
      </c>
      <c r="K104" s="433">
        <f>IUEE!L405</f>
        <v>808.07742827765037</v>
      </c>
      <c r="L104" s="433">
        <f>IUEE!M405</f>
        <v>1031.3246227249624</v>
      </c>
      <c r="M104" s="433">
        <f>IUEE!N405</f>
        <v>1257.4098751291351</v>
      </c>
      <c r="N104" s="433">
        <f>IUEE!O405</f>
        <v>1459.7500726904323</v>
      </c>
      <c r="O104" s="433">
        <f>IUEE!P405</f>
        <v>1643.9675173654239</v>
      </c>
      <c r="Q104" s="476"/>
    </row>
    <row r="105" spans="2:28" x14ac:dyDescent="0.25">
      <c r="D105" s="17" t="s">
        <v>17</v>
      </c>
      <c r="E105" s="433">
        <f>IUEE!F406</f>
        <v>0</v>
      </c>
      <c r="F105" s="433">
        <f>IUEE!G406</f>
        <v>0</v>
      </c>
      <c r="G105" s="433">
        <f>IUEE!H406</f>
        <v>0</v>
      </c>
      <c r="H105" s="433">
        <f>IUEE!I406</f>
        <v>0</v>
      </c>
      <c r="I105" s="433">
        <f>IUEE!J406</f>
        <v>5.7141314440287942</v>
      </c>
      <c r="J105" s="433">
        <f>IUEE!K406</f>
        <v>87.807789865327265</v>
      </c>
      <c r="K105" s="433">
        <f>IUEE!L406</f>
        <v>177.85245646278202</v>
      </c>
      <c r="L105" s="433">
        <f>IUEE!M406</f>
        <v>242.13966930198626</v>
      </c>
      <c r="M105" s="433">
        <f>IUEE!N406</f>
        <v>271.98620690932739</v>
      </c>
      <c r="N105" s="433">
        <f>IUEE!O406</f>
        <v>272.2255207797831</v>
      </c>
      <c r="O105" s="433">
        <f>IUEE!P406</f>
        <v>256.8649250770452</v>
      </c>
      <c r="Q105" s="476"/>
    </row>
    <row r="106" spans="2:28" x14ac:dyDescent="0.25">
      <c r="E106" s="5"/>
      <c r="F106" s="5"/>
      <c r="G106" s="5"/>
      <c r="H106" s="5"/>
      <c r="I106" s="5"/>
      <c r="J106" s="5"/>
      <c r="K106" s="5"/>
      <c r="L106" s="5"/>
      <c r="M106" s="5"/>
      <c r="N106" s="5"/>
      <c r="O106" s="5"/>
      <c r="Q106" s="476"/>
    </row>
    <row r="107" spans="2:28" x14ac:dyDescent="0.25">
      <c r="C107" s="17" t="s">
        <v>14</v>
      </c>
      <c r="E107" s="434">
        <v>0</v>
      </c>
      <c r="F107" s="434">
        <v>3371</v>
      </c>
      <c r="G107" s="434">
        <v>5130</v>
      </c>
      <c r="H107" s="434">
        <v>6824</v>
      </c>
      <c r="I107" s="434">
        <v>8959</v>
      </c>
      <c r="J107" s="434">
        <v>11464</v>
      </c>
      <c r="K107" s="434">
        <v>13969</v>
      </c>
      <c r="L107" s="434">
        <v>16072</v>
      </c>
      <c r="M107" s="434">
        <v>17857</v>
      </c>
      <c r="N107" s="433"/>
      <c r="O107" s="433"/>
    </row>
    <row r="108" spans="2:28" x14ac:dyDescent="0.25">
      <c r="E108" s="5"/>
      <c r="F108" s="5"/>
      <c r="G108" s="5"/>
      <c r="H108" s="5"/>
      <c r="I108" s="5"/>
      <c r="J108" s="5"/>
      <c r="K108" s="6"/>
      <c r="L108" s="6"/>
      <c r="M108" s="6"/>
      <c r="N108" s="6"/>
      <c r="O108" s="6"/>
    </row>
    <row r="109" spans="2:28" x14ac:dyDescent="0.25">
      <c r="E109" s="5"/>
      <c r="F109" s="5"/>
      <c r="G109" s="5"/>
      <c r="H109" s="5"/>
      <c r="I109" s="5"/>
      <c r="J109" s="5"/>
    </row>
    <row r="110" spans="2:28" s="478" customFormat="1" x14ac:dyDescent="0.25">
      <c r="B110" s="479" t="s">
        <v>23</v>
      </c>
      <c r="C110" s="480"/>
      <c r="D110" s="480"/>
      <c r="E110" s="481"/>
      <c r="F110" s="481"/>
      <c r="G110" s="481"/>
      <c r="H110" s="481"/>
      <c r="I110" s="481"/>
      <c r="J110" s="481"/>
      <c r="K110" s="480"/>
      <c r="L110" s="480"/>
      <c r="M110" s="480"/>
      <c r="N110" s="480"/>
      <c r="O110" s="480"/>
      <c r="P110" s="480"/>
      <c r="Q110" s="480"/>
      <c r="R110" s="480"/>
      <c r="S110" s="480"/>
      <c r="T110" s="480"/>
      <c r="U110" s="480"/>
      <c r="V110" s="480"/>
      <c r="W110" s="480"/>
      <c r="X110" s="480"/>
      <c r="Y110" s="480"/>
      <c r="Z110" s="480"/>
      <c r="AA110" s="480"/>
      <c r="AB110" s="472"/>
    </row>
    <row r="111" spans="2:28" x14ac:dyDescent="0.25">
      <c r="C111" s="17" t="s">
        <v>0</v>
      </c>
      <c r="D111" s="5"/>
      <c r="E111" s="434">
        <v>0</v>
      </c>
      <c r="F111" s="5">
        <f>E111</f>
        <v>0</v>
      </c>
      <c r="G111" s="5">
        <f t="shared" ref="G111:O111" si="7">F111</f>
        <v>0</v>
      </c>
      <c r="H111" s="5">
        <f t="shared" si="7"/>
        <v>0</v>
      </c>
      <c r="I111" s="5">
        <f t="shared" si="7"/>
        <v>0</v>
      </c>
      <c r="J111" s="5">
        <f t="shared" si="7"/>
        <v>0</v>
      </c>
      <c r="K111" s="5">
        <f t="shared" si="7"/>
        <v>0</v>
      </c>
      <c r="L111" s="5">
        <f t="shared" si="7"/>
        <v>0</v>
      </c>
      <c r="M111" s="5">
        <f t="shared" si="7"/>
        <v>0</v>
      </c>
      <c r="N111" s="5">
        <f t="shared" si="7"/>
        <v>0</v>
      </c>
      <c r="O111" s="5">
        <f t="shared" si="7"/>
        <v>0</v>
      </c>
      <c r="P111" s="6"/>
      <c r="Q111" s="6"/>
      <c r="R111" s="6"/>
      <c r="S111" s="6"/>
      <c r="T111" s="6"/>
      <c r="U111" s="6"/>
      <c r="V111" s="6"/>
      <c r="W111" s="6"/>
      <c r="X111" s="6"/>
      <c r="Y111" s="6"/>
      <c r="Z111" s="6"/>
      <c r="AA111" s="6"/>
    </row>
    <row r="112" spans="2:28" x14ac:dyDescent="0.25">
      <c r="C112" s="17" t="s">
        <v>9</v>
      </c>
      <c r="D112" s="5"/>
      <c r="E112" s="5">
        <f>$M112/9</f>
        <v>144.44444444444446</v>
      </c>
      <c r="F112" s="5">
        <f t="shared" ref="F112:L113" si="8">E112+($M112/9)</f>
        <v>288.88888888888891</v>
      </c>
      <c r="G112" s="5">
        <f t="shared" si="8"/>
        <v>433.33333333333337</v>
      </c>
      <c r="H112" s="5">
        <f t="shared" si="8"/>
        <v>577.77777777777783</v>
      </c>
      <c r="I112" s="5">
        <f t="shared" si="8"/>
        <v>722.22222222222229</v>
      </c>
      <c r="J112" s="5">
        <f t="shared" si="8"/>
        <v>866.66666666666674</v>
      </c>
      <c r="K112" s="5">
        <f t="shared" si="8"/>
        <v>1011.1111111111112</v>
      </c>
      <c r="L112" s="5">
        <f t="shared" si="8"/>
        <v>1155.5555555555557</v>
      </c>
      <c r="M112" s="434">
        <f>3500-2200</f>
        <v>1300</v>
      </c>
      <c r="N112" s="5">
        <f>M112</f>
        <v>1300</v>
      </c>
      <c r="O112" s="5">
        <f t="shared" ref="O112" si="9">N112</f>
        <v>1300</v>
      </c>
      <c r="P112" s="5"/>
      <c r="Q112" s="5"/>
      <c r="R112" s="5"/>
      <c r="S112" s="5"/>
      <c r="T112" s="5"/>
      <c r="U112" s="5"/>
      <c r="V112" s="5"/>
      <c r="W112" s="5"/>
      <c r="X112" s="5"/>
      <c r="Y112" s="5"/>
      <c r="Z112" s="5"/>
      <c r="AA112" s="5"/>
    </row>
    <row r="113" spans="1:28" x14ac:dyDescent="0.25">
      <c r="C113" s="17" t="s">
        <v>1</v>
      </c>
      <c r="D113" s="5"/>
      <c r="E113" s="5">
        <f>$M113/9</f>
        <v>366.66666666666669</v>
      </c>
      <c r="F113" s="5">
        <f t="shared" si="8"/>
        <v>733.33333333333337</v>
      </c>
      <c r="G113" s="5">
        <f t="shared" si="8"/>
        <v>1100</v>
      </c>
      <c r="H113" s="5">
        <f t="shared" si="8"/>
        <v>1466.6666666666667</v>
      </c>
      <c r="I113" s="5">
        <f t="shared" si="8"/>
        <v>1833.3333333333335</v>
      </c>
      <c r="J113" s="5">
        <f t="shared" si="8"/>
        <v>2200</v>
      </c>
      <c r="K113" s="5">
        <f t="shared" si="8"/>
        <v>2566.6666666666665</v>
      </c>
      <c r="L113" s="5">
        <f t="shared" si="8"/>
        <v>2933.333333333333</v>
      </c>
      <c r="M113" s="434">
        <f>5500-2200</f>
        <v>3300</v>
      </c>
      <c r="N113" s="5">
        <f>M113</f>
        <v>3300</v>
      </c>
      <c r="O113" s="5">
        <f t="shared" ref="O113" si="10">N113</f>
        <v>3300</v>
      </c>
      <c r="P113" s="5"/>
      <c r="Q113" s="5"/>
      <c r="R113" s="5"/>
      <c r="S113" s="5"/>
      <c r="T113" s="5"/>
      <c r="U113" s="5"/>
      <c r="V113" s="5"/>
      <c r="W113" s="5"/>
      <c r="X113" s="5"/>
      <c r="Y113" s="5"/>
      <c r="Z113" s="5"/>
      <c r="AA113" s="5"/>
    </row>
    <row r="114" spans="1:28" x14ac:dyDescent="0.25">
      <c r="C114" s="17" t="s">
        <v>14</v>
      </c>
      <c r="E114" s="434">
        <v>0</v>
      </c>
      <c r="F114" s="434">
        <v>0</v>
      </c>
      <c r="G114" s="434">
        <v>0</v>
      </c>
      <c r="H114" s="434">
        <v>0</v>
      </c>
      <c r="I114" s="434">
        <v>0</v>
      </c>
      <c r="J114" s="434">
        <v>0</v>
      </c>
      <c r="K114" s="434">
        <v>0</v>
      </c>
      <c r="L114" s="434">
        <v>0</v>
      </c>
      <c r="M114" s="434">
        <v>0</v>
      </c>
      <c r="N114" s="433"/>
      <c r="O114" s="433"/>
    </row>
    <row r="115" spans="1:28" x14ac:dyDescent="0.25">
      <c r="E115" s="5"/>
      <c r="F115" s="5"/>
      <c r="G115" s="5"/>
      <c r="H115" s="5"/>
      <c r="I115" s="5"/>
      <c r="J115" s="5"/>
      <c r="K115" s="5"/>
      <c r="L115" s="5"/>
      <c r="M115" s="5"/>
      <c r="N115" s="5"/>
      <c r="O115" s="5"/>
    </row>
    <row r="116" spans="1:28" s="478" customFormat="1" x14ac:dyDescent="0.25">
      <c r="B116" s="479" t="s">
        <v>3414</v>
      </c>
      <c r="C116" s="480"/>
      <c r="D116" s="480"/>
      <c r="E116" s="481"/>
      <c r="F116" s="481"/>
      <c r="G116" s="481"/>
      <c r="H116" s="481"/>
      <c r="I116" s="481"/>
      <c r="J116" s="481"/>
      <c r="K116" s="481"/>
      <c r="L116" s="481"/>
      <c r="M116" s="481"/>
      <c r="N116" s="481"/>
      <c r="O116" s="481"/>
      <c r="P116" s="480"/>
      <c r="Q116" s="480"/>
      <c r="R116" s="480"/>
      <c r="S116" s="480"/>
      <c r="T116" s="480"/>
      <c r="U116" s="480"/>
      <c r="V116" s="480"/>
      <c r="W116" s="480"/>
      <c r="X116" s="480"/>
      <c r="Y116" s="480"/>
      <c r="Z116" s="480"/>
      <c r="AA116" s="480"/>
      <c r="AB116" s="472"/>
    </row>
    <row r="117" spans="1:28" x14ac:dyDescent="0.25">
      <c r="A117" s="17" t="s">
        <v>3427</v>
      </c>
      <c r="B117" s="478">
        <f>IF(Scenarios!$B$46="CED forecast",$B$159,Scenarios!$B$48)</f>
        <v>0.18956637353152256</v>
      </c>
      <c r="C117" s="17" t="s">
        <v>0</v>
      </c>
      <c r="D117" s="5"/>
      <c r="E117" s="5">
        <f>E111*8760*$B117/1000</f>
        <v>0</v>
      </c>
      <c r="F117" s="5">
        <f t="shared" ref="F117:O117" si="11">F111*8760*$B117/1000</f>
        <v>0</v>
      </c>
      <c r="G117" s="5">
        <f t="shared" si="11"/>
        <v>0</v>
      </c>
      <c r="H117" s="5">
        <f t="shared" si="11"/>
        <v>0</v>
      </c>
      <c r="I117" s="5">
        <f t="shared" si="11"/>
        <v>0</v>
      </c>
      <c r="J117" s="5">
        <f t="shared" si="11"/>
        <v>0</v>
      </c>
      <c r="K117" s="5">
        <f t="shared" si="11"/>
        <v>0</v>
      </c>
      <c r="L117" s="5">
        <f t="shared" si="11"/>
        <v>0</v>
      </c>
      <c r="M117" s="5">
        <f t="shared" si="11"/>
        <v>0</v>
      </c>
      <c r="N117" s="5">
        <f t="shared" si="11"/>
        <v>0</v>
      </c>
      <c r="O117" s="5">
        <f t="shared" si="11"/>
        <v>0</v>
      </c>
      <c r="P117" s="6"/>
      <c r="Q117" s="6"/>
      <c r="R117" s="6"/>
      <c r="S117" s="6"/>
      <c r="T117" s="6"/>
      <c r="U117" s="6"/>
      <c r="V117" s="6"/>
      <c r="W117" s="6"/>
      <c r="X117" s="6"/>
      <c r="Y117" s="6"/>
      <c r="Z117" s="6"/>
      <c r="AA117" s="6"/>
    </row>
    <row r="118" spans="1:28" x14ac:dyDescent="0.25">
      <c r="A118" s="17" t="s">
        <v>3427</v>
      </c>
      <c r="B118" s="478">
        <f>IF(Scenarios!$B$46="CED forecast",$B$159,Scenarios!$B$48)</f>
        <v>0.18956637353152256</v>
      </c>
      <c r="C118" s="17" t="s">
        <v>9</v>
      </c>
      <c r="D118" s="5"/>
      <c r="E118" s="5">
        <f t="shared" ref="E118:O119" si="12">E112*8760*$B118/1000</f>
        <v>239.86465130855325</v>
      </c>
      <c r="F118" s="5">
        <f t="shared" si="12"/>
        <v>479.7293026171065</v>
      </c>
      <c r="G118" s="5">
        <f t="shared" si="12"/>
        <v>719.59395392565978</v>
      </c>
      <c r="H118" s="5">
        <f t="shared" si="12"/>
        <v>959.458605234213</v>
      </c>
      <c r="I118" s="5">
        <f t="shared" si="12"/>
        <v>1199.3232565427661</v>
      </c>
      <c r="J118" s="5">
        <f t="shared" si="12"/>
        <v>1439.1879078513196</v>
      </c>
      <c r="K118" s="5">
        <f t="shared" si="12"/>
        <v>1679.0525591598725</v>
      </c>
      <c r="L118" s="5">
        <f t="shared" si="12"/>
        <v>1918.917210468426</v>
      </c>
      <c r="M118" s="5">
        <f t="shared" si="12"/>
        <v>2158.7818617769785</v>
      </c>
      <c r="N118" s="5">
        <f t="shared" si="12"/>
        <v>2158.7818617769785</v>
      </c>
      <c r="O118" s="5">
        <f t="shared" si="12"/>
        <v>2158.7818617769785</v>
      </c>
      <c r="P118" s="5"/>
      <c r="Q118" s="5"/>
      <c r="R118" s="5"/>
      <c r="S118" s="5"/>
      <c r="T118" s="5"/>
      <c r="U118" s="5"/>
      <c r="V118" s="5"/>
      <c r="W118" s="5"/>
      <c r="X118" s="5"/>
      <c r="Y118" s="5"/>
      <c r="Z118" s="5"/>
      <c r="AA118" s="5"/>
    </row>
    <row r="119" spans="1:28" x14ac:dyDescent="0.25">
      <c r="A119" s="17" t="s">
        <v>3427</v>
      </c>
      <c r="B119" s="478">
        <f>IF(Scenarios!$B$46="CED forecast",$B$159,Scenarios!$B$48)</f>
        <v>0.18956637353152256</v>
      </c>
      <c r="C119" s="17" t="s">
        <v>1</v>
      </c>
      <c r="D119" s="5"/>
      <c r="E119" s="5">
        <f t="shared" si="12"/>
        <v>608.88719178325039</v>
      </c>
      <c r="F119" s="5">
        <f t="shared" si="12"/>
        <v>1217.7743835665008</v>
      </c>
      <c r="G119" s="5">
        <f t="shared" si="12"/>
        <v>1826.6615753497515</v>
      </c>
      <c r="H119" s="5">
        <f t="shared" si="12"/>
        <v>2435.5487671330015</v>
      </c>
      <c r="I119" s="5">
        <f t="shared" si="12"/>
        <v>3044.4359589162523</v>
      </c>
      <c r="J119" s="5">
        <f t="shared" si="12"/>
        <v>3653.323150699503</v>
      </c>
      <c r="K119" s="5">
        <f t="shared" si="12"/>
        <v>4262.2103424827528</v>
      </c>
      <c r="L119" s="5">
        <f t="shared" si="12"/>
        <v>4871.0975342660031</v>
      </c>
      <c r="M119" s="5">
        <f t="shared" si="12"/>
        <v>5479.9847260492534</v>
      </c>
      <c r="N119" s="5">
        <f t="shared" si="12"/>
        <v>5479.9847260492534</v>
      </c>
      <c r="O119" s="5">
        <f t="shared" si="12"/>
        <v>5479.9847260492534</v>
      </c>
      <c r="P119" s="5"/>
      <c r="Q119" s="5"/>
      <c r="R119" s="5"/>
      <c r="S119" s="5"/>
      <c r="T119" s="5"/>
      <c r="U119" s="5"/>
      <c r="V119" s="5"/>
      <c r="W119" s="5"/>
      <c r="X119" s="5"/>
      <c r="Y119" s="5"/>
      <c r="Z119" s="5"/>
      <c r="AA119" s="5"/>
    </row>
    <row r="120" spans="1:28" x14ac:dyDescent="0.25">
      <c r="C120" s="17" t="s">
        <v>14</v>
      </c>
      <c r="E120" s="434">
        <v>0</v>
      </c>
      <c r="F120" s="434">
        <v>0</v>
      </c>
      <c r="G120" s="434">
        <v>0</v>
      </c>
      <c r="H120" s="434">
        <v>0</v>
      </c>
      <c r="I120" s="434">
        <v>0</v>
      </c>
      <c r="J120" s="434">
        <v>0</v>
      </c>
      <c r="K120" s="434">
        <v>0</v>
      </c>
      <c r="L120" s="434">
        <v>0</v>
      </c>
      <c r="M120" s="434">
        <v>0</v>
      </c>
      <c r="N120" s="433"/>
      <c r="O120" s="433"/>
    </row>
    <row r="121" spans="1:28" x14ac:dyDescent="0.25">
      <c r="E121" s="5"/>
      <c r="F121" s="5"/>
      <c r="G121" s="5"/>
      <c r="H121" s="5"/>
      <c r="I121" s="5"/>
      <c r="J121" s="5"/>
      <c r="K121" s="5"/>
      <c r="L121" s="5"/>
      <c r="M121" s="5"/>
      <c r="N121" s="5"/>
      <c r="O121" s="5"/>
    </row>
    <row r="122" spans="1:28" x14ac:dyDescent="0.25">
      <c r="E122" s="5"/>
      <c r="F122" s="5"/>
      <c r="G122" s="5"/>
      <c r="H122" s="5"/>
      <c r="I122" s="5"/>
      <c r="J122" s="5"/>
    </row>
    <row r="123" spans="1:28" s="478" customFormat="1" x14ac:dyDescent="0.25">
      <c r="B123" s="482" t="s">
        <v>3417</v>
      </c>
      <c r="C123" s="483"/>
      <c r="D123" s="483"/>
      <c r="E123" s="484"/>
      <c r="F123" s="484"/>
      <c r="G123" s="484"/>
      <c r="H123" s="484"/>
      <c r="I123" s="484"/>
      <c r="J123" s="484"/>
      <c r="K123" s="483"/>
      <c r="L123" s="483"/>
      <c r="M123" s="483"/>
      <c r="N123" s="483"/>
      <c r="O123" s="483"/>
      <c r="P123" s="483"/>
      <c r="Q123" s="483"/>
      <c r="R123" s="483"/>
      <c r="S123" s="483"/>
      <c r="T123" s="483"/>
      <c r="U123" s="483"/>
      <c r="V123" s="483"/>
      <c r="W123" s="483"/>
      <c r="X123" s="483"/>
      <c r="Y123" s="483"/>
      <c r="Z123" s="483"/>
      <c r="AA123" s="483"/>
      <c r="AB123" s="472"/>
    </row>
    <row r="124" spans="1:28" x14ac:dyDescent="0.25">
      <c r="C124" s="17" t="s">
        <v>0</v>
      </c>
      <c r="E124" s="5">
        <f t="shared" ref="E124:V126" si="13">D124+($W124/19)</f>
        <v>0</v>
      </c>
      <c r="F124" s="5">
        <f t="shared" si="13"/>
        <v>0</v>
      </c>
      <c r="G124" s="5">
        <f t="shared" si="13"/>
        <v>0</v>
      </c>
      <c r="H124" s="5">
        <f t="shared" si="13"/>
        <v>0</v>
      </c>
      <c r="I124" s="5">
        <f t="shared" si="13"/>
        <v>0</v>
      </c>
      <c r="J124" s="5">
        <f t="shared" si="13"/>
        <v>0</v>
      </c>
      <c r="K124" s="5">
        <f t="shared" si="13"/>
        <v>0</v>
      </c>
      <c r="L124" s="5">
        <f t="shared" si="13"/>
        <v>0</v>
      </c>
      <c r="M124" s="5">
        <f t="shared" si="13"/>
        <v>0</v>
      </c>
      <c r="N124" s="5">
        <f t="shared" si="13"/>
        <v>0</v>
      </c>
      <c r="O124" s="5">
        <f t="shared" si="13"/>
        <v>0</v>
      </c>
      <c r="P124" s="5">
        <f t="shared" si="13"/>
        <v>0</v>
      </c>
      <c r="Q124" s="5">
        <f t="shared" si="13"/>
        <v>0</v>
      </c>
      <c r="R124" s="5">
        <f t="shared" si="13"/>
        <v>0</v>
      </c>
      <c r="S124" s="5">
        <f t="shared" si="13"/>
        <v>0</v>
      </c>
      <c r="T124" s="5">
        <f t="shared" si="13"/>
        <v>0</v>
      </c>
      <c r="U124" s="5">
        <f t="shared" si="13"/>
        <v>0</v>
      </c>
      <c r="V124" s="5">
        <f>U124+($W124/19)</f>
        <v>0</v>
      </c>
      <c r="W124" s="486">
        <v>0</v>
      </c>
      <c r="X124" s="5">
        <f>W124</f>
        <v>0</v>
      </c>
      <c r="Y124" s="5">
        <f t="shared" ref="Y124:AA124" si="14">X124</f>
        <v>0</v>
      </c>
      <c r="Z124" s="5">
        <f t="shared" si="14"/>
        <v>0</v>
      </c>
      <c r="AA124" s="5">
        <f t="shared" si="14"/>
        <v>0</v>
      </c>
    </row>
    <row r="125" spans="1:28" x14ac:dyDescent="0.25">
      <c r="C125" s="17" t="s">
        <v>9</v>
      </c>
      <c r="E125" s="5">
        <f>W125/19</f>
        <v>88</v>
      </c>
      <c r="F125" s="5">
        <f>E125+($W125/19)</f>
        <v>176</v>
      </c>
      <c r="G125" s="5">
        <f t="shared" si="13"/>
        <v>264</v>
      </c>
      <c r="H125" s="5">
        <f t="shared" si="13"/>
        <v>352</v>
      </c>
      <c r="I125" s="5">
        <f t="shared" si="13"/>
        <v>440</v>
      </c>
      <c r="J125" s="5">
        <f t="shared" si="13"/>
        <v>528</v>
      </c>
      <c r="K125" s="5">
        <f t="shared" si="13"/>
        <v>616</v>
      </c>
      <c r="L125" s="5">
        <f t="shared" si="13"/>
        <v>704</v>
      </c>
      <c r="M125" s="5">
        <f t="shared" si="13"/>
        <v>792</v>
      </c>
      <c r="N125" s="5">
        <f t="shared" si="13"/>
        <v>880</v>
      </c>
      <c r="O125" s="5">
        <f t="shared" si="13"/>
        <v>968</v>
      </c>
      <c r="P125" s="5">
        <f t="shared" si="13"/>
        <v>1056</v>
      </c>
      <c r="Q125" s="5">
        <f t="shared" si="13"/>
        <v>1144</v>
      </c>
      <c r="R125" s="5">
        <f t="shared" si="13"/>
        <v>1232</v>
      </c>
      <c r="S125" s="5">
        <f t="shared" si="13"/>
        <v>1320</v>
      </c>
      <c r="T125" s="5">
        <f t="shared" si="13"/>
        <v>1408</v>
      </c>
      <c r="U125" s="5">
        <f t="shared" si="13"/>
        <v>1496</v>
      </c>
      <c r="V125" s="5">
        <f t="shared" si="13"/>
        <v>1584</v>
      </c>
      <c r="W125" s="434">
        <v>1672</v>
      </c>
      <c r="X125" s="5">
        <f t="shared" ref="X125:AA126" si="15">W125</f>
        <v>1672</v>
      </c>
      <c r="Y125" s="5">
        <f t="shared" si="15"/>
        <v>1672</v>
      </c>
      <c r="Z125" s="5">
        <f t="shared" si="15"/>
        <v>1672</v>
      </c>
      <c r="AA125" s="5">
        <f t="shared" si="15"/>
        <v>1672</v>
      </c>
    </row>
    <row r="126" spans="1:28" x14ac:dyDescent="0.25">
      <c r="C126" s="17" t="s">
        <v>1</v>
      </c>
      <c r="E126" s="5">
        <f>W126/19</f>
        <v>103.57894736842105</v>
      </c>
      <c r="F126" s="5">
        <f>E126+($W126/19)</f>
        <v>207.15789473684211</v>
      </c>
      <c r="G126" s="5">
        <f t="shared" si="13"/>
        <v>310.73684210526318</v>
      </c>
      <c r="H126" s="5">
        <f t="shared" si="13"/>
        <v>414.31578947368422</v>
      </c>
      <c r="I126" s="5">
        <f t="shared" si="13"/>
        <v>517.89473684210532</v>
      </c>
      <c r="J126" s="5">
        <f t="shared" si="13"/>
        <v>621.47368421052636</v>
      </c>
      <c r="K126" s="5">
        <f t="shared" si="13"/>
        <v>725.0526315789474</v>
      </c>
      <c r="L126" s="5">
        <f t="shared" si="13"/>
        <v>828.63157894736844</v>
      </c>
      <c r="M126" s="5">
        <f t="shared" si="13"/>
        <v>932.21052631578948</v>
      </c>
      <c r="N126" s="5">
        <f t="shared" si="13"/>
        <v>1035.7894736842106</v>
      </c>
      <c r="O126" s="5">
        <f t="shared" si="13"/>
        <v>1139.3684210526317</v>
      </c>
      <c r="P126" s="5">
        <f t="shared" si="13"/>
        <v>1242.9473684210527</v>
      </c>
      <c r="Q126" s="5">
        <f t="shared" si="13"/>
        <v>1346.5263157894738</v>
      </c>
      <c r="R126" s="5">
        <f t="shared" si="13"/>
        <v>1450.1052631578948</v>
      </c>
      <c r="S126" s="5">
        <f t="shared" si="13"/>
        <v>1553.6842105263158</v>
      </c>
      <c r="T126" s="5">
        <f t="shared" si="13"/>
        <v>1657.2631578947369</v>
      </c>
      <c r="U126" s="5">
        <f t="shared" si="13"/>
        <v>1760.8421052631579</v>
      </c>
      <c r="V126" s="5">
        <f t="shared" si="13"/>
        <v>1864.421052631579</v>
      </c>
      <c r="W126" s="434">
        <v>1968</v>
      </c>
      <c r="X126" s="5">
        <f t="shared" si="15"/>
        <v>1968</v>
      </c>
      <c r="Y126" s="5">
        <f t="shared" si="15"/>
        <v>1968</v>
      </c>
      <c r="Z126" s="5">
        <f t="shared" si="15"/>
        <v>1968</v>
      </c>
      <c r="AA126" s="5">
        <f t="shared" si="15"/>
        <v>1968</v>
      </c>
    </row>
    <row r="127" spans="1:28" x14ac:dyDescent="0.25">
      <c r="C127" s="17" t="s">
        <v>14</v>
      </c>
      <c r="E127" s="434">
        <v>164</v>
      </c>
      <c r="F127" s="434">
        <v>246</v>
      </c>
      <c r="G127" s="434">
        <v>328</v>
      </c>
      <c r="H127" s="434">
        <v>410</v>
      </c>
      <c r="I127" s="434">
        <v>491</v>
      </c>
      <c r="J127" s="434">
        <v>573</v>
      </c>
      <c r="K127" s="434">
        <v>655</v>
      </c>
      <c r="L127" s="434">
        <v>737</v>
      </c>
      <c r="M127" s="434">
        <v>819</v>
      </c>
      <c r="N127" s="433"/>
      <c r="O127" s="433"/>
      <c r="P127" s="5"/>
      <c r="Q127" s="5"/>
      <c r="R127" s="5"/>
      <c r="S127" s="5"/>
      <c r="T127" s="5"/>
      <c r="U127" s="5"/>
      <c r="V127" s="5"/>
      <c r="W127" s="5"/>
      <c r="X127" s="5"/>
      <c r="Y127" s="5"/>
      <c r="Z127" s="5"/>
      <c r="AA127" s="5"/>
    </row>
    <row r="128" spans="1:28" x14ac:dyDescent="0.25">
      <c r="E128" s="5"/>
      <c r="F128" s="5"/>
      <c r="G128" s="5"/>
      <c r="H128" s="5"/>
      <c r="I128" s="5"/>
      <c r="J128" s="5"/>
      <c r="K128" s="5"/>
      <c r="L128" s="5"/>
      <c r="M128" s="5"/>
      <c r="N128" s="5"/>
      <c r="O128" s="5"/>
      <c r="P128" s="5"/>
      <c r="Q128" s="5"/>
      <c r="R128" s="5"/>
      <c r="S128" s="5"/>
      <c r="T128" s="5"/>
      <c r="U128" s="5"/>
      <c r="V128" s="5"/>
      <c r="W128" s="5"/>
      <c r="X128" s="5"/>
      <c r="Y128" s="5"/>
      <c r="Z128" s="5"/>
      <c r="AA128" s="5"/>
    </row>
    <row r="129" spans="1:28" s="478" customFormat="1" x14ac:dyDescent="0.25">
      <c r="B129" s="482" t="s">
        <v>3418</v>
      </c>
      <c r="C129" s="483"/>
      <c r="D129" s="483"/>
      <c r="E129" s="484"/>
      <c r="F129" s="484"/>
      <c r="G129" s="484"/>
      <c r="H129" s="484"/>
      <c r="I129" s="484"/>
      <c r="J129" s="484"/>
      <c r="K129" s="484"/>
      <c r="L129" s="484"/>
      <c r="M129" s="484"/>
      <c r="N129" s="484"/>
      <c r="O129" s="484"/>
      <c r="P129" s="484"/>
      <c r="Q129" s="484"/>
      <c r="R129" s="484"/>
      <c r="S129" s="484"/>
      <c r="T129" s="484"/>
      <c r="U129" s="484"/>
      <c r="V129" s="484"/>
      <c r="W129" s="483"/>
      <c r="X129" s="483"/>
      <c r="Y129" s="483"/>
      <c r="Z129" s="483"/>
      <c r="AA129" s="483"/>
      <c r="AB129" s="472"/>
    </row>
    <row r="130" spans="1:28" x14ac:dyDescent="0.25">
      <c r="A130" s="17" t="s">
        <v>3427</v>
      </c>
      <c r="B130" s="501">
        <f>Scenarios!$B$49</f>
        <v>0.75</v>
      </c>
      <c r="C130" s="17" t="s">
        <v>0</v>
      </c>
      <c r="E130" s="5">
        <f>E124*8760*$B130/1000</f>
        <v>0</v>
      </c>
      <c r="F130" s="5">
        <f t="shared" ref="F130:K130" si="16">F124*8760*$B130/1000</f>
        <v>0</v>
      </c>
      <c r="G130" s="5">
        <f t="shared" si="16"/>
        <v>0</v>
      </c>
      <c r="H130" s="5">
        <f t="shared" si="16"/>
        <v>0</v>
      </c>
      <c r="I130" s="5">
        <f t="shared" si="16"/>
        <v>0</v>
      </c>
      <c r="J130" s="5">
        <f t="shared" si="16"/>
        <v>0</v>
      </c>
      <c r="K130" s="5">
        <f t="shared" si="16"/>
        <v>0</v>
      </c>
      <c r="L130" s="5">
        <f>L124*8760*$B130/1000</f>
        <v>0</v>
      </c>
      <c r="M130" s="5">
        <f t="shared" ref="M130:P130" si="17">M124*8760*$B130/1000</f>
        <v>0</v>
      </c>
      <c r="N130" s="5">
        <f t="shared" si="17"/>
        <v>0</v>
      </c>
      <c r="O130" s="5">
        <f t="shared" si="17"/>
        <v>0</v>
      </c>
      <c r="P130" s="5">
        <f t="shared" si="17"/>
        <v>0</v>
      </c>
      <c r="Q130" s="5">
        <f>Q124*8760*$B130/1000</f>
        <v>0</v>
      </c>
      <c r="R130" s="5">
        <f t="shared" ref="R130:V130" si="18">R124*8760*$B130/1000</f>
        <v>0</v>
      </c>
      <c r="S130" s="5">
        <f t="shared" si="18"/>
        <v>0</v>
      </c>
      <c r="T130" s="5">
        <f t="shared" si="18"/>
        <v>0</v>
      </c>
      <c r="U130" s="5">
        <f t="shared" si="18"/>
        <v>0</v>
      </c>
      <c r="V130" s="5">
        <f t="shared" si="18"/>
        <v>0</v>
      </c>
      <c r="W130" s="5">
        <f>W124*8760*$B130/1000</f>
        <v>0</v>
      </c>
      <c r="X130" s="5">
        <f t="shared" ref="X130:AA130" si="19">X124*8760*$B130/1000</f>
        <v>0</v>
      </c>
      <c r="Y130" s="5">
        <f t="shared" si="19"/>
        <v>0</v>
      </c>
      <c r="Z130" s="5">
        <f t="shared" si="19"/>
        <v>0</v>
      </c>
      <c r="AA130" s="5">
        <f t="shared" si="19"/>
        <v>0</v>
      </c>
    </row>
    <row r="131" spans="1:28" x14ac:dyDescent="0.25">
      <c r="A131" s="17" t="s">
        <v>3427</v>
      </c>
      <c r="B131" s="501">
        <f>Scenarios!$B$49</f>
        <v>0.75</v>
      </c>
      <c r="C131" s="17" t="s">
        <v>9</v>
      </c>
      <c r="E131" s="5">
        <f t="shared" ref="E131:K132" si="20">E125*8760*$B131/1000</f>
        <v>578.16</v>
      </c>
      <c r="F131" s="5">
        <f t="shared" si="20"/>
        <v>1156.32</v>
      </c>
      <c r="G131" s="5">
        <f t="shared" si="20"/>
        <v>1734.48</v>
      </c>
      <c r="H131" s="5">
        <f t="shared" si="20"/>
        <v>2312.64</v>
      </c>
      <c r="I131" s="5">
        <f t="shared" si="20"/>
        <v>2890.8</v>
      </c>
      <c r="J131" s="5">
        <f t="shared" si="20"/>
        <v>3468.96</v>
      </c>
      <c r="K131" s="5">
        <f t="shared" si="20"/>
        <v>4047.12</v>
      </c>
      <c r="L131" s="5">
        <f t="shared" ref="L131:AA131" si="21">L125*8760*$B131/1000</f>
        <v>4625.28</v>
      </c>
      <c r="M131" s="5">
        <f t="shared" si="21"/>
        <v>5203.4399999999996</v>
      </c>
      <c r="N131" s="5">
        <f t="shared" si="21"/>
        <v>5781.6</v>
      </c>
      <c r="O131" s="5">
        <f t="shared" si="21"/>
        <v>6359.76</v>
      </c>
      <c r="P131" s="5">
        <f t="shared" si="21"/>
        <v>6937.92</v>
      </c>
      <c r="Q131" s="5">
        <f t="shared" si="21"/>
        <v>7516.08</v>
      </c>
      <c r="R131" s="5">
        <f t="shared" si="21"/>
        <v>8094.24</v>
      </c>
      <c r="S131" s="5">
        <f t="shared" si="21"/>
        <v>8672.4</v>
      </c>
      <c r="T131" s="5">
        <f t="shared" si="21"/>
        <v>9250.56</v>
      </c>
      <c r="U131" s="5">
        <f t="shared" si="21"/>
        <v>9828.7199999999993</v>
      </c>
      <c r="V131" s="5">
        <f t="shared" si="21"/>
        <v>10406.879999999999</v>
      </c>
      <c r="W131" s="5">
        <f t="shared" si="21"/>
        <v>10985.04</v>
      </c>
      <c r="X131" s="5">
        <f t="shared" si="21"/>
        <v>10985.04</v>
      </c>
      <c r="Y131" s="5">
        <f t="shared" si="21"/>
        <v>10985.04</v>
      </c>
      <c r="Z131" s="5">
        <f t="shared" si="21"/>
        <v>10985.04</v>
      </c>
      <c r="AA131" s="5">
        <f t="shared" si="21"/>
        <v>10985.04</v>
      </c>
    </row>
    <row r="132" spans="1:28" x14ac:dyDescent="0.25">
      <c r="A132" s="17" t="s">
        <v>3427</v>
      </c>
      <c r="B132" s="501">
        <f>Scenarios!$B$49</f>
        <v>0.75</v>
      </c>
      <c r="C132" s="17" t="s">
        <v>1</v>
      </c>
      <c r="E132" s="5">
        <f t="shared" si="20"/>
        <v>680.51368421052632</v>
      </c>
      <c r="F132" s="5">
        <f t="shared" si="20"/>
        <v>1361.0273684210526</v>
      </c>
      <c r="G132" s="5">
        <f t="shared" si="20"/>
        <v>2041.5410526315793</v>
      </c>
      <c r="H132" s="5">
        <f t="shared" si="20"/>
        <v>2722.0547368421053</v>
      </c>
      <c r="I132" s="5">
        <f t="shared" si="20"/>
        <v>3402.5684210526319</v>
      </c>
      <c r="J132" s="5">
        <f t="shared" si="20"/>
        <v>4083.0821052631586</v>
      </c>
      <c r="K132" s="5">
        <f t="shared" si="20"/>
        <v>4763.5957894736848</v>
      </c>
      <c r="L132" s="5">
        <f t="shared" ref="L132:AA132" si="22">L126*8760*$B132/1000</f>
        <v>5444.1094736842106</v>
      </c>
      <c r="M132" s="5">
        <f t="shared" si="22"/>
        <v>6124.6231578947363</v>
      </c>
      <c r="N132" s="5">
        <f t="shared" si="22"/>
        <v>6805.1368421052639</v>
      </c>
      <c r="O132" s="5">
        <f t="shared" si="22"/>
        <v>7485.6505263157896</v>
      </c>
      <c r="P132" s="5">
        <f t="shared" si="22"/>
        <v>8166.1642105263172</v>
      </c>
      <c r="Q132" s="5">
        <f t="shared" si="22"/>
        <v>8846.6778947368421</v>
      </c>
      <c r="R132" s="5">
        <f t="shared" si="22"/>
        <v>9527.1915789473696</v>
      </c>
      <c r="S132" s="5">
        <f t="shared" si="22"/>
        <v>10207.705263157895</v>
      </c>
      <c r="T132" s="5">
        <f t="shared" si="22"/>
        <v>10888.218947368421</v>
      </c>
      <c r="U132" s="5">
        <f t="shared" si="22"/>
        <v>11568.732631578949</v>
      </c>
      <c r="V132" s="5">
        <f t="shared" si="22"/>
        <v>12249.246315789473</v>
      </c>
      <c r="W132" s="5">
        <f t="shared" si="22"/>
        <v>12929.76</v>
      </c>
      <c r="X132" s="5">
        <f t="shared" si="22"/>
        <v>12929.76</v>
      </c>
      <c r="Y132" s="5">
        <f t="shared" si="22"/>
        <v>12929.76</v>
      </c>
      <c r="Z132" s="5">
        <f t="shared" si="22"/>
        <v>12929.76</v>
      </c>
      <c r="AA132" s="5">
        <f t="shared" si="22"/>
        <v>12929.76</v>
      </c>
    </row>
    <row r="133" spans="1:28" x14ac:dyDescent="0.25">
      <c r="C133" s="17" t="s">
        <v>14</v>
      </c>
      <c r="E133" s="5">
        <f>E127*8760*0.922/1000</f>
        <v>1324.5820800000001</v>
      </c>
      <c r="F133" s="5">
        <f t="shared" ref="F133:M133" si="23">F127*8760*0.922/1000</f>
        <v>1986.8731200000002</v>
      </c>
      <c r="G133" s="5">
        <f t="shared" si="23"/>
        <v>2649.1641600000003</v>
      </c>
      <c r="H133" s="5">
        <f t="shared" si="23"/>
        <v>3311.4552000000003</v>
      </c>
      <c r="I133" s="5">
        <f t="shared" si="23"/>
        <v>3965.6695199999999</v>
      </c>
      <c r="J133" s="5">
        <f t="shared" si="23"/>
        <v>4627.9605600000004</v>
      </c>
      <c r="K133" s="5">
        <f t="shared" si="23"/>
        <v>5290.2516000000005</v>
      </c>
      <c r="L133" s="5">
        <f t="shared" si="23"/>
        <v>5952.5426400000006</v>
      </c>
      <c r="M133" s="5">
        <f t="shared" si="23"/>
        <v>6614.8336800000006</v>
      </c>
      <c r="N133" s="478"/>
      <c r="O133" s="478"/>
    </row>
    <row r="135" spans="1:28" x14ac:dyDescent="0.25">
      <c r="K135" s="433"/>
      <c r="L135" s="433"/>
      <c r="M135" s="433"/>
      <c r="N135" s="478"/>
      <c r="O135" s="478"/>
    </row>
    <row r="138" spans="1:28" x14ac:dyDescent="0.25">
      <c r="B138" s="17" t="s">
        <v>3428</v>
      </c>
    </row>
    <row r="139" spans="1:28" x14ac:dyDescent="0.25">
      <c r="B139" s="17" t="s">
        <v>3429</v>
      </c>
    </row>
    <row r="140" spans="1:28" x14ac:dyDescent="0.25">
      <c r="B140" s="17" t="s">
        <v>3430</v>
      </c>
    </row>
    <row r="141" spans="1:28" x14ac:dyDescent="0.25">
      <c r="B141" s="17" t="s">
        <v>3431</v>
      </c>
    </row>
    <row r="142" spans="1:28" x14ac:dyDescent="0.25">
      <c r="C142" s="17" t="s">
        <v>3432</v>
      </c>
      <c r="H142" s="17" t="s">
        <v>7</v>
      </c>
      <c r="M142" s="17" t="s">
        <v>162</v>
      </c>
      <c r="R142" s="17" t="s">
        <v>4963</v>
      </c>
    </row>
    <row r="143" spans="1:28" x14ac:dyDescent="0.25">
      <c r="C143" s="17" t="s">
        <v>3433</v>
      </c>
      <c r="D143" s="17" t="s">
        <v>3434</v>
      </c>
      <c r="H143" s="17" t="s">
        <v>3433</v>
      </c>
      <c r="I143" s="17" t="s">
        <v>3434</v>
      </c>
      <c r="M143" s="17" t="s">
        <v>3433</v>
      </c>
      <c r="N143" s="17" t="s">
        <v>3434</v>
      </c>
      <c r="R143" s="17" t="s">
        <v>4958</v>
      </c>
    </row>
    <row r="144" spans="1:28" x14ac:dyDescent="0.25">
      <c r="C144" s="17" t="s">
        <v>3435</v>
      </c>
      <c r="D144" s="17" t="s">
        <v>3435</v>
      </c>
      <c r="E144" s="17" t="s">
        <v>3436</v>
      </c>
      <c r="H144" s="17" t="s">
        <v>3435</v>
      </c>
      <c r="I144" s="17" t="s">
        <v>3435</v>
      </c>
      <c r="J144" s="17" t="s">
        <v>3436</v>
      </c>
      <c r="M144" s="17" t="s">
        <v>3435</v>
      </c>
      <c r="N144" s="17" t="s">
        <v>3435</v>
      </c>
      <c r="O144" s="17" t="s">
        <v>3436</v>
      </c>
      <c r="S144" s="17" t="s">
        <v>4959</v>
      </c>
    </row>
    <row r="145" spans="2:20" x14ac:dyDescent="0.25">
      <c r="C145" s="17" t="s">
        <v>3437</v>
      </c>
      <c r="D145" s="17" t="s">
        <v>3438</v>
      </c>
      <c r="E145" s="17" t="s">
        <v>3439</v>
      </c>
      <c r="F145" s="17" t="s">
        <v>3440</v>
      </c>
      <c r="H145" s="17" t="s">
        <v>3437</v>
      </c>
      <c r="I145" s="17" t="s">
        <v>3438</v>
      </c>
      <c r="J145" s="17" t="s">
        <v>3439</v>
      </c>
      <c r="K145" s="17" t="s">
        <v>3440</v>
      </c>
      <c r="M145" s="17" t="s">
        <v>3437</v>
      </c>
      <c r="N145" s="17" t="s">
        <v>3438</v>
      </c>
      <c r="O145" s="17" t="s">
        <v>3439</v>
      </c>
      <c r="P145" s="17" t="s">
        <v>3440</v>
      </c>
      <c r="R145" s="17" t="s">
        <v>4960</v>
      </c>
      <c r="S145" s="17" t="s">
        <v>4961</v>
      </c>
      <c r="T145" s="17" t="s">
        <v>4962</v>
      </c>
    </row>
    <row r="146" spans="2:20" x14ac:dyDescent="0.25">
      <c r="B146" s="17">
        <v>2012</v>
      </c>
      <c r="C146" s="477">
        <v>365</v>
      </c>
      <c r="D146" s="487">
        <v>1087</v>
      </c>
      <c r="E146" s="477">
        <v>695</v>
      </c>
      <c r="F146" s="485">
        <f t="shared" ref="F146:F156" si="24">1000*D146/(E146*8760)</f>
        <v>0.17854209782858643</v>
      </c>
      <c r="H146" s="477">
        <v>266</v>
      </c>
      <c r="I146" s="477">
        <v>742</v>
      </c>
      <c r="J146" s="477">
        <v>455</v>
      </c>
      <c r="K146" s="485">
        <f t="shared" ref="K146:K156" si="25">1000*I146/(J146*8760)</f>
        <v>0.18616087109237794</v>
      </c>
      <c r="M146" s="477">
        <v>90</v>
      </c>
      <c r="N146" s="477">
        <v>241</v>
      </c>
      <c r="O146" s="477">
        <v>143</v>
      </c>
      <c r="P146" s="485">
        <f>1000*N146/(O146*8760)</f>
        <v>0.19238752115464444</v>
      </c>
      <c r="R146" s="5">
        <f>D146+I146+N146</f>
        <v>2070</v>
      </c>
      <c r="S146" s="5">
        <f>E146+J146+O146</f>
        <v>1293</v>
      </c>
      <c r="T146" s="485">
        <f>1000*R146/(S146*8760)</f>
        <v>0.18275434637510726</v>
      </c>
    </row>
    <row r="147" spans="2:20" x14ac:dyDescent="0.25">
      <c r="B147" s="17">
        <v>2013</v>
      </c>
      <c r="C147" s="477">
        <v>375</v>
      </c>
      <c r="D147" s="487">
        <v>1142</v>
      </c>
      <c r="E147" s="477">
        <v>721</v>
      </c>
      <c r="F147" s="485">
        <f t="shared" si="24"/>
        <v>0.18081178474847845</v>
      </c>
      <c r="H147" s="477">
        <v>281</v>
      </c>
      <c r="I147" s="477">
        <v>805</v>
      </c>
      <c r="J147" s="477">
        <v>482</v>
      </c>
      <c r="K147" s="485">
        <f t="shared" si="25"/>
        <v>0.19065347960363024</v>
      </c>
      <c r="M147" s="477">
        <v>95</v>
      </c>
      <c r="N147" s="477">
        <v>260</v>
      </c>
      <c r="O147" s="477">
        <v>151</v>
      </c>
      <c r="P147" s="485">
        <f t="shared" ref="P147:P156" si="26">1000*N147/(O147*8760)</f>
        <v>0.19655871057485863</v>
      </c>
      <c r="R147" s="5">
        <f t="shared" ref="R147:R156" si="27">D147+I147+N147</f>
        <v>2207</v>
      </c>
      <c r="S147" s="5">
        <f t="shared" ref="S147:S156" si="28">E147+J147+O147</f>
        <v>1354</v>
      </c>
      <c r="T147" s="485">
        <f t="shared" ref="T147:T156" si="29">1000*R147/(S147*8760)</f>
        <v>0.18607137316795155</v>
      </c>
    </row>
    <row r="148" spans="2:20" x14ac:dyDescent="0.25">
      <c r="B148" s="17">
        <v>2014</v>
      </c>
      <c r="C148" s="477">
        <v>394</v>
      </c>
      <c r="D148" s="487">
        <v>1213</v>
      </c>
      <c r="E148" s="477">
        <v>763</v>
      </c>
      <c r="F148" s="485">
        <f t="shared" si="24"/>
        <v>0.18148141498650486</v>
      </c>
      <c r="H148" s="477">
        <v>306</v>
      </c>
      <c r="I148" s="477">
        <v>894</v>
      </c>
      <c r="J148" s="477">
        <v>528</v>
      </c>
      <c r="K148" s="485">
        <f t="shared" si="25"/>
        <v>0.19328559568285597</v>
      </c>
      <c r="M148" s="477">
        <v>103</v>
      </c>
      <c r="N148" s="477">
        <v>287</v>
      </c>
      <c r="O148" s="477">
        <v>165</v>
      </c>
      <c r="P148" s="485">
        <f t="shared" si="26"/>
        <v>0.19856095198560952</v>
      </c>
      <c r="R148" s="5">
        <f t="shared" si="27"/>
        <v>2394</v>
      </c>
      <c r="S148" s="5">
        <f t="shared" si="28"/>
        <v>1456</v>
      </c>
      <c r="T148" s="485">
        <f t="shared" si="29"/>
        <v>0.18769757639620654</v>
      </c>
    </row>
    <row r="149" spans="2:20" x14ac:dyDescent="0.25">
      <c r="B149" s="17">
        <v>2015</v>
      </c>
      <c r="C149" s="477">
        <v>426</v>
      </c>
      <c r="D149" s="487">
        <v>1334</v>
      </c>
      <c r="E149" s="477">
        <v>830</v>
      </c>
      <c r="F149" s="485">
        <f t="shared" si="24"/>
        <v>0.183473620509435</v>
      </c>
      <c r="H149" s="477">
        <v>342</v>
      </c>
      <c r="I149" s="487">
        <v>1016</v>
      </c>
      <c r="J149" s="477">
        <v>593</v>
      </c>
      <c r="K149" s="485">
        <f t="shared" si="25"/>
        <v>0.19558471359159757</v>
      </c>
      <c r="M149" s="477">
        <v>116</v>
      </c>
      <c r="N149" s="477">
        <v>324</v>
      </c>
      <c r="O149" s="477">
        <v>185</v>
      </c>
      <c r="P149" s="485">
        <f t="shared" si="26"/>
        <v>0.19992595335061089</v>
      </c>
      <c r="R149" s="5">
        <f t="shared" si="27"/>
        <v>2674</v>
      </c>
      <c r="S149" s="5">
        <f t="shared" si="28"/>
        <v>1608</v>
      </c>
      <c r="T149" s="485">
        <f t="shared" si="29"/>
        <v>0.18983279947295487</v>
      </c>
    </row>
    <row r="150" spans="2:20" x14ac:dyDescent="0.25">
      <c r="B150" s="17">
        <v>2016</v>
      </c>
      <c r="C150" s="477">
        <v>467</v>
      </c>
      <c r="D150" s="487">
        <v>1489</v>
      </c>
      <c r="E150" s="477">
        <v>913</v>
      </c>
      <c r="F150" s="485">
        <f t="shared" si="24"/>
        <v>0.18617433619909277</v>
      </c>
      <c r="H150" s="477">
        <v>389</v>
      </c>
      <c r="I150" s="487">
        <v>1175</v>
      </c>
      <c r="J150" s="477">
        <v>674</v>
      </c>
      <c r="K150" s="485">
        <f t="shared" si="25"/>
        <v>0.19900952535804778</v>
      </c>
      <c r="M150" s="477">
        <v>131</v>
      </c>
      <c r="N150" s="477">
        <v>371</v>
      </c>
      <c r="O150" s="477">
        <v>209</v>
      </c>
      <c r="P150" s="485">
        <f t="shared" si="26"/>
        <v>0.20263922571060278</v>
      </c>
      <c r="R150" s="5">
        <f t="shared" si="27"/>
        <v>3035</v>
      </c>
      <c r="S150" s="5">
        <f t="shared" si="28"/>
        <v>1796</v>
      </c>
      <c r="T150" s="485">
        <f t="shared" si="29"/>
        <v>0.19290711982996206</v>
      </c>
    </row>
    <row r="151" spans="2:20" x14ac:dyDescent="0.25">
      <c r="B151" s="17">
        <v>2017</v>
      </c>
      <c r="C151" s="477">
        <v>472</v>
      </c>
      <c r="D151" s="487">
        <v>1506</v>
      </c>
      <c r="E151" s="477">
        <v>929</v>
      </c>
      <c r="F151" s="485">
        <f t="shared" si="24"/>
        <v>0.18505684415412066</v>
      </c>
      <c r="H151" s="477">
        <v>393</v>
      </c>
      <c r="I151" s="487">
        <v>1187</v>
      </c>
      <c r="J151" s="477">
        <v>686</v>
      </c>
      <c r="K151" s="485">
        <f t="shared" si="25"/>
        <v>0.19752519403064553</v>
      </c>
      <c r="M151" s="477">
        <v>133</v>
      </c>
      <c r="N151" s="477">
        <v>377</v>
      </c>
      <c r="O151" s="477">
        <v>214</v>
      </c>
      <c r="P151" s="485">
        <f t="shared" si="26"/>
        <v>0.20110527888021168</v>
      </c>
      <c r="R151" s="5">
        <f t="shared" si="27"/>
        <v>3070</v>
      </c>
      <c r="S151" s="5">
        <f t="shared" si="28"/>
        <v>1829</v>
      </c>
      <c r="T151" s="485">
        <f t="shared" si="29"/>
        <v>0.19161105577067589</v>
      </c>
    </row>
    <row r="152" spans="2:20" x14ac:dyDescent="0.25">
      <c r="B152" s="17">
        <v>2018</v>
      </c>
      <c r="C152" s="477">
        <v>482</v>
      </c>
      <c r="D152" s="487">
        <v>1541</v>
      </c>
      <c r="E152" s="477">
        <v>955</v>
      </c>
      <c r="F152" s="485">
        <f t="shared" si="24"/>
        <v>0.18420234765354179</v>
      </c>
      <c r="H152" s="477">
        <v>401</v>
      </c>
      <c r="I152" s="487">
        <v>1213</v>
      </c>
      <c r="J152" s="477">
        <v>704</v>
      </c>
      <c r="K152" s="485">
        <f t="shared" si="25"/>
        <v>0.19669079493565794</v>
      </c>
      <c r="M152" s="477">
        <v>137</v>
      </c>
      <c r="N152" s="477">
        <v>388</v>
      </c>
      <c r="O152" s="477">
        <v>221</v>
      </c>
      <c r="P152" s="485">
        <f t="shared" si="26"/>
        <v>0.20041736399512386</v>
      </c>
      <c r="R152" s="5">
        <f t="shared" si="27"/>
        <v>3142</v>
      </c>
      <c r="S152" s="5">
        <f t="shared" si="28"/>
        <v>1880</v>
      </c>
      <c r="T152" s="485">
        <f t="shared" si="29"/>
        <v>0.19078499951423297</v>
      </c>
    </row>
    <row r="153" spans="2:20" x14ac:dyDescent="0.25">
      <c r="B153" s="17">
        <v>2019</v>
      </c>
      <c r="C153" s="477">
        <v>499</v>
      </c>
      <c r="D153" s="487">
        <v>1598</v>
      </c>
      <c r="E153" s="477">
        <v>994</v>
      </c>
      <c r="F153" s="485">
        <f t="shared" si="24"/>
        <v>0.183521218636017</v>
      </c>
      <c r="H153" s="477">
        <v>415</v>
      </c>
      <c r="I153" s="487">
        <v>1257</v>
      </c>
      <c r="J153" s="477">
        <v>732</v>
      </c>
      <c r="K153" s="485">
        <f t="shared" si="25"/>
        <v>0.19602889437832174</v>
      </c>
      <c r="M153" s="477">
        <v>142</v>
      </c>
      <c r="N153" s="477">
        <v>404</v>
      </c>
      <c r="O153" s="477">
        <v>231</v>
      </c>
      <c r="P153" s="485">
        <f t="shared" si="26"/>
        <v>0.19964814485362431</v>
      </c>
      <c r="R153" s="5">
        <f t="shared" si="27"/>
        <v>3259</v>
      </c>
      <c r="S153" s="5">
        <f t="shared" si="28"/>
        <v>1957</v>
      </c>
      <c r="T153" s="485">
        <f t="shared" si="29"/>
        <v>0.19010320054691857</v>
      </c>
    </row>
    <row r="154" spans="2:20" x14ac:dyDescent="0.25">
      <c r="B154" s="17">
        <v>2020</v>
      </c>
      <c r="C154" s="477">
        <v>527</v>
      </c>
      <c r="D154" s="487">
        <v>1693</v>
      </c>
      <c r="E154" s="487">
        <v>1053</v>
      </c>
      <c r="F154" s="485">
        <f t="shared" si="24"/>
        <v>0.18353736009748187</v>
      </c>
      <c r="H154" s="477">
        <v>449</v>
      </c>
      <c r="I154" s="487">
        <v>1364</v>
      </c>
      <c r="J154" s="477">
        <v>792</v>
      </c>
      <c r="K154" s="485">
        <f t="shared" si="25"/>
        <v>0.19660071029934043</v>
      </c>
      <c r="M154" s="477">
        <v>153</v>
      </c>
      <c r="N154" s="477">
        <v>437</v>
      </c>
      <c r="O154" s="477">
        <v>249</v>
      </c>
      <c r="P154" s="485">
        <f t="shared" si="26"/>
        <v>0.20034475802754398</v>
      </c>
      <c r="R154" s="5">
        <f t="shared" si="27"/>
        <v>3494</v>
      </c>
      <c r="S154" s="5">
        <f t="shared" si="28"/>
        <v>2094</v>
      </c>
      <c r="T154" s="485">
        <f t="shared" si="29"/>
        <v>0.19047681350935267</v>
      </c>
    </row>
    <row r="155" spans="2:20" x14ac:dyDescent="0.25">
      <c r="B155" s="17">
        <v>2021</v>
      </c>
      <c r="C155" s="477">
        <v>568</v>
      </c>
      <c r="D155" s="487">
        <v>1829</v>
      </c>
      <c r="E155" s="487">
        <v>1136</v>
      </c>
      <c r="F155" s="485">
        <f t="shared" si="24"/>
        <v>0.18379397388899607</v>
      </c>
      <c r="H155" s="477">
        <v>493</v>
      </c>
      <c r="I155" s="487">
        <v>1505</v>
      </c>
      <c r="J155" s="477">
        <v>870</v>
      </c>
      <c r="K155" s="485">
        <f t="shared" si="25"/>
        <v>0.19747546318165118</v>
      </c>
      <c r="M155" s="477">
        <v>168</v>
      </c>
      <c r="N155" s="477">
        <v>478</v>
      </c>
      <c r="O155" s="477">
        <v>272</v>
      </c>
      <c r="P155" s="485">
        <f t="shared" si="26"/>
        <v>0.20061106634434595</v>
      </c>
      <c r="R155" s="5">
        <f t="shared" si="27"/>
        <v>3812</v>
      </c>
      <c r="S155" s="5">
        <f t="shared" si="28"/>
        <v>2278</v>
      </c>
      <c r="T155" s="485">
        <f t="shared" si="29"/>
        <v>0.19102713667761115</v>
      </c>
    </row>
    <row r="156" spans="2:20" x14ac:dyDescent="0.25">
      <c r="B156" s="17">
        <v>2022</v>
      </c>
      <c r="C156" s="477">
        <v>626</v>
      </c>
      <c r="D156" s="487">
        <v>2022</v>
      </c>
      <c r="E156" s="487">
        <v>1250</v>
      </c>
      <c r="F156" s="485">
        <f t="shared" si="24"/>
        <v>0.18465753424657536</v>
      </c>
      <c r="H156" s="477">
        <v>552</v>
      </c>
      <c r="I156" s="487">
        <v>1688</v>
      </c>
      <c r="J156" s="477">
        <v>971</v>
      </c>
      <c r="K156" s="485">
        <f t="shared" si="25"/>
        <v>0.19844908746337861</v>
      </c>
      <c r="M156" s="477">
        <v>186</v>
      </c>
      <c r="N156" s="477">
        <v>531</v>
      </c>
      <c r="O156" s="477">
        <v>301</v>
      </c>
      <c r="P156" s="485">
        <f t="shared" si="26"/>
        <v>0.2013835161334365</v>
      </c>
      <c r="R156" s="5">
        <f t="shared" si="27"/>
        <v>4241</v>
      </c>
      <c r="S156" s="5">
        <f t="shared" si="28"/>
        <v>2522</v>
      </c>
      <c r="T156" s="485">
        <f t="shared" si="29"/>
        <v>0.19196368758577487</v>
      </c>
    </row>
    <row r="157" spans="2:20" x14ac:dyDescent="0.25">
      <c r="T157" s="485"/>
    </row>
    <row r="158" spans="2:20" x14ac:dyDescent="0.25">
      <c r="B158" s="17" t="s">
        <v>3441</v>
      </c>
    </row>
    <row r="159" spans="2:20" x14ac:dyDescent="0.25">
      <c r="B159" s="684">
        <f>AVERAGE(T146:T156)</f>
        <v>0.18956637353152256</v>
      </c>
      <c r="T159" s="485">
        <f>AVERAGE(T146:T156)</f>
        <v>0.18956637353152256</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8"/>
  <sheetViews>
    <sheetView zoomScale="70" zoomScaleNormal="70" workbookViewId="0">
      <pane ySplit="2" topLeftCell="A3" activePane="bottomLeft" state="frozen"/>
      <selection pane="bottomLeft"/>
    </sheetView>
  </sheetViews>
  <sheetFormatPr defaultColWidth="8.85546875" defaultRowHeight="15" x14ac:dyDescent="0.25"/>
  <cols>
    <col min="3" max="3" width="16.85546875" customWidth="1"/>
    <col min="4" max="4" width="33" customWidth="1"/>
    <col min="5" max="27" width="12.42578125" bestFit="1" customWidth="1"/>
    <col min="28" max="28" width="8.85546875" style="9"/>
  </cols>
  <sheetData>
    <row r="2" spans="2:28" s="8" customFormat="1" x14ac:dyDescent="0.25">
      <c r="E2" s="8">
        <v>2012</v>
      </c>
      <c r="F2" s="8">
        <f>E2+1</f>
        <v>2013</v>
      </c>
      <c r="G2" s="8">
        <f t="shared" ref="G2:AA2" si="0">F2+1</f>
        <v>2014</v>
      </c>
      <c r="H2" s="8">
        <f t="shared" si="0"/>
        <v>2015</v>
      </c>
      <c r="I2" s="8">
        <f t="shared" si="0"/>
        <v>2016</v>
      </c>
      <c r="J2" s="8">
        <f t="shared" si="0"/>
        <v>2017</v>
      </c>
      <c r="K2" s="8">
        <f t="shared" si="0"/>
        <v>2018</v>
      </c>
      <c r="L2" s="8">
        <f t="shared" si="0"/>
        <v>2019</v>
      </c>
      <c r="M2" s="8">
        <f t="shared" si="0"/>
        <v>2020</v>
      </c>
      <c r="N2" s="8">
        <f t="shared" si="0"/>
        <v>2021</v>
      </c>
      <c r="O2" s="8">
        <f t="shared" si="0"/>
        <v>2022</v>
      </c>
      <c r="P2" s="8">
        <f t="shared" si="0"/>
        <v>2023</v>
      </c>
      <c r="Q2" s="8">
        <f t="shared" si="0"/>
        <v>2024</v>
      </c>
      <c r="R2" s="8">
        <f t="shared" si="0"/>
        <v>2025</v>
      </c>
      <c r="S2" s="8">
        <f t="shared" si="0"/>
        <v>2026</v>
      </c>
      <c r="T2" s="8">
        <f t="shared" si="0"/>
        <v>2027</v>
      </c>
      <c r="U2" s="8">
        <f t="shared" si="0"/>
        <v>2028</v>
      </c>
      <c r="V2" s="8">
        <f t="shared" si="0"/>
        <v>2029</v>
      </c>
      <c r="W2" s="8">
        <f t="shared" si="0"/>
        <v>2030</v>
      </c>
      <c r="X2" s="8">
        <f t="shared" si="0"/>
        <v>2031</v>
      </c>
      <c r="Y2" s="8">
        <f t="shared" si="0"/>
        <v>2032</v>
      </c>
      <c r="Z2" s="8">
        <f t="shared" si="0"/>
        <v>2033</v>
      </c>
      <c r="AA2" s="8">
        <f t="shared" si="0"/>
        <v>2034</v>
      </c>
      <c r="AB2" s="9"/>
    </row>
    <row r="3" spans="2:28" s="432" customFormat="1" x14ac:dyDescent="0.25">
      <c r="B3" s="466" t="s">
        <v>31</v>
      </c>
      <c r="C3" s="44"/>
      <c r="D3" s="44"/>
      <c r="E3" s="44"/>
      <c r="F3" s="44"/>
      <c r="G3" s="44"/>
      <c r="H3" s="44"/>
      <c r="I3" s="44"/>
      <c r="J3" s="44"/>
      <c r="K3" s="44"/>
      <c r="L3" s="44"/>
      <c r="M3" s="44"/>
      <c r="N3" s="44"/>
      <c r="O3" s="44"/>
      <c r="P3" s="44"/>
      <c r="Q3" s="44"/>
      <c r="R3" s="44"/>
      <c r="S3" s="44"/>
      <c r="T3" s="44"/>
      <c r="U3" s="44"/>
      <c r="V3" s="44"/>
      <c r="W3" s="44"/>
      <c r="X3" s="44"/>
      <c r="Y3" s="44"/>
      <c r="Z3" s="44"/>
      <c r="AA3" s="44"/>
      <c r="AB3" s="9"/>
    </row>
    <row r="4" spans="2:28" s="115" customFormat="1" x14ac:dyDescent="0.25">
      <c r="B4" s="93" t="s">
        <v>4693</v>
      </c>
      <c r="E4" s="5"/>
      <c r="F4" s="5"/>
      <c r="G4" s="5"/>
      <c r="H4" s="5"/>
      <c r="I4" s="5"/>
      <c r="J4" s="5"/>
      <c r="K4" s="5"/>
      <c r="L4" s="5"/>
      <c r="M4" s="5"/>
      <c r="N4" s="5"/>
      <c r="O4" s="5"/>
      <c r="P4" s="5"/>
      <c r="Q4" s="5"/>
      <c r="R4" s="5"/>
      <c r="S4" s="5"/>
      <c r="T4" s="5"/>
      <c r="U4" s="5"/>
      <c r="V4" s="5"/>
      <c r="W4" s="5"/>
      <c r="X4" s="5"/>
      <c r="Y4" s="5"/>
      <c r="Z4" s="5"/>
      <c r="AA4" s="5"/>
      <c r="AB4" s="9"/>
    </row>
    <row r="5" spans="2:28" x14ac:dyDescent="0.25">
      <c r="B5" s="8"/>
      <c r="C5" s="8" t="s">
        <v>0</v>
      </c>
      <c r="E5" s="5">
        <f>E6*0.9</f>
        <v>1892.7</v>
      </c>
      <c r="F5" s="5">
        <f t="shared" ref="F5:AA5" si="1">F6*0.9</f>
        <v>2093.4</v>
      </c>
      <c r="G5" s="5">
        <f t="shared" si="1"/>
        <v>2249.1</v>
      </c>
      <c r="H5" s="5">
        <f t="shared" si="1"/>
        <v>2283.3000000000002</v>
      </c>
      <c r="I5" s="5">
        <f t="shared" si="1"/>
        <v>2313.9</v>
      </c>
      <c r="J5" s="5">
        <f t="shared" si="1"/>
        <v>2330.1</v>
      </c>
      <c r="K5" s="5">
        <f t="shared" si="1"/>
        <v>2331.9</v>
      </c>
      <c r="L5" s="5">
        <f t="shared" si="1"/>
        <v>2333.7000000000003</v>
      </c>
      <c r="M5" s="5">
        <f t="shared" si="1"/>
        <v>2335.5</v>
      </c>
      <c r="N5" s="5">
        <f t="shared" si="1"/>
        <v>2335.5</v>
      </c>
      <c r="O5" s="5">
        <f t="shared" si="1"/>
        <v>2335.5</v>
      </c>
      <c r="P5" s="5">
        <f t="shared" si="1"/>
        <v>2335.5</v>
      </c>
      <c r="Q5" s="5">
        <f t="shared" si="1"/>
        <v>2335.5</v>
      </c>
      <c r="R5" s="5">
        <f t="shared" si="1"/>
        <v>2335.5</v>
      </c>
      <c r="S5" s="5">
        <f t="shared" si="1"/>
        <v>2335.5</v>
      </c>
      <c r="T5" s="5">
        <f t="shared" si="1"/>
        <v>2335.5</v>
      </c>
      <c r="U5" s="5">
        <f t="shared" si="1"/>
        <v>2335.5</v>
      </c>
      <c r="V5" s="5">
        <f t="shared" si="1"/>
        <v>2335.5</v>
      </c>
      <c r="W5" s="5">
        <f t="shared" si="1"/>
        <v>2335.5</v>
      </c>
      <c r="X5" s="5">
        <f t="shared" si="1"/>
        <v>2335.5</v>
      </c>
      <c r="Y5" s="5">
        <f t="shared" si="1"/>
        <v>2335.5</v>
      </c>
      <c r="Z5" s="5">
        <f t="shared" si="1"/>
        <v>2335.5</v>
      </c>
      <c r="AA5" s="5">
        <f t="shared" si="1"/>
        <v>2335.5</v>
      </c>
    </row>
    <row r="6" spans="2:28" x14ac:dyDescent="0.25">
      <c r="B6" s="8"/>
      <c r="C6" s="8" t="s">
        <v>9</v>
      </c>
      <c r="E6" s="5">
        <f>SUM(E7:E9)</f>
        <v>2103</v>
      </c>
      <c r="F6" s="5">
        <f t="shared" ref="F6:AA6" si="2">SUM(F7:F9)</f>
        <v>2326</v>
      </c>
      <c r="G6" s="5">
        <f t="shared" si="2"/>
        <v>2499</v>
      </c>
      <c r="H6" s="5">
        <f t="shared" si="2"/>
        <v>2537</v>
      </c>
      <c r="I6" s="5">
        <f t="shared" si="2"/>
        <v>2571</v>
      </c>
      <c r="J6" s="5">
        <f t="shared" si="2"/>
        <v>2589</v>
      </c>
      <c r="K6" s="5">
        <f t="shared" si="2"/>
        <v>2591</v>
      </c>
      <c r="L6" s="5">
        <f t="shared" si="2"/>
        <v>2593</v>
      </c>
      <c r="M6" s="5">
        <f t="shared" si="2"/>
        <v>2595</v>
      </c>
      <c r="N6" s="5">
        <f t="shared" si="2"/>
        <v>2595</v>
      </c>
      <c r="O6" s="5">
        <f t="shared" si="2"/>
        <v>2595</v>
      </c>
      <c r="P6" s="5">
        <f t="shared" si="2"/>
        <v>2595</v>
      </c>
      <c r="Q6" s="5">
        <f t="shared" si="2"/>
        <v>2595</v>
      </c>
      <c r="R6" s="5">
        <f t="shared" si="2"/>
        <v>2595</v>
      </c>
      <c r="S6" s="5">
        <f t="shared" si="2"/>
        <v>2595</v>
      </c>
      <c r="T6" s="5">
        <f t="shared" si="2"/>
        <v>2595</v>
      </c>
      <c r="U6" s="5">
        <f t="shared" si="2"/>
        <v>2595</v>
      </c>
      <c r="V6" s="5">
        <f t="shared" si="2"/>
        <v>2595</v>
      </c>
      <c r="W6" s="5">
        <f t="shared" si="2"/>
        <v>2595</v>
      </c>
      <c r="X6" s="5">
        <f t="shared" si="2"/>
        <v>2595</v>
      </c>
      <c r="Y6" s="5">
        <f t="shared" si="2"/>
        <v>2595</v>
      </c>
      <c r="Z6" s="5">
        <f t="shared" si="2"/>
        <v>2595</v>
      </c>
      <c r="AA6" s="5">
        <f t="shared" si="2"/>
        <v>2595</v>
      </c>
    </row>
    <row r="7" spans="2:28" s="8" customFormat="1" x14ac:dyDescent="0.25">
      <c r="D7" s="8" t="s">
        <v>6</v>
      </c>
      <c r="E7" s="434">
        <v>544</v>
      </c>
      <c r="F7" s="434">
        <v>549</v>
      </c>
      <c r="G7" s="434">
        <v>566</v>
      </c>
      <c r="H7" s="434">
        <v>610</v>
      </c>
      <c r="I7" s="434">
        <v>644</v>
      </c>
      <c r="J7" s="434">
        <v>662</v>
      </c>
      <c r="K7" s="434">
        <v>663</v>
      </c>
      <c r="L7" s="434">
        <v>664</v>
      </c>
      <c r="M7" s="434">
        <v>665</v>
      </c>
      <c r="N7" s="5">
        <f>M7</f>
        <v>665</v>
      </c>
      <c r="O7" s="5">
        <f t="shared" ref="O7:AA7" si="3">N7</f>
        <v>665</v>
      </c>
      <c r="P7" s="5">
        <f t="shared" si="3"/>
        <v>665</v>
      </c>
      <c r="Q7" s="5">
        <f t="shared" si="3"/>
        <v>665</v>
      </c>
      <c r="R7" s="5">
        <f t="shared" si="3"/>
        <v>665</v>
      </c>
      <c r="S7" s="5">
        <f t="shared" si="3"/>
        <v>665</v>
      </c>
      <c r="T7" s="5">
        <f t="shared" si="3"/>
        <v>665</v>
      </c>
      <c r="U7" s="5">
        <f t="shared" si="3"/>
        <v>665</v>
      </c>
      <c r="V7" s="5">
        <f t="shared" si="3"/>
        <v>665</v>
      </c>
      <c r="W7" s="5">
        <f t="shared" si="3"/>
        <v>665</v>
      </c>
      <c r="X7" s="5">
        <f t="shared" si="3"/>
        <v>665</v>
      </c>
      <c r="Y7" s="5">
        <f t="shared" si="3"/>
        <v>665</v>
      </c>
      <c r="Z7" s="5">
        <f t="shared" si="3"/>
        <v>665</v>
      </c>
      <c r="AA7" s="5">
        <f t="shared" si="3"/>
        <v>665</v>
      </c>
      <c r="AB7" s="9"/>
    </row>
    <row r="8" spans="2:28" s="8" customFormat="1" x14ac:dyDescent="0.25">
      <c r="D8" s="8" t="s">
        <v>7</v>
      </c>
      <c r="E8" s="434">
        <v>1461</v>
      </c>
      <c r="F8" s="434">
        <v>1667</v>
      </c>
      <c r="G8" s="434">
        <v>1794</v>
      </c>
      <c r="H8" s="434">
        <v>1797</v>
      </c>
      <c r="I8" s="434">
        <v>1797</v>
      </c>
      <c r="J8" s="434">
        <v>1797</v>
      </c>
      <c r="K8" s="434">
        <v>1797</v>
      </c>
      <c r="L8" s="434">
        <v>1797</v>
      </c>
      <c r="M8" s="434">
        <v>1797</v>
      </c>
      <c r="N8" s="5">
        <f>M8</f>
        <v>1797</v>
      </c>
      <c r="O8" s="5">
        <f t="shared" ref="O8:AA8" si="4">N8</f>
        <v>1797</v>
      </c>
      <c r="P8" s="5">
        <f t="shared" si="4"/>
        <v>1797</v>
      </c>
      <c r="Q8" s="5">
        <f t="shared" si="4"/>
        <v>1797</v>
      </c>
      <c r="R8" s="5">
        <f t="shared" si="4"/>
        <v>1797</v>
      </c>
      <c r="S8" s="5">
        <f t="shared" si="4"/>
        <v>1797</v>
      </c>
      <c r="T8" s="5">
        <f t="shared" si="4"/>
        <v>1797</v>
      </c>
      <c r="U8" s="5">
        <f t="shared" si="4"/>
        <v>1797</v>
      </c>
      <c r="V8" s="5">
        <f t="shared" si="4"/>
        <v>1797</v>
      </c>
      <c r="W8" s="5">
        <f t="shared" si="4"/>
        <v>1797</v>
      </c>
      <c r="X8" s="5">
        <f t="shared" si="4"/>
        <v>1797</v>
      </c>
      <c r="Y8" s="5">
        <f t="shared" si="4"/>
        <v>1797</v>
      </c>
      <c r="Z8" s="5">
        <f t="shared" si="4"/>
        <v>1797</v>
      </c>
      <c r="AA8" s="5">
        <f t="shared" si="4"/>
        <v>1797</v>
      </c>
      <c r="AB8" s="9"/>
    </row>
    <row r="9" spans="2:28" s="8" customFormat="1" x14ac:dyDescent="0.25">
      <c r="D9" s="8" t="s">
        <v>8</v>
      </c>
      <c r="E9" s="434">
        <v>98</v>
      </c>
      <c r="F9" s="434">
        <v>110</v>
      </c>
      <c r="G9" s="434">
        <v>139</v>
      </c>
      <c r="H9" s="434">
        <v>130</v>
      </c>
      <c r="I9" s="434">
        <v>130</v>
      </c>
      <c r="J9" s="434">
        <v>130</v>
      </c>
      <c r="K9" s="434">
        <v>131</v>
      </c>
      <c r="L9" s="434">
        <v>132</v>
      </c>
      <c r="M9" s="434">
        <v>133</v>
      </c>
      <c r="N9" s="5">
        <f>M9</f>
        <v>133</v>
      </c>
      <c r="O9" s="5">
        <f t="shared" ref="O9:AA9" si="5">N9</f>
        <v>133</v>
      </c>
      <c r="P9" s="5">
        <f t="shared" si="5"/>
        <v>133</v>
      </c>
      <c r="Q9" s="5">
        <f t="shared" si="5"/>
        <v>133</v>
      </c>
      <c r="R9" s="5">
        <f t="shared" si="5"/>
        <v>133</v>
      </c>
      <c r="S9" s="5">
        <f t="shared" si="5"/>
        <v>133</v>
      </c>
      <c r="T9" s="5">
        <f t="shared" si="5"/>
        <v>133</v>
      </c>
      <c r="U9" s="5">
        <f t="shared" si="5"/>
        <v>133</v>
      </c>
      <c r="V9" s="5">
        <f t="shared" si="5"/>
        <v>133</v>
      </c>
      <c r="W9" s="5">
        <f t="shared" si="5"/>
        <v>133</v>
      </c>
      <c r="X9" s="5">
        <f t="shared" si="5"/>
        <v>133</v>
      </c>
      <c r="Y9" s="5">
        <f t="shared" si="5"/>
        <v>133</v>
      </c>
      <c r="Z9" s="5">
        <f t="shared" si="5"/>
        <v>133</v>
      </c>
      <c r="AA9" s="5">
        <f t="shared" si="5"/>
        <v>133</v>
      </c>
      <c r="AB9" s="9"/>
    </row>
    <row r="10" spans="2:28" s="8" customFormat="1" x14ac:dyDescent="0.25">
      <c r="C10" s="8" t="s">
        <v>1</v>
      </c>
      <c r="E10" s="5">
        <f>E6*1.1</f>
        <v>2313.3000000000002</v>
      </c>
      <c r="F10" s="5">
        <f t="shared" ref="F10:AA10" si="6">F6*1.1</f>
        <v>2558.6000000000004</v>
      </c>
      <c r="G10" s="5">
        <f t="shared" si="6"/>
        <v>2748.9</v>
      </c>
      <c r="H10" s="5">
        <f t="shared" si="6"/>
        <v>2790.7000000000003</v>
      </c>
      <c r="I10" s="5">
        <f t="shared" si="6"/>
        <v>2828.1000000000004</v>
      </c>
      <c r="J10" s="5">
        <f t="shared" si="6"/>
        <v>2847.9</v>
      </c>
      <c r="K10" s="5">
        <f t="shared" si="6"/>
        <v>2850.1000000000004</v>
      </c>
      <c r="L10" s="5">
        <f t="shared" si="6"/>
        <v>2852.3</v>
      </c>
      <c r="M10" s="5">
        <f t="shared" si="6"/>
        <v>2854.5000000000005</v>
      </c>
      <c r="N10" s="5">
        <f t="shared" si="6"/>
        <v>2854.5000000000005</v>
      </c>
      <c r="O10" s="5">
        <f t="shared" si="6"/>
        <v>2854.5000000000005</v>
      </c>
      <c r="P10" s="5">
        <f t="shared" si="6"/>
        <v>2854.5000000000005</v>
      </c>
      <c r="Q10" s="5">
        <f t="shared" si="6"/>
        <v>2854.5000000000005</v>
      </c>
      <c r="R10" s="5">
        <f t="shared" si="6"/>
        <v>2854.5000000000005</v>
      </c>
      <c r="S10" s="5">
        <f t="shared" si="6"/>
        <v>2854.5000000000005</v>
      </c>
      <c r="T10" s="5">
        <f t="shared" si="6"/>
        <v>2854.5000000000005</v>
      </c>
      <c r="U10" s="5">
        <f t="shared" si="6"/>
        <v>2854.5000000000005</v>
      </c>
      <c r="V10" s="5">
        <f t="shared" si="6"/>
        <v>2854.5000000000005</v>
      </c>
      <c r="W10" s="5">
        <f t="shared" si="6"/>
        <v>2854.5000000000005</v>
      </c>
      <c r="X10" s="5">
        <f t="shared" si="6"/>
        <v>2854.5000000000005</v>
      </c>
      <c r="Y10" s="5">
        <f t="shared" si="6"/>
        <v>2854.5000000000005</v>
      </c>
      <c r="Z10" s="5">
        <f t="shared" si="6"/>
        <v>2854.5000000000005</v>
      </c>
      <c r="AA10" s="5">
        <f t="shared" si="6"/>
        <v>2854.5000000000005</v>
      </c>
      <c r="AB10" s="9"/>
    </row>
    <row r="11" spans="2:28" s="115" customFormat="1" x14ac:dyDescent="0.25">
      <c r="B11" s="435" t="s">
        <v>4682</v>
      </c>
      <c r="E11" s="5"/>
      <c r="F11" s="5"/>
      <c r="G11" s="5"/>
      <c r="H11" s="5"/>
      <c r="I11" s="5"/>
      <c r="J11" s="5"/>
      <c r="K11" s="5"/>
      <c r="L11" s="5"/>
      <c r="M11" s="5"/>
      <c r="N11" s="5"/>
      <c r="O11" s="5"/>
      <c r="P11" s="5"/>
      <c r="Q11" s="5"/>
      <c r="R11" s="5"/>
      <c r="S11" s="5"/>
      <c r="T11" s="5"/>
      <c r="U11" s="5"/>
      <c r="V11" s="5"/>
      <c r="W11" s="5"/>
      <c r="X11" s="5"/>
      <c r="Y11" s="5"/>
      <c r="Z11" s="5"/>
      <c r="AA11" s="5"/>
      <c r="AB11" s="9"/>
    </row>
    <row r="12" spans="2:28" s="8" customFormat="1" x14ac:dyDescent="0.25">
      <c r="C12" s="8" t="s">
        <v>14</v>
      </c>
      <c r="E12" s="434">
        <v>4046.7098000000005</v>
      </c>
      <c r="F12" s="434">
        <v>4297.3948000000009</v>
      </c>
      <c r="G12" s="434">
        <v>4414.1198000000004</v>
      </c>
      <c r="H12" s="434">
        <v>4566.4638000000004</v>
      </c>
      <c r="I12" s="434">
        <v>4619.9638000000014</v>
      </c>
      <c r="J12" s="434">
        <v>4673.4637999999995</v>
      </c>
      <c r="K12" s="434">
        <v>4724.6728000000003</v>
      </c>
      <c r="L12" s="434">
        <v>4772.6308000000008</v>
      </c>
      <c r="M12" s="434">
        <v>4817.3908000000001</v>
      </c>
      <c r="N12" s="5"/>
      <c r="X12" s="5"/>
      <c r="Y12" s="5"/>
      <c r="Z12" s="5"/>
      <c r="AA12" s="5"/>
      <c r="AB12" s="9"/>
    </row>
    <row r="13" spans="2:28" x14ac:dyDescent="0.25">
      <c r="N13" s="5"/>
      <c r="O13" s="5"/>
      <c r="P13" s="5"/>
      <c r="Q13" s="5"/>
      <c r="R13" s="5"/>
      <c r="S13" s="5"/>
      <c r="T13" s="5"/>
      <c r="U13" s="5"/>
      <c r="V13" s="5"/>
      <c r="W13" s="5"/>
      <c r="X13" s="5"/>
      <c r="Y13" s="5"/>
      <c r="Z13" s="5"/>
      <c r="AA13" s="5"/>
    </row>
    <row r="14" spans="2:28" s="432" customFormat="1" x14ac:dyDescent="0.25">
      <c r="B14" s="468" t="s">
        <v>3417</v>
      </c>
      <c r="C14" s="469"/>
      <c r="D14" s="469"/>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9"/>
    </row>
    <row r="15" spans="2:28" s="115" customFormat="1" x14ac:dyDescent="0.25">
      <c r="B15" s="93" t="s">
        <v>4681</v>
      </c>
      <c r="E15" s="5"/>
      <c r="F15" s="5"/>
      <c r="G15" s="5"/>
      <c r="H15" s="5"/>
      <c r="I15" s="5"/>
      <c r="J15" s="5"/>
      <c r="K15" s="5"/>
      <c r="L15" s="5"/>
      <c r="M15" s="5"/>
      <c r="N15" s="5"/>
      <c r="O15" s="5"/>
      <c r="P15" s="5"/>
      <c r="Q15" s="5"/>
      <c r="R15" s="5"/>
      <c r="S15" s="5"/>
      <c r="T15" s="5"/>
      <c r="U15" s="5"/>
      <c r="V15" s="5"/>
      <c r="W15" s="5"/>
      <c r="X15" s="5"/>
      <c r="Y15" s="5"/>
      <c r="Z15" s="5"/>
      <c r="AA15" s="5"/>
      <c r="AB15" s="9"/>
    </row>
    <row r="16" spans="2:28" x14ac:dyDescent="0.25">
      <c r="B16" s="8"/>
      <c r="C16" s="8" t="s">
        <v>0</v>
      </c>
      <c r="E16" s="5">
        <f>$W16/19</f>
        <v>0</v>
      </c>
      <c r="F16" s="5">
        <f t="shared" ref="F16:V16" si="7">E16+($W16/19)</f>
        <v>0</v>
      </c>
      <c r="G16" s="5">
        <f t="shared" si="7"/>
        <v>0</v>
      </c>
      <c r="H16" s="5">
        <f t="shared" si="7"/>
        <v>0</v>
      </c>
      <c r="I16" s="5">
        <f t="shared" si="7"/>
        <v>0</v>
      </c>
      <c r="J16" s="5">
        <f t="shared" si="7"/>
        <v>0</v>
      </c>
      <c r="K16" s="5">
        <f t="shared" si="7"/>
        <v>0</v>
      </c>
      <c r="L16" s="5">
        <f t="shared" si="7"/>
        <v>0</v>
      </c>
      <c r="M16" s="5">
        <f t="shared" si="7"/>
        <v>0</v>
      </c>
      <c r="N16" s="5">
        <f t="shared" si="7"/>
        <v>0</v>
      </c>
      <c r="O16" s="5">
        <f t="shared" si="7"/>
        <v>0</v>
      </c>
      <c r="P16" s="5">
        <f t="shared" si="7"/>
        <v>0</v>
      </c>
      <c r="Q16" s="5">
        <f t="shared" si="7"/>
        <v>0</v>
      </c>
      <c r="R16" s="5">
        <f t="shared" si="7"/>
        <v>0</v>
      </c>
      <c r="S16" s="5">
        <f t="shared" si="7"/>
        <v>0</v>
      </c>
      <c r="T16" s="5">
        <f t="shared" si="7"/>
        <v>0</v>
      </c>
      <c r="U16" s="5">
        <f t="shared" si="7"/>
        <v>0</v>
      </c>
      <c r="V16" s="5">
        <f t="shared" si="7"/>
        <v>0</v>
      </c>
      <c r="W16" s="434">
        <v>0</v>
      </c>
      <c r="X16" s="5">
        <f>W16</f>
        <v>0</v>
      </c>
      <c r="Y16" s="5">
        <f t="shared" ref="Y16:AA16" si="8">X16</f>
        <v>0</v>
      </c>
      <c r="Z16" s="5">
        <f t="shared" si="8"/>
        <v>0</v>
      </c>
      <c r="AA16" s="5">
        <f t="shared" si="8"/>
        <v>0</v>
      </c>
    </row>
    <row r="17" spans="1:28" x14ac:dyDescent="0.25">
      <c r="B17" s="8"/>
      <c r="C17" s="8" t="s">
        <v>9</v>
      </c>
      <c r="E17" s="5">
        <f>$W17/19</f>
        <v>11.210526315789474</v>
      </c>
      <c r="F17" s="5">
        <f>E17+($W17/19)</f>
        <v>22.421052631578949</v>
      </c>
      <c r="G17" s="5">
        <f t="shared" ref="G17:V17" si="9">F17+($W17/19)</f>
        <v>33.631578947368425</v>
      </c>
      <c r="H17" s="5">
        <f t="shared" si="9"/>
        <v>44.842105263157897</v>
      </c>
      <c r="I17" s="5">
        <f t="shared" si="9"/>
        <v>56.05263157894737</v>
      </c>
      <c r="J17" s="5">
        <f t="shared" si="9"/>
        <v>67.26315789473685</v>
      </c>
      <c r="K17" s="5">
        <f t="shared" si="9"/>
        <v>78.473684210526329</v>
      </c>
      <c r="L17" s="5">
        <f t="shared" si="9"/>
        <v>89.684210526315809</v>
      </c>
      <c r="M17" s="5">
        <f t="shared" si="9"/>
        <v>100.89473684210529</v>
      </c>
      <c r="N17" s="5">
        <f t="shared" si="9"/>
        <v>112.10526315789477</v>
      </c>
      <c r="O17" s="5">
        <f t="shared" si="9"/>
        <v>123.31578947368425</v>
      </c>
      <c r="P17" s="5">
        <f t="shared" si="9"/>
        <v>134.52631578947373</v>
      </c>
      <c r="Q17" s="5">
        <f t="shared" si="9"/>
        <v>145.73684210526321</v>
      </c>
      <c r="R17" s="5">
        <f t="shared" si="9"/>
        <v>156.94736842105269</v>
      </c>
      <c r="S17" s="5">
        <f t="shared" si="9"/>
        <v>168.15789473684217</v>
      </c>
      <c r="T17" s="5">
        <f t="shared" si="9"/>
        <v>179.36842105263165</v>
      </c>
      <c r="U17" s="5">
        <f t="shared" si="9"/>
        <v>190.57894736842113</v>
      </c>
      <c r="V17" s="5">
        <f t="shared" si="9"/>
        <v>201.78947368421061</v>
      </c>
      <c r="W17" s="434">
        <v>213</v>
      </c>
      <c r="X17" s="5">
        <f t="shared" ref="X17:AA18" si="10">W17</f>
        <v>213</v>
      </c>
      <c r="Y17" s="5">
        <f t="shared" si="10"/>
        <v>213</v>
      </c>
      <c r="Z17" s="5">
        <f t="shared" si="10"/>
        <v>213</v>
      </c>
      <c r="AA17" s="5">
        <f t="shared" si="10"/>
        <v>213</v>
      </c>
    </row>
    <row r="18" spans="1:28" x14ac:dyDescent="0.25">
      <c r="B18" s="8"/>
      <c r="C18" s="8" t="s">
        <v>1</v>
      </c>
      <c r="E18" s="5">
        <f>$W18/19</f>
        <v>87.421052631578945</v>
      </c>
      <c r="F18" s="5">
        <f t="shared" ref="F18:V18" si="11">E18+($W18/19)</f>
        <v>174.84210526315789</v>
      </c>
      <c r="G18" s="5">
        <f t="shared" si="11"/>
        <v>262.26315789473682</v>
      </c>
      <c r="H18" s="5">
        <f t="shared" si="11"/>
        <v>349.68421052631578</v>
      </c>
      <c r="I18" s="5">
        <f t="shared" si="11"/>
        <v>437.10526315789474</v>
      </c>
      <c r="J18" s="5">
        <f t="shared" si="11"/>
        <v>524.52631578947364</v>
      </c>
      <c r="K18" s="5">
        <f t="shared" si="11"/>
        <v>611.9473684210526</v>
      </c>
      <c r="L18" s="5">
        <f t="shared" si="11"/>
        <v>699.36842105263156</v>
      </c>
      <c r="M18" s="5">
        <f t="shared" si="11"/>
        <v>786.78947368421052</v>
      </c>
      <c r="N18" s="5">
        <f t="shared" si="11"/>
        <v>874.21052631578948</v>
      </c>
      <c r="O18" s="5">
        <f t="shared" si="11"/>
        <v>961.63157894736844</v>
      </c>
      <c r="P18" s="5">
        <f t="shared" si="11"/>
        <v>1049.0526315789473</v>
      </c>
      <c r="Q18" s="5">
        <f t="shared" si="11"/>
        <v>1136.4736842105262</v>
      </c>
      <c r="R18" s="5">
        <f t="shared" si="11"/>
        <v>1223.8947368421052</v>
      </c>
      <c r="S18" s="5">
        <f t="shared" si="11"/>
        <v>1311.3157894736842</v>
      </c>
      <c r="T18" s="5">
        <f t="shared" si="11"/>
        <v>1398.7368421052631</v>
      </c>
      <c r="U18" s="5">
        <f t="shared" si="11"/>
        <v>1486.1578947368421</v>
      </c>
      <c r="V18" s="5">
        <f t="shared" si="11"/>
        <v>1573.578947368421</v>
      </c>
      <c r="W18" s="434">
        <v>1661</v>
      </c>
      <c r="X18" s="5">
        <f t="shared" si="10"/>
        <v>1661</v>
      </c>
      <c r="Y18" s="5">
        <f t="shared" si="10"/>
        <v>1661</v>
      </c>
      <c r="Z18" s="5">
        <f t="shared" si="10"/>
        <v>1661</v>
      </c>
      <c r="AA18" s="5">
        <f t="shared" si="10"/>
        <v>1661</v>
      </c>
    </row>
    <row r="19" spans="1:28" s="115" customFormat="1" x14ac:dyDescent="0.25">
      <c r="B19" s="435" t="s">
        <v>3445</v>
      </c>
      <c r="E19" s="5"/>
      <c r="F19" s="5"/>
      <c r="G19" s="5"/>
      <c r="H19" s="5"/>
      <c r="I19" s="5"/>
      <c r="J19" s="5"/>
      <c r="K19" s="5"/>
      <c r="L19" s="5"/>
      <c r="M19" s="5"/>
      <c r="N19" s="5"/>
      <c r="O19" s="5"/>
      <c r="P19" s="5"/>
      <c r="Q19" s="5"/>
      <c r="R19" s="5"/>
      <c r="S19" s="5"/>
      <c r="T19" s="5"/>
      <c r="U19" s="5"/>
      <c r="V19" s="5"/>
      <c r="W19" s="433"/>
      <c r="X19" s="5"/>
      <c r="Y19" s="5"/>
      <c r="Z19" s="5"/>
      <c r="AA19" s="5"/>
      <c r="AB19" s="9"/>
    </row>
    <row r="20" spans="1:28" x14ac:dyDescent="0.25">
      <c r="B20" s="8"/>
      <c r="C20" s="8" t="s">
        <v>14</v>
      </c>
      <c r="E20" s="434">
        <v>152</v>
      </c>
      <c r="F20" s="434">
        <v>228</v>
      </c>
      <c r="G20" s="434">
        <v>304</v>
      </c>
      <c r="H20" s="434">
        <v>380</v>
      </c>
      <c r="I20" s="434">
        <v>456</v>
      </c>
      <c r="J20" s="434">
        <v>532</v>
      </c>
      <c r="K20" s="434">
        <v>608</v>
      </c>
      <c r="L20" s="434">
        <v>685</v>
      </c>
      <c r="M20" s="434">
        <v>761</v>
      </c>
      <c r="N20" s="5"/>
      <c r="O20" s="5"/>
      <c r="P20" s="5"/>
      <c r="Q20" s="5"/>
      <c r="R20" s="5"/>
      <c r="S20" s="5"/>
      <c r="T20" s="5"/>
      <c r="U20" s="5"/>
      <c r="V20" s="5"/>
      <c r="W20" s="5"/>
      <c r="X20" s="5"/>
      <c r="Y20" s="5"/>
      <c r="Z20" s="5"/>
      <c r="AA20" s="5"/>
    </row>
    <row r="21" spans="1:28" s="8" customFormat="1" x14ac:dyDescent="0.25">
      <c r="F21" s="5"/>
      <c r="G21" s="5"/>
      <c r="H21" s="5"/>
      <c r="I21" s="5"/>
      <c r="J21" s="5"/>
      <c r="K21" s="5"/>
      <c r="L21" s="5"/>
      <c r="M21" s="5"/>
      <c r="N21" s="5"/>
      <c r="O21" s="5"/>
      <c r="P21" s="5"/>
      <c r="Q21" s="5"/>
      <c r="R21" s="5"/>
      <c r="S21" s="5"/>
      <c r="T21" s="5"/>
      <c r="U21" s="5"/>
      <c r="V21" s="5"/>
      <c r="W21" s="5"/>
      <c r="X21" s="5"/>
      <c r="Y21" s="5"/>
      <c r="Z21" s="5"/>
      <c r="AA21" s="5"/>
      <c r="AB21" s="9"/>
    </row>
    <row r="22" spans="1:28" s="432" customFormat="1" x14ac:dyDescent="0.25">
      <c r="B22" s="468" t="s">
        <v>3418</v>
      </c>
      <c r="C22" s="469"/>
      <c r="D22" s="469"/>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9"/>
    </row>
    <row r="23" spans="1:28" x14ac:dyDescent="0.25">
      <c r="A23" t="s">
        <v>3427</v>
      </c>
      <c r="B23" s="502">
        <f>Scenarios!$B$50</f>
        <v>0.75</v>
      </c>
      <c r="C23" s="8" t="s">
        <v>0</v>
      </c>
      <c r="E23" s="5">
        <f>E16*8760*$B23/1000</f>
        <v>0</v>
      </c>
      <c r="F23" s="5">
        <f t="shared" ref="F23:P23" si="12">F16*8760*$B23/1000</f>
        <v>0</v>
      </c>
      <c r="G23" s="5">
        <f t="shared" si="12"/>
        <v>0</v>
      </c>
      <c r="H23" s="5">
        <f t="shared" si="12"/>
        <v>0</v>
      </c>
      <c r="I23" s="5">
        <f t="shared" si="12"/>
        <v>0</v>
      </c>
      <c r="J23" s="5">
        <f t="shared" si="12"/>
        <v>0</v>
      </c>
      <c r="K23" s="5">
        <f t="shared" si="12"/>
        <v>0</v>
      </c>
      <c r="L23" s="5">
        <f t="shared" si="12"/>
        <v>0</v>
      </c>
      <c r="M23" s="5">
        <f t="shared" si="12"/>
        <v>0</v>
      </c>
      <c r="N23" s="5">
        <f t="shared" si="12"/>
        <v>0</v>
      </c>
      <c r="O23" s="5">
        <f t="shared" si="12"/>
        <v>0</v>
      </c>
      <c r="P23" s="5">
        <f t="shared" si="12"/>
        <v>0</v>
      </c>
      <c r="Q23" s="5">
        <f>Q16*8760*$B23/1000</f>
        <v>0</v>
      </c>
      <c r="R23" s="5">
        <f t="shared" ref="R23:AA23" si="13">R16*8760*$B23/1000</f>
        <v>0</v>
      </c>
      <c r="S23" s="5">
        <f t="shared" si="13"/>
        <v>0</v>
      </c>
      <c r="T23" s="5">
        <f t="shared" si="13"/>
        <v>0</v>
      </c>
      <c r="U23" s="5">
        <f t="shared" si="13"/>
        <v>0</v>
      </c>
      <c r="V23" s="5">
        <f t="shared" si="13"/>
        <v>0</v>
      </c>
      <c r="W23" s="5">
        <f t="shared" si="13"/>
        <v>0</v>
      </c>
      <c r="X23" s="5">
        <f t="shared" si="13"/>
        <v>0</v>
      </c>
      <c r="Y23" s="5">
        <f t="shared" si="13"/>
        <v>0</v>
      </c>
      <c r="Z23" s="5">
        <f t="shared" si="13"/>
        <v>0</v>
      </c>
      <c r="AA23" s="5">
        <f t="shared" si="13"/>
        <v>0</v>
      </c>
    </row>
    <row r="24" spans="1:28" x14ac:dyDescent="0.25">
      <c r="A24" t="s">
        <v>3427</v>
      </c>
      <c r="B24" s="502">
        <f>Scenarios!$B$50</f>
        <v>0.75</v>
      </c>
      <c r="C24" s="8" t="s">
        <v>9</v>
      </c>
      <c r="E24" s="5">
        <f>E17*8760*$B24/1000</f>
        <v>73.65315789473685</v>
      </c>
      <c r="F24" s="5">
        <f t="shared" ref="F24:P24" si="14">F17*8760*$B24/1000</f>
        <v>147.3063157894737</v>
      </c>
      <c r="G24" s="5">
        <f t="shared" si="14"/>
        <v>220.95947368421056</v>
      </c>
      <c r="H24" s="5">
        <f t="shared" si="14"/>
        <v>294.6126315789474</v>
      </c>
      <c r="I24" s="5">
        <f t="shared" si="14"/>
        <v>368.26578947368421</v>
      </c>
      <c r="J24" s="5">
        <f t="shared" si="14"/>
        <v>441.91894736842113</v>
      </c>
      <c r="K24" s="5">
        <f t="shared" si="14"/>
        <v>515.57210526315794</v>
      </c>
      <c r="L24" s="5">
        <f t="shared" si="14"/>
        <v>589.2252631578948</v>
      </c>
      <c r="M24" s="5">
        <f>M17*8760*$B24/1000</f>
        <v>662.87842105263178</v>
      </c>
      <c r="N24" s="5">
        <f t="shared" si="14"/>
        <v>736.53157894736864</v>
      </c>
      <c r="O24" s="5">
        <f t="shared" si="14"/>
        <v>810.18473684210539</v>
      </c>
      <c r="P24" s="5">
        <f t="shared" si="14"/>
        <v>883.83789473684249</v>
      </c>
      <c r="Q24" s="5">
        <f t="shared" ref="Q24:AA24" si="15">Q17*8760*$B24/1000</f>
        <v>957.49105263157924</v>
      </c>
      <c r="R24" s="5">
        <f t="shared" si="15"/>
        <v>1031.1442105263161</v>
      </c>
      <c r="S24" s="5">
        <f t="shared" si="15"/>
        <v>1104.7973684210531</v>
      </c>
      <c r="T24" s="5">
        <f t="shared" si="15"/>
        <v>1178.4505263157898</v>
      </c>
      <c r="U24" s="5">
        <f t="shared" si="15"/>
        <v>1252.1036842105268</v>
      </c>
      <c r="V24" s="5">
        <f t="shared" si="15"/>
        <v>1325.7568421052638</v>
      </c>
      <c r="W24" s="5">
        <f t="shared" si="15"/>
        <v>1399.41</v>
      </c>
      <c r="X24" s="5">
        <f t="shared" si="15"/>
        <v>1399.41</v>
      </c>
      <c r="Y24" s="5">
        <f t="shared" si="15"/>
        <v>1399.41</v>
      </c>
      <c r="Z24" s="5">
        <f t="shared" si="15"/>
        <v>1399.41</v>
      </c>
      <c r="AA24" s="5">
        <f t="shared" si="15"/>
        <v>1399.41</v>
      </c>
    </row>
    <row r="25" spans="1:28" x14ac:dyDescent="0.25">
      <c r="A25" t="s">
        <v>3427</v>
      </c>
      <c r="B25" s="502">
        <f>Scenarios!$B$50</f>
        <v>0.75</v>
      </c>
      <c r="C25" s="8" t="s">
        <v>1</v>
      </c>
      <c r="E25" s="5">
        <f>E18*8760*$B25/1000</f>
        <v>574.35631578947368</v>
      </c>
      <c r="F25" s="5">
        <f t="shared" ref="F25:P25" si="16">F18*8760*$B25/1000</f>
        <v>1148.7126315789474</v>
      </c>
      <c r="G25" s="5">
        <f t="shared" si="16"/>
        <v>1723.0689473684206</v>
      </c>
      <c r="H25" s="5">
        <f t="shared" si="16"/>
        <v>2297.4252631578947</v>
      </c>
      <c r="I25" s="5">
        <f t="shared" si="16"/>
        <v>2871.781578947368</v>
      </c>
      <c r="J25" s="5">
        <f t="shared" si="16"/>
        <v>3446.1378947368412</v>
      </c>
      <c r="K25" s="5">
        <f t="shared" si="16"/>
        <v>4020.4942105263153</v>
      </c>
      <c r="L25" s="5">
        <f t="shared" si="16"/>
        <v>4594.8505263157895</v>
      </c>
      <c r="M25" s="5">
        <f t="shared" si="16"/>
        <v>5169.2068421052636</v>
      </c>
      <c r="N25" s="5">
        <f t="shared" si="16"/>
        <v>5743.5631578947359</v>
      </c>
      <c r="O25" s="5">
        <f t="shared" si="16"/>
        <v>6317.919473684211</v>
      </c>
      <c r="P25" s="5">
        <f t="shared" si="16"/>
        <v>6892.2757894736824</v>
      </c>
      <c r="Q25" s="5">
        <f t="shared" ref="Q25:AA25" si="17">Q18*8760*$B25/1000</f>
        <v>7466.6321052631574</v>
      </c>
      <c r="R25" s="5">
        <f t="shared" si="17"/>
        <v>8040.9884210526307</v>
      </c>
      <c r="S25" s="5">
        <f t="shared" si="17"/>
        <v>8615.3447368421057</v>
      </c>
      <c r="T25" s="5">
        <f t="shared" si="17"/>
        <v>9189.7010526315789</v>
      </c>
      <c r="U25" s="5">
        <f t="shared" si="17"/>
        <v>9764.0573684210522</v>
      </c>
      <c r="V25" s="5">
        <f t="shared" si="17"/>
        <v>10338.413684210527</v>
      </c>
      <c r="W25" s="5">
        <f t="shared" si="17"/>
        <v>10912.77</v>
      </c>
      <c r="X25" s="5">
        <f t="shared" si="17"/>
        <v>10912.77</v>
      </c>
      <c r="Y25" s="5">
        <f t="shared" si="17"/>
        <v>10912.77</v>
      </c>
      <c r="Z25" s="5">
        <f t="shared" si="17"/>
        <v>10912.77</v>
      </c>
      <c r="AA25" s="5">
        <f t="shared" si="17"/>
        <v>10912.77</v>
      </c>
    </row>
    <row r="26" spans="1:28" s="115" customFormat="1" x14ac:dyDescent="0.25">
      <c r="B26" s="93" t="s">
        <v>4683</v>
      </c>
      <c r="E26" s="5"/>
      <c r="F26" s="5"/>
      <c r="G26" s="5"/>
      <c r="H26" s="5"/>
      <c r="I26" s="5"/>
      <c r="J26" s="5"/>
      <c r="K26" s="5"/>
      <c r="L26" s="5"/>
      <c r="M26" s="5"/>
      <c r="N26" s="5"/>
      <c r="O26" s="5"/>
      <c r="P26" s="5"/>
      <c r="Q26" s="5"/>
      <c r="R26" s="5"/>
      <c r="S26" s="5"/>
      <c r="T26" s="5"/>
      <c r="U26" s="5"/>
      <c r="V26" s="5"/>
      <c r="W26" s="5"/>
      <c r="X26" s="5"/>
      <c r="Y26" s="5"/>
      <c r="Z26" s="5"/>
      <c r="AA26" s="5"/>
      <c r="AB26" s="9"/>
    </row>
    <row r="27" spans="1:28" x14ac:dyDescent="0.25">
      <c r="B27" s="8"/>
      <c r="C27" s="8" t="s">
        <v>14</v>
      </c>
      <c r="E27" s="5">
        <f t="shared" ref="E27:M27" si="18">E20*8760*0.922/1000</f>
        <v>1227.6614399999999</v>
      </c>
      <c r="F27" s="5">
        <f t="shared" si="18"/>
        <v>1841.4921600000002</v>
      </c>
      <c r="G27" s="5">
        <f t="shared" si="18"/>
        <v>2455.3228799999997</v>
      </c>
      <c r="H27" s="5">
        <f t="shared" si="18"/>
        <v>3069.1536000000001</v>
      </c>
      <c r="I27" s="5">
        <f t="shared" si="18"/>
        <v>3682.9843200000005</v>
      </c>
      <c r="J27" s="5">
        <f t="shared" si="18"/>
        <v>4296.8150400000004</v>
      </c>
      <c r="K27" s="5">
        <f t="shared" si="18"/>
        <v>4910.6457599999994</v>
      </c>
      <c r="L27" s="5">
        <f t="shared" si="18"/>
        <v>5532.5532000000003</v>
      </c>
      <c r="M27" s="5">
        <f t="shared" si="18"/>
        <v>6146.3839200000002</v>
      </c>
      <c r="N27" s="5"/>
      <c r="O27" s="5"/>
      <c r="P27" s="5"/>
      <c r="Q27" s="5"/>
      <c r="R27" s="5"/>
      <c r="S27" s="5"/>
      <c r="T27" s="5"/>
      <c r="U27" s="5"/>
      <c r="V27" s="5"/>
      <c r="W27" s="5"/>
      <c r="X27" s="5"/>
      <c r="Y27" s="5"/>
      <c r="Z27" s="5"/>
      <c r="AA27" s="5"/>
    </row>
    <row r="28" spans="1:28" s="8" customFormat="1" x14ac:dyDescent="0.25">
      <c r="E28" s="5"/>
      <c r="F28" s="5"/>
      <c r="G28" s="5"/>
      <c r="H28" s="5"/>
      <c r="I28" s="5"/>
      <c r="J28" s="5"/>
      <c r="K28" s="5"/>
      <c r="L28" s="5"/>
      <c r="M28" s="5"/>
      <c r="N28" s="5"/>
      <c r="O28" s="5"/>
      <c r="P28" s="5"/>
      <c r="Q28" s="5"/>
      <c r="R28" s="5"/>
      <c r="S28" s="5"/>
      <c r="T28" s="5"/>
      <c r="U28" s="5"/>
      <c r="V28" s="5"/>
      <c r="W28" s="5"/>
      <c r="X28" s="5"/>
      <c r="Y28" s="5"/>
      <c r="Z28" s="5"/>
      <c r="AA28" s="5"/>
      <c r="AB28" s="9"/>
    </row>
    <row r="29" spans="1:28" x14ac:dyDescent="0.25">
      <c r="E29" s="5"/>
      <c r="F29" s="5"/>
      <c r="G29" s="5"/>
      <c r="H29" s="5"/>
      <c r="I29" s="5"/>
      <c r="J29" s="5"/>
      <c r="K29" s="5"/>
      <c r="L29" s="5"/>
      <c r="M29" s="5"/>
      <c r="N29" s="5"/>
      <c r="O29" s="5"/>
      <c r="P29" s="5"/>
      <c r="Q29" s="5"/>
      <c r="R29" s="5"/>
      <c r="S29" s="5"/>
      <c r="T29" s="5"/>
      <c r="U29" s="5"/>
      <c r="V29" s="5"/>
      <c r="W29" s="5"/>
      <c r="X29" s="5"/>
      <c r="Y29" s="5"/>
      <c r="Z29" s="5"/>
      <c r="AA29" s="5"/>
    </row>
    <row r="30" spans="1:28" x14ac:dyDescent="0.25">
      <c r="B30" s="479" t="s">
        <v>24</v>
      </c>
      <c r="C30" s="489"/>
      <c r="D30" s="489"/>
      <c r="E30" s="481"/>
      <c r="F30" s="481"/>
      <c r="G30" s="481"/>
      <c r="H30" s="481"/>
      <c r="I30" s="481"/>
      <c r="J30" s="481"/>
      <c r="K30" s="481"/>
      <c r="L30" s="481"/>
      <c r="M30" s="481"/>
      <c r="N30" s="481"/>
      <c r="O30" s="481"/>
      <c r="P30" s="481"/>
      <c r="Q30" s="481"/>
      <c r="R30" s="481"/>
      <c r="S30" s="481"/>
      <c r="T30" s="481"/>
      <c r="U30" s="481"/>
      <c r="V30" s="481"/>
      <c r="W30" s="481"/>
      <c r="X30" s="481"/>
      <c r="Y30" s="481"/>
      <c r="Z30" s="481"/>
      <c r="AA30" s="481"/>
    </row>
    <row r="31" spans="1:28" s="115" customFormat="1" x14ac:dyDescent="0.25">
      <c r="B31" s="93" t="s">
        <v>4677</v>
      </c>
      <c r="E31" s="5"/>
      <c r="F31" s="5"/>
      <c r="G31" s="5"/>
      <c r="H31" s="5"/>
      <c r="I31" s="5"/>
      <c r="J31" s="5"/>
      <c r="K31" s="5"/>
      <c r="L31" s="5"/>
      <c r="M31" s="5"/>
      <c r="N31" s="5"/>
      <c r="O31" s="5"/>
      <c r="P31" s="5"/>
      <c r="Q31" s="5"/>
      <c r="R31" s="5"/>
      <c r="S31" s="5"/>
      <c r="T31" s="5"/>
      <c r="U31" s="5"/>
      <c r="V31" s="5"/>
      <c r="W31" s="5"/>
      <c r="X31" s="5"/>
      <c r="Y31" s="5"/>
      <c r="Z31" s="5"/>
      <c r="AA31" s="5"/>
      <c r="AB31" s="9"/>
    </row>
    <row r="32" spans="1:28" x14ac:dyDescent="0.25">
      <c r="C32" t="s">
        <v>4680</v>
      </c>
      <c r="E32" s="434">
        <v>15819</v>
      </c>
      <c r="F32" s="434">
        <v>16469</v>
      </c>
      <c r="G32" s="434">
        <v>16469</v>
      </c>
      <c r="H32" s="434">
        <v>16469</v>
      </c>
      <c r="I32" s="434">
        <v>16469</v>
      </c>
      <c r="J32" s="434">
        <v>16469</v>
      </c>
      <c r="K32" s="434">
        <v>16469</v>
      </c>
      <c r="L32" s="434">
        <v>16469</v>
      </c>
      <c r="M32" s="434">
        <v>16469</v>
      </c>
      <c r="N32" s="434">
        <v>16469</v>
      </c>
      <c r="O32" s="434">
        <v>16469</v>
      </c>
      <c r="P32" s="434">
        <v>16469</v>
      </c>
      <c r="Q32" s="434">
        <v>16469</v>
      </c>
      <c r="R32" s="434">
        <v>16469</v>
      </c>
      <c r="S32" s="434">
        <v>16469</v>
      </c>
      <c r="T32" s="434">
        <v>16469</v>
      </c>
      <c r="U32" s="434">
        <v>16469</v>
      </c>
      <c r="V32" s="434">
        <v>16469</v>
      </c>
      <c r="W32" s="434">
        <v>16469</v>
      </c>
      <c r="X32" s="434">
        <v>16469</v>
      </c>
      <c r="Y32" s="434">
        <v>16469</v>
      </c>
      <c r="Z32" s="434">
        <v>16469</v>
      </c>
      <c r="AA32" s="434">
        <v>16469</v>
      </c>
    </row>
    <row r="33" spans="1:28" x14ac:dyDescent="0.25">
      <c r="A33" s="432"/>
      <c r="C33" t="s">
        <v>4679</v>
      </c>
      <c r="E33" s="434">
        <v>10350</v>
      </c>
      <c r="F33" s="434">
        <v>10350</v>
      </c>
      <c r="G33" s="434">
        <v>10350</v>
      </c>
      <c r="H33" s="434">
        <v>10350</v>
      </c>
      <c r="I33" s="434">
        <v>10350</v>
      </c>
      <c r="J33" s="434">
        <v>10350</v>
      </c>
      <c r="K33" s="434">
        <v>10350</v>
      </c>
      <c r="L33" s="434">
        <v>10350</v>
      </c>
      <c r="M33" s="434">
        <v>10350</v>
      </c>
      <c r="N33" s="434">
        <v>10350</v>
      </c>
      <c r="O33" s="434">
        <v>10350</v>
      </c>
      <c r="P33" s="434">
        <v>10350</v>
      </c>
      <c r="Q33" s="434">
        <v>10350</v>
      </c>
      <c r="R33" s="434">
        <v>10350</v>
      </c>
      <c r="S33" s="434">
        <v>10350</v>
      </c>
      <c r="T33" s="434">
        <v>10350</v>
      </c>
      <c r="U33" s="434">
        <v>10350</v>
      </c>
      <c r="V33" s="434">
        <v>10350</v>
      </c>
      <c r="W33" s="434">
        <v>10350</v>
      </c>
      <c r="X33" s="434">
        <v>10350</v>
      </c>
      <c r="Y33" s="434">
        <v>10350</v>
      </c>
      <c r="Z33" s="434">
        <v>10350</v>
      </c>
      <c r="AA33" s="434">
        <v>10350</v>
      </c>
    </row>
    <row r="34" spans="1:28" s="115" customFormat="1" x14ac:dyDescent="0.25">
      <c r="B34" s="435" t="s">
        <v>4675</v>
      </c>
      <c r="E34" s="5"/>
      <c r="F34" s="5"/>
      <c r="G34" s="5"/>
      <c r="H34" s="5"/>
      <c r="I34" s="5"/>
      <c r="J34" s="5"/>
      <c r="K34" s="5"/>
      <c r="L34" s="5"/>
      <c r="M34" s="5"/>
      <c r="N34" s="5"/>
      <c r="O34" s="5"/>
      <c r="P34" s="5"/>
      <c r="Q34" s="5"/>
      <c r="R34" s="5"/>
      <c r="S34" s="5"/>
      <c r="T34" s="5"/>
      <c r="U34" s="5"/>
      <c r="V34" s="5"/>
      <c r="W34" s="5"/>
      <c r="X34" s="5"/>
      <c r="Y34" s="5"/>
      <c r="Z34" s="5"/>
      <c r="AA34" s="5"/>
      <c r="AB34" s="9"/>
    </row>
    <row r="35" spans="1:28" x14ac:dyDescent="0.25">
      <c r="C35" t="s">
        <v>14</v>
      </c>
      <c r="E35" s="434">
        <v>16954.75</v>
      </c>
      <c r="F35" s="434">
        <v>16954.75</v>
      </c>
      <c r="G35" s="434">
        <v>16954.75</v>
      </c>
      <c r="H35" s="434">
        <v>16954.75</v>
      </c>
      <c r="I35" s="434">
        <v>16954.75</v>
      </c>
      <c r="J35" s="434">
        <v>16954.75</v>
      </c>
      <c r="K35" s="434">
        <v>16954.75</v>
      </c>
      <c r="L35" s="434">
        <v>16954.75</v>
      </c>
      <c r="M35" s="434">
        <v>16954.75</v>
      </c>
      <c r="N35" s="433"/>
      <c r="O35" s="433"/>
      <c r="P35" s="433"/>
      <c r="Q35" s="433"/>
      <c r="R35" s="433"/>
      <c r="S35" s="433"/>
      <c r="T35" s="433"/>
      <c r="U35" s="433"/>
      <c r="V35" s="433"/>
      <c r="W35" s="433"/>
      <c r="X35" s="433"/>
      <c r="Y35" s="433"/>
      <c r="Z35" s="433"/>
      <c r="AA35" s="433"/>
    </row>
    <row r="36" spans="1:28" s="115" customFormat="1" x14ac:dyDescent="0.25">
      <c r="F36" s="5"/>
      <c r="G36" s="5"/>
      <c r="H36" s="5"/>
      <c r="I36" s="5"/>
      <c r="J36" s="5"/>
      <c r="K36" s="5"/>
      <c r="L36" s="5"/>
      <c r="M36" s="5"/>
      <c r="N36" s="5"/>
      <c r="O36" s="5"/>
      <c r="P36" s="5"/>
      <c r="Q36" s="5"/>
      <c r="R36" s="5"/>
      <c r="S36" s="5"/>
      <c r="T36" s="5"/>
      <c r="U36" s="5"/>
      <c r="V36" s="5"/>
      <c r="W36" s="5"/>
      <c r="X36" s="5"/>
      <c r="Y36" s="5"/>
      <c r="Z36" s="5"/>
      <c r="AA36" s="5"/>
      <c r="AB36" s="9"/>
    </row>
    <row r="37" spans="1:28" x14ac:dyDescent="0.25">
      <c r="E37" s="5"/>
      <c r="F37" s="5"/>
      <c r="G37" s="5"/>
      <c r="H37" s="5"/>
      <c r="I37" s="5"/>
      <c r="J37" s="5"/>
      <c r="K37" s="5"/>
      <c r="L37" s="5"/>
      <c r="M37" s="5"/>
      <c r="N37" s="5"/>
      <c r="O37" s="5"/>
      <c r="P37" s="5"/>
      <c r="Q37" s="5"/>
      <c r="R37" s="5"/>
      <c r="S37" s="5"/>
      <c r="T37" s="5"/>
      <c r="U37" s="5"/>
      <c r="V37" s="5"/>
      <c r="W37" s="5"/>
      <c r="X37" s="5"/>
      <c r="Y37" s="5"/>
      <c r="Z37" s="5"/>
      <c r="AA37" s="5"/>
    </row>
    <row r="38" spans="1:28" s="432" customFormat="1" x14ac:dyDescent="0.25">
      <c r="B38" s="482" t="s">
        <v>4673</v>
      </c>
      <c r="C38" s="488"/>
      <c r="D38" s="488"/>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9"/>
    </row>
    <row r="39" spans="1:28" s="8" customFormat="1" x14ac:dyDescent="0.25">
      <c r="B39" s="93" t="s">
        <v>4703</v>
      </c>
      <c r="E39" s="5"/>
      <c r="F39" s="5"/>
      <c r="G39" s="5"/>
      <c r="H39" s="5"/>
      <c r="I39" s="5"/>
      <c r="J39" s="5"/>
      <c r="K39" s="5"/>
      <c r="L39" s="5"/>
      <c r="M39" s="5"/>
      <c r="N39" s="5"/>
      <c r="O39" s="5"/>
      <c r="P39" s="5"/>
      <c r="Q39" s="5"/>
      <c r="R39" s="5"/>
      <c r="S39" s="5"/>
      <c r="T39" s="5"/>
      <c r="U39" s="5"/>
      <c r="V39" s="5"/>
      <c r="W39" s="5"/>
      <c r="X39" s="5"/>
      <c r="Y39" s="5"/>
      <c r="Z39" s="5"/>
      <c r="AA39" s="5"/>
      <c r="AB39" s="9"/>
    </row>
    <row r="40" spans="1:28" s="115" customFormat="1" x14ac:dyDescent="0.25">
      <c r="B40" s="93"/>
      <c r="C40" s="115" t="s">
        <v>4692</v>
      </c>
      <c r="E40" s="5">
        <f t="shared" ref="E40:AA40" si="19">SUM(E41:E48)</f>
        <v>50442.457602417322</v>
      </c>
      <c r="F40" s="5">
        <f t="shared" si="19"/>
        <v>50442.457602417322</v>
      </c>
      <c r="G40" s="5">
        <f t="shared" si="19"/>
        <v>50442.457602417322</v>
      </c>
      <c r="H40" s="5">
        <f t="shared" si="19"/>
        <v>50442.457602417322</v>
      </c>
      <c r="I40" s="5">
        <f t="shared" si="19"/>
        <v>50442.457602417322</v>
      </c>
      <c r="J40" s="5">
        <f t="shared" si="19"/>
        <v>50442.457602417322</v>
      </c>
      <c r="K40" s="5">
        <f t="shared" si="19"/>
        <v>50442.457602417322</v>
      </c>
      <c r="L40" s="5">
        <f t="shared" si="19"/>
        <v>50442.457602417322</v>
      </c>
      <c r="M40" s="5">
        <f t="shared" si="19"/>
        <v>50442.457602417322</v>
      </c>
      <c r="N40" s="5">
        <f t="shared" si="19"/>
        <v>50442.457602417322</v>
      </c>
      <c r="O40" s="5">
        <f t="shared" si="19"/>
        <v>50442.457602417322</v>
      </c>
      <c r="P40" s="5">
        <f t="shared" si="19"/>
        <v>50442.457602417322</v>
      </c>
      <c r="Q40" s="5">
        <f t="shared" si="19"/>
        <v>50442.457602417322</v>
      </c>
      <c r="R40" s="5">
        <f t="shared" si="19"/>
        <v>50442.457602417322</v>
      </c>
      <c r="S40" s="5">
        <f t="shared" si="19"/>
        <v>50442.457602417322</v>
      </c>
      <c r="T40" s="5">
        <f t="shared" si="19"/>
        <v>50442.457602417322</v>
      </c>
      <c r="U40" s="5">
        <f t="shared" si="19"/>
        <v>50442.457602417322</v>
      </c>
      <c r="V40" s="5">
        <f t="shared" si="19"/>
        <v>50442.457602417322</v>
      </c>
      <c r="W40" s="5">
        <f t="shared" si="19"/>
        <v>50442.457602417322</v>
      </c>
      <c r="X40" s="5">
        <f t="shared" si="19"/>
        <v>50442.457602417322</v>
      </c>
      <c r="Y40" s="5">
        <f t="shared" si="19"/>
        <v>50442.457602417322</v>
      </c>
      <c r="Z40" s="5">
        <f t="shared" si="19"/>
        <v>50442.457602417322</v>
      </c>
      <c r="AA40" s="5">
        <f t="shared" si="19"/>
        <v>50442.457602417322</v>
      </c>
      <c r="AB40" s="9"/>
    </row>
    <row r="41" spans="1:28" s="8" customFormat="1" x14ac:dyDescent="0.25">
      <c r="B41" s="4"/>
      <c r="D41" s="8" t="s">
        <v>4704</v>
      </c>
      <c r="E41" s="5">
        <f>SUMIFS('NQC list mod'!$E$4:$E$660,'NQC list mod'!$U$4:$U$660,"OTC",'NQC list mod'!$V$4:$V$660,"&lt;&gt;URANIUM")+SUMIFS('NQC list mod'!$M$4:$M$660,'NQC list mod'!$U$4:$U$660,"OTC",'NQC list mod'!$V$4:$V$660,"&lt;&gt;URANIUM")</f>
        <v>12463.750000000002</v>
      </c>
      <c r="F41" s="5">
        <f>E41</f>
        <v>12463.750000000002</v>
      </c>
      <c r="G41" s="5">
        <f t="shared" ref="G41:AA48" si="20">F41</f>
        <v>12463.750000000002</v>
      </c>
      <c r="H41" s="5">
        <f t="shared" si="20"/>
        <v>12463.750000000002</v>
      </c>
      <c r="I41" s="5">
        <f t="shared" si="20"/>
        <v>12463.750000000002</v>
      </c>
      <c r="J41" s="5">
        <f t="shared" si="20"/>
        <v>12463.750000000002</v>
      </c>
      <c r="K41" s="5">
        <f t="shared" si="20"/>
        <v>12463.750000000002</v>
      </c>
      <c r="L41" s="5">
        <f t="shared" si="20"/>
        <v>12463.750000000002</v>
      </c>
      <c r="M41" s="5">
        <f t="shared" si="20"/>
        <v>12463.750000000002</v>
      </c>
      <c r="N41" s="5">
        <f t="shared" si="20"/>
        <v>12463.750000000002</v>
      </c>
      <c r="O41" s="5">
        <f t="shared" si="20"/>
        <v>12463.750000000002</v>
      </c>
      <c r="P41" s="5">
        <f t="shared" si="20"/>
        <v>12463.750000000002</v>
      </c>
      <c r="Q41" s="5">
        <f t="shared" si="20"/>
        <v>12463.750000000002</v>
      </c>
      <c r="R41" s="5">
        <f t="shared" si="20"/>
        <v>12463.750000000002</v>
      </c>
      <c r="S41" s="5">
        <f t="shared" si="20"/>
        <v>12463.750000000002</v>
      </c>
      <c r="T41" s="5">
        <f t="shared" si="20"/>
        <v>12463.750000000002</v>
      </c>
      <c r="U41" s="5">
        <f t="shared" si="20"/>
        <v>12463.750000000002</v>
      </c>
      <c r="V41" s="5">
        <f t="shared" si="20"/>
        <v>12463.750000000002</v>
      </c>
      <c r="W41" s="5">
        <f t="shared" si="20"/>
        <v>12463.750000000002</v>
      </c>
      <c r="X41" s="5">
        <f t="shared" si="20"/>
        <v>12463.750000000002</v>
      </c>
      <c r="Y41" s="5">
        <f t="shared" si="20"/>
        <v>12463.750000000002</v>
      </c>
      <c r="Z41" s="5">
        <f t="shared" si="20"/>
        <v>12463.750000000002</v>
      </c>
      <c r="AA41" s="5">
        <f t="shared" si="20"/>
        <v>12463.750000000002</v>
      </c>
      <c r="AB41" s="9"/>
    </row>
    <row r="42" spans="1:28" s="115" customFormat="1" x14ac:dyDescent="0.25">
      <c r="B42" s="4"/>
      <c r="D42" s="97" t="s">
        <v>4705</v>
      </c>
      <c r="E42" s="5">
        <f>SUMIFS('NQC list mod'!$E$4:$E$660,'NQC list mod'!$V$4:$V$660,"URANIUM")+SUMIFS('NQC list mod'!$M$4:$M$660,'NQC list mod'!$V$4:$V$660,"URANIUM")</f>
        <v>4486</v>
      </c>
      <c r="F42" s="5">
        <f>E42</f>
        <v>4486</v>
      </c>
      <c r="G42" s="5">
        <f t="shared" si="20"/>
        <v>4486</v>
      </c>
      <c r="H42" s="5">
        <f t="shared" si="20"/>
        <v>4486</v>
      </c>
      <c r="I42" s="5">
        <f t="shared" si="20"/>
        <v>4486</v>
      </c>
      <c r="J42" s="5">
        <f t="shared" si="20"/>
        <v>4486</v>
      </c>
      <c r="K42" s="5">
        <f t="shared" si="20"/>
        <v>4486</v>
      </c>
      <c r="L42" s="5">
        <f t="shared" si="20"/>
        <v>4486</v>
      </c>
      <c r="M42" s="5">
        <f t="shared" si="20"/>
        <v>4486</v>
      </c>
      <c r="N42" s="5">
        <f t="shared" si="20"/>
        <v>4486</v>
      </c>
      <c r="O42" s="5">
        <f t="shared" si="20"/>
        <v>4486</v>
      </c>
      <c r="P42" s="5">
        <f t="shared" si="20"/>
        <v>4486</v>
      </c>
      <c r="Q42" s="5">
        <f t="shared" si="20"/>
        <v>4486</v>
      </c>
      <c r="R42" s="5">
        <f t="shared" si="20"/>
        <v>4486</v>
      </c>
      <c r="S42" s="5">
        <f t="shared" si="20"/>
        <v>4486</v>
      </c>
      <c r="T42" s="5">
        <f t="shared" si="20"/>
        <v>4486</v>
      </c>
      <c r="U42" s="5">
        <f t="shared" si="20"/>
        <v>4486</v>
      </c>
      <c r="V42" s="5">
        <f t="shared" si="20"/>
        <v>4486</v>
      </c>
      <c r="W42" s="5">
        <f t="shared" si="20"/>
        <v>4486</v>
      </c>
      <c r="X42" s="5">
        <f t="shared" si="20"/>
        <v>4486</v>
      </c>
      <c r="Y42" s="5">
        <f t="shared" si="20"/>
        <v>4486</v>
      </c>
      <c r="Z42" s="5">
        <f t="shared" si="20"/>
        <v>4486</v>
      </c>
      <c r="AA42" s="5">
        <f t="shared" si="20"/>
        <v>4486</v>
      </c>
      <c r="AB42" s="9"/>
    </row>
    <row r="43" spans="1:28" s="115" customFormat="1" x14ac:dyDescent="0.25">
      <c r="B43" s="4"/>
      <c r="D43" s="97" t="s">
        <v>4706</v>
      </c>
      <c r="E43" s="5">
        <f>SUMIFS('NQC list mod'!$E$4:$E$660,'NQC list mod'!$U$4:$U$660,"&lt;&gt;OTC",'NQC list mod'!$T$4:$T$660,"Dispatchable")+SUMIFS('NQC list mod'!$M$4:$M$660,'NQC list mod'!$U$4:$U$660,"&lt;&gt;OTC",'NQC list mod'!$T$4:$T$660,"Dispatchable")</f>
        <v>20256.86</v>
      </c>
      <c r="F43" s="5">
        <f>E43</f>
        <v>20256.86</v>
      </c>
      <c r="G43" s="5">
        <f t="shared" ref="G43:AA43" si="21">F43</f>
        <v>20256.86</v>
      </c>
      <c r="H43" s="5">
        <f t="shared" si="21"/>
        <v>20256.86</v>
      </c>
      <c r="I43" s="5">
        <f t="shared" si="21"/>
        <v>20256.86</v>
      </c>
      <c r="J43" s="5">
        <f t="shared" si="21"/>
        <v>20256.86</v>
      </c>
      <c r="K43" s="5">
        <f t="shared" si="21"/>
        <v>20256.86</v>
      </c>
      <c r="L43" s="5">
        <f t="shared" si="21"/>
        <v>20256.86</v>
      </c>
      <c r="M43" s="5">
        <f t="shared" si="21"/>
        <v>20256.86</v>
      </c>
      <c r="N43" s="5">
        <f t="shared" si="21"/>
        <v>20256.86</v>
      </c>
      <c r="O43" s="5">
        <f t="shared" si="21"/>
        <v>20256.86</v>
      </c>
      <c r="P43" s="5">
        <f t="shared" si="21"/>
        <v>20256.86</v>
      </c>
      <c r="Q43" s="5">
        <f t="shared" si="21"/>
        <v>20256.86</v>
      </c>
      <c r="R43" s="5">
        <f t="shared" si="21"/>
        <v>20256.86</v>
      </c>
      <c r="S43" s="5">
        <f t="shared" si="21"/>
        <v>20256.86</v>
      </c>
      <c r="T43" s="5">
        <f t="shared" si="21"/>
        <v>20256.86</v>
      </c>
      <c r="U43" s="5">
        <f t="shared" si="21"/>
        <v>20256.86</v>
      </c>
      <c r="V43" s="5">
        <f t="shared" si="21"/>
        <v>20256.86</v>
      </c>
      <c r="W43" s="5">
        <f t="shared" si="21"/>
        <v>20256.86</v>
      </c>
      <c r="X43" s="5">
        <f t="shared" si="21"/>
        <v>20256.86</v>
      </c>
      <c r="Y43" s="5">
        <f t="shared" si="21"/>
        <v>20256.86</v>
      </c>
      <c r="Z43" s="5">
        <f t="shared" si="21"/>
        <v>20256.86</v>
      </c>
      <c r="AA43" s="5">
        <f t="shared" si="21"/>
        <v>20256.86</v>
      </c>
      <c r="AB43" s="9"/>
    </row>
    <row r="44" spans="1:28" s="8" customFormat="1" x14ac:dyDescent="0.25">
      <c r="B44" s="4"/>
      <c r="D44" s="8" t="s">
        <v>3497</v>
      </c>
      <c r="E44" s="5">
        <f>SUMIF('NQC list mod'!$T$4:$T$660,$D44,'NQC list mod'!$E$4:$E$660)+SUMIF('NQC list mod'!$T$4:$T$660,$D44,'NQC list mod'!$M$4:$M$660)</f>
        <v>3800.2958928847183</v>
      </c>
      <c r="F44" s="5">
        <f>E44</f>
        <v>3800.2958928847183</v>
      </c>
      <c r="G44" s="5">
        <f t="shared" ref="G44:AA44" si="22">F44</f>
        <v>3800.2958928847183</v>
      </c>
      <c r="H44" s="5">
        <f t="shared" si="22"/>
        <v>3800.2958928847183</v>
      </c>
      <c r="I44" s="5">
        <f t="shared" si="22"/>
        <v>3800.2958928847183</v>
      </c>
      <c r="J44" s="5">
        <f t="shared" si="22"/>
        <v>3800.2958928847183</v>
      </c>
      <c r="K44" s="5">
        <f t="shared" si="22"/>
        <v>3800.2958928847183</v>
      </c>
      <c r="L44" s="5">
        <f t="shared" si="22"/>
        <v>3800.2958928847183</v>
      </c>
      <c r="M44" s="5">
        <f t="shared" si="22"/>
        <v>3800.2958928847183</v>
      </c>
      <c r="N44" s="5">
        <f t="shared" si="22"/>
        <v>3800.2958928847183</v>
      </c>
      <c r="O44" s="5">
        <f t="shared" si="22"/>
        <v>3800.2958928847183</v>
      </c>
      <c r="P44" s="5">
        <f t="shared" si="22"/>
        <v>3800.2958928847183</v>
      </c>
      <c r="Q44" s="5">
        <f t="shared" si="22"/>
        <v>3800.2958928847183</v>
      </c>
      <c r="R44" s="5">
        <f t="shared" si="22"/>
        <v>3800.2958928847183</v>
      </c>
      <c r="S44" s="5">
        <f t="shared" si="22"/>
        <v>3800.2958928847183</v>
      </c>
      <c r="T44" s="5">
        <f t="shared" si="22"/>
        <v>3800.2958928847183</v>
      </c>
      <c r="U44" s="5">
        <f t="shared" si="22"/>
        <v>3800.2958928847183</v>
      </c>
      <c r="V44" s="5">
        <f t="shared" si="22"/>
        <v>3800.2958928847183</v>
      </c>
      <c r="W44" s="5">
        <f t="shared" si="22"/>
        <v>3800.2958928847183</v>
      </c>
      <c r="X44" s="5">
        <f t="shared" si="22"/>
        <v>3800.2958928847183</v>
      </c>
      <c r="Y44" s="5">
        <f t="shared" si="22"/>
        <v>3800.2958928847183</v>
      </c>
      <c r="Z44" s="5">
        <f t="shared" si="22"/>
        <v>3800.2958928847183</v>
      </c>
      <c r="AA44" s="5">
        <f t="shared" si="22"/>
        <v>3800.2958928847183</v>
      </c>
      <c r="AB44" s="9"/>
    </row>
    <row r="45" spans="1:28" s="8" customFormat="1" x14ac:dyDescent="0.25">
      <c r="B45" s="4"/>
      <c r="D45" s="8" t="s">
        <v>3484</v>
      </c>
      <c r="E45" s="5">
        <f>SUMIF('NQC list mod'!$T$4:$T$660,$D45,'NQC list mod'!$E$4:$E$660)+SUMIF('NQC list mod'!$T$4:$T$660,$D45,'NQC list mod'!$M$4:$M$660)</f>
        <v>7233.18</v>
      </c>
      <c r="F45" s="5">
        <f t="shared" ref="F45:U48" si="23">E45</f>
        <v>7233.18</v>
      </c>
      <c r="G45" s="5">
        <f t="shared" si="23"/>
        <v>7233.18</v>
      </c>
      <c r="H45" s="5">
        <f t="shared" si="23"/>
        <v>7233.18</v>
      </c>
      <c r="I45" s="5">
        <f t="shared" si="23"/>
        <v>7233.18</v>
      </c>
      <c r="J45" s="5">
        <f t="shared" si="23"/>
        <v>7233.18</v>
      </c>
      <c r="K45" s="5">
        <f t="shared" si="23"/>
        <v>7233.18</v>
      </c>
      <c r="L45" s="5">
        <f t="shared" si="23"/>
        <v>7233.18</v>
      </c>
      <c r="M45" s="5">
        <f t="shared" si="23"/>
        <v>7233.18</v>
      </c>
      <c r="N45" s="5">
        <f t="shared" si="23"/>
        <v>7233.18</v>
      </c>
      <c r="O45" s="5">
        <f t="shared" si="23"/>
        <v>7233.18</v>
      </c>
      <c r="P45" s="5">
        <f t="shared" si="23"/>
        <v>7233.18</v>
      </c>
      <c r="Q45" s="5">
        <f t="shared" si="23"/>
        <v>7233.18</v>
      </c>
      <c r="R45" s="5">
        <f t="shared" si="23"/>
        <v>7233.18</v>
      </c>
      <c r="S45" s="5">
        <f t="shared" si="23"/>
        <v>7233.18</v>
      </c>
      <c r="T45" s="5">
        <f t="shared" si="23"/>
        <v>7233.18</v>
      </c>
      <c r="U45" s="5">
        <f t="shared" si="23"/>
        <v>7233.18</v>
      </c>
      <c r="V45" s="5">
        <f t="shared" si="20"/>
        <v>7233.18</v>
      </c>
      <c r="W45" s="5">
        <f t="shared" si="20"/>
        <v>7233.18</v>
      </c>
      <c r="X45" s="5">
        <f t="shared" si="20"/>
        <v>7233.18</v>
      </c>
      <c r="Y45" s="5">
        <f t="shared" si="20"/>
        <v>7233.18</v>
      </c>
      <c r="Z45" s="5">
        <f t="shared" si="20"/>
        <v>7233.18</v>
      </c>
      <c r="AA45" s="5">
        <f t="shared" si="20"/>
        <v>7233.18</v>
      </c>
      <c r="AB45" s="9"/>
    </row>
    <row r="46" spans="1:28" s="8" customFormat="1" x14ac:dyDescent="0.25">
      <c r="B46" s="4"/>
      <c r="D46" s="8" t="s">
        <v>3502</v>
      </c>
      <c r="E46" s="5">
        <f>SUMIF('NQC list mod'!$T$4:$T$660,$D46,'NQC list mod'!$E$4:$E$660)+SUMIF('NQC list mod'!$T$4:$T$660,$D46,'NQC list mod'!$M$4:$M$660)</f>
        <v>1338.5906880000002</v>
      </c>
      <c r="F46" s="5">
        <f t="shared" si="23"/>
        <v>1338.5906880000002</v>
      </c>
      <c r="G46" s="5">
        <f t="shared" si="20"/>
        <v>1338.5906880000002</v>
      </c>
      <c r="H46" s="5">
        <f t="shared" si="20"/>
        <v>1338.5906880000002</v>
      </c>
      <c r="I46" s="5">
        <f t="shared" si="20"/>
        <v>1338.5906880000002</v>
      </c>
      <c r="J46" s="5">
        <f t="shared" si="20"/>
        <v>1338.5906880000002</v>
      </c>
      <c r="K46" s="5">
        <f t="shared" si="20"/>
        <v>1338.5906880000002</v>
      </c>
      <c r="L46" s="5">
        <f t="shared" si="20"/>
        <v>1338.5906880000002</v>
      </c>
      <c r="M46" s="5">
        <f t="shared" si="20"/>
        <v>1338.5906880000002</v>
      </c>
      <c r="N46" s="5">
        <f t="shared" si="20"/>
        <v>1338.5906880000002</v>
      </c>
      <c r="O46" s="5">
        <f t="shared" si="20"/>
        <v>1338.5906880000002</v>
      </c>
      <c r="P46" s="5">
        <f t="shared" si="20"/>
        <v>1338.5906880000002</v>
      </c>
      <c r="Q46" s="5">
        <f t="shared" si="20"/>
        <v>1338.5906880000002</v>
      </c>
      <c r="R46" s="5">
        <f t="shared" si="20"/>
        <v>1338.5906880000002</v>
      </c>
      <c r="S46" s="5">
        <f t="shared" si="20"/>
        <v>1338.5906880000002</v>
      </c>
      <c r="T46" s="5">
        <f t="shared" si="20"/>
        <v>1338.5906880000002</v>
      </c>
      <c r="U46" s="5">
        <f t="shared" si="20"/>
        <v>1338.5906880000002</v>
      </c>
      <c r="V46" s="5">
        <f t="shared" si="20"/>
        <v>1338.5906880000002</v>
      </c>
      <c r="W46" s="5">
        <f t="shared" si="20"/>
        <v>1338.5906880000002</v>
      </c>
      <c r="X46" s="5">
        <f t="shared" si="20"/>
        <v>1338.5906880000002</v>
      </c>
      <c r="Y46" s="5">
        <f t="shared" si="20"/>
        <v>1338.5906880000002</v>
      </c>
      <c r="Z46" s="5">
        <f t="shared" si="20"/>
        <v>1338.5906880000002</v>
      </c>
      <c r="AA46" s="5">
        <f t="shared" si="20"/>
        <v>1338.5906880000002</v>
      </c>
      <c r="AB46" s="9"/>
    </row>
    <row r="47" spans="1:28" s="8" customFormat="1" x14ac:dyDescent="0.25">
      <c r="B47" s="4"/>
      <c r="D47" s="8" t="s">
        <v>3522</v>
      </c>
      <c r="E47" s="5">
        <f>SUMIF('NQC list mod'!$T$4:$T$660,$D47,'NQC list mod'!$E$4:$E$660)+SUMIF('NQC list mod'!$T$4:$T$660,$D47,'NQC list mod'!$M$4:$M$660)</f>
        <v>367.26999999999992</v>
      </c>
      <c r="F47" s="5">
        <f t="shared" si="23"/>
        <v>367.26999999999992</v>
      </c>
      <c r="G47" s="5">
        <f t="shared" si="20"/>
        <v>367.26999999999992</v>
      </c>
      <c r="H47" s="5">
        <f t="shared" si="20"/>
        <v>367.26999999999992</v>
      </c>
      <c r="I47" s="5">
        <f t="shared" si="20"/>
        <v>367.26999999999992</v>
      </c>
      <c r="J47" s="5">
        <f t="shared" si="20"/>
        <v>367.26999999999992</v>
      </c>
      <c r="K47" s="5">
        <f t="shared" si="20"/>
        <v>367.26999999999992</v>
      </c>
      <c r="L47" s="5">
        <f t="shared" si="20"/>
        <v>367.26999999999992</v>
      </c>
      <c r="M47" s="5">
        <f t="shared" si="20"/>
        <v>367.26999999999992</v>
      </c>
      <c r="N47" s="5">
        <f t="shared" si="20"/>
        <v>367.26999999999992</v>
      </c>
      <c r="O47" s="5">
        <f t="shared" si="20"/>
        <v>367.26999999999992</v>
      </c>
      <c r="P47" s="5">
        <f t="shared" si="20"/>
        <v>367.26999999999992</v>
      </c>
      <c r="Q47" s="5">
        <f t="shared" si="20"/>
        <v>367.26999999999992</v>
      </c>
      <c r="R47" s="5">
        <f t="shared" si="20"/>
        <v>367.26999999999992</v>
      </c>
      <c r="S47" s="5">
        <f t="shared" si="20"/>
        <v>367.26999999999992</v>
      </c>
      <c r="T47" s="5">
        <f t="shared" si="20"/>
        <v>367.26999999999992</v>
      </c>
      <c r="U47" s="5">
        <f t="shared" si="20"/>
        <v>367.26999999999992</v>
      </c>
      <c r="V47" s="5">
        <f t="shared" si="20"/>
        <v>367.26999999999992</v>
      </c>
      <c r="W47" s="5">
        <f t="shared" si="20"/>
        <v>367.26999999999992</v>
      </c>
      <c r="X47" s="5">
        <f t="shared" si="20"/>
        <v>367.26999999999992</v>
      </c>
      <c r="Y47" s="5">
        <f t="shared" si="20"/>
        <v>367.26999999999992</v>
      </c>
      <c r="Z47" s="5">
        <f t="shared" si="20"/>
        <v>367.26999999999992</v>
      </c>
      <c r="AA47" s="5">
        <f t="shared" si="20"/>
        <v>367.26999999999992</v>
      </c>
      <c r="AB47" s="9"/>
    </row>
    <row r="48" spans="1:28" s="8" customFormat="1" x14ac:dyDescent="0.25">
      <c r="B48" s="4"/>
      <c r="D48" s="8" t="s">
        <v>3425</v>
      </c>
      <c r="E48" s="5">
        <f>SUMIF('NQC list mod'!$T$4:$T$660,$D48,'NQC list mod'!$E$4:$E$660)+SUMIF('NQC list mod'!$T$4:$T$660,$D48,'NQC list mod'!$M$4:$M$660)</f>
        <v>496.51102153260052</v>
      </c>
      <c r="F48" s="5">
        <f t="shared" si="23"/>
        <v>496.51102153260052</v>
      </c>
      <c r="G48" s="5">
        <f t="shared" si="20"/>
        <v>496.51102153260052</v>
      </c>
      <c r="H48" s="5">
        <f t="shared" si="20"/>
        <v>496.51102153260052</v>
      </c>
      <c r="I48" s="5">
        <f t="shared" si="20"/>
        <v>496.51102153260052</v>
      </c>
      <c r="J48" s="5">
        <f t="shared" si="20"/>
        <v>496.51102153260052</v>
      </c>
      <c r="K48" s="5">
        <f t="shared" si="20"/>
        <v>496.51102153260052</v>
      </c>
      <c r="L48" s="5">
        <f t="shared" si="20"/>
        <v>496.51102153260052</v>
      </c>
      <c r="M48" s="5">
        <f t="shared" si="20"/>
        <v>496.51102153260052</v>
      </c>
      <c r="N48" s="5">
        <f t="shared" si="20"/>
        <v>496.51102153260052</v>
      </c>
      <c r="O48" s="5">
        <f t="shared" si="20"/>
        <v>496.51102153260052</v>
      </c>
      <c r="P48" s="5">
        <f t="shared" si="20"/>
        <v>496.51102153260052</v>
      </c>
      <c r="Q48" s="5">
        <f t="shared" si="20"/>
        <v>496.51102153260052</v>
      </c>
      <c r="R48" s="5">
        <f t="shared" si="20"/>
        <v>496.51102153260052</v>
      </c>
      <c r="S48" s="5">
        <f t="shared" si="20"/>
        <v>496.51102153260052</v>
      </c>
      <c r="T48" s="5">
        <f t="shared" si="20"/>
        <v>496.51102153260052</v>
      </c>
      <c r="U48" s="5">
        <f t="shared" si="20"/>
        <v>496.51102153260052</v>
      </c>
      <c r="V48" s="5">
        <f t="shared" si="20"/>
        <v>496.51102153260052</v>
      </c>
      <c r="W48" s="5">
        <f t="shared" si="20"/>
        <v>496.51102153260052</v>
      </c>
      <c r="X48" s="5">
        <f t="shared" si="20"/>
        <v>496.51102153260052</v>
      </c>
      <c r="Y48" s="5">
        <f t="shared" si="20"/>
        <v>496.51102153260052</v>
      </c>
      <c r="Z48" s="5">
        <f t="shared" si="20"/>
        <v>496.51102153260052</v>
      </c>
      <c r="AA48" s="5">
        <f t="shared" si="20"/>
        <v>496.51102153260052</v>
      </c>
      <c r="AB48" s="9"/>
    </row>
    <row r="49" spans="1:28" s="115" customFormat="1" x14ac:dyDescent="0.25">
      <c r="B49" s="435" t="s">
        <v>3444</v>
      </c>
      <c r="D49" s="42"/>
      <c r="E49" s="5"/>
      <c r="F49" s="5"/>
      <c r="G49" s="5"/>
      <c r="H49" s="5"/>
      <c r="I49" s="5"/>
      <c r="J49" s="5"/>
      <c r="K49" s="5"/>
      <c r="L49" s="5"/>
      <c r="M49" s="5"/>
      <c r="N49" s="5"/>
      <c r="O49" s="5"/>
      <c r="P49" s="5"/>
      <c r="Q49" s="5"/>
      <c r="R49" s="5"/>
      <c r="S49" s="5"/>
      <c r="T49" s="5"/>
      <c r="U49" s="5"/>
      <c r="V49" s="5"/>
      <c r="W49" s="5"/>
      <c r="X49" s="5"/>
      <c r="Y49" s="5"/>
      <c r="Z49" s="5"/>
      <c r="AA49" s="5"/>
      <c r="AB49" s="9"/>
    </row>
    <row r="50" spans="1:28" s="8" customFormat="1" x14ac:dyDescent="0.25">
      <c r="C50" s="8" t="s">
        <v>14</v>
      </c>
      <c r="D50" s="42" t="s">
        <v>3152</v>
      </c>
      <c r="E50" s="434">
        <v>52436.350000000006</v>
      </c>
      <c r="F50" s="5">
        <f>E50</f>
        <v>52436.350000000006</v>
      </c>
      <c r="G50" s="5">
        <f t="shared" ref="G50:I50" si="24">F50</f>
        <v>52436.350000000006</v>
      </c>
      <c r="H50" s="5">
        <f t="shared" si="24"/>
        <v>52436.350000000006</v>
      </c>
      <c r="I50" s="5">
        <f t="shared" si="24"/>
        <v>52436.350000000006</v>
      </c>
      <c r="J50" s="5">
        <f t="shared" ref="J50:M50" si="25">I50</f>
        <v>52436.350000000006</v>
      </c>
      <c r="K50" s="5">
        <f t="shared" si="25"/>
        <v>52436.350000000006</v>
      </c>
      <c r="L50" s="5">
        <f t="shared" si="25"/>
        <v>52436.350000000006</v>
      </c>
      <c r="M50" s="5">
        <f t="shared" si="25"/>
        <v>52436.350000000006</v>
      </c>
      <c r="N50" s="5"/>
      <c r="O50" s="5"/>
      <c r="P50" s="5"/>
      <c r="Q50" s="5"/>
      <c r="R50" s="5"/>
      <c r="S50" s="5"/>
      <c r="T50" s="5"/>
      <c r="U50" s="5"/>
      <c r="V50" s="5"/>
      <c r="W50" s="5"/>
      <c r="X50" s="5"/>
      <c r="Y50" s="5"/>
      <c r="Z50" s="5"/>
      <c r="AA50" s="5"/>
      <c r="AB50" s="9"/>
    </row>
    <row r="51" spans="1:28" s="8" customFormat="1" x14ac:dyDescent="0.25">
      <c r="D51" s="42"/>
      <c r="F51" s="5"/>
      <c r="G51" s="5"/>
      <c r="H51" s="5"/>
      <c r="I51" s="5"/>
      <c r="J51" s="5"/>
      <c r="K51" s="5"/>
      <c r="L51" s="5"/>
      <c r="M51" s="5"/>
      <c r="N51" s="5"/>
      <c r="O51" s="5"/>
      <c r="P51" s="5"/>
      <c r="Q51" s="5"/>
      <c r="R51" s="5"/>
      <c r="S51" s="5"/>
      <c r="T51" s="5"/>
      <c r="U51" s="5"/>
      <c r="V51" s="5"/>
      <c r="W51" s="5"/>
      <c r="X51" s="5"/>
      <c r="Y51" s="5"/>
      <c r="Z51" s="5"/>
      <c r="AA51" s="5"/>
      <c r="AB51" s="9"/>
    </row>
    <row r="52" spans="1:28" s="8" customFormat="1" x14ac:dyDescent="0.25">
      <c r="D52" s="42"/>
      <c r="E52" s="5"/>
      <c r="F52" s="5"/>
      <c r="G52" s="5"/>
      <c r="H52" s="5"/>
      <c r="I52" s="5"/>
      <c r="J52" s="5"/>
      <c r="K52" s="5"/>
      <c r="L52" s="5"/>
      <c r="M52" s="5"/>
      <c r="N52" s="5"/>
      <c r="O52" s="5"/>
      <c r="P52" s="5"/>
      <c r="Q52" s="5"/>
      <c r="R52" s="5"/>
      <c r="S52" s="5"/>
      <c r="T52" s="5"/>
      <c r="U52" s="5"/>
      <c r="V52" s="5"/>
      <c r="W52" s="5"/>
      <c r="X52" s="5"/>
      <c r="Y52" s="5"/>
      <c r="Z52" s="5"/>
      <c r="AA52" s="5"/>
      <c r="AB52" s="9"/>
    </row>
    <row r="53" spans="1:28" s="432" customFormat="1" x14ac:dyDescent="0.25">
      <c r="B53" s="490" t="s">
        <v>4672</v>
      </c>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9"/>
    </row>
    <row r="54" spans="1:28" s="115" customFormat="1" x14ac:dyDescent="0.25">
      <c r="B54" s="431" t="s">
        <v>4833</v>
      </c>
      <c r="AB54" s="9"/>
    </row>
    <row r="55" spans="1:28" s="8" customFormat="1" x14ac:dyDescent="0.25">
      <c r="C55" s="8" t="s">
        <v>4832</v>
      </c>
      <c r="E55" s="5">
        <f>SUMIF('SitingCases mod'!$M$13:$M$120,E2,'SitingCases mod'!$E$13:$E$120)</f>
        <v>1055</v>
      </c>
      <c r="F55" s="5">
        <f>SUMIF('SitingCases mod'!$M$13:$M$120,F2,'SitingCases mod'!$E$13:$E$120)+E55</f>
        <v>4655</v>
      </c>
      <c r="G55" s="5">
        <f>SUMIF('SitingCases mod'!$M$13:$M$120,G2,'SitingCases mod'!$E$13:$E$120)+F55</f>
        <v>4655</v>
      </c>
      <c r="H55" s="5">
        <f>SUMIF('SitingCases mod'!$M$13:$M$120,H2,'SitingCases mod'!$E$13:$E$120)+G55</f>
        <v>4655</v>
      </c>
      <c r="I55" s="5">
        <f>SUMIF('SitingCases mod'!$M$13:$M$120,I2,'SitingCases mod'!$E$13:$E$120)+H55</f>
        <v>4655</v>
      </c>
      <c r="J55" s="5">
        <f>SUMIF('SitingCases mod'!$M$13:$M$120,J2,'SitingCases mod'!$E$13:$E$120)+I55</f>
        <v>5984</v>
      </c>
      <c r="K55" s="5">
        <f>SUMIF('SitingCases mod'!$M$13:$M$120,K2,'SitingCases mod'!$E$13:$E$120)+J55</f>
        <v>5984</v>
      </c>
      <c r="L55" s="5">
        <f>SUMIF('SitingCases mod'!$M$13:$M$120,L2,'SitingCases mod'!$E$13:$E$120)+K55</f>
        <v>5984</v>
      </c>
      <c r="M55" s="5">
        <f>SUMIF('SitingCases mod'!$M$13:$M$120,M2,'SitingCases mod'!$E$13:$E$120)+L55</f>
        <v>5984</v>
      </c>
      <c r="N55" s="5">
        <f>SUMIF('SitingCases mod'!$M$13:$M$120,N2,'SitingCases mod'!$E$13:$E$120)+M55</f>
        <v>5984</v>
      </c>
      <c r="O55" s="5">
        <f>SUMIF('SitingCases mod'!$M$13:$M$120,O2,'SitingCases mod'!$E$13:$E$120)+N55</f>
        <v>5984</v>
      </c>
      <c r="P55" s="5">
        <f>SUMIF('SitingCases mod'!$M$13:$M$120,P2,'SitingCases mod'!$E$13:$E$120)+O55</f>
        <v>5984</v>
      </c>
      <c r="Q55" s="5">
        <f>SUMIF('SitingCases mod'!$M$13:$M$120,Q2,'SitingCases mod'!$E$13:$E$120)+P55</f>
        <v>5984</v>
      </c>
      <c r="R55" s="5">
        <f>SUMIF('SitingCases mod'!$M$13:$M$120,R2,'SitingCases mod'!$E$13:$E$120)+Q55</f>
        <v>5984</v>
      </c>
      <c r="S55" s="5">
        <f>SUMIF('SitingCases mod'!$M$13:$M$120,S2,'SitingCases mod'!$E$13:$E$120)+R55</f>
        <v>5984</v>
      </c>
      <c r="T55" s="5">
        <f>SUMIF('SitingCases mod'!$M$13:$M$120,T2,'SitingCases mod'!$E$13:$E$120)+S55</f>
        <v>5984</v>
      </c>
      <c r="U55" s="5">
        <f>SUMIF('SitingCases mod'!$M$13:$M$120,U2,'SitingCases mod'!$E$13:$E$120)+T55</f>
        <v>5984</v>
      </c>
      <c r="V55" s="5">
        <f>SUMIF('SitingCases mod'!$M$13:$M$120,V2,'SitingCases mod'!$E$13:$E$120)+U55</f>
        <v>5984</v>
      </c>
      <c r="W55" s="5">
        <f>SUMIF('SitingCases mod'!$M$13:$M$120,W2,'SitingCases mod'!$E$13:$E$120)+V55</f>
        <v>5984</v>
      </c>
      <c r="X55" s="5">
        <f>SUMIF('SitingCases mod'!$M$13:$M$120,X2,'SitingCases mod'!$E$13:$E$120)+W55</f>
        <v>5984</v>
      </c>
      <c r="Y55" s="5">
        <f>SUMIF('SitingCases mod'!$M$13:$M$120,Y2,'SitingCases mod'!$E$13:$E$120)+X55</f>
        <v>5984</v>
      </c>
      <c r="Z55" s="5">
        <f>SUMIF('SitingCases mod'!$M$13:$M$120,Z2,'SitingCases mod'!$E$13:$E$120)+Y55</f>
        <v>5984</v>
      </c>
      <c r="AA55" s="5">
        <f>SUMIF('SitingCases mod'!$M$13:$M$120,AA2,'SitingCases mod'!$E$13:$E$120)+Z55</f>
        <v>5984</v>
      </c>
      <c r="AB55" s="9"/>
    </row>
    <row r="56" spans="1:28" s="115" customFormat="1" x14ac:dyDescent="0.25">
      <c r="B56" s="435" t="s">
        <v>4947</v>
      </c>
      <c r="D56" s="42"/>
      <c r="E56" s="5"/>
      <c r="F56" s="5"/>
      <c r="G56" s="5"/>
      <c r="H56" s="5"/>
      <c r="I56" s="5"/>
      <c r="J56" s="5"/>
      <c r="K56" s="5"/>
      <c r="L56" s="5"/>
      <c r="M56" s="5"/>
      <c r="O56" s="5"/>
      <c r="P56" s="5"/>
      <c r="Q56" s="5"/>
      <c r="R56" s="5"/>
      <c r="S56" s="5"/>
      <c r="T56" s="5"/>
      <c r="U56" s="5"/>
      <c r="V56" s="5"/>
      <c r="W56" s="5"/>
      <c r="X56" s="5"/>
      <c r="Y56" s="5"/>
      <c r="Z56" s="5"/>
      <c r="AA56" s="5"/>
      <c r="AB56" s="9"/>
    </row>
    <row r="57" spans="1:28" s="8" customFormat="1" x14ac:dyDescent="0.25">
      <c r="C57" s="8" t="s">
        <v>14</v>
      </c>
      <c r="D57" s="42" t="s">
        <v>4840</v>
      </c>
      <c r="E57" s="434">
        <v>4044.8</v>
      </c>
      <c r="F57" s="434">
        <v>5952.8</v>
      </c>
      <c r="G57" s="434">
        <v>5952.8</v>
      </c>
      <c r="H57" s="434">
        <v>7306.3</v>
      </c>
      <c r="I57" s="434">
        <v>7306.8</v>
      </c>
      <c r="J57" s="434">
        <v>7306.8</v>
      </c>
      <c r="K57" s="434">
        <v>7306.8</v>
      </c>
      <c r="L57" s="434">
        <v>7306.8</v>
      </c>
      <c r="M57" s="434">
        <v>7306.8</v>
      </c>
      <c r="N57" s="446"/>
      <c r="O57" s="446"/>
      <c r="P57" s="446"/>
      <c r="Q57" s="446"/>
      <c r="R57" s="446"/>
      <c r="S57" s="446"/>
      <c r="T57" s="446"/>
      <c r="U57" s="446"/>
      <c r="V57" s="446"/>
      <c r="W57" s="446"/>
      <c r="X57" s="446"/>
      <c r="Y57" s="446"/>
      <c r="Z57" s="446"/>
      <c r="AA57" s="446"/>
      <c r="AB57" s="9"/>
    </row>
    <row r="58" spans="1:28" x14ac:dyDescent="0.25">
      <c r="B58" s="93" t="s">
        <v>4837</v>
      </c>
    </row>
    <row r="59" spans="1:28" s="8" customFormat="1" x14ac:dyDescent="0.25">
      <c r="A59" s="568"/>
      <c r="C59" s="8" t="s">
        <v>3426</v>
      </c>
      <c r="D59" s="3" t="s">
        <v>3144</v>
      </c>
      <c r="E59" s="434">
        <v>152.51270785273772</v>
      </c>
      <c r="F59" s="434">
        <v>786.70854650551632</v>
      </c>
      <c r="G59" s="434">
        <v>1369.5442127679557</v>
      </c>
      <c r="H59" s="434">
        <v>2065.3644854032627</v>
      </c>
      <c r="I59" s="434">
        <v>2671.9656752559258</v>
      </c>
      <c r="J59" s="434">
        <v>3011.4234774237598</v>
      </c>
      <c r="K59" s="434">
        <v>3398.5166442112209</v>
      </c>
      <c r="L59" s="434">
        <v>3398.5166442112209</v>
      </c>
      <c r="M59" s="434">
        <v>3620.7568634159134</v>
      </c>
      <c r="N59" s="434">
        <v>3620.7568634159134</v>
      </c>
      <c r="O59" s="434">
        <v>3620.7568634159134</v>
      </c>
      <c r="P59" s="434">
        <v>3620.7568634159134</v>
      </c>
      <c r="Q59" s="434">
        <v>3620.7568634159134</v>
      </c>
      <c r="R59" s="434">
        <v>3620.7568634159134</v>
      </c>
      <c r="S59" s="434">
        <v>3620.7568634159134</v>
      </c>
      <c r="T59" s="434">
        <v>3620.7568634159134</v>
      </c>
      <c r="U59" s="434">
        <v>3620.7568634159134</v>
      </c>
      <c r="V59" s="434">
        <v>3620.7568634159134</v>
      </c>
      <c r="W59" s="434">
        <v>3620.7568634159134</v>
      </c>
      <c r="X59" s="434">
        <v>3620.7568634159134</v>
      </c>
      <c r="Y59" s="434">
        <v>3620.7568634159134</v>
      </c>
      <c r="Z59" s="434">
        <v>3620.7568634159134</v>
      </c>
      <c r="AA59" s="434">
        <v>3620.7568634159134</v>
      </c>
      <c r="AB59" s="9"/>
    </row>
    <row r="60" spans="1:28" s="115" customFormat="1" x14ac:dyDescent="0.25">
      <c r="A60" s="568"/>
      <c r="C60" s="115" t="s">
        <v>3426</v>
      </c>
      <c r="D60" s="3" t="s">
        <v>4772</v>
      </c>
      <c r="E60" s="434">
        <v>165.33442466223383</v>
      </c>
      <c r="F60" s="434">
        <v>759.08251569461072</v>
      </c>
      <c r="G60" s="434">
        <v>1707.0720056039977</v>
      </c>
      <c r="H60" s="434">
        <v>2402.8922782393047</v>
      </c>
      <c r="I60" s="434">
        <v>3009.4934680919682</v>
      </c>
      <c r="J60" s="434">
        <v>3306.6573167498141</v>
      </c>
      <c r="K60" s="434">
        <v>3693.7504835372761</v>
      </c>
      <c r="L60" s="434">
        <v>3693.7504835372761</v>
      </c>
      <c r="M60" s="434">
        <v>3720.5511096434134</v>
      </c>
      <c r="N60" s="434">
        <v>3720.5511096434134</v>
      </c>
      <c r="O60" s="434">
        <v>3720.5511096434134</v>
      </c>
      <c r="P60" s="434">
        <v>3720.5511096434134</v>
      </c>
      <c r="Q60" s="434">
        <v>3720.5511096434134</v>
      </c>
      <c r="R60" s="434">
        <v>3720.5511096434134</v>
      </c>
      <c r="S60" s="434">
        <v>3720.5511096434134</v>
      </c>
      <c r="T60" s="434">
        <v>3720.5511096434134</v>
      </c>
      <c r="U60" s="434">
        <v>3720.5511096434134</v>
      </c>
      <c r="V60" s="434">
        <v>3720.5511096434134</v>
      </c>
      <c r="W60" s="434">
        <v>3720.5511096434134</v>
      </c>
      <c r="X60" s="434">
        <v>3720.5511096434134</v>
      </c>
      <c r="Y60" s="434">
        <v>3720.5511096434134</v>
      </c>
      <c r="Z60" s="434">
        <v>3720.5511096434134</v>
      </c>
      <c r="AA60" s="434">
        <v>3720.5511096434134</v>
      </c>
      <c r="AB60" s="9"/>
    </row>
    <row r="61" spans="1:28" s="115" customFormat="1" x14ac:dyDescent="0.25">
      <c r="A61" s="568"/>
      <c r="C61" s="115" t="s">
        <v>3426</v>
      </c>
      <c r="D61" s="3" t="s">
        <v>4793</v>
      </c>
      <c r="E61" s="434">
        <v>152.51270785273761</v>
      </c>
      <c r="F61" s="434">
        <v>786.70854650551621</v>
      </c>
      <c r="G61" s="434">
        <v>1206.9807262311049</v>
      </c>
      <c r="H61" s="434">
        <v>1754.7384806121904</v>
      </c>
      <c r="I61" s="434">
        <v>2029.377203708668</v>
      </c>
      <c r="J61" s="434">
        <v>2326.5410523665137</v>
      </c>
      <c r="K61" s="434">
        <v>2713.6342191539752</v>
      </c>
      <c r="L61" s="434">
        <v>2713.6342191539752</v>
      </c>
      <c r="M61" s="434">
        <v>2740.4348452601125</v>
      </c>
      <c r="N61" s="434">
        <v>2740.4348452601125</v>
      </c>
      <c r="O61" s="434">
        <v>2740.4348452601125</v>
      </c>
      <c r="P61" s="434">
        <v>2740.4348452601125</v>
      </c>
      <c r="Q61" s="434">
        <v>2740.4348452601125</v>
      </c>
      <c r="R61" s="434">
        <v>2740.4348452601125</v>
      </c>
      <c r="S61" s="434">
        <v>2740.4348452601125</v>
      </c>
      <c r="T61" s="434">
        <v>2740.4348452601125</v>
      </c>
      <c r="U61" s="434">
        <v>2740.4348452601125</v>
      </c>
      <c r="V61" s="434">
        <v>2740.4348452601125</v>
      </c>
      <c r="W61" s="434">
        <v>2740.4348452601125</v>
      </c>
      <c r="X61" s="434">
        <v>2740.4348452601125</v>
      </c>
      <c r="Y61" s="434">
        <v>2740.4348452601125</v>
      </c>
      <c r="Z61" s="434">
        <v>2740.4348452601125</v>
      </c>
      <c r="AA61" s="434">
        <v>2740.4348452601125</v>
      </c>
      <c r="AB61" s="9"/>
    </row>
    <row r="62" spans="1:28" s="115" customFormat="1" x14ac:dyDescent="0.25">
      <c r="A62" s="568"/>
      <c r="C62" s="115" t="s">
        <v>3426</v>
      </c>
      <c r="D62" s="3" t="s">
        <v>4830</v>
      </c>
      <c r="E62" s="434" t="e">
        <v>#VALUE!</v>
      </c>
      <c r="F62" s="434" t="e">
        <v>#VALUE!</v>
      </c>
      <c r="G62" s="434" t="e">
        <v>#VALUE!</v>
      </c>
      <c r="H62" s="434" t="e">
        <v>#VALUE!</v>
      </c>
      <c r="I62" s="434" t="e">
        <v>#VALUE!</v>
      </c>
      <c r="J62" s="434" t="e">
        <v>#VALUE!</v>
      </c>
      <c r="K62" s="434" t="e">
        <v>#VALUE!</v>
      </c>
      <c r="L62" s="434" t="e">
        <v>#VALUE!</v>
      </c>
      <c r="M62" s="434" t="e">
        <v>#VALUE!</v>
      </c>
      <c r="N62" s="434" t="e">
        <v>#VALUE!</v>
      </c>
      <c r="O62" s="434" t="e">
        <v>#VALUE!</v>
      </c>
      <c r="P62" s="434" t="e">
        <v>#VALUE!</v>
      </c>
      <c r="Q62" s="434" t="e">
        <v>#VALUE!</v>
      </c>
      <c r="R62" s="434" t="e">
        <v>#VALUE!</v>
      </c>
      <c r="S62" s="434" t="e">
        <v>#VALUE!</v>
      </c>
      <c r="T62" s="434" t="e">
        <v>#VALUE!</v>
      </c>
      <c r="U62" s="434" t="e">
        <v>#VALUE!</v>
      </c>
      <c r="V62" s="434" t="e">
        <v>#VALUE!</v>
      </c>
      <c r="W62" s="434" t="e">
        <v>#VALUE!</v>
      </c>
      <c r="X62" s="434" t="e">
        <v>#VALUE!</v>
      </c>
      <c r="Y62" s="434" t="e">
        <v>#VALUE!</v>
      </c>
      <c r="Z62" s="434" t="e">
        <v>#VALUE!</v>
      </c>
      <c r="AA62" s="434" t="e">
        <v>#VALUE!</v>
      </c>
      <c r="AB62" s="9"/>
    </row>
    <row r="63" spans="1:28" s="115" customFormat="1" x14ac:dyDescent="0.25">
      <c r="B63" s="435" t="s">
        <v>4835</v>
      </c>
      <c r="D63" s="3"/>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9"/>
    </row>
    <row r="64" spans="1:28" s="115" customFormat="1" x14ac:dyDescent="0.25">
      <c r="C64" s="115" t="s">
        <v>4834</v>
      </c>
      <c r="D64" s="3" t="s">
        <v>4838</v>
      </c>
      <c r="E64" s="434">
        <v>101</v>
      </c>
      <c r="F64" s="434">
        <v>297</v>
      </c>
      <c r="G64" s="434">
        <v>830</v>
      </c>
      <c r="H64" s="434">
        <v>2623</v>
      </c>
      <c r="I64" s="434">
        <v>3269</v>
      </c>
      <c r="J64" s="434">
        <v>4119</v>
      </c>
      <c r="K64" s="434">
        <v>4119</v>
      </c>
      <c r="L64" s="434">
        <v>5232</v>
      </c>
      <c r="M64" s="434">
        <v>5232</v>
      </c>
      <c r="N64" s="5"/>
      <c r="O64" s="5"/>
      <c r="P64" s="5"/>
      <c r="Q64" s="5"/>
      <c r="R64" s="5"/>
      <c r="S64" s="5"/>
      <c r="T64" s="5"/>
      <c r="U64" s="5"/>
      <c r="V64" s="5"/>
      <c r="W64" s="5"/>
      <c r="X64" s="5"/>
      <c r="Y64" s="5"/>
      <c r="Z64" s="5"/>
      <c r="AA64" s="5"/>
      <c r="AB64" s="9"/>
    </row>
    <row r="65" spans="1:28" s="115" customFormat="1" x14ac:dyDescent="0.25">
      <c r="D65" s="3"/>
      <c r="E65" s="433"/>
      <c r="F65" s="433"/>
      <c r="G65" s="433"/>
      <c r="H65" s="433"/>
      <c r="I65" s="433"/>
      <c r="J65" s="433"/>
      <c r="K65" s="433"/>
      <c r="L65" s="433"/>
      <c r="M65" s="433"/>
      <c r="N65" s="5"/>
      <c r="O65" s="5"/>
      <c r="P65" s="5"/>
      <c r="Q65" s="5"/>
      <c r="R65" s="5"/>
      <c r="S65" s="5"/>
      <c r="T65" s="5"/>
      <c r="U65" s="5"/>
      <c r="V65" s="5"/>
      <c r="W65" s="5"/>
      <c r="X65" s="5"/>
      <c r="Y65" s="5"/>
      <c r="Z65" s="5"/>
      <c r="AA65" s="5"/>
      <c r="AB65" s="9"/>
    </row>
    <row r="66" spans="1:28" s="115" customFormat="1" x14ac:dyDescent="0.25">
      <c r="B66" s="490" t="s">
        <v>4836</v>
      </c>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9"/>
    </row>
    <row r="67" spans="1:28" s="115" customFormat="1" x14ac:dyDescent="0.25">
      <c r="B67" s="93" t="s">
        <v>4837</v>
      </c>
      <c r="D67" s="3"/>
      <c r="E67" s="433"/>
      <c r="F67" s="433"/>
      <c r="G67" s="433"/>
      <c r="H67" s="433"/>
      <c r="I67" s="433"/>
      <c r="J67" s="433"/>
      <c r="K67" s="433"/>
      <c r="L67" s="433"/>
      <c r="M67" s="433"/>
      <c r="N67" s="5"/>
      <c r="O67" s="5"/>
      <c r="P67" s="5"/>
      <c r="Q67" s="5"/>
      <c r="R67" s="5"/>
      <c r="S67" s="5"/>
      <c r="T67" s="5"/>
      <c r="U67" s="5"/>
      <c r="V67" s="5"/>
      <c r="W67" s="5"/>
      <c r="X67" s="5"/>
      <c r="Y67" s="5"/>
      <c r="Z67" s="5"/>
      <c r="AA67" s="5"/>
      <c r="AB67" s="9"/>
    </row>
    <row r="68" spans="1:28" s="115" customFormat="1" x14ac:dyDescent="0.25">
      <c r="A68" s="568"/>
      <c r="C68" s="115" t="s">
        <v>3426</v>
      </c>
      <c r="D68" s="3" t="s">
        <v>3144</v>
      </c>
      <c r="E68" s="434">
        <v>1599.2032445783325</v>
      </c>
      <c r="F68" s="434">
        <v>4916.0258623129521</v>
      </c>
      <c r="G68" s="434">
        <v>10644.419831542937</v>
      </c>
      <c r="H68" s="434">
        <v>15835.808835381846</v>
      </c>
      <c r="I68" s="434">
        <v>18161.482588749932</v>
      </c>
      <c r="J68" s="434">
        <v>20364.104821037006</v>
      </c>
      <c r="K68" s="434">
        <v>21754.388638870856</v>
      </c>
      <c r="L68" s="434">
        <v>21754.388638870856</v>
      </c>
      <c r="M68" s="434">
        <v>22875.455857168527</v>
      </c>
      <c r="N68" s="434">
        <v>22875.455857168527</v>
      </c>
      <c r="O68" s="434">
        <v>22875.455857168527</v>
      </c>
      <c r="P68" s="434">
        <v>22875.455857168527</v>
      </c>
      <c r="Q68" s="434">
        <v>22875.455857168527</v>
      </c>
      <c r="R68" s="434">
        <v>22875.455857168527</v>
      </c>
      <c r="S68" s="434">
        <v>22875.455857168527</v>
      </c>
      <c r="T68" s="434">
        <v>22875.455857168527</v>
      </c>
      <c r="U68" s="434">
        <v>22875.455857168527</v>
      </c>
      <c r="V68" s="434">
        <v>22875.455857168527</v>
      </c>
      <c r="W68" s="434">
        <v>22875.455857168527</v>
      </c>
      <c r="X68" s="434">
        <v>22875.455857168527</v>
      </c>
      <c r="Y68" s="434">
        <v>22875.455857168527</v>
      </c>
      <c r="Z68" s="434">
        <v>22875.455857168527</v>
      </c>
      <c r="AA68" s="434">
        <v>22875.455857168527</v>
      </c>
      <c r="AB68" s="9"/>
    </row>
    <row r="69" spans="1:28" s="115" customFormat="1" x14ac:dyDescent="0.25">
      <c r="A69" s="568"/>
      <c r="C69" s="115" t="s">
        <v>3426</v>
      </c>
      <c r="D69" s="3" t="s">
        <v>4772</v>
      </c>
      <c r="E69" s="434">
        <v>1823.1610615334109</v>
      </c>
      <c r="F69" s="434">
        <v>4955.0066122828448</v>
      </c>
      <c r="G69" s="434">
        <v>12176.551444421861</v>
      </c>
      <c r="H69" s="434">
        <v>17398.618922760168</v>
      </c>
      <c r="I69" s="434">
        <v>19724.292676128258</v>
      </c>
      <c r="J69" s="434">
        <v>21372.46725043422</v>
      </c>
      <c r="K69" s="434">
        <v>22762.751068268066</v>
      </c>
      <c r="L69" s="434">
        <v>22762.751068268066</v>
      </c>
      <c r="M69" s="434">
        <v>22859.008196990868</v>
      </c>
      <c r="N69" s="434">
        <v>22859.008196990868</v>
      </c>
      <c r="O69" s="434">
        <v>22859.008196990868</v>
      </c>
      <c r="P69" s="434">
        <v>22859.008196990868</v>
      </c>
      <c r="Q69" s="434">
        <v>22859.008196990868</v>
      </c>
      <c r="R69" s="434">
        <v>22859.008196990868</v>
      </c>
      <c r="S69" s="434">
        <v>22859.008196990868</v>
      </c>
      <c r="T69" s="434">
        <v>22859.008196990868</v>
      </c>
      <c r="U69" s="434">
        <v>22859.008196990868</v>
      </c>
      <c r="V69" s="434">
        <v>22859.008196990868</v>
      </c>
      <c r="W69" s="434">
        <v>22859.008196990868</v>
      </c>
      <c r="X69" s="434">
        <v>22859.008196990868</v>
      </c>
      <c r="Y69" s="434">
        <v>22859.008196990868</v>
      </c>
      <c r="Z69" s="434">
        <v>22859.008196990868</v>
      </c>
      <c r="AA69" s="434">
        <v>22859.008196990868</v>
      </c>
      <c r="AB69" s="9"/>
    </row>
    <row r="70" spans="1:28" s="115" customFormat="1" x14ac:dyDescent="0.25">
      <c r="A70" s="568"/>
      <c r="C70" s="115" t="s">
        <v>3426</v>
      </c>
      <c r="D70" s="3" t="s">
        <v>4793</v>
      </c>
      <c r="E70" s="434">
        <v>1599.2032445783307</v>
      </c>
      <c r="F70" s="434">
        <v>4916.0258623129503</v>
      </c>
      <c r="G70" s="434">
        <v>14005.032543080864</v>
      </c>
      <c r="H70" s="434">
        <v>18746.980513741037</v>
      </c>
      <c r="I70" s="434">
        <v>19794.084690898089</v>
      </c>
      <c r="J70" s="434">
        <v>21442.259265204055</v>
      </c>
      <c r="K70" s="434">
        <v>22832.543083037897</v>
      </c>
      <c r="L70" s="434">
        <v>22832.543083037897</v>
      </c>
      <c r="M70" s="434">
        <v>22928.800211760703</v>
      </c>
      <c r="N70" s="434">
        <v>22928.800211760703</v>
      </c>
      <c r="O70" s="434">
        <v>22928.800211760703</v>
      </c>
      <c r="P70" s="434">
        <v>22928.800211760703</v>
      </c>
      <c r="Q70" s="434">
        <v>22928.800211760703</v>
      </c>
      <c r="R70" s="434">
        <v>22928.800211760703</v>
      </c>
      <c r="S70" s="434">
        <v>22928.800211760703</v>
      </c>
      <c r="T70" s="434">
        <v>22928.800211760703</v>
      </c>
      <c r="U70" s="434">
        <v>22928.800211760703</v>
      </c>
      <c r="V70" s="434">
        <v>22928.800211760703</v>
      </c>
      <c r="W70" s="434">
        <v>22928.800211760703</v>
      </c>
      <c r="X70" s="434">
        <v>22928.800211760703</v>
      </c>
      <c r="Y70" s="434">
        <v>22928.800211760703</v>
      </c>
      <c r="Z70" s="434">
        <v>22928.800211760703</v>
      </c>
      <c r="AA70" s="434">
        <v>22928.800211760703</v>
      </c>
      <c r="AB70" s="9"/>
    </row>
    <row r="71" spans="1:28" s="115" customFormat="1" x14ac:dyDescent="0.25">
      <c r="A71" s="568"/>
      <c r="C71" s="115" t="s">
        <v>3426</v>
      </c>
      <c r="D71" s="3" t="s">
        <v>4830</v>
      </c>
      <c r="E71" s="434" t="e">
        <v>#VALUE!</v>
      </c>
      <c r="F71" s="434" t="e">
        <v>#VALUE!</v>
      </c>
      <c r="G71" s="434" t="e">
        <v>#VALUE!</v>
      </c>
      <c r="H71" s="434" t="e">
        <v>#VALUE!</v>
      </c>
      <c r="I71" s="434" t="e">
        <v>#VALUE!</v>
      </c>
      <c r="J71" s="434" t="e">
        <v>#VALUE!</v>
      </c>
      <c r="K71" s="434" t="e">
        <v>#VALUE!</v>
      </c>
      <c r="L71" s="434" t="e">
        <v>#VALUE!</v>
      </c>
      <c r="M71" s="434" t="e">
        <v>#VALUE!</v>
      </c>
      <c r="N71" s="434" t="e">
        <v>#VALUE!</v>
      </c>
      <c r="O71" s="434" t="e">
        <v>#VALUE!</v>
      </c>
      <c r="P71" s="434" t="e">
        <v>#VALUE!</v>
      </c>
      <c r="Q71" s="434" t="e">
        <v>#VALUE!</v>
      </c>
      <c r="R71" s="434" t="e">
        <v>#VALUE!</v>
      </c>
      <c r="S71" s="434" t="e">
        <v>#VALUE!</v>
      </c>
      <c r="T71" s="434" t="e">
        <v>#VALUE!</v>
      </c>
      <c r="U71" s="434" t="e">
        <v>#VALUE!</v>
      </c>
      <c r="V71" s="434" t="e">
        <v>#VALUE!</v>
      </c>
      <c r="W71" s="434" t="e">
        <v>#VALUE!</v>
      </c>
      <c r="X71" s="434" t="e">
        <v>#VALUE!</v>
      </c>
      <c r="Y71" s="434" t="e">
        <v>#VALUE!</v>
      </c>
      <c r="Z71" s="434" t="e">
        <v>#VALUE!</v>
      </c>
      <c r="AA71" s="434" t="e">
        <v>#VALUE!</v>
      </c>
      <c r="AB71" s="9"/>
    </row>
    <row r="72" spans="1:28" s="115" customFormat="1" x14ac:dyDescent="0.25">
      <c r="D72" s="3"/>
      <c r="E72" s="433"/>
      <c r="F72" s="433"/>
      <c r="G72" s="433"/>
      <c r="H72" s="433"/>
      <c r="I72" s="433"/>
      <c r="J72" s="433"/>
      <c r="K72" s="433"/>
      <c r="L72" s="433"/>
      <c r="M72" s="433"/>
      <c r="N72" s="5"/>
      <c r="O72" s="5"/>
      <c r="P72" s="5"/>
      <c r="Q72" s="5"/>
      <c r="R72" s="5"/>
      <c r="S72" s="5"/>
      <c r="T72" s="5"/>
      <c r="U72" s="5"/>
      <c r="V72" s="5"/>
      <c r="W72" s="5"/>
      <c r="X72" s="5"/>
      <c r="Y72" s="5"/>
      <c r="Z72" s="5"/>
      <c r="AA72" s="5"/>
      <c r="AB72" s="9"/>
    </row>
    <row r="73" spans="1:28" x14ac:dyDescent="0.25">
      <c r="B73" s="93"/>
      <c r="E73" s="5"/>
      <c r="F73" s="5"/>
      <c r="G73" s="5"/>
      <c r="H73" s="5"/>
      <c r="I73" s="5"/>
      <c r="J73" s="5"/>
      <c r="K73" s="5"/>
      <c r="L73" s="5"/>
      <c r="M73" s="5"/>
      <c r="N73" s="5"/>
      <c r="O73" s="5"/>
      <c r="P73" s="5"/>
      <c r="Q73" s="5"/>
      <c r="R73" s="5"/>
      <c r="S73" s="5"/>
      <c r="T73" s="5"/>
      <c r="U73" s="5"/>
      <c r="V73" s="5"/>
      <c r="W73" s="5"/>
      <c r="X73" s="5"/>
      <c r="Y73" s="5"/>
      <c r="Z73" s="5"/>
      <c r="AA73" s="5"/>
    </row>
    <row r="74" spans="1:28" s="432" customFormat="1" x14ac:dyDescent="0.25">
      <c r="B74" s="492" t="s">
        <v>27</v>
      </c>
      <c r="C74" s="493"/>
      <c r="D74" s="493"/>
      <c r="E74" s="493"/>
      <c r="F74" s="494"/>
      <c r="G74" s="494"/>
      <c r="H74" s="494"/>
      <c r="I74" s="494"/>
      <c r="J74" s="494"/>
      <c r="K74" s="494"/>
      <c r="L74" s="494"/>
      <c r="M74" s="494"/>
      <c r="N74" s="494"/>
      <c r="O74" s="494"/>
      <c r="P74" s="494"/>
      <c r="Q74" s="494"/>
      <c r="R74" s="494"/>
      <c r="S74" s="494"/>
      <c r="T74" s="494"/>
      <c r="U74" s="494"/>
      <c r="V74" s="494"/>
      <c r="W74" s="494"/>
      <c r="X74" s="494"/>
      <c r="Y74" s="494"/>
      <c r="Z74" s="494"/>
      <c r="AA74" s="494"/>
      <c r="AB74" s="9"/>
    </row>
    <row r="75" spans="1:28" s="115" customFormat="1" x14ac:dyDescent="0.25">
      <c r="B75" s="93" t="s">
        <v>4690</v>
      </c>
      <c r="D75" s="1"/>
      <c r="E75" s="5"/>
      <c r="F75" s="5"/>
      <c r="G75" s="5"/>
      <c r="H75" s="5"/>
      <c r="I75" s="5"/>
      <c r="J75" s="5"/>
      <c r="K75" s="5"/>
      <c r="L75" s="5"/>
      <c r="M75" s="5"/>
      <c r="N75" s="5"/>
      <c r="O75" s="5"/>
      <c r="P75" s="5"/>
      <c r="Q75" s="5"/>
      <c r="R75" s="5"/>
      <c r="S75" s="5"/>
      <c r="T75" s="5"/>
      <c r="U75" s="5"/>
      <c r="V75" s="5"/>
      <c r="W75" s="5"/>
      <c r="X75" s="5"/>
      <c r="Y75" s="5"/>
      <c r="Z75" s="5"/>
      <c r="AA75" s="5"/>
      <c r="AB75" s="9"/>
    </row>
    <row r="76" spans="1:28" s="115" customFormat="1" x14ac:dyDescent="0.25">
      <c r="C76" s="640" t="s">
        <v>0</v>
      </c>
      <c r="D76" s="641" t="s">
        <v>4692</v>
      </c>
      <c r="E76" s="642">
        <f>SUM(E77:E87)</f>
        <v>452</v>
      </c>
      <c r="F76" s="642">
        <f t="shared" ref="F76:AA76" si="26">SUM(F77:F87)</f>
        <v>452</v>
      </c>
      <c r="G76" s="642">
        <f t="shared" si="26"/>
        <v>452</v>
      </c>
      <c r="H76" s="642">
        <f t="shared" si="26"/>
        <v>1772</v>
      </c>
      <c r="I76" s="642">
        <f t="shared" si="26"/>
        <v>1772</v>
      </c>
      <c r="J76" s="642">
        <f t="shared" si="26"/>
        <v>6569.53</v>
      </c>
      <c r="K76" s="642">
        <f t="shared" si="26"/>
        <v>6569.53</v>
      </c>
      <c r="L76" s="642">
        <f t="shared" si="26"/>
        <v>6569.53</v>
      </c>
      <c r="M76" s="642">
        <f t="shared" si="26"/>
        <v>12463.750000000002</v>
      </c>
      <c r="N76" s="642">
        <f t="shared" si="26"/>
        <v>12463.750000000002</v>
      </c>
      <c r="O76" s="642">
        <f t="shared" si="26"/>
        <v>12463.750000000002</v>
      </c>
      <c r="P76" s="642">
        <f t="shared" si="26"/>
        <v>12463.750000000002</v>
      </c>
      <c r="Q76" s="642">
        <f t="shared" si="26"/>
        <v>12463.750000000002</v>
      </c>
      <c r="R76" s="642">
        <f t="shared" si="26"/>
        <v>12463.750000000002</v>
      </c>
      <c r="S76" s="642">
        <f t="shared" si="26"/>
        <v>12463.750000000002</v>
      </c>
      <c r="T76" s="642">
        <f t="shared" si="26"/>
        <v>12463.750000000002</v>
      </c>
      <c r="U76" s="642">
        <f t="shared" si="26"/>
        <v>12463.750000000002</v>
      </c>
      <c r="V76" s="642">
        <f t="shared" si="26"/>
        <v>12463.750000000002</v>
      </c>
      <c r="W76" s="642">
        <f t="shared" si="26"/>
        <v>12463.750000000002</v>
      </c>
      <c r="X76" s="642">
        <f t="shared" si="26"/>
        <v>12463.750000000002</v>
      </c>
      <c r="Y76" s="642">
        <f t="shared" si="26"/>
        <v>12463.750000000002</v>
      </c>
      <c r="Z76" s="642">
        <f t="shared" si="26"/>
        <v>12463.750000000002</v>
      </c>
      <c r="AA76" s="642">
        <f t="shared" si="26"/>
        <v>12463.750000000002</v>
      </c>
      <c r="AB76" s="9"/>
    </row>
    <row r="77" spans="1:28" s="115" customFormat="1" x14ac:dyDescent="0.25">
      <c r="A77" s="432" t="s">
        <v>4685</v>
      </c>
      <c r="B77" s="432"/>
      <c r="D77" s="115" t="str">
        <f>D41</f>
        <v>OTC non Nuclear</v>
      </c>
      <c r="E77" s="5">
        <f>SUMIFS('NQC list mod'!$E$4:$E$660,'NQC list mod'!$U$4:$U$660,"OTC",'NQC list mod'!$V$4:$V$660,"&lt;&gt;URANIUM",'NQC list mod'!$X$4:$X$660,"&lt;="&amp;DATE(E$2,12,31))+SUMIFS('NQC list mod'!$M$4:$M$660,'NQC list mod'!$U$4:$U$660,"OTC",'NQC list mod'!$V$4:$V$660,"&lt;&gt;URANIUM",'NQC list mod'!$X$4:$X$660,"&lt;="&amp;DATE(E$2,12,31))</f>
        <v>452</v>
      </c>
      <c r="F77" s="5">
        <f>SUMIFS('NQC list mod'!$E$4:$E$660,'NQC list mod'!$U$4:$U$660,"OTC",'NQC list mod'!$V$4:$V$660,"&lt;&gt;URANIUM",'NQC list mod'!$X$4:$X$660,"&lt;="&amp;DATE(F$2,12,31))+SUMIFS('NQC list mod'!$M$4:$M$660,'NQC list mod'!$U$4:$U$660,"OTC",'NQC list mod'!$V$4:$V$660,"&lt;&gt;URANIUM",'NQC list mod'!$X$4:$X$660,"&lt;="&amp;DATE(F$2,12,31))</f>
        <v>452</v>
      </c>
      <c r="G77" s="5">
        <f>SUMIFS('NQC list mod'!$E$4:$E$660,'NQC list mod'!$U$4:$U$660,"OTC",'NQC list mod'!$V$4:$V$660,"&lt;&gt;URANIUM",'NQC list mod'!$X$4:$X$660,"&lt;="&amp;DATE(G$2,12,31))+SUMIFS('NQC list mod'!$M$4:$M$660,'NQC list mod'!$U$4:$U$660,"OTC",'NQC list mod'!$V$4:$V$660,"&lt;&gt;URANIUM",'NQC list mod'!$X$4:$X$660,"&lt;="&amp;DATE(G$2,12,31))</f>
        <v>452</v>
      </c>
      <c r="H77" s="5">
        <f>SUMIFS('NQC list mod'!$E$4:$E$660,'NQC list mod'!$U$4:$U$660,"OTC",'NQC list mod'!$V$4:$V$660,"&lt;&gt;URANIUM",'NQC list mod'!$X$4:$X$660,"&lt;="&amp;DATE(H$2,12,31))+SUMIFS('NQC list mod'!$M$4:$M$660,'NQC list mod'!$U$4:$U$660,"OTC",'NQC list mod'!$V$4:$V$660,"&lt;&gt;URANIUM",'NQC list mod'!$X$4:$X$660,"&lt;="&amp;DATE(H$2,12,31))</f>
        <v>1772</v>
      </c>
      <c r="I77" s="5">
        <f>SUMIFS('NQC list mod'!$E$4:$E$660,'NQC list mod'!$U$4:$U$660,"OTC",'NQC list mod'!$V$4:$V$660,"&lt;&gt;URANIUM",'NQC list mod'!$X$4:$X$660,"&lt;="&amp;DATE(I$2,12,31))+SUMIFS('NQC list mod'!$M$4:$M$660,'NQC list mod'!$U$4:$U$660,"OTC",'NQC list mod'!$V$4:$V$660,"&lt;&gt;URANIUM",'NQC list mod'!$X$4:$X$660,"&lt;="&amp;DATE(I$2,12,31))</f>
        <v>1772</v>
      </c>
      <c r="J77" s="5">
        <f>SUMIFS('NQC list mod'!$E$4:$E$660,'NQC list mod'!$U$4:$U$660,"OTC",'NQC list mod'!$V$4:$V$660,"&lt;&gt;URANIUM",'NQC list mod'!$X$4:$X$660,"&lt;="&amp;DATE(J$2,12,31))+SUMIFS('NQC list mod'!$M$4:$M$660,'NQC list mod'!$U$4:$U$660,"OTC",'NQC list mod'!$V$4:$V$660,"&lt;&gt;URANIUM",'NQC list mod'!$X$4:$X$660,"&lt;="&amp;DATE(J$2,12,31))</f>
        <v>6569.53</v>
      </c>
      <c r="K77" s="5">
        <f>SUMIFS('NQC list mod'!$E$4:$E$660,'NQC list mod'!$U$4:$U$660,"OTC",'NQC list mod'!$V$4:$V$660,"&lt;&gt;URANIUM",'NQC list mod'!$X$4:$X$660,"&lt;="&amp;DATE(K$2,12,31))+SUMIFS('NQC list mod'!$M$4:$M$660,'NQC list mod'!$U$4:$U$660,"OTC",'NQC list mod'!$V$4:$V$660,"&lt;&gt;URANIUM",'NQC list mod'!$X$4:$X$660,"&lt;="&amp;DATE(K$2,12,31))</f>
        <v>6569.53</v>
      </c>
      <c r="L77" s="5">
        <f>SUMIFS('NQC list mod'!$E$4:$E$660,'NQC list mod'!$U$4:$U$660,"OTC",'NQC list mod'!$V$4:$V$660,"&lt;&gt;URANIUM",'NQC list mod'!$X$4:$X$660,"&lt;="&amp;DATE(L$2,12,31))+SUMIFS('NQC list mod'!$M$4:$M$660,'NQC list mod'!$U$4:$U$660,"OTC",'NQC list mod'!$V$4:$V$660,"&lt;&gt;URANIUM",'NQC list mod'!$X$4:$X$660,"&lt;="&amp;DATE(L$2,12,31))</f>
        <v>6569.53</v>
      </c>
      <c r="M77" s="5">
        <f>SUMIFS('NQC list mod'!$E$4:$E$660,'NQC list mod'!$U$4:$U$660,"OTC",'NQC list mod'!$V$4:$V$660,"&lt;&gt;URANIUM",'NQC list mod'!$X$4:$X$660,"&lt;="&amp;DATE(M$2,12,31))+SUMIFS('NQC list mod'!$M$4:$M$660,'NQC list mod'!$U$4:$U$660,"OTC",'NQC list mod'!$V$4:$V$660,"&lt;&gt;URANIUM",'NQC list mod'!$X$4:$X$660,"&lt;="&amp;DATE(M$2,12,31))</f>
        <v>12463.750000000002</v>
      </c>
      <c r="N77" s="5">
        <f>SUMIFS('NQC list mod'!$E$4:$E$660,'NQC list mod'!$U$4:$U$660,"OTC",'NQC list mod'!$V$4:$V$660,"&lt;&gt;URANIUM",'NQC list mod'!$X$4:$X$660,"&lt;="&amp;DATE(N$2,12,31))+SUMIFS('NQC list mod'!$M$4:$M$660,'NQC list mod'!$U$4:$U$660,"OTC",'NQC list mod'!$V$4:$V$660,"&lt;&gt;URANIUM",'NQC list mod'!$X$4:$X$660,"&lt;="&amp;DATE(N$2,12,31))</f>
        <v>12463.750000000002</v>
      </c>
      <c r="O77" s="5">
        <f>SUMIFS('NQC list mod'!$E$4:$E$660,'NQC list mod'!$U$4:$U$660,"OTC",'NQC list mod'!$V$4:$V$660,"&lt;&gt;URANIUM",'NQC list mod'!$X$4:$X$660,"&lt;="&amp;DATE(O$2,12,31))+SUMIFS('NQC list mod'!$M$4:$M$660,'NQC list mod'!$U$4:$U$660,"OTC",'NQC list mod'!$V$4:$V$660,"&lt;&gt;URANIUM",'NQC list mod'!$X$4:$X$660,"&lt;="&amp;DATE(O$2,12,31))</f>
        <v>12463.750000000002</v>
      </c>
      <c r="P77" s="5">
        <f>SUMIFS('NQC list mod'!$E$4:$E$660,'NQC list mod'!$U$4:$U$660,"OTC",'NQC list mod'!$V$4:$V$660,"&lt;&gt;URANIUM",'NQC list mod'!$X$4:$X$660,"&lt;="&amp;DATE(P$2,12,31))+SUMIFS('NQC list mod'!$M$4:$M$660,'NQC list mod'!$U$4:$U$660,"OTC",'NQC list mod'!$V$4:$V$660,"&lt;&gt;URANIUM",'NQC list mod'!$X$4:$X$660,"&lt;="&amp;DATE(P$2,12,31))</f>
        <v>12463.750000000002</v>
      </c>
      <c r="Q77" s="5">
        <f>SUMIFS('NQC list mod'!$E$4:$E$660,'NQC list mod'!$U$4:$U$660,"OTC",'NQC list mod'!$V$4:$V$660,"&lt;&gt;URANIUM",'NQC list mod'!$X$4:$X$660,"&lt;="&amp;DATE(Q$2,12,31))+SUMIFS('NQC list mod'!$M$4:$M$660,'NQC list mod'!$U$4:$U$660,"OTC",'NQC list mod'!$V$4:$V$660,"&lt;&gt;URANIUM",'NQC list mod'!$X$4:$X$660,"&lt;="&amp;DATE(Q$2,12,31))</f>
        <v>12463.750000000002</v>
      </c>
      <c r="R77" s="5">
        <f>SUMIFS('NQC list mod'!$E$4:$E$660,'NQC list mod'!$U$4:$U$660,"OTC",'NQC list mod'!$V$4:$V$660,"&lt;&gt;URANIUM",'NQC list mod'!$X$4:$X$660,"&lt;="&amp;DATE(R$2,12,31))+SUMIFS('NQC list mod'!$M$4:$M$660,'NQC list mod'!$U$4:$U$660,"OTC",'NQC list mod'!$V$4:$V$660,"&lt;&gt;URANIUM",'NQC list mod'!$X$4:$X$660,"&lt;="&amp;DATE(R$2,12,31))</f>
        <v>12463.750000000002</v>
      </c>
      <c r="S77" s="5">
        <f>SUMIFS('NQC list mod'!$E$4:$E$660,'NQC list mod'!$U$4:$U$660,"OTC",'NQC list mod'!$V$4:$V$660,"&lt;&gt;URANIUM",'NQC list mod'!$X$4:$X$660,"&lt;="&amp;DATE(S$2,12,31))+SUMIFS('NQC list mod'!$M$4:$M$660,'NQC list mod'!$U$4:$U$660,"OTC",'NQC list mod'!$V$4:$V$660,"&lt;&gt;URANIUM",'NQC list mod'!$X$4:$X$660,"&lt;="&amp;DATE(S$2,12,31))</f>
        <v>12463.750000000002</v>
      </c>
      <c r="T77" s="5">
        <f>SUMIFS('NQC list mod'!$E$4:$E$660,'NQC list mod'!$U$4:$U$660,"OTC",'NQC list mod'!$V$4:$V$660,"&lt;&gt;URANIUM",'NQC list mod'!$X$4:$X$660,"&lt;="&amp;DATE(T$2,12,31))+SUMIFS('NQC list mod'!$M$4:$M$660,'NQC list mod'!$U$4:$U$660,"OTC",'NQC list mod'!$V$4:$V$660,"&lt;&gt;URANIUM",'NQC list mod'!$X$4:$X$660,"&lt;="&amp;DATE(T$2,12,31))</f>
        <v>12463.750000000002</v>
      </c>
      <c r="U77" s="5">
        <f>SUMIFS('NQC list mod'!$E$4:$E$660,'NQC list mod'!$U$4:$U$660,"OTC",'NQC list mod'!$V$4:$V$660,"&lt;&gt;URANIUM",'NQC list mod'!$X$4:$X$660,"&lt;="&amp;DATE(U$2,12,31))+SUMIFS('NQC list mod'!$M$4:$M$660,'NQC list mod'!$U$4:$U$660,"OTC",'NQC list mod'!$V$4:$V$660,"&lt;&gt;URANIUM",'NQC list mod'!$X$4:$X$660,"&lt;="&amp;DATE(U$2,12,31))</f>
        <v>12463.750000000002</v>
      </c>
      <c r="V77" s="5">
        <f>SUMIFS('NQC list mod'!$E$4:$E$660,'NQC list mod'!$U$4:$U$660,"OTC",'NQC list mod'!$V$4:$V$660,"&lt;&gt;URANIUM",'NQC list mod'!$X$4:$X$660,"&lt;="&amp;DATE(V$2,12,31))+SUMIFS('NQC list mod'!$M$4:$M$660,'NQC list mod'!$U$4:$U$660,"OTC",'NQC list mod'!$V$4:$V$660,"&lt;&gt;URANIUM",'NQC list mod'!$X$4:$X$660,"&lt;="&amp;DATE(V$2,12,31))</f>
        <v>12463.750000000002</v>
      </c>
      <c r="W77" s="5">
        <f>SUMIFS('NQC list mod'!$E$4:$E$660,'NQC list mod'!$U$4:$U$660,"OTC",'NQC list mod'!$V$4:$V$660,"&lt;&gt;URANIUM",'NQC list mod'!$X$4:$X$660,"&lt;="&amp;DATE(W$2,12,31))+SUMIFS('NQC list mod'!$M$4:$M$660,'NQC list mod'!$U$4:$U$660,"OTC",'NQC list mod'!$V$4:$V$660,"&lt;&gt;URANIUM",'NQC list mod'!$X$4:$X$660,"&lt;="&amp;DATE(W$2,12,31))</f>
        <v>12463.750000000002</v>
      </c>
      <c r="X77" s="5">
        <f>SUMIFS('NQC list mod'!$E$4:$E$660,'NQC list mod'!$U$4:$U$660,"OTC",'NQC list mod'!$V$4:$V$660,"&lt;&gt;URANIUM",'NQC list mod'!$X$4:$X$660,"&lt;="&amp;DATE(X$2,12,31))+SUMIFS('NQC list mod'!$M$4:$M$660,'NQC list mod'!$U$4:$U$660,"OTC",'NQC list mod'!$V$4:$V$660,"&lt;&gt;URANIUM",'NQC list mod'!$X$4:$X$660,"&lt;="&amp;DATE(X$2,12,31))</f>
        <v>12463.750000000002</v>
      </c>
      <c r="Y77" s="5">
        <f>SUMIFS('NQC list mod'!$E$4:$E$660,'NQC list mod'!$U$4:$U$660,"OTC",'NQC list mod'!$V$4:$V$660,"&lt;&gt;URANIUM",'NQC list mod'!$X$4:$X$660,"&lt;="&amp;DATE(Y$2,12,31))+SUMIFS('NQC list mod'!$M$4:$M$660,'NQC list mod'!$U$4:$U$660,"OTC",'NQC list mod'!$V$4:$V$660,"&lt;&gt;URANIUM",'NQC list mod'!$X$4:$X$660,"&lt;="&amp;DATE(Y$2,12,31))</f>
        <v>12463.750000000002</v>
      </c>
      <c r="Z77" s="5">
        <f>SUMIFS('NQC list mod'!$E$4:$E$660,'NQC list mod'!$U$4:$U$660,"OTC",'NQC list mod'!$V$4:$V$660,"&lt;&gt;URANIUM",'NQC list mod'!$X$4:$X$660,"&lt;="&amp;DATE(Z$2,12,31))+SUMIFS('NQC list mod'!$M$4:$M$660,'NQC list mod'!$U$4:$U$660,"OTC",'NQC list mod'!$V$4:$V$660,"&lt;&gt;URANIUM",'NQC list mod'!$X$4:$X$660,"&lt;="&amp;DATE(Z$2,12,31))</f>
        <v>12463.750000000002</v>
      </c>
      <c r="AA77" s="5">
        <f>SUMIFS('NQC list mod'!$E$4:$E$660,'NQC list mod'!$U$4:$U$660,"OTC",'NQC list mod'!$V$4:$V$660,"&lt;&gt;URANIUM",'NQC list mod'!$X$4:$X$660,"&lt;="&amp;DATE(AA$2,12,31))+SUMIFS('NQC list mod'!$M$4:$M$660,'NQC list mod'!$U$4:$U$660,"OTC",'NQC list mod'!$V$4:$V$660,"&lt;&gt;URANIUM",'NQC list mod'!$X$4:$X$660,"&lt;="&amp;DATE(AA$2,12,31))</f>
        <v>12463.750000000002</v>
      </c>
      <c r="AB77" s="9"/>
    </row>
    <row r="78" spans="1:28" s="115" customFormat="1" x14ac:dyDescent="0.25">
      <c r="A78" s="432" t="s">
        <v>4687</v>
      </c>
      <c r="B78" s="432"/>
      <c r="D78" s="97" t="str">
        <f>D42</f>
        <v>OTC Nuclear</v>
      </c>
      <c r="E78" s="434">
        <v>0</v>
      </c>
      <c r="F78" s="5">
        <f>E78</f>
        <v>0</v>
      </c>
      <c r="G78" s="5">
        <f t="shared" ref="G78:AA78" si="27">F78</f>
        <v>0</v>
      </c>
      <c r="H78" s="5">
        <f t="shared" si="27"/>
        <v>0</v>
      </c>
      <c r="I78" s="5">
        <f t="shared" si="27"/>
        <v>0</v>
      </c>
      <c r="J78" s="5">
        <f t="shared" si="27"/>
        <v>0</v>
      </c>
      <c r="K78" s="5">
        <f t="shared" si="27"/>
        <v>0</v>
      </c>
      <c r="L78" s="5">
        <f t="shared" si="27"/>
        <v>0</v>
      </c>
      <c r="M78" s="5">
        <f t="shared" si="27"/>
        <v>0</v>
      </c>
      <c r="N78" s="5">
        <f t="shared" si="27"/>
        <v>0</v>
      </c>
      <c r="O78" s="5">
        <f t="shared" si="27"/>
        <v>0</v>
      </c>
      <c r="P78" s="5">
        <f t="shared" si="27"/>
        <v>0</v>
      </c>
      <c r="Q78" s="5">
        <f t="shared" si="27"/>
        <v>0</v>
      </c>
      <c r="R78" s="5">
        <f t="shared" si="27"/>
        <v>0</v>
      </c>
      <c r="S78" s="5">
        <f t="shared" si="27"/>
        <v>0</v>
      </c>
      <c r="T78" s="5">
        <f t="shared" si="27"/>
        <v>0</v>
      </c>
      <c r="U78" s="5">
        <f t="shared" si="27"/>
        <v>0</v>
      </c>
      <c r="V78" s="5">
        <f t="shared" si="27"/>
        <v>0</v>
      </c>
      <c r="W78" s="5">
        <f t="shared" si="27"/>
        <v>0</v>
      </c>
      <c r="X78" s="5">
        <f t="shared" si="27"/>
        <v>0</v>
      </c>
      <c r="Y78" s="5">
        <f t="shared" si="27"/>
        <v>0</v>
      </c>
      <c r="Z78" s="5">
        <f t="shared" si="27"/>
        <v>0</v>
      </c>
      <c r="AA78" s="5">
        <f t="shared" si="27"/>
        <v>0</v>
      </c>
      <c r="AB78" s="9"/>
    </row>
    <row r="79" spans="1:28" s="115" customFormat="1" x14ac:dyDescent="0.25">
      <c r="A79" s="432"/>
      <c r="B79" s="432"/>
      <c r="D79" s="97"/>
      <c r="E79" s="5"/>
      <c r="F79" s="5"/>
      <c r="G79" s="5"/>
      <c r="H79" s="5"/>
      <c r="I79" s="5"/>
      <c r="J79" s="5"/>
      <c r="K79" s="5"/>
      <c r="L79" s="5"/>
      <c r="M79" s="5"/>
      <c r="N79" s="5"/>
      <c r="O79" s="5"/>
      <c r="P79" s="5"/>
      <c r="Q79" s="5"/>
      <c r="R79" s="5"/>
      <c r="S79" s="5"/>
      <c r="T79" s="5"/>
      <c r="U79" s="5"/>
      <c r="V79" s="5"/>
      <c r="W79" s="5"/>
      <c r="X79" s="5"/>
      <c r="Y79" s="5"/>
      <c r="Z79" s="5"/>
      <c r="AA79" s="5"/>
      <c r="AB79" s="9"/>
    </row>
    <row r="80" spans="1:28" s="115" customFormat="1" x14ac:dyDescent="0.25">
      <c r="A80" s="115" t="s">
        <v>4684</v>
      </c>
      <c r="D80" s="97" t="str">
        <f>D43</f>
        <v>Dispatchable (non OTC)</v>
      </c>
      <c r="E80" s="434">
        <v>0</v>
      </c>
      <c r="F80" s="5">
        <f>E80</f>
        <v>0</v>
      </c>
      <c r="G80" s="5">
        <f t="shared" ref="G80:AA81" si="28">F80</f>
        <v>0</v>
      </c>
      <c r="H80" s="5">
        <f t="shared" si="28"/>
        <v>0</v>
      </c>
      <c r="I80" s="5">
        <f t="shared" si="28"/>
        <v>0</v>
      </c>
      <c r="J80" s="5">
        <f t="shared" si="28"/>
        <v>0</v>
      </c>
      <c r="K80" s="5">
        <f t="shared" si="28"/>
        <v>0</v>
      </c>
      <c r="L80" s="5">
        <f t="shared" si="28"/>
        <v>0</v>
      </c>
      <c r="M80" s="5">
        <f t="shared" si="28"/>
        <v>0</v>
      </c>
      <c r="N80" s="5">
        <f t="shared" si="28"/>
        <v>0</v>
      </c>
      <c r="O80" s="5">
        <f t="shared" si="28"/>
        <v>0</v>
      </c>
      <c r="P80" s="5">
        <f t="shared" si="28"/>
        <v>0</v>
      </c>
      <c r="Q80" s="5">
        <f t="shared" si="28"/>
        <v>0</v>
      </c>
      <c r="R80" s="5">
        <f t="shared" si="28"/>
        <v>0</v>
      </c>
      <c r="S80" s="5">
        <f t="shared" si="28"/>
        <v>0</v>
      </c>
      <c r="T80" s="5">
        <f t="shared" si="28"/>
        <v>0</v>
      </c>
      <c r="U80" s="5">
        <f t="shared" si="28"/>
        <v>0</v>
      </c>
      <c r="V80" s="5">
        <f t="shared" si="28"/>
        <v>0</v>
      </c>
      <c r="W80" s="5">
        <f t="shared" si="28"/>
        <v>0</v>
      </c>
      <c r="X80" s="5">
        <f t="shared" si="28"/>
        <v>0</v>
      </c>
      <c r="Y80" s="5">
        <f t="shared" si="28"/>
        <v>0</v>
      </c>
      <c r="Z80" s="5">
        <f t="shared" si="28"/>
        <v>0</v>
      </c>
      <c r="AA80" s="5">
        <f t="shared" si="28"/>
        <v>0</v>
      </c>
      <c r="AB80" s="9"/>
    </row>
    <row r="81" spans="1:28" s="115" customFormat="1" x14ac:dyDescent="0.25">
      <c r="D81" s="97" t="str">
        <f>D44</f>
        <v>Non-Disp, QF, Bio, Geo &amp; Other</v>
      </c>
      <c r="E81" s="434">
        <v>0</v>
      </c>
      <c r="F81" s="5">
        <f>E81</f>
        <v>0</v>
      </c>
      <c r="G81" s="5">
        <f t="shared" si="28"/>
        <v>0</v>
      </c>
      <c r="H81" s="5">
        <f t="shared" si="28"/>
        <v>0</v>
      </c>
      <c r="I81" s="5">
        <f t="shared" si="28"/>
        <v>0</v>
      </c>
      <c r="J81" s="5">
        <f t="shared" si="28"/>
        <v>0</v>
      </c>
      <c r="K81" s="5">
        <f t="shared" si="28"/>
        <v>0</v>
      </c>
      <c r="L81" s="5">
        <f t="shared" si="28"/>
        <v>0</v>
      </c>
      <c r="M81" s="5">
        <f t="shared" si="28"/>
        <v>0</v>
      </c>
      <c r="N81" s="5">
        <f t="shared" si="28"/>
        <v>0</v>
      </c>
      <c r="O81" s="5">
        <f t="shared" si="28"/>
        <v>0</v>
      </c>
      <c r="P81" s="5">
        <f t="shared" si="28"/>
        <v>0</v>
      </c>
      <c r="Q81" s="5">
        <f t="shared" si="28"/>
        <v>0</v>
      </c>
      <c r="R81" s="5">
        <f t="shared" si="28"/>
        <v>0</v>
      </c>
      <c r="S81" s="5">
        <f t="shared" si="28"/>
        <v>0</v>
      </c>
      <c r="T81" s="5">
        <f t="shared" si="28"/>
        <v>0</v>
      </c>
      <c r="U81" s="5">
        <f t="shared" si="28"/>
        <v>0</v>
      </c>
      <c r="V81" s="5">
        <f t="shared" si="28"/>
        <v>0</v>
      </c>
      <c r="W81" s="5">
        <f t="shared" si="28"/>
        <v>0</v>
      </c>
      <c r="X81" s="5">
        <f t="shared" si="28"/>
        <v>0</v>
      </c>
      <c r="Y81" s="5">
        <f t="shared" si="28"/>
        <v>0</v>
      </c>
      <c r="Z81" s="5">
        <f t="shared" si="28"/>
        <v>0</v>
      </c>
      <c r="AA81" s="5">
        <f t="shared" si="28"/>
        <v>0</v>
      </c>
      <c r="AB81" s="9"/>
    </row>
    <row r="82" spans="1:28" s="115" customFormat="1" x14ac:dyDescent="0.25">
      <c r="D82" s="97"/>
      <c r="E82" s="5"/>
      <c r="F82" s="5"/>
      <c r="G82" s="5"/>
      <c r="H82" s="5"/>
      <c r="I82" s="5"/>
      <c r="J82" s="5"/>
      <c r="K82" s="5"/>
      <c r="L82" s="5"/>
      <c r="M82" s="5"/>
      <c r="N82" s="5"/>
      <c r="O82" s="5"/>
      <c r="P82" s="5"/>
      <c r="Q82" s="5"/>
      <c r="R82" s="5"/>
      <c r="S82" s="5"/>
      <c r="T82" s="5"/>
      <c r="U82" s="5"/>
      <c r="V82" s="5"/>
      <c r="W82" s="5"/>
      <c r="X82" s="5"/>
      <c r="Y82" s="5"/>
      <c r="Z82" s="5"/>
      <c r="AA82" s="5"/>
      <c r="AB82" s="9"/>
    </row>
    <row r="83" spans="1:28" s="115" customFormat="1" x14ac:dyDescent="0.25">
      <c r="A83" s="115" t="s">
        <v>4684</v>
      </c>
      <c r="D83" s="115" t="str">
        <f>D45</f>
        <v>Dispatchable Hydro</v>
      </c>
      <c r="E83" s="486">
        <v>0</v>
      </c>
      <c r="F83" s="5">
        <f>E83</f>
        <v>0</v>
      </c>
      <c r="G83" s="5">
        <f t="shared" ref="G83:AA84" si="29">F83</f>
        <v>0</v>
      </c>
      <c r="H83" s="5">
        <f t="shared" si="29"/>
        <v>0</v>
      </c>
      <c r="I83" s="5">
        <f t="shared" si="29"/>
        <v>0</v>
      </c>
      <c r="J83" s="5">
        <f t="shared" si="29"/>
        <v>0</v>
      </c>
      <c r="K83" s="5">
        <f t="shared" si="29"/>
        <v>0</v>
      </c>
      <c r="L83" s="5">
        <f t="shared" si="29"/>
        <v>0</v>
      </c>
      <c r="M83" s="5">
        <f t="shared" si="29"/>
        <v>0</v>
      </c>
      <c r="N83" s="5">
        <f t="shared" si="29"/>
        <v>0</v>
      </c>
      <c r="O83" s="5">
        <f t="shared" si="29"/>
        <v>0</v>
      </c>
      <c r="P83" s="5">
        <f t="shared" si="29"/>
        <v>0</v>
      </c>
      <c r="Q83" s="5">
        <f t="shared" si="29"/>
        <v>0</v>
      </c>
      <c r="R83" s="5">
        <f t="shared" si="29"/>
        <v>0</v>
      </c>
      <c r="S83" s="5">
        <f t="shared" si="29"/>
        <v>0</v>
      </c>
      <c r="T83" s="5">
        <f t="shared" si="29"/>
        <v>0</v>
      </c>
      <c r="U83" s="5">
        <f t="shared" si="29"/>
        <v>0</v>
      </c>
      <c r="V83" s="5">
        <f t="shared" si="29"/>
        <v>0</v>
      </c>
      <c r="W83" s="5">
        <f t="shared" si="29"/>
        <v>0</v>
      </c>
      <c r="X83" s="5">
        <f t="shared" si="29"/>
        <v>0</v>
      </c>
      <c r="Y83" s="5">
        <f t="shared" si="29"/>
        <v>0</v>
      </c>
      <c r="Z83" s="5">
        <f t="shared" si="29"/>
        <v>0</v>
      </c>
      <c r="AA83" s="5">
        <f t="shared" si="29"/>
        <v>0</v>
      </c>
      <c r="AB83" s="9"/>
    </row>
    <row r="84" spans="1:28" s="115" customFormat="1" x14ac:dyDescent="0.25">
      <c r="D84" s="115" t="str">
        <f>D46</f>
        <v>Non-Disp Hydro</v>
      </c>
      <c r="E84" s="486">
        <v>0</v>
      </c>
      <c r="F84" s="5">
        <f>E84</f>
        <v>0</v>
      </c>
      <c r="G84" s="5">
        <f t="shared" si="29"/>
        <v>0</v>
      </c>
      <c r="H84" s="5">
        <f t="shared" si="29"/>
        <v>0</v>
      </c>
      <c r="I84" s="5">
        <f t="shared" si="29"/>
        <v>0</v>
      </c>
      <c r="J84" s="5">
        <f t="shared" si="29"/>
        <v>0</v>
      </c>
      <c r="K84" s="5">
        <f t="shared" si="29"/>
        <v>0</v>
      </c>
      <c r="L84" s="5">
        <f t="shared" si="29"/>
        <v>0</v>
      </c>
      <c r="M84" s="5">
        <f t="shared" si="29"/>
        <v>0</v>
      </c>
      <c r="N84" s="5">
        <f t="shared" si="29"/>
        <v>0</v>
      </c>
      <c r="O84" s="5">
        <f t="shared" si="29"/>
        <v>0</v>
      </c>
      <c r="P84" s="5">
        <f t="shared" si="29"/>
        <v>0</v>
      </c>
      <c r="Q84" s="5">
        <f t="shared" si="29"/>
        <v>0</v>
      </c>
      <c r="R84" s="5">
        <f t="shared" si="29"/>
        <v>0</v>
      </c>
      <c r="S84" s="5">
        <f t="shared" si="29"/>
        <v>0</v>
      </c>
      <c r="T84" s="5">
        <f t="shared" si="29"/>
        <v>0</v>
      </c>
      <c r="U84" s="5">
        <f t="shared" si="29"/>
        <v>0</v>
      </c>
      <c r="V84" s="5">
        <f t="shared" si="29"/>
        <v>0</v>
      </c>
      <c r="W84" s="5">
        <f t="shared" si="29"/>
        <v>0</v>
      </c>
      <c r="X84" s="5">
        <f t="shared" si="29"/>
        <v>0</v>
      </c>
      <c r="Y84" s="5">
        <f t="shared" si="29"/>
        <v>0</v>
      </c>
      <c r="Z84" s="5">
        <f t="shared" si="29"/>
        <v>0</v>
      </c>
      <c r="AA84" s="5">
        <f t="shared" si="29"/>
        <v>0</v>
      </c>
      <c r="AB84" s="9"/>
    </row>
    <row r="85" spans="1:28" s="115" customFormat="1" x14ac:dyDescent="0.25">
      <c r="E85" s="7"/>
      <c r="F85" s="5"/>
      <c r="G85" s="5"/>
      <c r="H85" s="5"/>
      <c r="I85" s="5"/>
      <c r="J85" s="5"/>
      <c r="K85" s="5"/>
      <c r="L85" s="5"/>
      <c r="M85" s="5"/>
      <c r="N85" s="5"/>
      <c r="O85" s="5"/>
      <c r="P85" s="5"/>
      <c r="Q85" s="5"/>
      <c r="R85" s="5"/>
      <c r="S85" s="5"/>
      <c r="T85" s="5"/>
      <c r="U85" s="5"/>
      <c r="V85" s="5"/>
      <c r="W85" s="5"/>
      <c r="X85" s="5"/>
      <c r="Y85" s="5"/>
      <c r="Z85" s="5"/>
      <c r="AA85" s="5"/>
      <c r="AB85" s="9"/>
    </row>
    <row r="86" spans="1:28" s="115" customFormat="1" x14ac:dyDescent="0.25">
      <c r="A86" s="115" t="s">
        <v>4684</v>
      </c>
      <c r="D86" s="115" t="str">
        <f>D47</f>
        <v>Solar</v>
      </c>
      <c r="E86" s="434">
        <v>0</v>
      </c>
      <c r="F86" s="5">
        <f>E86</f>
        <v>0</v>
      </c>
      <c r="G86" s="5">
        <f t="shared" ref="G86:AA87" si="30">F86</f>
        <v>0</v>
      </c>
      <c r="H86" s="5">
        <f t="shared" si="30"/>
        <v>0</v>
      </c>
      <c r="I86" s="5">
        <f t="shared" si="30"/>
        <v>0</v>
      </c>
      <c r="J86" s="5">
        <f t="shared" si="30"/>
        <v>0</v>
      </c>
      <c r="K86" s="5">
        <f t="shared" si="30"/>
        <v>0</v>
      </c>
      <c r="L86" s="5">
        <f t="shared" si="30"/>
        <v>0</v>
      </c>
      <c r="M86" s="5">
        <f t="shared" si="30"/>
        <v>0</v>
      </c>
      <c r="N86" s="5">
        <f t="shared" si="30"/>
        <v>0</v>
      </c>
      <c r="O86" s="5">
        <f t="shared" si="30"/>
        <v>0</v>
      </c>
      <c r="P86" s="5">
        <f t="shared" si="30"/>
        <v>0</v>
      </c>
      <c r="Q86" s="5">
        <f t="shared" si="30"/>
        <v>0</v>
      </c>
      <c r="R86" s="5">
        <f t="shared" si="30"/>
        <v>0</v>
      </c>
      <c r="S86" s="5">
        <f t="shared" si="30"/>
        <v>0</v>
      </c>
      <c r="T86" s="5">
        <f t="shared" si="30"/>
        <v>0</v>
      </c>
      <c r="U86" s="5">
        <f t="shared" si="30"/>
        <v>0</v>
      </c>
      <c r="V86" s="5">
        <f t="shared" si="30"/>
        <v>0</v>
      </c>
      <c r="W86" s="5">
        <f t="shared" si="30"/>
        <v>0</v>
      </c>
      <c r="X86" s="5">
        <f t="shared" si="30"/>
        <v>0</v>
      </c>
      <c r="Y86" s="5">
        <f t="shared" si="30"/>
        <v>0</v>
      </c>
      <c r="Z86" s="5">
        <f t="shared" si="30"/>
        <v>0</v>
      </c>
      <c r="AA86" s="5">
        <f t="shared" si="30"/>
        <v>0</v>
      </c>
      <c r="AB86" s="9"/>
    </row>
    <row r="87" spans="1:28" s="115" customFormat="1" x14ac:dyDescent="0.25">
      <c r="D87" s="115" t="str">
        <f>D48</f>
        <v>Wind</v>
      </c>
      <c r="E87" s="434">
        <v>0</v>
      </c>
      <c r="F87" s="5">
        <f>E87</f>
        <v>0</v>
      </c>
      <c r="G87" s="5">
        <f t="shared" si="30"/>
        <v>0</v>
      </c>
      <c r="H87" s="5">
        <f t="shared" si="30"/>
        <v>0</v>
      </c>
      <c r="I87" s="5">
        <f t="shared" si="30"/>
        <v>0</v>
      </c>
      <c r="J87" s="5">
        <f t="shared" si="30"/>
        <v>0</v>
      </c>
      <c r="K87" s="5">
        <f t="shared" si="30"/>
        <v>0</v>
      </c>
      <c r="L87" s="5">
        <f t="shared" si="30"/>
        <v>0</v>
      </c>
      <c r="M87" s="5">
        <f t="shared" si="30"/>
        <v>0</v>
      </c>
      <c r="N87" s="5">
        <f t="shared" si="30"/>
        <v>0</v>
      </c>
      <c r="O87" s="5">
        <f t="shared" si="30"/>
        <v>0</v>
      </c>
      <c r="P87" s="5">
        <f t="shared" si="30"/>
        <v>0</v>
      </c>
      <c r="Q87" s="5">
        <f t="shared" si="30"/>
        <v>0</v>
      </c>
      <c r="R87" s="5">
        <f t="shared" si="30"/>
        <v>0</v>
      </c>
      <c r="S87" s="5">
        <f t="shared" si="30"/>
        <v>0</v>
      </c>
      <c r="T87" s="5">
        <f t="shared" si="30"/>
        <v>0</v>
      </c>
      <c r="U87" s="5">
        <f t="shared" si="30"/>
        <v>0</v>
      </c>
      <c r="V87" s="5">
        <f t="shared" si="30"/>
        <v>0</v>
      </c>
      <c r="W87" s="5">
        <f t="shared" si="30"/>
        <v>0</v>
      </c>
      <c r="X87" s="5">
        <f t="shared" si="30"/>
        <v>0</v>
      </c>
      <c r="Y87" s="5">
        <f t="shared" si="30"/>
        <v>0</v>
      </c>
      <c r="Z87" s="5">
        <f t="shared" si="30"/>
        <v>0</v>
      </c>
      <c r="AA87" s="5">
        <f t="shared" si="30"/>
        <v>0</v>
      </c>
      <c r="AB87" s="9"/>
    </row>
    <row r="88" spans="1:28" s="115" customFormat="1" x14ac:dyDescent="0.25">
      <c r="E88" s="5"/>
      <c r="F88" s="5"/>
      <c r="G88" s="5"/>
      <c r="H88" s="5"/>
      <c r="I88" s="5"/>
      <c r="J88" s="5"/>
      <c r="K88" s="5"/>
      <c r="L88" s="5"/>
      <c r="M88" s="5"/>
      <c r="N88" s="5"/>
      <c r="O88" s="5"/>
      <c r="P88" s="5"/>
      <c r="Q88" s="5"/>
      <c r="R88" s="5"/>
      <c r="S88" s="5"/>
      <c r="T88" s="5"/>
      <c r="U88" s="5"/>
      <c r="V88" s="5"/>
      <c r="W88" s="5"/>
      <c r="X88" s="5"/>
      <c r="Y88" s="5"/>
      <c r="Z88" s="5"/>
      <c r="AA88" s="5"/>
      <c r="AB88" s="9"/>
    </row>
    <row r="89" spans="1:28" s="115" customFormat="1" x14ac:dyDescent="0.25">
      <c r="C89" s="643" t="s">
        <v>9</v>
      </c>
      <c r="D89" s="641" t="s">
        <v>4692</v>
      </c>
      <c r="E89" s="642">
        <f>SUM(E90:E100)</f>
        <v>4265.63</v>
      </c>
      <c r="F89" s="642">
        <f t="shared" ref="F89:AA89" si="31">SUM(F90:F100)</f>
        <v>4975.6000000000004</v>
      </c>
      <c r="G89" s="642">
        <f t="shared" si="31"/>
        <v>5189.6000000000004</v>
      </c>
      <c r="H89" s="642">
        <f t="shared" si="31"/>
        <v>6574.6</v>
      </c>
      <c r="I89" s="642">
        <f t="shared" si="31"/>
        <v>6646.7400000000007</v>
      </c>
      <c r="J89" s="642">
        <f t="shared" si="31"/>
        <v>10770.55</v>
      </c>
      <c r="K89" s="642">
        <f t="shared" si="31"/>
        <v>11538.75</v>
      </c>
      <c r="L89" s="642">
        <f t="shared" si="31"/>
        <v>11702.84</v>
      </c>
      <c r="M89" s="642">
        <f t="shared" si="31"/>
        <v>18272.350000000002</v>
      </c>
      <c r="N89" s="642">
        <f t="shared" si="31"/>
        <v>18278.38</v>
      </c>
      <c r="O89" s="642">
        <f t="shared" si="31"/>
        <v>20625.09</v>
      </c>
      <c r="P89" s="642">
        <f t="shared" si="31"/>
        <v>20830.480000000007</v>
      </c>
      <c r="Q89" s="642">
        <f t="shared" si="31"/>
        <v>23225.559999999998</v>
      </c>
      <c r="R89" s="642">
        <f t="shared" si="31"/>
        <v>23759.739999999998</v>
      </c>
      <c r="S89" s="642">
        <f t="shared" si="31"/>
        <v>24123.209999999995</v>
      </c>
      <c r="T89" s="642">
        <f t="shared" si="31"/>
        <v>25072.22</v>
      </c>
      <c r="U89" s="642">
        <f t="shared" si="31"/>
        <v>26004.990000000005</v>
      </c>
      <c r="V89" s="642">
        <f t="shared" si="31"/>
        <v>26947</v>
      </c>
      <c r="W89" s="642">
        <f t="shared" si="31"/>
        <v>27541.94</v>
      </c>
      <c r="X89" s="642">
        <f t="shared" si="31"/>
        <v>27807.63</v>
      </c>
      <c r="Y89" s="642">
        <f t="shared" si="31"/>
        <v>27881.649999999998</v>
      </c>
      <c r="Z89" s="642">
        <f t="shared" si="31"/>
        <v>28107.010000000002</v>
      </c>
      <c r="AA89" s="642">
        <f t="shared" si="31"/>
        <v>28187.101667236315</v>
      </c>
      <c r="AB89" s="9"/>
    </row>
    <row r="90" spans="1:28" s="115" customFormat="1" x14ac:dyDescent="0.25">
      <c r="A90" s="432" t="s">
        <v>4686</v>
      </c>
      <c r="B90" s="432"/>
      <c r="D90" s="462" t="str">
        <f>D41</f>
        <v>OTC non Nuclear</v>
      </c>
      <c r="E90" s="5">
        <f>SUMIFS('NQC list mod'!$E$4:$E$660,'NQC list mod'!$U$4:$U$660,"OTC",'NQC list mod'!$V$4:$V$660,"&lt;&gt;URANIUM",'NQC list mod'!$Y$4:$Y$660,"&lt;="&amp;DATE(E$2,12,31))+SUMIFS('NQC list mod'!$M$4:$M$660,'NQC list mod'!$U$4:$U$660,"OTC",'NQC list mod'!$V$4:$V$660,"&lt;&gt;URANIUM",'NQC list mod'!$Y$4:$Y$660,"&lt;="&amp;DATE(E$2,12,31))</f>
        <v>452</v>
      </c>
      <c r="F90" s="5">
        <f>SUMIFS('NQC list mod'!$E$4:$E$660,'NQC list mod'!$U$4:$U$660,"OTC",'NQC list mod'!$V$4:$V$660,"&lt;&gt;URANIUM",'NQC list mod'!$Y$4:$Y$660,"&lt;="&amp;DATE(F$2,12,31))+SUMIFS('NQC list mod'!$M$4:$M$660,'NQC list mod'!$U$4:$U$660,"OTC",'NQC list mod'!$V$4:$V$660,"&lt;&gt;URANIUM",'NQC list mod'!$Y$4:$Y$660,"&lt;="&amp;DATE(F$2,12,31))</f>
        <v>1126</v>
      </c>
      <c r="G90" s="5">
        <f>SUMIFS('NQC list mod'!$E$4:$E$660,'NQC list mod'!$U$4:$U$660,"OTC",'NQC list mod'!$V$4:$V$660,"&lt;&gt;URANIUM",'NQC list mod'!$Y$4:$Y$660,"&lt;="&amp;DATE(G$2,12,31))+SUMIFS('NQC list mod'!$M$4:$M$660,'NQC list mod'!$U$4:$U$660,"OTC",'NQC list mod'!$V$4:$V$660,"&lt;&gt;URANIUM",'NQC list mod'!$Y$4:$Y$660,"&lt;="&amp;DATE(G$2,12,31))</f>
        <v>1126</v>
      </c>
      <c r="H90" s="5">
        <f>SUMIFS('NQC list mod'!$E$4:$E$660,'NQC list mod'!$U$4:$U$660,"OTC",'NQC list mod'!$V$4:$V$660,"&lt;&gt;URANIUM",'NQC list mod'!$Y$4:$Y$660,"&lt;="&amp;DATE(H$2,12,31))+SUMIFS('NQC list mod'!$M$4:$M$660,'NQC list mod'!$U$4:$U$660,"OTC",'NQC list mod'!$V$4:$V$660,"&lt;&gt;URANIUM",'NQC list mod'!$Y$4:$Y$660,"&lt;="&amp;DATE(H$2,12,31))</f>
        <v>2446</v>
      </c>
      <c r="I90" s="5">
        <f>SUMIFS('NQC list mod'!$E$4:$E$660,'NQC list mod'!$U$4:$U$660,"OTC",'NQC list mod'!$V$4:$V$660,"&lt;&gt;URANIUM",'NQC list mod'!$Y$4:$Y$660,"&lt;="&amp;DATE(I$2,12,31))+SUMIFS('NQC list mod'!$M$4:$M$660,'NQC list mod'!$U$4:$U$660,"OTC",'NQC list mod'!$V$4:$V$660,"&lt;&gt;URANIUM",'NQC list mod'!$Y$4:$Y$660,"&lt;="&amp;DATE(I$2,12,31))</f>
        <v>2446</v>
      </c>
      <c r="J90" s="5">
        <f>SUMIFS('NQC list mod'!$E$4:$E$660,'NQC list mod'!$U$4:$U$660,"OTC",'NQC list mod'!$V$4:$V$660,"&lt;&gt;URANIUM",'NQC list mod'!$Y$4:$Y$660,"&lt;="&amp;DATE(J$2,12,31))+SUMIFS('NQC list mod'!$M$4:$M$660,'NQC list mod'!$U$4:$U$660,"OTC",'NQC list mod'!$V$4:$V$660,"&lt;&gt;URANIUM",'NQC list mod'!$Y$4:$Y$660,"&lt;="&amp;DATE(J$2,12,31))</f>
        <v>6569.53</v>
      </c>
      <c r="K90" s="5">
        <f>SUMIFS('NQC list mod'!$E$4:$E$660,'NQC list mod'!$U$4:$U$660,"OTC",'NQC list mod'!$V$4:$V$660,"&lt;&gt;URANIUM",'NQC list mod'!$Y$4:$Y$660,"&lt;="&amp;DATE(K$2,12,31))+SUMIFS('NQC list mod'!$M$4:$M$660,'NQC list mod'!$U$4:$U$660,"OTC",'NQC list mod'!$V$4:$V$660,"&lt;&gt;URANIUM",'NQC list mod'!$Y$4:$Y$660,"&lt;="&amp;DATE(K$2,12,31))</f>
        <v>6569.53</v>
      </c>
      <c r="L90" s="5">
        <f>SUMIFS('NQC list mod'!$E$4:$E$660,'NQC list mod'!$U$4:$U$660,"OTC",'NQC list mod'!$V$4:$V$660,"&lt;&gt;URANIUM",'NQC list mod'!$Y$4:$Y$660,"&lt;="&amp;DATE(L$2,12,31))+SUMIFS('NQC list mod'!$M$4:$M$660,'NQC list mod'!$U$4:$U$660,"OTC",'NQC list mod'!$V$4:$V$660,"&lt;&gt;URANIUM",'NQC list mod'!$Y$4:$Y$660,"&lt;="&amp;DATE(L$2,12,31))</f>
        <v>6569.53</v>
      </c>
      <c r="M90" s="5">
        <f>SUMIFS('NQC list mod'!$E$4:$E$660,'NQC list mod'!$U$4:$U$660,"OTC",'NQC list mod'!$V$4:$V$660,"&lt;&gt;URANIUM",'NQC list mod'!$Y$4:$Y$660,"&lt;="&amp;DATE(M$2,12,31))+SUMIFS('NQC list mod'!$M$4:$M$660,'NQC list mod'!$U$4:$U$660,"OTC",'NQC list mod'!$V$4:$V$660,"&lt;&gt;URANIUM",'NQC list mod'!$Y$4:$Y$660,"&lt;="&amp;DATE(M$2,12,31))</f>
        <v>12463.750000000002</v>
      </c>
      <c r="N90" s="5">
        <f>SUMIFS('NQC list mod'!$E$4:$E$660,'NQC list mod'!$U$4:$U$660,"OTC",'NQC list mod'!$V$4:$V$660,"&lt;&gt;URANIUM",'NQC list mod'!$Y$4:$Y$660,"&lt;="&amp;DATE(N$2,12,31))+SUMIFS('NQC list mod'!$M$4:$M$660,'NQC list mod'!$U$4:$U$660,"OTC",'NQC list mod'!$V$4:$V$660,"&lt;&gt;URANIUM",'NQC list mod'!$Y$4:$Y$660,"&lt;="&amp;DATE(N$2,12,31))</f>
        <v>12463.750000000002</v>
      </c>
      <c r="O90" s="5">
        <f>SUMIFS('NQC list mod'!$E$4:$E$660,'NQC list mod'!$U$4:$U$660,"OTC",'NQC list mod'!$V$4:$V$660,"&lt;&gt;URANIUM",'NQC list mod'!$Y$4:$Y$660,"&lt;="&amp;DATE(O$2,12,31))+SUMIFS('NQC list mod'!$M$4:$M$660,'NQC list mod'!$U$4:$U$660,"OTC",'NQC list mod'!$V$4:$V$660,"&lt;&gt;URANIUM",'NQC list mod'!$Y$4:$Y$660,"&lt;="&amp;DATE(O$2,12,31))</f>
        <v>12463.750000000002</v>
      </c>
      <c r="P90" s="5">
        <f>SUMIFS('NQC list mod'!$E$4:$E$660,'NQC list mod'!$U$4:$U$660,"OTC",'NQC list mod'!$V$4:$V$660,"&lt;&gt;URANIUM",'NQC list mod'!$Y$4:$Y$660,"&lt;="&amp;DATE(P$2,12,31))+SUMIFS('NQC list mod'!$M$4:$M$660,'NQC list mod'!$U$4:$U$660,"OTC",'NQC list mod'!$V$4:$V$660,"&lt;&gt;URANIUM",'NQC list mod'!$Y$4:$Y$660,"&lt;="&amp;DATE(P$2,12,31))</f>
        <v>12463.750000000002</v>
      </c>
      <c r="Q90" s="5">
        <f>SUMIFS('NQC list mod'!$E$4:$E$660,'NQC list mod'!$U$4:$U$660,"OTC",'NQC list mod'!$V$4:$V$660,"&lt;&gt;URANIUM",'NQC list mod'!$Y$4:$Y$660,"&lt;="&amp;DATE(Q$2,12,31))+SUMIFS('NQC list mod'!$M$4:$M$660,'NQC list mod'!$U$4:$U$660,"OTC",'NQC list mod'!$V$4:$V$660,"&lt;&gt;URANIUM",'NQC list mod'!$Y$4:$Y$660,"&lt;="&amp;DATE(Q$2,12,31))</f>
        <v>12463.750000000002</v>
      </c>
      <c r="R90" s="5">
        <f>SUMIFS('NQC list mod'!$E$4:$E$660,'NQC list mod'!$U$4:$U$660,"OTC",'NQC list mod'!$V$4:$V$660,"&lt;&gt;URANIUM",'NQC list mod'!$Y$4:$Y$660,"&lt;="&amp;DATE(R$2,12,31))+SUMIFS('NQC list mod'!$M$4:$M$660,'NQC list mod'!$U$4:$U$660,"OTC",'NQC list mod'!$V$4:$V$660,"&lt;&gt;URANIUM",'NQC list mod'!$Y$4:$Y$660,"&lt;="&amp;DATE(R$2,12,31))</f>
        <v>12463.750000000002</v>
      </c>
      <c r="S90" s="5">
        <f>SUMIFS('NQC list mod'!$E$4:$E$660,'NQC list mod'!$U$4:$U$660,"OTC",'NQC list mod'!$V$4:$V$660,"&lt;&gt;URANIUM",'NQC list mod'!$Y$4:$Y$660,"&lt;="&amp;DATE(S$2,12,31))+SUMIFS('NQC list mod'!$M$4:$M$660,'NQC list mod'!$U$4:$U$660,"OTC",'NQC list mod'!$V$4:$V$660,"&lt;&gt;URANIUM",'NQC list mod'!$Y$4:$Y$660,"&lt;="&amp;DATE(S$2,12,31))</f>
        <v>12463.750000000002</v>
      </c>
      <c r="T90" s="5">
        <f>SUMIFS('NQC list mod'!$E$4:$E$660,'NQC list mod'!$U$4:$U$660,"OTC",'NQC list mod'!$V$4:$V$660,"&lt;&gt;URANIUM",'NQC list mod'!$Y$4:$Y$660,"&lt;="&amp;DATE(T$2,12,31))+SUMIFS('NQC list mod'!$M$4:$M$660,'NQC list mod'!$U$4:$U$660,"OTC",'NQC list mod'!$V$4:$V$660,"&lt;&gt;URANIUM",'NQC list mod'!$Y$4:$Y$660,"&lt;="&amp;DATE(T$2,12,31))</f>
        <v>12463.750000000002</v>
      </c>
      <c r="U90" s="5">
        <f>SUMIFS('NQC list mod'!$E$4:$E$660,'NQC list mod'!$U$4:$U$660,"OTC",'NQC list mod'!$V$4:$V$660,"&lt;&gt;URANIUM",'NQC list mod'!$Y$4:$Y$660,"&lt;="&amp;DATE(U$2,12,31))+SUMIFS('NQC list mod'!$M$4:$M$660,'NQC list mod'!$U$4:$U$660,"OTC",'NQC list mod'!$V$4:$V$660,"&lt;&gt;URANIUM",'NQC list mod'!$Y$4:$Y$660,"&lt;="&amp;DATE(U$2,12,31))</f>
        <v>12463.750000000002</v>
      </c>
      <c r="V90" s="5">
        <f>SUMIFS('NQC list mod'!$E$4:$E$660,'NQC list mod'!$U$4:$U$660,"OTC",'NQC list mod'!$V$4:$V$660,"&lt;&gt;URANIUM",'NQC list mod'!$Y$4:$Y$660,"&lt;="&amp;DATE(V$2,12,31))+SUMIFS('NQC list mod'!$M$4:$M$660,'NQC list mod'!$U$4:$U$660,"OTC",'NQC list mod'!$V$4:$V$660,"&lt;&gt;URANIUM",'NQC list mod'!$Y$4:$Y$660,"&lt;="&amp;DATE(V$2,12,31))</f>
        <v>12463.750000000002</v>
      </c>
      <c r="W90" s="5">
        <f>SUMIFS('NQC list mod'!$E$4:$E$660,'NQC list mod'!$U$4:$U$660,"OTC",'NQC list mod'!$V$4:$V$660,"&lt;&gt;URANIUM",'NQC list mod'!$Y$4:$Y$660,"&lt;="&amp;DATE(W$2,12,31))+SUMIFS('NQC list mod'!$M$4:$M$660,'NQC list mod'!$U$4:$U$660,"OTC",'NQC list mod'!$V$4:$V$660,"&lt;&gt;URANIUM",'NQC list mod'!$Y$4:$Y$660,"&lt;="&amp;DATE(W$2,12,31))</f>
        <v>12463.750000000002</v>
      </c>
      <c r="X90" s="5">
        <f>SUMIFS('NQC list mod'!$E$4:$E$660,'NQC list mod'!$U$4:$U$660,"OTC",'NQC list mod'!$V$4:$V$660,"&lt;&gt;URANIUM",'NQC list mod'!$Y$4:$Y$660,"&lt;="&amp;DATE(X$2,12,31))+SUMIFS('NQC list mod'!$M$4:$M$660,'NQC list mod'!$U$4:$U$660,"OTC",'NQC list mod'!$V$4:$V$660,"&lt;&gt;URANIUM",'NQC list mod'!$Y$4:$Y$660,"&lt;="&amp;DATE(X$2,12,31))</f>
        <v>12463.750000000002</v>
      </c>
      <c r="Y90" s="5">
        <f>SUMIFS('NQC list mod'!$E$4:$E$660,'NQC list mod'!$U$4:$U$660,"OTC",'NQC list mod'!$V$4:$V$660,"&lt;&gt;URANIUM",'NQC list mod'!$Y$4:$Y$660,"&lt;="&amp;DATE(Y$2,12,31))+SUMIFS('NQC list mod'!$M$4:$M$660,'NQC list mod'!$U$4:$U$660,"OTC",'NQC list mod'!$V$4:$V$660,"&lt;&gt;URANIUM",'NQC list mod'!$Y$4:$Y$660,"&lt;="&amp;DATE(Y$2,12,31))</f>
        <v>12463.750000000002</v>
      </c>
      <c r="Z90" s="5">
        <f>SUMIFS('NQC list mod'!$E$4:$E$660,'NQC list mod'!$U$4:$U$660,"OTC",'NQC list mod'!$V$4:$V$660,"&lt;&gt;URANIUM",'NQC list mod'!$Y$4:$Y$660,"&lt;="&amp;DATE(Z$2,12,31))+SUMIFS('NQC list mod'!$M$4:$M$660,'NQC list mod'!$U$4:$U$660,"OTC",'NQC list mod'!$V$4:$V$660,"&lt;&gt;URANIUM",'NQC list mod'!$Y$4:$Y$660,"&lt;="&amp;DATE(Z$2,12,31))</f>
        <v>12463.750000000002</v>
      </c>
      <c r="AA90" s="5">
        <f>SUMIFS('NQC list mod'!$E$4:$E$660,'NQC list mod'!$U$4:$U$660,"OTC",'NQC list mod'!$V$4:$V$660,"&lt;&gt;URANIUM",'NQC list mod'!$Y$4:$Y$660,"&lt;="&amp;DATE(AA$2,12,31))+SUMIFS('NQC list mod'!$M$4:$M$660,'NQC list mod'!$U$4:$U$660,"OTC",'NQC list mod'!$V$4:$V$660,"&lt;&gt;URANIUM",'NQC list mod'!$Y$4:$Y$660,"&lt;="&amp;DATE(AA$2,12,31))</f>
        <v>12463.750000000002</v>
      </c>
      <c r="AB90" s="9"/>
    </row>
    <row r="91" spans="1:28" s="115" customFormat="1" x14ac:dyDescent="0.25">
      <c r="A91" s="432" t="s">
        <v>4688</v>
      </c>
      <c r="B91" s="432"/>
      <c r="D91" s="97" t="str">
        <f>D42</f>
        <v>OTC Nuclear</v>
      </c>
      <c r="E91" s="5">
        <f>SUMIFS('NQC list mod'!$E$4:$E$660,'NQC list mod'!$V$4:$V$660,"URANIUM",'NQC list mod'!$X$4:$X$660,"&lt;="&amp;DATE(E$2,12,31))+SUMIFS('NQC list mod'!$M$4:$M$660,'NQC list mod'!$V$4:$V$660,"URANIUM",'NQC list mod'!$X$4:$X$660,"&lt;="&amp;DATE(E$2,12,31))</f>
        <v>0</v>
      </c>
      <c r="F91" s="5">
        <f>SUMIFS('NQC list mod'!$E$4:$E$660,'NQC list mod'!$V$4:$V$660,"URANIUM",'NQC list mod'!$X$4:$X$660,"&lt;="&amp;DATE(F$2,12,31))+SUMIFS('NQC list mod'!$M$4:$M$660,'NQC list mod'!$V$4:$V$660,"URANIUM",'NQC list mod'!$X$4:$X$660,"&lt;="&amp;DATE(F$2,12,31))</f>
        <v>0</v>
      </c>
      <c r="G91" s="5">
        <f>SUMIFS('NQC list mod'!$E$4:$E$660,'NQC list mod'!$V$4:$V$660,"URANIUM",'NQC list mod'!$X$4:$X$660,"&lt;="&amp;DATE(G$2,12,31))+SUMIFS('NQC list mod'!$M$4:$M$660,'NQC list mod'!$V$4:$V$660,"URANIUM",'NQC list mod'!$X$4:$X$660,"&lt;="&amp;DATE(G$2,12,31))</f>
        <v>0</v>
      </c>
      <c r="H91" s="5">
        <f>SUMIFS('NQC list mod'!$E$4:$E$660,'NQC list mod'!$V$4:$V$660,"URANIUM",'NQC list mod'!$X$4:$X$660,"&lt;="&amp;DATE(H$2,12,31))+SUMIFS('NQC list mod'!$M$4:$M$660,'NQC list mod'!$V$4:$V$660,"URANIUM",'NQC list mod'!$X$4:$X$660,"&lt;="&amp;DATE(H$2,12,31))</f>
        <v>0</v>
      </c>
      <c r="I91" s="5">
        <f>SUMIFS('NQC list mod'!$E$4:$E$660,'NQC list mod'!$V$4:$V$660,"URANIUM",'NQC list mod'!$X$4:$X$660,"&lt;="&amp;DATE(I$2,12,31))+SUMIFS('NQC list mod'!$M$4:$M$660,'NQC list mod'!$V$4:$V$660,"URANIUM",'NQC list mod'!$X$4:$X$660,"&lt;="&amp;DATE(I$2,12,31))</f>
        <v>0</v>
      </c>
      <c r="J91" s="5">
        <f>SUMIFS('NQC list mod'!$E$4:$E$660,'NQC list mod'!$V$4:$V$660,"URANIUM",'NQC list mod'!$X$4:$X$660,"&lt;="&amp;DATE(J$2,12,31))+SUMIFS('NQC list mod'!$M$4:$M$660,'NQC list mod'!$V$4:$V$660,"URANIUM",'NQC list mod'!$X$4:$X$660,"&lt;="&amp;DATE(J$2,12,31))</f>
        <v>0</v>
      </c>
      <c r="K91" s="5">
        <f>SUMIFS('NQC list mod'!$E$4:$E$660,'NQC list mod'!$V$4:$V$660,"URANIUM",'NQC list mod'!$X$4:$X$660,"&lt;="&amp;DATE(K$2,12,31))+SUMIFS('NQC list mod'!$M$4:$M$660,'NQC list mod'!$V$4:$V$660,"URANIUM",'NQC list mod'!$X$4:$X$660,"&lt;="&amp;DATE(K$2,12,31))</f>
        <v>0</v>
      </c>
      <c r="L91" s="5">
        <f>SUMIFS('NQC list mod'!$E$4:$E$660,'NQC list mod'!$V$4:$V$660,"URANIUM",'NQC list mod'!$X$4:$X$660,"&lt;="&amp;DATE(L$2,12,31))+SUMIFS('NQC list mod'!$M$4:$M$660,'NQC list mod'!$V$4:$V$660,"URANIUM",'NQC list mod'!$X$4:$X$660,"&lt;="&amp;DATE(L$2,12,31))</f>
        <v>0</v>
      </c>
      <c r="M91" s="5">
        <f>SUMIFS('NQC list mod'!$E$4:$E$660,'NQC list mod'!$V$4:$V$660,"URANIUM",'NQC list mod'!$X$4:$X$660,"&lt;="&amp;DATE(M$2,12,31))+SUMIFS('NQC list mod'!$M$4:$M$660,'NQC list mod'!$V$4:$V$660,"URANIUM",'NQC list mod'!$X$4:$X$660,"&lt;="&amp;DATE(M$2,12,31))</f>
        <v>0</v>
      </c>
      <c r="N91" s="5">
        <f>SUMIFS('NQC list mod'!$E$4:$E$660,'NQC list mod'!$V$4:$V$660,"URANIUM",'NQC list mod'!$X$4:$X$660,"&lt;="&amp;DATE(N$2,12,31))+SUMIFS('NQC list mod'!$M$4:$M$660,'NQC list mod'!$V$4:$V$660,"URANIUM",'NQC list mod'!$X$4:$X$660,"&lt;="&amp;DATE(N$2,12,31))</f>
        <v>0</v>
      </c>
      <c r="O91" s="5">
        <f>SUMIFS('NQC list mod'!$E$4:$E$660,'NQC list mod'!$V$4:$V$660,"URANIUM",'NQC list mod'!$X$4:$X$660,"&lt;="&amp;DATE(O$2,12,31))+SUMIFS('NQC list mod'!$M$4:$M$660,'NQC list mod'!$V$4:$V$660,"URANIUM",'NQC list mod'!$X$4:$X$660,"&lt;="&amp;DATE(O$2,12,31))</f>
        <v>2246</v>
      </c>
      <c r="P91" s="5">
        <f>SUMIFS('NQC list mod'!$E$4:$E$660,'NQC list mod'!$V$4:$V$660,"URANIUM",'NQC list mod'!$X$4:$X$660,"&lt;="&amp;DATE(P$2,12,31))+SUMIFS('NQC list mod'!$M$4:$M$660,'NQC list mod'!$V$4:$V$660,"URANIUM",'NQC list mod'!$X$4:$X$660,"&lt;="&amp;DATE(P$2,12,31))</f>
        <v>2246</v>
      </c>
      <c r="Q91" s="5">
        <f>SUMIFS('NQC list mod'!$E$4:$E$660,'NQC list mod'!$V$4:$V$660,"URANIUM",'NQC list mod'!$X$4:$X$660,"&lt;="&amp;DATE(Q$2,12,31))+SUMIFS('NQC list mod'!$M$4:$M$660,'NQC list mod'!$V$4:$V$660,"URANIUM",'NQC list mod'!$X$4:$X$660,"&lt;="&amp;DATE(Q$2,12,31))</f>
        <v>4486</v>
      </c>
      <c r="R91" s="5">
        <f>SUMIFS('NQC list mod'!$E$4:$E$660,'NQC list mod'!$V$4:$V$660,"URANIUM",'NQC list mod'!$X$4:$X$660,"&lt;="&amp;DATE(R$2,12,31))+SUMIFS('NQC list mod'!$M$4:$M$660,'NQC list mod'!$V$4:$V$660,"URANIUM",'NQC list mod'!$X$4:$X$660,"&lt;="&amp;DATE(R$2,12,31))</f>
        <v>4486</v>
      </c>
      <c r="S91" s="5">
        <f>SUMIFS('NQC list mod'!$E$4:$E$660,'NQC list mod'!$V$4:$V$660,"URANIUM",'NQC list mod'!$X$4:$X$660,"&lt;="&amp;DATE(S$2,12,31))+SUMIFS('NQC list mod'!$M$4:$M$660,'NQC list mod'!$V$4:$V$660,"URANIUM",'NQC list mod'!$X$4:$X$660,"&lt;="&amp;DATE(S$2,12,31))</f>
        <v>4486</v>
      </c>
      <c r="T91" s="5">
        <f>SUMIFS('NQC list mod'!$E$4:$E$660,'NQC list mod'!$V$4:$V$660,"URANIUM",'NQC list mod'!$X$4:$X$660,"&lt;="&amp;DATE(T$2,12,31))+SUMIFS('NQC list mod'!$M$4:$M$660,'NQC list mod'!$V$4:$V$660,"URANIUM",'NQC list mod'!$X$4:$X$660,"&lt;="&amp;DATE(T$2,12,31))</f>
        <v>4486</v>
      </c>
      <c r="U91" s="5">
        <f>SUMIFS('NQC list mod'!$E$4:$E$660,'NQC list mod'!$V$4:$V$660,"URANIUM",'NQC list mod'!$X$4:$X$660,"&lt;="&amp;DATE(U$2,12,31))+SUMIFS('NQC list mod'!$M$4:$M$660,'NQC list mod'!$V$4:$V$660,"URANIUM",'NQC list mod'!$X$4:$X$660,"&lt;="&amp;DATE(U$2,12,31))</f>
        <v>4486</v>
      </c>
      <c r="V91" s="5">
        <f>SUMIFS('NQC list mod'!$E$4:$E$660,'NQC list mod'!$V$4:$V$660,"URANIUM",'NQC list mod'!$X$4:$X$660,"&lt;="&amp;DATE(V$2,12,31))+SUMIFS('NQC list mod'!$M$4:$M$660,'NQC list mod'!$V$4:$V$660,"URANIUM",'NQC list mod'!$X$4:$X$660,"&lt;="&amp;DATE(V$2,12,31))</f>
        <v>4486</v>
      </c>
      <c r="W91" s="5">
        <f>SUMIFS('NQC list mod'!$E$4:$E$660,'NQC list mod'!$V$4:$V$660,"URANIUM",'NQC list mod'!$X$4:$X$660,"&lt;="&amp;DATE(W$2,12,31))+SUMIFS('NQC list mod'!$M$4:$M$660,'NQC list mod'!$V$4:$V$660,"URANIUM",'NQC list mod'!$X$4:$X$660,"&lt;="&amp;DATE(W$2,12,31))</f>
        <v>4486</v>
      </c>
      <c r="X91" s="5">
        <f>SUMIFS('NQC list mod'!$E$4:$E$660,'NQC list mod'!$V$4:$V$660,"URANIUM",'NQC list mod'!$X$4:$X$660,"&lt;="&amp;DATE(X$2,12,31))+SUMIFS('NQC list mod'!$M$4:$M$660,'NQC list mod'!$V$4:$V$660,"URANIUM",'NQC list mod'!$X$4:$X$660,"&lt;="&amp;DATE(X$2,12,31))</f>
        <v>4486</v>
      </c>
      <c r="Y91" s="5">
        <f>SUMIFS('NQC list mod'!$E$4:$E$660,'NQC list mod'!$V$4:$V$660,"URANIUM",'NQC list mod'!$X$4:$X$660,"&lt;="&amp;DATE(Y$2,12,31))+SUMIFS('NQC list mod'!$M$4:$M$660,'NQC list mod'!$V$4:$V$660,"URANIUM",'NQC list mod'!$X$4:$X$660,"&lt;="&amp;DATE(Y$2,12,31))</f>
        <v>4486</v>
      </c>
      <c r="Z91" s="5">
        <f>SUMIFS('NQC list mod'!$E$4:$E$660,'NQC list mod'!$V$4:$V$660,"URANIUM",'NQC list mod'!$X$4:$X$660,"&lt;="&amp;DATE(Z$2,12,31))+SUMIFS('NQC list mod'!$M$4:$M$660,'NQC list mod'!$V$4:$V$660,"URANIUM",'NQC list mod'!$X$4:$X$660,"&lt;="&amp;DATE(Z$2,12,31))</f>
        <v>4486</v>
      </c>
      <c r="AA91" s="5">
        <f>SUMIFS('NQC list mod'!$E$4:$E$660,'NQC list mod'!$V$4:$V$660,"URANIUM",'NQC list mod'!$X$4:$X$660,"&lt;="&amp;DATE(AA$2,12,31))+SUMIFS('NQC list mod'!$M$4:$M$660,'NQC list mod'!$V$4:$V$660,"URANIUM",'NQC list mod'!$X$4:$X$660,"&lt;="&amp;DATE(AA$2,12,31))</f>
        <v>4486</v>
      </c>
      <c r="AB91" s="9"/>
    </row>
    <row r="92" spans="1:28" s="115" customFormat="1" x14ac:dyDescent="0.25">
      <c r="A92" s="432"/>
      <c r="B92" s="432"/>
      <c r="D92" s="97"/>
      <c r="E92" s="5"/>
      <c r="F92" s="5"/>
      <c r="G92" s="5"/>
      <c r="H92" s="5"/>
      <c r="I92" s="5"/>
      <c r="J92" s="5"/>
      <c r="K92" s="5"/>
      <c r="L92" s="5"/>
      <c r="M92" s="5"/>
      <c r="N92" s="5"/>
      <c r="O92" s="5"/>
      <c r="P92" s="5"/>
      <c r="Q92" s="5"/>
      <c r="R92" s="5"/>
      <c r="S92" s="5"/>
      <c r="T92" s="5"/>
      <c r="U92" s="5"/>
      <c r="V92" s="5"/>
      <c r="W92" s="5"/>
      <c r="X92" s="5"/>
      <c r="Y92" s="5"/>
      <c r="Z92" s="5"/>
      <c r="AA92" s="5"/>
      <c r="AB92" s="9"/>
    </row>
    <row r="93" spans="1:28" s="115" customFormat="1" x14ac:dyDescent="0.25">
      <c r="A93" s="115" t="s">
        <v>4676</v>
      </c>
      <c r="B93" s="43">
        <v>40</v>
      </c>
      <c r="D93" s="97" t="str">
        <f>D43</f>
        <v>Dispatchable (non OTC)</v>
      </c>
      <c r="E93" s="5">
        <f>SUMIFS('NQC list mod'!$E$4:$E$660,'NQC list mod'!$U$4:$U$660,"&lt;&gt;OTC",'NQC list mod'!$T$4:$T$660,"Dispatchable",'NQC list mod'!$W$4:$W$660,"&lt;="&amp;DATE((E$2-$B$93),12,31))+SUMIFS('NQC list mod'!$M$4:$M$660,'NQC list mod'!$U$4:$U$660,"&lt;&gt;OTC",'NQC list mod'!$T$4:$T$660,"Dispatchable",'NQC list mod'!$W$4:$W$660,"&lt;="&amp;DATE((E$2-$B$93),12,31))</f>
        <v>1875.5</v>
      </c>
      <c r="F93" s="5">
        <f>SUMIFS('NQC list mod'!$E$4:$E$660,'NQC list mod'!$U$4:$U$660,"&lt;&gt;OTC",'NQC list mod'!$T$4:$T$660,"Dispatchable",'NQC list mod'!$W$4:$W$660,"&lt;="&amp;DATE((F$2-$B$93),12,31))+SUMIFS('NQC list mod'!$M$4:$M$660,'NQC list mod'!$U$4:$U$660,"&lt;&gt;OTC",'NQC list mod'!$T$4:$T$660,"Dispatchable",'NQC list mod'!$W$4:$W$660,"&lt;="&amp;DATE((F$2-$B$93),12,31))</f>
        <v>1875.5</v>
      </c>
      <c r="G93" s="5">
        <f>SUMIFS('NQC list mod'!$E$4:$E$660,'NQC list mod'!$U$4:$U$660,"&lt;&gt;OTC",'NQC list mod'!$T$4:$T$660,"Dispatchable",'NQC list mod'!$W$4:$W$660,"&lt;="&amp;DATE((G$2-$B$93),12,31))+SUMIFS('NQC list mod'!$M$4:$M$660,'NQC list mod'!$U$4:$U$660,"&lt;&gt;OTC",'NQC list mod'!$T$4:$T$660,"Dispatchable",'NQC list mod'!$W$4:$W$660,"&lt;="&amp;DATE((G$2-$B$93),12,31))</f>
        <v>1929.5</v>
      </c>
      <c r="H93" s="5">
        <f>SUMIFS('NQC list mod'!$E$4:$E$660,'NQC list mod'!$U$4:$U$660,"&lt;&gt;OTC",'NQC list mod'!$T$4:$T$660,"Dispatchable",'NQC list mod'!$W$4:$W$660,"&lt;="&amp;DATE((H$2-$B$93),12,31))+SUMIFS('NQC list mod'!$M$4:$M$660,'NQC list mod'!$U$4:$U$660,"&lt;&gt;OTC",'NQC list mod'!$T$4:$T$660,"Dispatchable",'NQC list mod'!$W$4:$W$660,"&lt;="&amp;DATE((H$2-$B$93),12,31))</f>
        <v>1994.5</v>
      </c>
      <c r="I93" s="5">
        <f>SUMIFS('NQC list mod'!$E$4:$E$660,'NQC list mod'!$U$4:$U$660,"&lt;&gt;OTC",'NQC list mod'!$T$4:$T$660,"Dispatchable",'NQC list mod'!$W$4:$W$660,"&lt;="&amp;DATE((I$2-$B$93),12,31))+SUMIFS('NQC list mod'!$M$4:$M$660,'NQC list mod'!$U$4:$U$660,"&lt;&gt;OTC",'NQC list mod'!$T$4:$T$660,"Dispatchable",'NQC list mod'!$W$4:$W$660,"&lt;="&amp;DATE((I$2-$B$93),12,31))</f>
        <v>2039.1</v>
      </c>
      <c r="J93" s="5">
        <f>SUMIFS('NQC list mod'!$E$4:$E$660,'NQC list mod'!$U$4:$U$660,"&lt;&gt;OTC",'NQC list mod'!$T$4:$T$660,"Dispatchable",'NQC list mod'!$W$4:$W$660,"&lt;="&amp;DATE((J$2-$B$93),12,31))+SUMIFS('NQC list mod'!$M$4:$M$660,'NQC list mod'!$U$4:$U$660,"&lt;&gt;OTC",'NQC list mod'!$T$4:$T$660,"Dispatchable",'NQC list mod'!$W$4:$W$660,"&lt;="&amp;DATE((J$2-$B$93),12,31))</f>
        <v>2039.1</v>
      </c>
      <c r="K93" s="5">
        <f>SUMIFS('NQC list mod'!$E$4:$E$660,'NQC list mod'!$U$4:$U$660,"&lt;&gt;OTC",'NQC list mod'!$T$4:$T$660,"Dispatchable",'NQC list mod'!$W$4:$W$660,"&lt;="&amp;DATE((K$2-$B$93),12,31))+SUMIFS('NQC list mod'!$M$4:$M$660,'NQC list mod'!$U$4:$U$660,"&lt;&gt;OTC",'NQC list mod'!$T$4:$T$660,"Dispatchable",'NQC list mod'!$W$4:$W$660,"&lt;="&amp;DATE((K$2-$B$93),12,31))</f>
        <v>2695.3</v>
      </c>
      <c r="L93" s="5">
        <f>SUMIFS('NQC list mod'!$E$4:$E$660,'NQC list mod'!$U$4:$U$660,"&lt;&gt;OTC",'NQC list mod'!$T$4:$T$660,"Dispatchable",'NQC list mod'!$W$4:$W$660,"&lt;="&amp;DATE((L$2-$B$93),12,31))+SUMIFS('NQC list mod'!$M$4:$M$660,'NQC list mod'!$U$4:$U$660,"&lt;&gt;OTC",'NQC list mod'!$T$4:$T$660,"Dispatchable",'NQC list mod'!$W$4:$W$660,"&lt;="&amp;DATE((L$2-$B$93),12,31))</f>
        <v>2745.3</v>
      </c>
      <c r="M93" s="5">
        <f>SUMIFS('NQC list mod'!$E$4:$E$660,'NQC list mod'!$U$4:$U$660,"&lt;&gt;OTC",'NQC list mod'!$T$4:$T$660,"Dispatchable",'NQC list mod'!$W$4:$W$660,"&lt;="&amp;DATE((M$2-$B$93),12,31))+SUMIFS('NQC list mod'!$M$4:$M$660,'NQC list mod'!$U$4:$U$660,"&lt;&gt;OTC",'NQC list mod'!$T$4:$T$660,"Dispatchable",'NQC list mod'!$W$4:$W$660,"&lt;="&amp;DATE((M$2-$B$93),12,31))</f>
        <v>3282.05</v>
      </c>
      <c r="N93" s="5">
        <f>SUMIFS('NQC list mod'!$E$4:$E$660,'NQC list mod'!$U$4:$U$660,"&lt;&gt;OTC",'NQC list mod'!$T$4:$T$660,"Dispatchable",'NQC list mod'!$W$4:$W$660,"&lt;="&amp;DATE((N$2-$B$93),12,31))+SUMIFS('NQC list mod'!$M$4:$M$660,'NQC list mod'!$U$4:$U$660,"&lt;&gt;OTC",'NQC list mod'!$T$4:$T$660,"Dispatchable",'NQC list mod'!$W$4:$W$660,"&lt;="&amp;DATE((N$2-$B$93),12,31))</f>
        <v>3288.05</v>
      </c>
      <c r="O93" s="5">
        <f>SUMIFS('NQC list mod'!$E$4:$E$660,'NQC list mod'!$U$4:$U$660,"&lt;&gt;OTC",'NQC list mod'!$T$4:$T$660,"Dispatchable",'NQC list mod'!$W$4:$W$660,"&lt;="&amp;DATE((O$2-$B$93),12,31))+SUMIFS('NQC list mod'!$M$4:$M$660,'NQC list mod'!$U$4:$U$660,"&lt;&gt;OTC",'NQC list mod'!$T$4:$T$660,"Dispatchable",'NQC list mod'!$W$4:$W$660,"&lt;="&amp;DATE((O$2-$B$93),12,31))</f>
        <v>3341.05</v>
      </c>
      <c r="P93" s="5">
        <f>SUMIFS('NQC list mod'!$E$4:$E$660,'NQC list mod'!$U$4:$U$660,"&lt;&gt;OTC",'NQC list mod'!$T$4:$T$660,"Dispatchable",'NQC list mod'!$W$4:$W$660,"&lt;="&amp;DATE((P$2-$B$93),12,31))+SUMIFS('NQC list mod'!$M$4:$M$660,'NQC list mod'!$U$4:$U$660,"&lt;&gt;OTC",'NQC list mod'!$T$4:$T$660,"Dispatchable",'NQC list mod'!$W$4:$W$660,"&lt;="&amp;DATE((P$2-$B$93),12,31))</f>
        <v>3423.05</v>
      </c>
      <c r="Q93" s="5">
        <f>SUMIFS('NQC list mod'!$E$4:$E$660,'NQC list mod'!$U$4:$U$660,"&lt;&gt;OTC",'NQC list mod'!$T$4:$T$660,"Dispatchable",'NQC list mod'!$W$4:$W$660,"&lt;="&amp;DATE((Q$2-$B$93),12,31))+SUMIFS('NQC list mod'!$M$4:$M$660,'NQC list mod'!$U$4:$U$660,"&lt;&gt;OTC",'NQC list mod'!$T$4:$T$660,"Dispatchable",'NQC list mod'!$W$4:$W$660,"&lt;="&amp;DATE((Q$2-$B$93),12,31))</f>
        <v>3483.05</v>
      </c>
      <c r="R93" s="5">
        <f>SUMIFS('NQC list mod'!$E$4:$E$660,'NQC list mod'!$U$4:$U$660,"&lt;&gt;OTC",'NQC list mod'!$T$4:$T$660,"Dispatchable",'NQC list mod'!$W$4:$W$660,"&lt;="&amp;DATE((R$2-$B$93),12,31))+SUMIFS('NQC list mod'!$M$4:$M$660,'NQC list mod'!$U$4:$U$660,"&lt;&gt;OTC",'NQC list mod'!$T$4:$T$660,"Dispatchable",'NQC list mod'!$W$4:$W$660,"&lt;="&amp;DATE((R$2-$B$93),12,31))</f>
        <v>3881.05</v>
      </c>
      <c r="S93" s="5">
        <f>SUMIFS('NQC list mod'!$E$4:$E$660,'NQC list mod'!$U$4:$U$660,"&lt;&gt;OTC",'NQC list mod'!$T$4:$T$660,"Dispatchable",'NQC list mod'!$W$4:$W$660,"&lt;="&amp;DATE((S$2-$B$93),12,31))+SUMIFS('NQC list mod'!$M$4:$M$660,'NQC list mod'!$U$4:$U$660,"&lt;&gt;OTC",'NQC list mod'!$T$4:$T$660,"Dispatchable",'NQC list mod'!$W$4:$W$660,"&lt;="&amp;DATE((S$2-$B$93),12,31))</f>
        <v>3975.95</v>
      </c>
      <c r="T93" s="5">
        <f>SUMIFS('NQC list mod'!$E$4:$E$660,'NQC list mod'!$U$4:$U$660,"&lt;&gt;OTC",'NQC list mod'!$T$4:$T$660,"Dispatchable",'NQC list mod'!$W$4:$W$660,"&lt;="&amp;DATE((T$2-$B$93),12,31))+SUMIFS('NQC list mod'!$M$4:$M$660,'NQC list mod'!$U$4:$U$660,"&lt;&gt;OTC",'NQC list mod'!$T$4:$T$660,"Dispatchable",'NQC list mod'!$W$4:$W$660,"&lt;="&amp;DATE((T$2-$B$93),12,31))</f>
        <v>4104.95</v>
      </c>
      <c r="U93" s="5">
        <f>SUMIFS('NQC list mod'!$E$4:$E$660,'NQC list mod'!$U$4:$U$660,"&lt;&gt;OTC",'NQC list mod'!$T$4:$T$660,"Dispatchable",'NQC list mod'!$W$4:$W$660,"&lt;="&amp;DATE((U$2-$B$93),12,31))+SUMIFS('NQC list mod'!$M$4:$M$660,'NQC list mod'!$U$4:$U$660,"&lt;&gt;OTC",'NQC list mod'!$T$4:$T$660,"Dispatchable",'NQC list mod'!$W$4:$W$660,"&lt;="&amp;DATE((U$2-$B$93),12,31))</f>
        <v>4142.95</v>
      </c>
      <c r="V93" s="5">
        <f>SUMIFS('NQC list mod'!$E$4:$E$660,'NQC list mod'!$U$4:$U$660,"&lt;&gt;OTC",'NQC list mod'!$T$4:$T$660,"Dispatchable",'NQC list mod'!$W$4:$W$660,"&lt;="&amp;DATE((V$2-$B$93),12,31))+SUMIFS('NQC list mod'!$M$4:$M$660,'NQC list mod'!$U$4:$U$660,"&lt;&gt;OTC",'NQC list mod'!$T$4:$T$660,"Dispatchable",'NQC list mod'!$W$4:$W$660,"&lt;="&amp;DATE((V$2-$B$93),12,31))</f>
        <v>4158.95</v>
      </c>
      <c r="W93" s="5">
        <f>SUMIFS('NQC list mod'!$E$4:$E$660,'NQC list mod'!$U$4:$U$660,"&lt;&gt;OTC",'NQC list mod'!$T$4:$T$660,"Dispatchable",'NQC list mod'!$W$4:$W$660,"&lt;="&amp;DATE((W$2-$B$93),12,31))+SUMIFS('NQC list mod'!$M$4:$M$660,'NQC list mod'!$U$4:$U$660,"&lt;&gt;OTC",'NQC list mod'!$T$4:$T$660,"Dispatchable",'NQC list mod'!$W$4:$W$660,"&lt;="&amp;DATE((W$2-$B$93),12,31))</f>
        <v>4247.59</v>
      </c>
      <c r="X93" s="5">
        <f>SUMIFS('NQC list mod'!$E$4:$E$660,'NQC list mod'!$U$4:$U$660,"&lt;&gt;OTC",'NQC list mod'!$T$4:$T$660,"Dispatchable",'NQC list mod'!$W$4:$W$660,"&lt;="&amp;DATE((X$2-$B$93),12,31))+SUMIFS('NQC list mod'!$M$4:$M$660,'NQC list mod'!$U$4:$U$660,"&lt;&gt;OTC",'NQC list mod'!$T$4:$T$660,"Dispatchable",'NQC list mod'!$W$4:$W$660,"&lt;="&amp;DATE((X$2-$B$93),12,31))</f>
        <v>4247.59</v>
      </c>
      <c r="Y93" s="5">
        <f>SUMIFS('NQC list mod'!$E$4:$E$660,'NQC list mod'!$U$4:$U$660,"&lt;&gt;OTC",'NQC list mod'!$T$4:$T$660,"Dispatchable",'NQC list mod'!$W$4:$W$660,"&lt;="&amp;DATE((Y$2-$B$93),12,31))+SUMIFS('NQC list mod'!$M$4:$M$660,'NQC list mod'!$U$4:$U$660,"&lt;&gt;OTC",'NQC list mod'!$T$4:$T$660,"Dispatchable",'NQC list mod'!$W$4:$W$660,"&lt;="&amp;DATE((Y$2-$B$93),12,31))</f>
        <v>4267.59</v>
      </c>
      <c r="Z93" s="5">
        <f>SUMIFS('NQC list mod'!$E$4:$E$660,'NQC list mod'!$U$4:$U$660,"&lt;&gt;OTC",'NQC list mod'!$T$4:$T$660,"Dispatchable",'NQC list mod'!$W$4:$W$660,"&lt;="&amp;DATE((Z$2-$B$93),12,31))+SUMIFS('NQC list mod'!$M$4:$M$660,'NQC list mod'!$U$4:$U$660,"&lt;&gt;OTC",'NQC list mod'!$T$4:$T$660,"Dispatchable",'NQC list mod'!$W$4:$W$660,"&lt;="&amp;DATE((Z$2-$B$93),12,31))</f>
        <v>4267.59</v>
      </c>
      <c r="AA93" s="5">
        <f>SUMIFS('NQC list mod'!$E$4:$E$660,'NQC list mod'!$U$4:$U$660,"&lt;&gt;OTC",'NQC list mod'!$T$4:$T$660,"Dispatchable",'NQC list mod'!$W$4:$W$660,"&lt;="&amp;DATE((AA$2-$B$93),12,31))+SUMIFS('NQC list mod'!$M$4:$M$660,'NQC list mod'!$U$4:$U$660,"&lt;&gt;OTC",'NQC list mod'!$T$4:$T$660,"Dispatchable",'NQC list mod'!$W$4:$W$660,"&lt;="&amp;DATE((AA$2-$B$93),12,31))</f>
        <v>4267.59</v>
      </c>
      <c r="AB93" s="9"/>
    </row>
    <row r="94" spans="1:28" s="115" customFormat="1" x14ac:dyDescent="0.25">
      <c r="B94" s="432"/>
      <c r="D94" s="97" t="str">
        <f>D44</f>
        <v>Non-Disp, QF, Bio, Geo &amp; Other</v>
      </c>
      <c r="E94" s="5">
        <f>SUMIFS('NQC list mod'!$E$4:$E$660,'NQC list mod'!$T$4:$T$660,$D94,'NQC list mod'!$W$4:$W$660,"&lt;="&amp;DATE((E$2-$B$93),12,31))+SUMIFS('NQC list mod'!$M$4:$M$660,'NQC list mod'!$T$4:$T$660,$D94,'NQC list mod'!$W$4:$W$660,"&lt;="&amp;DATE((E$2-$B$93),12,31))</f>
        <v>15.11</v>
      </c>
      <c r="F94" s="5">
        <f>SUMIFS('NQC list mod'!$E$4:$E$660,'NQC list mod'!$T$4:$T$660,$D94,'NQC list mod'!$W$4:$W$660,"&lt;="&amp;DATE((F$2-$B$93),12,31))+SUMIFS('NQC list mod'!$M$4:$M$660,'NQC list mod'!$T$4:$T$660,$D94,'NQC list mod'!$W$4:$W$660,"&lt;="&amp;DATE((F$2-$B$93),12,31))</f>
        <v>15.11</v>
      </c>
      <c r="G94" s="5">
        <f>SUMIFS('NQC list mod'!$E$4:$E$660,'NQC list mod'!$T$4:$T$660,$D94,'NQC list mod'!$W$4:$W$660,"&lt;="&amp;DATE((G$2-$B$93),12,31))+SUMIFS('NQC list mod'!$M$4:$M$660,'NQC list mod'!$T$4:$T$660,$D94,'NQC list mod'!$W$4:$W$660,"&lt;="&amp;DATE((G$2-$B$93),12,31))</f>
        <v>15.11</v>
      </c>
      <c r="H94" s="5">
        <f>SUMIFS('NQC list mod'!$E$4:$E$660,'NQC list mod'!$T$4:$T$660,$D94,'NQC list mod'!$W$4:$W$660,"&lt;="&amp;DATE((H$2-$B$93),12,31))+SUMIFS('NQC list mod'!$M$4:$M$660,'NQC list mod'!$T$4:$T$660,$D94,'NQC list mod'!$W$4:$W$660,"&lt;="&amp;DATE((H$2-$B$93),12,31))</f>
        <v>15.11</v>
      </c>
      <c r="I94" s="5">
        <f>SUMIFS('NQC list mod'!$E$4:$E$660,'NQC list mod'!$T$4:$T$660,$D94,'NQC list mod'!$W$4:$W$660,"&lt;="&amp;DATE((I$2-$B$93),12,31))+SUMIFS('NQC list mod'!$M$4:$M$660,'NQC list mod'!$T$4:$T$660,$D94,'NQC list mod'!$W$4:$W$660,"&lt;="&amp;DATE((I$2-$B$93),12,31))</f>
        <v>42.65</v>
      </c>
      <c r="J94" s="5">
        <f>SUMIFS('NQC list mod'!$E$4:$E$660,'NQC list mod'!$T$4:$T$660,$D94,'NQC list mod'!$W$4:$W$660,"&lt;="&amp;DATE((J$2-$B$93),12,31))+SUMIFS('NQC list mod'!$M$4:$M$660,'NQC list mod'!$T$4:$T$660,$D94,'NQC list mod'!$W$4:$W$660,"&lt;="&amp;DATE((J$2-$B$93),12,31))</f>
        <v>42.66</v>
      </c>
      <c r="K94" s="5">
        <f>SUMIFS('NQC list mod'!$E$4:$E$660,'NQC list mod'!$T$4:$T$660,$D94,'NQC list mod'!$W$4:$W$660,"&lt;="&amp;DATE((K$2-$B$93),12,31))+SUMIFS('NQC list mod'!$M$4:$M$660,'NQC list mod'!$T$4:$T$660,$D94,'NQC list mod'!$W$4:$W$660,"&lt;="&amp;DATE((K$2-$B$93),12,31))</f>
        <v>42.66</v>
      </c>
      <c r="L94" s="5">
        <f>SUMIFS('NQC list mod'!$E$4:$E$660,'NQC list mod'!$T$4:$T$660,$D94,'NQC list mod'!$W$4:$W$660,"&lt;="&amp;DATE((L$2-$B$93),12,31))+SUMIFS('NQC list mod'!$M$4:$M$660,'NQC list mod'!$T$4:$T$660,$D94,'NQC list mod'!$W$4:$W$660,"&lt;="&amp;DATE((L$2-$B$93),12,31))</f>
        <v>42.66</v>
      </c>
      <c r="M94" s="5">
        <f>SUMIFS('NQC list mod'!$E$4:$E$660,'NQC list mod'!$T$4:$T$660,$D94,'NQC list mod'!$W$4:$W$660,"&lt;="&amp;DATE((M$2-$B$93),12,31))+SUMIFS('NQC list mod'!$M$4:$M$660,'NQC list mod'!$T$4:$T$660,$D94,'NQC list mod'!$W$4:$W$660,"&lt;="&amp;DATE((M$2-$B$93),12,31))</f>
        <v>69.2</v>
      </c>
      <c r="N94" s="5">
        <f>SUMIFS('NQC list mod'!$E$4:$E$660,'NQC list mod'!$T$4:$T$660,$D94,'NQC list mod'!$W$4:$W$660,"&lt;="&amp;DATE((N$2-$B$93),12,31))+SUMIFS('NQC list mod'!$M$4:$M$660,'NQC list mod'!$T$4:$T$660,$D94,'NQC list mod'!$W$4:$W$660,"&lt;="&amp;DATE((N$2-$B$93),12,31))</f>
        <v>69.23</v>
      </c>
      <c r="O94" s="5">
        <f>SUMIFS('NQC list mod'!$E$4:$E$660,'NQC list mod'!$T$4:$T$660,$D94,'NQC list mod'!$W$4:$W$660,"&lt;="&amp;DATE((O$2-$B$93),12,31))+SUMIFS('NQC list mod'!$M$4:$M$660,'NQC list mod'!$T$4:$T$660,$D94,'NQC list mod'!$W$4:$W$660,"&lt;="&amp;DATE((O$2-$B$93),12,31))</f>
        <v>116.94000000000001</v>
      </c>
      <c r="P94" s="5">
        <f>SUMIFS('NQC list mod'!$E$4:$E$660,'NQC list mod'!$T$4:$T$660,$D94,'NQC list mod'!$W$4:$W$660,"&lt;="&amp;DATE((P$2-$B$93),12,31))+SUMIFS('NQC list mod'!$M$4:$M$660,'NQC list mod'!$T$4:$T$660,$D94,'NQC list mod'!$W$4:$W$660,"&lt;="&amp;DATE((P$2-$B$93),12,31))</f>
        <v>240.32999999999996</v>
      </c>
      <c r="Q94" s="5">
        <f>SUMIFS('NQC list mod'!$E$4:$E$660,'NQC list mod'!$T$4:$T$660,$D94,'NQC list mod'!$W$4:$W$660,"&lt;="&amp;DATE((Q$2-$B$93),12,31))+SUMIFS('NQC list mod'!$M$4:$M$660,'NQC list mod'!$T$4:$T$660,$D94,'NQC list mod'!$W$4:$W$660,"&lt;="&amp;DATE((Q$2-$B$93),12,31))</f>
        <v>335.25999999999993</v>
      </c>
      <c r="R94" s="5">
        <f>SUMIFS('NQC list mod'!$E$4:$E$660,'NQC list mod'!$T$4:$T$660,$D94,'NQC list mod'!$W$4:$W$660,"&lt;="&amp;DATE((R$2-$B$93),12,31))+SUMIFS('NQC list mod'!$M$4:$M$660,'NQC list mod'!$T$4:$T$660,$D94,'NQC list mod'!$W$4:$W$660,"&lt;="&amp;DATE((R$2-$B$93),12,31))</f>
        <v>376.43999999999983</v>
      </c>
      <c r="S94" s="5">
        <f>SUMIFS('NQC list mod'!$E$4:$E$660,'NQC list mod'!$T$4:$T$660,$D94,'NQC list mod'!$W$4:$W$660,"&lt;="&amp;DATE((S$2-$B$93),12,31))+SUMIFS('NQC list mod'!$M$4:$M$660,'NQC list mod'!$T$4:$T$660,$D94,'NQC list mod'!$W$4:$W$660,"&lt;="&amp;DATE((S$2-$B$93),12,31))</f>
        <v>635.16999999999996</v>
      </c>
      <c r="T94" s="5">
        <f>SUMIFS('NQC list mod'!$E$4:$E$660,'NQC list mod'!$T$4:$T$660,$D94,'NQC list mod'!$W$4:$W$660,"&lt;="&amp;DATE((T$2-$B$93),12,31))+SUMIFS('NQC list mod'!$M$4:$M$660,'NQC list mod'!$T$4:$T$660,$D94,'NQC list mod'!$W$4:$W$660,"&lt;="&amp;DATE((T$2-$B$93),12,31))</f>
        <v>1355.27</v>
      </c>
      <c r="U94" s="5">
        <f>SUMIFS('NQC list mod'!$E$4:$E$660,'NQC list mod'!$T$4:$T$660,$D94,'NQC list mod'!$W$4:$W$660,"&lt;="&amp;DATE((U$2-$B$93),12,31))+SUMIFS('NQC list mod'!$M$4:$M$660,'NQC list mod'!$T$4:$T$660,$D94,'NQC list mod'!$W$4:$W$660,"&lt;="&amp;DATE((U$2-$B$93),12,31))</f>
        <v>1673.1499999999999</v>
      </c>
      <c r="V94" s="5">
        <f>SUMIFS('NQC list mod'!$E$4:$E$660,'NQC list mod'!$T$4:$T$660,$D94,'NQC list mod'!$W$4:$W$660,"&lt;="&amp;DATE((V$2-$B$93),12,31))+SUMIFS('NQC list mod'!$M$4:$M$660,'NQC list mod'!$T$4:$T$660,$D94,'NQC list mod'!$W$4:$W$660,"&lt;="&amp;DATE((V$2-$B$93),12,31))</f>
        <v>2599.16</v>
      </c>
      <c r="W94" s="5">
        <f>SUMIFS('NQC list mod'!$E$4:$E$660,'NQC list mod'!$T$4:$T$660,$D94,'NQC list mod'!$W$4:$W$660,"&lt;="&amp;DATE((W$2-$B$93),12,31))+SUMIFS('NQC list mod'!$M$4:$M$660,'NQC list mod'!$T$4:$T$660,$D94,'NQC list mod'!$W$4:$W$660,"&lt;="&amp;DATE((W$2-$B$93),12,31))</f>
        <v>3090.1200000000008</v>
      </c>
      <c r="X94" s="5">
        <f>SUMIFS('NQC list mod'!$E$4:$E$660,'NQC list mod'!$T$4:$T$660,$D94,'NQC list mod'!$W$4:$W$660,"&lt;="&amp;DATE((X$2-$B$93),12,31))+SUMIFS('NQC list mod'!$M$4:$M$660,'NQC list mod'!$T$4:$T$660,$D94,'NQC list mod'!$W$4:$W$660,"&lt;="&amp;DATE((X$2-$B$93),12,31))</f>
        <v>3318.9600000000009</v>
      </c>
      <c r="Y94" s="5">
        <f>SUMIFS('NQC list mod'!$E$4:$E$660,'NQC list mod'!$T$4:$T$660,$D94,'NQC list mod'!$W$4:$W$660,"&lt;="&amp;DATE((Y$2-$B$93),12,31))+SUMIFS('NQC list mod'!$M$4:$M$660,'NQC list mod'!$T$4:$T$660,$D94,'NQC list mod'!$W$4:$W$660,"&lt;="&amp;DATE((Y$2-$B$93),12,31))</f>
        <v>3321.7800000000011</v>
      </c>
      <c r="Z94" s="5">
        <f>SUMIFS('NQC list mod'!$E$4:$E$660,'NQC list mod'!$T$4:$T$660,$D94,'NQC list mod'!$W$4:$W$660,"&lt;="&amp;DATE((Z$2-$B$93),12,31))+SUMIFS('NQC list mod'!$M$4:$M$660,'NQC list mod'!$T$4:$T$660,$D94,'NQC list mod'!$W$4:$W$660,"&lt;="&amp;DATE((Z$2-$B$93),12,31))</f>
        <v>3338.150000000001</v>
      </c>
      <c r="AA94" s="5">
        <f>SUMIFS('NQC list mod'!$E$4:$E$660,'NQC list mod'!$T$4:$T$660,$D94,'NQC list mod'!$W$4:$W$660,"&lt;="&amp;DATE((AA$2-$B$93),12,31))+SUMIFS('NQC list mod'!$M$4:$M$660,'NQC list mod'!$T$4:$T$660,$D94,'NQC list mod'!$W$4:$W$660,"&lt;="&amp;DATE((AA$2-$B$93),12,31))</f>
        <v>3382.110000000001</v>
      </c>
      <c r="AB94" s="9"/>
    </row>
    <row r="95" spans="1:28" s="115" customFormat="1" x14ac:dyDescent="0.25">
      <c r="B95" s="432"/>
      <c r="D95" s="97"/>
      <c r="E95" s="5"/>
      <c r="F95" s="5"/>
      <c r="G95" s="5"/>
      <c r="H95" s="5"/>
      <c r="I95" s="5"/>
      <c r="J95" s="5"/>
      <c r="K95" s="5"/>
      <c r="L95" s="5"/>
      <c r="M95" s="5"/>
      <c r="N95" s="5"/>
      <c r="O95" s="5"/>
      <c r="P95" s="5"/>
      <c r="Q95" s="5"/>
      <c r="R95" s="5"/>
      <c r="S95" s="5"/>
      <c r="T95" s="5"/>
      <c r="U95" s="5"/>
      <c r="V95" s="5"/>
      <c r="W95" s="5"/>
      <c r="X95" s="5"/>
      <c r="Y95" s="5"/>
      <c r="Z95" s="5"/>
      <c r="AA95" s="5"/>
      <c r="AB95" s="9"/>
    </row>
    <row r="96" spans="1:28" s="115" customFormat="1" x14ac:dyDescent="0.25">
      <c r="A96" s="115" t="s">
        <v>4676</v>
      </c>
      <c r="B96" s="43">
        <v>70</v>
      </c>
      <c r="D96" s="115" t="str">
        <f>D45</f>
        <v>Dispatchable Hydro</v>
      </c>
      <c r="E96" s="5">
        <f>SUMIFS('NQC list mod'!$E$4:$E$660,'NQC list mod'!$T$4:$T$660,$D96,'NQC list mod'!$W$4:$W$660,"&lt;="&amp;DATE((E$2-$B$96),12,31))+SUMIFS('NQC list mod'!$M$4:$M$660,'NQC list mod'!$T$4:$T$660,$D96,'NQC list mod'!$W$4:$W$660,"&lt;="&amp;DATE((E$2-$B$96),12,31))</f>
        <v>1308.7700000000002</v>
      </c>
      <c r="F96" s="5">
        <f>SUMIFS('NQC list mod'!$E$4:$E$660,'NQC list mod'!$T$4:$T$660,$D96,'NQC list mod'!$W$4:$W$660,"&lt;="&amp;DATE((F$2-$B$96),12,31))+SUMIFS('NQC list mod'!$M$4:$M$660,'NQC list mod'!$T$4:$T$660,$D96,'NQC list mod'!$W$4:$W$660,"&lt;="&amp;DATE((F$2-$B$96),12,31))</f>
        <v>1330.7700000000002</v>
      </c>
      <c r="G96" s="5">
        <f>SUMIFS('NQC list mod'!$E$4:$E$660,'NQC list mod'!$T$4:$T$660,$D96,'NQC list mod'!$W$4:$W$660,"&lt;="&amp;DATE((G$2-$B$96),12,31))+SUMIFS('NQC list mod'!$M$4:$M$660,'NQC list mod'!$T$4:$T$660,$D96,'NQC list mod'!$W$4:$W$660,"&lt;="&amp;DATE((G$2-$B$96),12,31))</f>
        <v>1490.7700000000002</v>
      </c>
      <c r="H96" s="5">
        <f>SUMIFS('NQC list mod'!$E$4:$E$660,'NQC list mod'!$T$4:$T$660,$D96,'NQC list mod'!$W$4:$W$660,"&lt;="&amp;DATE((H$2-$B$96),12,31))+SUMIFS('NQC list mod'!$M$4:$M$660,'NQC list mod'!$T$4:$T$660,$D96,'NQC list mod'!$W$4:$W$660,"&lt;="&amp;DATE((H$2-$B$96),12,31))</f>
        <v>1490.7700000000002</v>
      </c>
      <c r="I96" s="5">
        <f>SUMIFS('NQC list mod'!$E$4:$E$660,'NQC list mod'!$T$4:$T$660,$D96,'NQC list mod'!$W$4:$W$660,"&lt;="&amp;DATE((I$2-$B$96),12,31))+SUMIFS('NQC list mod'!$M$4:$M$660,'NQC list mod'!$T$4:$T$660,$D96,'NQC list mod'!$W$4:$W$660,"&lt;="&amp;DATE((I$2-$B$96),12,31))</f>
        <v>1490.7700000000002</v>
      </c>
      <c r="J96" s="5">
        <f>SUMIFS('NQC list mod'!$E$4:$E$660,'NQC list mod'!$T$4:$T$660,$D96,'NQC list mod'!$W$4:$W$660,"&lt;="&amp;DATE((J$2-$B$96),12,31))+SUMIFS('NQC list mod'!$M$4:$M$660,'NQC list mod'!$T$4:$T$660,$D96,'NQC list mod'!$W$4:$W$660,"&lt;="&amp;DATE((J$2-$B$96),12,31))</f>
        <v>1490.7700000000002</v>
      </c>
      <c r="K96" s="5">
        <f>SUMIFS('NQC list mod'!$E$4:$E$660,'NQC list mod'!$T$4:$T$660,$D96,'NQC list mod'!$W$4:$W$660,"&lt;="&amp;DATE((K$2-$B$96),12,31))+SUMIFS('NQC list mod'!$M$4:$M$660,'NQC list mod'!$T$4:$T$660,$D96,'NQC list mod'!$W$4:$W$660,"&lt;="&amp;DATE((K$2-$B$96),12,31))</f>
        <v>1602.7700000000002</v>
      </c>
      <c r="L96" s="5">
        <f>SUMIFS('NQC list mod'!$E$4:$E$660,'NQC list mod'!$T$4:$T$660,$D96,'NQC list mod'!$W$4:$W$660,"&lt;="&amp;DATE((L$2-$B$96),12,31))+SUMIFS('NQC list mod'!$M$4:$M$660,'NQC list mod'!$T$4:$T$660,$D96,'NQC list mod'!$W$4:$W$660,"&lt;="&amp;DATE((L$2-$B$96),12,31))</f>
        <v>1672.7700000000002</v>
      </c>
      <c r="M96" s="5">
        <f>SUMIFS('NQC list mod'!$E$4:$E$660,'NQC list mod'!$T$4:$T$660,$D96,'NQC list mod'!$W$4:$W$660,"&lt;="&amp;DATE((M$2-$B$96),12,31))+SUMIFS('NQC list mod'!$M$4:$M$660,'NQC list mod'!$T$4:$T$660,$D96,'NQC list mod'!$W$4:$W$660,"&lt;="&amp;DATE((M$2-$B$96),12,31))</f>
        <v>1784.7700000000002</v>
      </c>
      <c r="N96" s="5">
        <f>SUMIFS('NQC list mod'!$E$4:$E$660,'NQC list mod'!$T$4:$T$660,$D96,'NQC list mod'!$W$4:$W$660,"&lt;="&amp;DATE((N$2-$B$96),12,31))+SUMIFS('NQC list mod'!$M$4:$M$660,'NQC list mod'!$T$4:$T$660,$D96,'NQC list mod'!$W$4:$W$660,"&lt;="&amp;DATE((N$2-$B$96),12,31))</f>
        <v>1784.7700000000002</v>
      </c>
      <c r="O96" s="5">
        <f>SUMIFS('NQC list mod'!$E$4:$E$660,'NQC list mod'!$T$4:$T$660,$D96,'NQC list mod'!$W$4:$W$660,"&lt;="&amp;DATE((O$2-$B$96),12,31))+SUMIFS('NQC list mod'!$M$4:$M$660,'NQC list mod'!$T$4:$T$660,$D96,'NQC list mod'!$W$4:$W$660,"&lt;="&amp;DATE((O$2-$B$96),12,31))</f>
        <v>1784.7700000000002</v>
      </c>
      <c r="P96" s="5">
        <f>SUMIFS('NQC list mod'!$E$4:$E$660,'NQC list mod'!$T$4:$T$660,$D96,'NQC list mod'!$W$4:$W$660,"&lt;="&amp;DATE((P$2-$B$96),12,31))+SUMIFS('NQC list mod'!$M$4:$M$660,'NQC list mod'!$T$4:$T$660,$D96,'NQC list mod'!$W$4:$W$660,"&lt;="&amp;DATE((P$2-$B$96),12,31))</f>
        <v>1784.7700000000002</v>
      </c>
      <c r="Q96" s="5">
        <f>SUMIFS('NQC list mod'!$E$4:$E$660,'NQC list mod'!$T$4:$T$660,$D96,'NQC list mod'!$W$4:$W$660,"&lt;="&amp;DATE((Q$2-$B$96),12,31))+SUMIFS('NQC list mod'!$M$4:$M$660,'NQC list mod'!$T$4:$T$660,$D96,'NQC list mod'!$W$4:$W$660,"&lt;="&amp;DATE((Q$2-$B$96),12,31))</f>
        <v>1784.7700000000002</v>
      </c>
      <c r="R96" s="5">
        <f>SUMIFS('NQC list mod'!$E$4:$E$660,'NQC list mod'!$T$4:$T$660,$D96,'NQC list mod'!$W$4:$W$660,"&lt;="&amp;DATE((R$2-$B$96),12,31))+SUMIFS('NQC list mod'!$M$4:$M$660,'NQC list mod'!$T$4:$T$660,$D96,'NQC list mod'!$W$4:$W$660,"&lt;="&amp;DATE((R$2-$B$96),12,31))</f>
        <v>1879.7700000000002</v>
      </c>
      <c r="S96" s="5">
        <f>SUMIFS('NQC list mod'!$E$4:$E$660,'NQC list mod'!$T$4:$T$660,$D96,'NQC list mod'!$W$4:$W$660,"&lt;="&amp;DATE((S$2-$B$96),12,31))+SUMIFS('NQC list mod'!$M$4:$M$660,'NQC list mod'!$T$4:$T$660,$D96,'NQC list mod'!$W$4:$W$660,"&lt;="&amp;DATE((S$2-$B$96),12,31))</f>
        <v>1879.7700000000002</v>
      </c>
      <c r="T96" s="5">
        <f>SUMIFS('NQC list mod'!$E$4:$E$660,'NQC list mod'!$T$4:$T$660,$D96,'NQC list mod'!$W$4:$W$660,"&lt;="&amp;DATE((T$2-$B$96),12,31))+SUMIFS('NQC list mod'!$M$4:$M$660,'NQC list mod'!$T$4:$T$660,$D96,'NQC list mod'!$W$4:$W$660,"&lt;="&amp;DATE((T$2-$B$96),12,31))</f>
        <v>1960.1300000000003</v>
      </c>
      <c r="U96" s="5">
        <f>SUMIFS('NQC list mod'!$E$4:$E$660,'NQC list mod'!$T$4:$T$660,$D96,'NQC list mod'!$W$4:$W$660,"&lt;="&amp;DATE((U$2-$B$96),12,31))+SUMIFS('NQC list mod'!$M$4:$M$660,'NQC list mod'!$T$4:$T$660,$D96,'NQC list mod'!$W$4:$W$660,"&lt;="&amp;DATE((U$2-$B$96),12,31))</f>
        <v>2498.9</v>
      </c>
      <c r="V96" s="5">
        <f>SUMIFS('NQC list mod'!$E$4:$E$660,'NQC list mod'!$T$4:$T$660,$D96,'NQC list mod'!$W$4:$W$660,"&lt;="&amp;DATE((V$2-$B$96),12,31))+SUMIFS('NQC list mod'!$M$4:$M$660,'NQC list mod'!$T$4:$T$660,$D96,'NQC list mod'!$W$4:$W$660,"&lt;="&amp;DATE((V$2-$B$96),12,31))</f>
        <v>2498.9</v>
      </c>
      <c r="W96" s="5">
        <f>SUMIFS('NQC list mod'!$E$4:$E$660,'NQC list mod'!$T$4:$T$660,$D96,'NQC list mod'!$W$4:$W$660,"&lt;="&amp;DATE((W$2-$B$96),12,31))+SUMIFS('NQC list mod'!$M$4:$M$660,'NQC list mod'!$T$4:$T$660,$D96,'NQC list mod'!$W$4:$W$660,"&lt;="&amp;DATE((W$2-$B$96),12,31))</f>
        <v>2498.9</v>
      </c>
      <c r="X96" s="5">
        <f>SUMIFS('NQC list mod'!$E$4:$E$660,'NQC list mod'!$T$4:$T$660,$D96,'NQC list mod'!$W$4:$W$660,"&lt;="&amp;DATE((X$2-$B$96),12,31))+SUMIFS('NQC list mod'!$M$4:$M$660,'NQC list mod'!$T$4:$T$660,$D96,'NQC list mod'!$W$4:$W$660,"&lt;="&amp;DATE((X$2-$B$96),12,31))</f>
        <v>2498.9</v>
      </c>
      <c r="Y96" s="5">
        <f>SUMIFS('NQC list mod'!$E$4:$E$660,'NQC list mod'!$T$4:$T$660,$D96,'NQC list mod'!$W$4:$W$660,"&lt;="&amp;DATE((Y$2-$B$96),12,31))+SUMIFS('NQC list mod'!$M$4:$M$660,'NQC list mod'!$T$4:$T$660,$D96,'NQC list mod'!$W$4:$W$660,"&lt;="&amp;DATE((Y$2-$B$96),12,31))</f>
        <v>2550.1000000000004</v>
      </c>
      <c r="Z96" s="5">
        <f>SUMIFS('NQC list mod'!$E$4:$E$660,'NQC list mod'!$T$4:$T$660,$D96,'NQC list mod'!$W$4:$W$660,"&lt;="&amp;DATE((Z$2-$B$96),12,31))+SUMIFS('NQC list mod'!$M$4:$M$660,'NQC list mod'!$T$4:$T$660,$D96,'NQC list mod'!$W$4:$W$660,"&lt;="&amp;DATE((Z$2-$B$96),12,31))</f>
        <v>2745.1000000000004</v>
      </c>
      <c r="AA96" s="5">
        <f>SUMIFS('NQC list mod'!$E$4:$E$660,'NQC list mod'!$T$4:$T$660,$D96,'NQC list mod'!$W$4:$W$660,"&lt;="&amp;DATE((AA$2-$B$96),12,31))+SUMIFS('NQC list mod'!$M$4:$M$660,'NQC list mod'!$T$4:$T$660,$D96,'NQC list mod'!$W$4:$W$660,"&lt;="&amp;DATE((AA$2-$B$96),12,31))</f>
        <v>2745.1000000000004</v>
      </c>
      <c r="AB96" s="9"/>
    </row>
    <row r="97" spans="1:28" s="115" customFormat="1" x14ac:dyDescent="0.25">
      <c r="B97" s="432"/>
      <c r="C97" s="17"/>
      <c r="D97" s="3" t="str">
        <f>D46</f>
        <v>Non-Disp Hydro</v>
      </c>
      <c r="E97" s="5">
        <f>SUMIFS('NQC list mod'!$E$4:$E$660,'NQC list mod'!$T$4:$T$660,$D97,'NQC list mod'!$W$4:$W$660,"&lt;="&amp;DATE((E$2-$B$96),12,31))+SUMIFS('NQC list mod'!$M$4:$M$660,'NQC list mod'!$T$4:$T$660,$D97,'NQC list mod'!$W$4:$W$660,"&lt;="&amp;DATE((E$2-$B$96),12,31))</f>
        <v>111.41999999999999</v>
      </c>
      <c r="F97" s="5">
        <f>SUMIFS('NQC list mod'!$E$4:$E$660,'NQC list mod'!$T$4:$T$660,$D97,'NQC list mod'!$W$4:$W$660,"&lt;="&amp;DATE((F$2-$B$96),12,31))+SUMIFS('NQC list mod'!$M$4:$M$660,'NQC list mod'!$T$4:$T$660,$D97,'NQC list mod'!$W$4:$W$660,"&lt;="&amp;DATE((F$2-$B$96),12,31))</f>
        <v>111.41999999999999</v>
      </c>
      <c r="G97" s="5">
        <f>SUMIFS('NQC list mod'!$E$4:$E$660,'NQC list mod'!$T$4:$T$660,$D97,'NQC list mod'!$W$4:$W$660,"&lt;="&amp;DATE((G$2-$B$96),12,31))+SUMIFS('NQC list mod'!$M$4:$M$660,'NQC list mod'!$T$4:$T$660,$D97,'NQC list mod'!$W$4:$W$660,"&lt;="&amp;DATE((G$2-$B$96),12,31))</f>
        <v>111.41999999999999</v>
      </c>
      <c r="H97" s="5">
        <f>SUMIFS('NQC list mod'!$E$4:$E$660,'NQC list mod'!$T$4:$T$660,$D97,'NQC list mod'!$W$4:$W$660,"&lt;="&amp;DATE((H$2-$B$96),12,31))+SUMIFS('NQC list mod'!$M$4:$M$660,'NQC list mod'!$T$4:$T$660,$D97,'NQC list mod'!$W$4:$W$660,"&lt;="&amp;DATE((H$2-$B$96),12,31))</f>
        <v>111.41999999999999</v>
      </c>
      <c r="I97" s="5">
        <f>SUMIFS('NQC list mod'!$E$4:$E$660,'NQC list mod'!$T$4:$T$660,$D97,'NQC list mod'!$W$4:$W$660,"&lt;="&amp;DATE((I$2-$B$96),12,31))+SUMIFS('NQC list mod'!$M$4:$M$660,'NQC list mod'!$T$4:$T$660,$D97,'NQC list mod'!$W$4:$W$660,"&lt;="&amp;DATE((I$2-$B$96),12,31))</f>
        <v>111.41999999999999</v>
      </c>
      <c r="J97" s="5">
        <f>SUMIFS('NQC list mod'!$E$4:$E$660,'NQC list mod'!$T$4:$T$660,$D97,'NQC list mod'!$W$4:$W$660,"&lt;="&amp;DATE((J$2-$B$96),12,31))+SUMIFS('NQC list mod'!$M$4:$M$660,'NQC list mod'!$T$4:$T$660,$D97,'NQC list mod'!$W$4:$W$660,"&lt;="&amp;DATE((J$2-$B$96),12,31))</f>
        <v>111.69</v>
      </c>
      <c r="K97" s="5">
        <f>SUMIFS('NQC list mod'!$E$4:$E$660,'NQC list mod'!$T$4:$T$660,$D97,'NQC list mod'!$W$4:$W$660,"&lt;="&amp;DATE((K$2-$B$96),12,31))+SUMIFS('NQC list mod'!$M$4:$M$660,'NQC list mod'!$T$4:$T$660,$D97,'NQC list mod'!$W$4:$W$660,"&lt;="&amp;DATE((K$2-$B$96),12,31))</f>
        <v>111.69</v>
      </c>
      <c r="L97" s="5">
        <f>SUMIFS('NQC list mod'!$E$4:$E$660,'NQC list mod'!$T$4:$T$660,$D97,'NQC list mod'!$W$4:$W$660,"&lt;="&amp;DATE((L$2-$B$96),12,31))+SUMIFS('NQC list mod'!$M$4:$M$660,'NQC list mod'!$T$4:$T$660,$D97,'NQC list mod'!$W$4:$W$660,"&lt;="&amp;DATE((L$2-$B$96),12,31))</f>
        <v>111.69</v>
      </c>
      <c r="M97" s="5">
        <f>SUMIFS('NQC list mod'!$E$4:$E$660,'NQC list mod'!$T$4:$T$660,$D97,'NQC list mod'!$W$4:$W$660,"&lt;="&amp;DATE((M$2-$B$96),12,31))+SUMIFS('NQC list mod'!$M$4:$M$660,'NQC list mod'!$T$4:$T$660,$D97,'NQC list mod'!$W$4:$W$660,"&lt;="&amp;DATE((M$2-$B$96),12,31))</f>
        <v>111.69</v>
      </c>
      <c r="N97" s="5">
        <f>SUMIFS('NQC list mod'!$E$4:$E$660,'NQC list mod'!$T$4:$T$660,$D97,'NQC list mod'!$W$4:$W$660,"&lt;="&amp;DATE((N$2-$B$96),12,31))+SUMIFS('NQC list mod'!$M$4:$M$660,'NQC list mod'!$T$4:$T$660,$D97,'NQC list mod'!$W$4:$W$660,"&lt;="&amp;DATE((N$2-$B$96),12,31))</f>
        <v>111.69</v>
      </c>
      <c r="O97" s="5">
        <f>SUMIFS('NQC list mod'!$E$4:$E$660,'NQC list mod'!$T$4:$T$660,$D97,'NQC list mod'!$W$4:$W$660,"&lt;="&amp;DATE((O$2-$B$96),12,31))+SUMIFS('NQC list mod'!$M$4:$M$660,'NQC list mod'!$T$4:$T$660,$D97,'NQC list mod'!$W$4:$W$660,"&lt;="&amp;DATE((O$2-$B$96),12,31))</f>
        <v>111.69</v>
      </c>
      <c r="P97" s="5">
        <f>SUMIFS('NQC list mod'!$E$4:$E$660,'NQC list mod'!$T$4:$T$660,$D97,'NQC list mod'!$W$4:$W$660,"&lt;="&amp;DATE((P$2-$B$96),12,31))+SUMIFS('NQC list mod'!$M$4:$M$660,'NQC list mod'!$T$4:$T$660,$D97,'NQC list mod'!$W$4:$W$660,"&lt;="&amp;DATE((P$2-$B$96),12,31))</f>
        <v>111.69</v>
      </c>
      <c r="Q97" s="5">
        <f>SUMIFS('NQC list mod'!$E$4:$E$660,'NQC list mod'!$T$4:$T$660,$D97,'NQC list mod'!$W$4:$W$660,"&lt;="&amp;DATE((Q$2-$B$96),12,31))+SUMIFS('NQC list mod'!$M$4:$M$660,'NQC list mod'!$T$4:$T$660,$D97,'NQC list mod'!$W$4:$W$660,"&lt;="&amp;DATE((Q$2-$B$96),12,31))</f>
        <v>111.69</v>
      </c>
      <c r="R97" s="5">
        <f>SUMIFS('NQC list mod'!$E$4:$E$660,'NQC list mod'!$T$4:$T$660,$D97,'NQC list mod'!$W$4:$W$660,"&lt;="&amp;DATE((R$2-$B$96),12,31))+SUMIFS('NQC list mod'!$M$4:$M$660,'NQC list mod'!$T$4:$T$660,$D97,'NQC list mod'!$W$4:$W$660,"&lt;="&amp;DATE((R$2-$B$96),12,31))</f>
        <v>111.69</v>
      </c>
      <c r="S97" s="5">
        <f>SUMIFS('NQC list mod'!$E$4:$E$660,'NQC list mod'!$T$4:$T$660,$D97,'NQC list mod'!$W$4:$W$660,"&lt;="&amp;DATE((S$2-$B$96),12,31))+SUMIFS('NQC list mod'!$M$4:$M$660,'NQC list mod'!$T$4:$T$660,$D97,'NQC list mod'!$W$4:$W$660,"&lt;="&amp;DATE((S$2-$B$96),12,31))</f>
        <v>111.69</v>
      </c>
      <c r="T97" s="5">
        <f>SUMIFS('NQC list mod'!$E$4:$E$660,'NQC list mod'!$T$4:$T$660,$D97,'NQC list mod'!$W$4:$W$660,"&lt;="&amp;DATE((T$2-$B$96),12,31))+SUMIFS('NQC list mod'!$M$4:$M$660,'NQC list mod'!$T$4:$T$660,$D97,'NQC list mod'!$W$4:$W$660,"&lt;="&amp;DATE((T$2-$B$96),12,31))</f>
        <v>111.69</v>
      </c>
      <c r="U97" s="5">
        <f>SUMIFS('NQC list mod'!$E$4:$E$660,'NQC list mod'!$T$4:$T$660,$D97,'NQC list mod'!$W$4:$W$660,"&lt;="&amp;DATE((U$2-$B$96),12,31))+SUMIFS('NQC list mod'!$M$4:$M$660,'NQC list mod'!$T$4:$T$660,$D97,'NQC list mod'!$W$4:$W$660,"&lt;="&amp;DATE((U$2-$B$96),12,31))</f>
        <v>111.69</v>
      </c>
      <c r="V97" s="5">
        <f>SUMIFS('NQC list mod'!$E$4:$E$660,'NQC list mod'!$T$4:$T$660,$D97,'NQC list mod'!$W$4:$W$660,"&lt;="&amp;DATE((V$2-$B$96),12,31))+SUMIFS('NQC list mod'!$M$4:$M$660,'NQC list mod'!$T$4:$T$660,$D97,'NQC list mod'!$W$4:$W$660,"&lt;="&amp;DATE((V$2-$B$96),12,31))</f>
        <v>111.69</v>
      </c>
      <c r="W97" s="5">
        <f>SUMIFS('NQC list mod'!$E$4:$E$660,'NQC list mod'!$T$4:$T$660,$D97,'NQC list mod'!$W$4:$W$660,"&lt;="&amp;DATE((W$2-$B$96),12,31))+SUMIFS('NQC list mod'!$M$4:$M$660,'NQC list mod'!$T$4:$T$660,$D97,'NQC list mod'!$W$4:$W$660,"&lt;="&amp;DATE((W$2-$B$96),12,31))</f>
        <v>111.69</v>
      </c>
      <c r="X97" s="5">
        <f>SUMIFS('NQC list mod'!$E$4:$E$660,'NQC list mod'!$T$4:$T$660,$D97,'NQC list mod'!$W$4:$W$660,"&lt;="&amp;DATE((X$2-$B$96),12,31))+SUMIFS('NQC list mod'!$M$4:$M$660,'NQC list mod'!$T$4:$T$660,$D97,'NQC list mod'!$W$4:$W$660,"&lt;="&amp;DATE((X$2-$B$96),12,31))</f>
        <v>111.69</v>
      </c>
      <c r="Y97" s="5">
        <f>SUMIFS('NQC list mod'!$E$4:$E$660,'NQC list mod'!$T$4:$T$660,$D97,'NQC list mod'!$W$4:$W$660,"&lt;="&amp;DATE((Y$2-$B$96),12,31))+SUMIFS('NQC list mod'!$M$4:$M$660,'NQC list mod'!$T$4:$T$660,$D97,'NQC list mod'!$W$4:$W$660,"&lt;="&amp;DATE((Y$2-$B$96),12,31))</f>
        <v>111.69</v>
      </c>
      <c r="Z97" s="5">
        <f>SUMIFS('NQC list mod'!$E$4:$E$660,'NQC list mod'!$T$4:$T$660,$D97,'NQC list mod'!$W$4:$W$660,"&lt;="&amp;DATE((Z$2-$B$96),12,31))+SUMIFS('NQC list mod'!$M$4:$M$660,'NQC list mod'!$T$4:$T$660,$D97,'NQC list mod'!$W$4:$W$660,"&lt;="&amp;DATE((Z$2-$B$96),12,31))</f>
        <v>120.04999999999998</v>
      </c>
      <c r="AA97" s="5">
        <f>SUMIFS('NQC list mod'!$E$4:$E$660,'NQC list mod'!$T$4:$T$660,$D97,'NQC list mod'!$W$4:$W$660,"&lt;="&amp;DATE((AA$2-$B$96),12,31))+SUMIFS('NQC list mod'!$M$4:$M$660,'NQC list mod'!$T$4:$T$660,$D97,'NQC list mod'!$W$4:$W$660,"&lt;="&amp;DATE((AA$2-$B$96),12,31))</f>
        <v>120.04999999999998</v>
      </c>
      <c r="AB97" s="9"/>
    </row>
    <row r="98" spans="1:28" s="115" customFormat="1" x14ac:dyDescent="0.25">
      <c r="B98" s="432"/>
      <c r="C98" s="17"/>
      <c r="D98" s="3"/>
      <c r="E98" s="5"/>
      <c r="F98" s="5"/>
      <c r="G98" s="5"/>
      <c r="H98" s="5"/>
      <c r="I98" s="5"/>
      <c r="J98" s="5"/>
      <c r="K98" s="5"/>
      <c r="L98" s="5"/>
      <c r="M98" s="5"/>
      <c r="N98" s="5"/>
      <c r="O98" s="5"/>
      <c r="P98" s="5"/>
      <c r="Q98" s="5"/>
      <c r="R98" s="5"/>
      <c r="S98" s="5"/>
      <c r="T98" s="5"/>
      <c r="U98" s="5"/>
      <c r="V98" s="5"/>
      <c r="W98" s="5"/>
      <c r="X98" s="5"/>
      <c r="Y98" s="5"/>
      <c r="Z98" s="5"/>
      <c r="AA98" s="5"/>
      <c r="AB98" s="9"/>
    </row>
    <row r="99" spans="1:28" s="115" customFormat="1" x14ac:dyDescent="0.25">
      <c r="A99" s="115" t="s">
        <v>4676</v>
      </c>
      <c r="B99" s="43">
        <v>25</v>
      </c>
      <c r="D99" s="115" t="str">
        <f>D47</f>
        <v>Solar</v>
      </c>
      <c r="E99" s="5">
        <f>SUMIFS('NQC list mod'!$E$4:$E$660,'NQC list mod'!$T$4:$T$660,$D99,'NQC list mod'!$W$4:$W$660,"&lt;="&amp;DATE((E$2-$B$99),12,31))+SUMIFS('NQC list mod'!$M$4:$M$660,'NQC list mod'!$T$4:$T$660,$D99,'NQC list mod'!$W$4:$W$660,"&lt;="&amp;DATE((E$2-$B$99),12,31))</f>
        <v>366.32999999999993</v>
      </c>
      <c r="F99" s="5">
        <f>SUMIFS('NQC list mod'!$E$4:$E$660,'NQC list mod'!$T$4:$T$660,$D99,'NQC list mod'!$W$4:$W$660,"&lt;="&amp;DATE((F$2-$B$99),12,31))+SUMIFS('NQC list mod'!$M$4:$M$660,'NQC list mod'!$T$4:$T$660,$D99,'NQC list mod'!$W$4:$W$660,"&lt;="&amp;DATE((F$2-$B$99),12,31))</f>
        <v>366.32999999999993</v>
      </c>
      <c r="G99" s="5">
        <f>SUMIFS('NQC list mod'!$E$4:$E$660,'NQC list mod'!$T$4:$T$660,$D99,'NQC list mod'!$W$4:$W$660,"&lt;="&amp;DATE((G$2-$B$99),12,31))+SUMIFS('NQC list mod'!$M$4:$M$660,'NQC list mod'!$T$4:$T$660,$D99,'NQC list mod'!$W$4:$W$660,"&lt;="&amp;DATE((G$2-$B$99),12,31))</f>
        <v>366.32999999999993</v>
      </c>
      <c r="H99" s="5">
        <f>SUMIFS('NQC list mod'!$E$4:$E$660,'NQC list mod'!$T$4:$T$660,$D99,'NQC list mod'!$W$4:$W$660,"&lt;="&amp;DATE((H$2-$B$99),12,31))+SUMIFS('NQC list mod'!$M$4:$M$660,'NQC list mod'!$T$4:$T$660,$D99,'NQC list mod'!$W$4:$W$660,"&lt;="&amp;DATE((H$2-$B$99),12,31))</f>
        <v>366.32999999999993</v>
      </c>
      <c r="I99" s="5">
        <f>SUMIFS('NQC list mod'!$E$4:$E$660,'NQC list mod'!$T$4:$T$660,$D99,'NQC list mod'!$W$4:$W$660,"&lt;="&amp;DATE((I$2-$B$99),12,31))+SUMIFS('NQC list mod'!$M$4:$M$660,'NQC list mod'!$T$4:$T$660,$D99,'NQC list mod'!$W$4:$W$660,"&lt;="&amp;DATE((I$2-$B$99),12,31))</f>
        <v>366.32999999999993</v>
      </c>
      <c r="J99" s="5">
        <f>SUMIFS('NQC list mod'!$E$4:$E$660,'NQC list mod'!$T$4:$T$660,$D99,'NQC list mod'!$W$4:$W$660,"&lt;="&amp;DATE((J$2-$B$99),12,31))+SUMIFS('NQC list mod'!$M$4:$M$660,'NQC list mod'!$T$4:$T$660,$D99,'NQC list mod'!$W$4:$W$660,"&lt;="&amp;DATE((J$2-$B$99),12,31))</f>
        <v>366.32999999999993</v>
      </c>
      <c r="K99" s="5">
        <f>SUMIFS('NQC list mod'!$E$4:$E$660,'NQC list mod'!$T$4:$T$660,$D99,'NQC list mod'!$W$4:$W$660,"&lt;="&amp;DATE((K$2-$B$99),12,31))+SUMIFS('NQC list mod'!$M$4:$M$660,'NQC list mod'!$T$4:$T$660,$D99,'NQC list mod'!$W$4:$W$660,"&lt;="&amp;DATE((K$2-$B$99),12,31))</f>
        <v>366.32999999999993</v>
      </c>
      <c r="L99" s="5">
        <f>SUMIFS('NQC list mod'!$E$4:$E$660,'NQC list mod'!$T$4:$T$660,$D99,'NQC list mod'!$W$4:$W$660,"&lt;="&amp;DATE((L$2-$B$99),12,31))+SUMIFS('NQC list mod'!$M$4:$M$660,'NQC list mod'!$T$4:$T$660,$D99,'NQC list mod'!$W$4:$W$660,"&lt;="&amp;DATE((L$2-$B$99),12,31))</f>
        <v>366.32999999999993</v>
      </c>
      <c r="M99" s="5">
        <f>SUMIFS('NQC list mod'!$E$4:$E$660,'NQC list mod'!$T$4:$T$660,$D99,'NQC list mod'!$W$4:$W$660,"&lt;="&amp;DATE((M$2-$B$99),12,31))+SUMIFS('NQC list mod'!$M$4:$M$660,'NQC list mod'!$T$4:$T$660,$D99,'NQC list mod'!$W$4:$W$660,"&lt;="&amp;DATE((M$2-$B$99),12,31))</f>
        <v>366.32999999999993</v>
      </c>
      <c r="N99" s="5">
        <f>SUMIFS('NQC list mod'!$E$4:$E$660,'NQC list mod'!$T$4:$T$660,$D99,'NQC list mod'!$W$4:$W$660,"&lt;="&amp;DATE((N$2-$B$99),12,31))+SUMIFS('NQC list mod'!$M$4:$M$660,'NQC list mod'!$T$4:$T$660,$D99,'NQC list mod'!$W$4:$W$660,"&lt;="&amp;DATE((N$2-$B$99),12,31))</f>
        <v>366.32999999999993</v>
      </c>
      <c r="O99" s="5">
        <f>SUMIFS('NQC list mod'!$E$4:$E$660,'NQC list mod'!$T$4:$T$660,$D99,'NQC list mod'!$W$4:$W$660,"&lt;="&amp;DATE((O$2-$B$99),12,31))+SUMIFS('NQC list mod'!$M$4:$M$660,'NQC list mod'!$T$4:$T$660,$D99,'NQC list mod'!$W$4:$W$660,"&lt;="&amp;DATE((O$2-$B$99),12,31))</f>
        <v>366.32999999999993</v>
      </c>
      <c r="P99" s="5">
        <f>SUMIFS('NQC list mod'!$E$4:$E$660,'NQC list mod'!$T$4:$T$660,$D99,'NQC list mod'!$W$4:$W$660,"&lt;="&amp;DATE((P$2-$B$99),12,31))+SUMIFS('NQC list mod'!$M$4:$M$660,'NQC list mod'!$T$4:$T$660,$D99,'NQC list mod'!$W$4:$W$660,"&lt;="&amp;DATE((P$2-$B$99),12,31))</f>
        <v>366.32999999999993</v>
      </c>
      <c r="Q99" s="5">
        <f>SUMIFS('NQC list mod'!$E$4:$E$660,'NQC list mod'!$T$4:$T$660,$D99,'NQC list mod'!$W$4:$W$660,"&lt;="&amp;DATE((Q$2-$B$99),12,31))+SUMIFS('NQC list mod'!$M$4:$M$660,'NQC list mod'!$T$4:$T$660,$D99,'NQC list mod'!$W$4:$W$660,"&lt;="&amp;DATE((Q$2-$B$99),12,31))</f>
        <v>366.32999999999993</v>
      </c>
      <c r="R99" s="5">
        <f>SUMIFS('NQC list mod'!$E$4:$E$660,'NQC list mod'!$T$4:$T$660,$D99,'NQC list mod'!$W$4:$W$660,"&lt;="&amp;DATE((R$2-$B$99),12,31))+SUMIFS('NQC list mod'!$M$4:$M$660,'NQC list mod'!$T$4:$T$660,$D99,'NQC list mod'!$W$4:$W$660,"&lt;="&amp;DATE((R$2-$B$99),12,31))</f>
        <v>366.32999999999993</v>
      </c>
      <c r="S99" s="5">
        <f>SUMIFS('NQC list mod'!$E$4:$E$660,'NQC list mod'!$T$4:$T$660,$D99,'NQC list mod'!$W$4:$W$660,"&lt;="&amp;DATE((S$2-$B$99),12,31))+SUMIFS('NQC list mod'!$M$4:$M$660,'NQC list mod'!$T$4:$T$660,$D99,'NQC list mod'!$W$4:$W$660,"&lt;="&amp;DATE((S$2-$B$99),12,31))</f>
        <v>366.32999999999993</v>
      </c>
      <c r="T99" s="5">
        <f>SUMIFS('NQC list mod'!$E$4:$E$660,'NQC list mod'!$T$4:$T$660,$D99,'NQC list mod'!$W$4:$W$660,"&lt;="&amp;DATE((T$2-$B$99),12,31))+SUMIFS('NQC list mod'!$M$4:$M$660,'NQC list mod'!$T$4:$T$660,$D99,'NQC list mod'!$W$4:$W$660,"&lt;="&amp;DATE((T$2-$B$99),12,31))</f>
        <v>366.32999999999993</v>
      </c>
      <c r="U99" s="5">
        <f>SUMIFS('NQC list mod'!$E$4:$E$660,'NQC list mod'!$T$4:$T$660,$D99,'NQC list mod'!$W$4:$W$660,"&lt;="&amp;DATE((U$2-$B$99),12,31))+SUMIFS('NQC list mod'!$M$4:$M$660,'NQC list mod'!$T$4:$T$660,$D99,'NQC list mod'!$W$4:$W$660,"&lt;="&amp;DATE((U$2-$B$99),12,31))</f>
        <v>366.32999999999993</v>
      </c>
      <c r="V99" s="5">
        <f>SUMIFS('NQC list mod'!$E$4:$E$660,'NQC list mod'!$T$4:$T$660,$D99,'NQC list mod'!$W$4:$W$660,"&lt;="&amp;DATE((V$2-$B$99),12,31))+SUMIFS('NQC list mod'!$M$4:$M$660,'NQC list mod'!$T$4:$T$660,$D99,'NQC list mod'!$W$4:$W$660,"&lt;="&amp;DATE((V$2-$B$99),12,31))</f>
        <v>366.32999999999993</v>
      </c>
      <c r="W99" s="5">
        <f>SUMIFS('NQC list mod'!$E$4:$E$660,'NQC list mod'!$T$4:$T$660,$D99,'NQC list mod'!$W$4:$W$660,"&lt;="&amp;DATE((W$2-$B$99),12,31))+SUMIFS('NQC list mod'!$M$4:$M$660,'NQC list mod'!$T$4:$T$660,$D99,'NQC list mod'!$W$4:$W$660,"&lt;="&amp;DATE((W$2-$B$99),12,31))</f>
        <v>366.32999999999993</v>
      </c>
      <c r="X99" s="5">
        <f>SUMIFS('NQC list mod'!$E$4:$E$660,'NQC list mod'!$T$4:$T$660,$D99,'NQC list mod'!$W$4:$W$660,"&lt;="&amp;DATE((X$2-$B$99),12,31))+SUMIFS('NQC list mod'!$M$4:$M$660,'NQC list mod'!$T$4:$T$660,$D99,'NQC list mod'!$W$4:$W$660,"&lt;="&amp;DATE((X$2-$B$99),12,31))</f>
        <v>366.32999999999993</v>
      </c>
      <c r="Y99" s="5">
        <f>SUMIFS('NQC list mod'!$E$4:$E$660,'NQC list mod'!$T$4:$T$660,$D99,'NQC list mod'!$W$4:$W$660,"&lt;="&amp;DATE((Y$2-$B$99),12,31))+SUMIFS('NQC list mod'!$M$4:$M$660,'NQC list mod'!$T$4:$T$660,$D99,'NQC list mod'!$W$4:$W$660,"&lt;="&amp;DATE((Y$2-$B$99),12,31))</f>
        <v>366.32999999999993</v>
      </c>
      <c r="Z99" s="5">
        <f>SUMIFS('NQC list mod'!$E$4:$E$660,'NQC list mod'!$T$4:$T$660,$D99,'NQC list mod'!$W$4:$W$660,"&lt;="&amp;DATE((Z$2-$B$99),12,31))+SUMIFS('NQC list mod'!$M$4:$M$660,'NQC list mod'!$T$4:$T$660,$D99,'NQC list mod'!$W$4:$W$660,"&lt;="&amp;DATE((Z$2-$B$99),12,31))</f>
        <v>366.32999999999993</v>
      </c>
      <c r="AA99" s="5">
        <f>SUMIFS('NQC list mod'!$E$4:$E$660,'NQC list mod'!$T$4:$T$660,$D99,'NQC list mod'!$W$4:$W$660,"&lt;="&amp;DATE((AA$2-$B$99),12,31))+SUMIFS('NQC list mod'!$M$4:$M$660,'NQC list mod'!$T$4:$T$660,$D99,'NQC list mod'!$W$4:$W$660,"&lt;="&amp;DATE((AA$2-$B$99),12,31))</f>
        <v>367.26999999999992</v>
      </c>
      <c r="AB99" s="9"/>
    </row>
    <row r="100" spans="1:28" s="115" customFormat="1" x14ac:dyDescent="0.25">
      <c r="B100" s="432"/>
      <c r="D100" s="3" t="str">
        <f>D48</f>
        <v>Wind</v>
      </c>
      <c r="E100" s="5">
        <f>SUMIFS('NQC list mod'!$E$4:$E$660,'NQC list mod'!$T$4:$T$660,$D100,'NQC list mod'!$W$4:$W$660,"&lt;="&amp;DATE((E$2-$B$99),12,31))+SUMIFS('NQC list mod'!$M$4:$M$660,'NQC list mod'!$T$4:$T$660,$D100,'NQC list mod'!$W$4:$W$660,"&lt;="&amp;DATE((E$2-$B$99),12,31))</f>
        <v>136.5</v>
      </c>
      <c r="F100" s="5">
        <f>SUMIFS('NQC list mod'!$E$4:$E$660,'NQC list mod'!$T$4:$T$660,$D100,'NQC list mod'!$W$4:$W$660,"&lt;="&amp;DATE((F$2-$B$99),12,31))+SUMIFS('NQC list mod'!$M$4:$M$660,'NQC list mod'!$T$4:$T$660,$D100,'NQC list mod'!$W$4:$W$660,"&lt;="&amp;DATE((F$2-$B$99),12,31))</f>
        <v>150.47</v>
      </c>
      <c r="G100" s="5">
        <f>SUMIFS('NQC list mod'!$E$4:$E$660,'NQC list mod'!$T$4:$T$660,$D100,'NQC list mod'!$W$4:$W$660,"&lt;="&amp;DATE((G$2-$B$99),12,31))+SUMIFS('NQC list mod'!$M$4:$M$660,'NQC list mod'!$T$4:$T$660,$D100,'NQC list mod'!$W$4:$W$660,"&lt;="&amp;DATE((G$2-$B$99),12,31))</f>
        <v>150.47</v>
      </c>
      <c r="H100" s="5">
        <f>SUMIFS('NQC list mod'!$E$4:$E$660,'NQC list mod'!$T$4:$T$660,$D100,'NQC list mod'!$W$4:$W$660,"&lt;="&amp;DATE((H$2-$B$99),12,31))+SUMIFS('NQC list mod'!$M$4:$M$660,'NQC list mod'!$T$4:$T$660,$D100,'NQC list mod'!$W$4:$W$660,"&lt;="&amp;DATE((H$2-$B$99),12,31))</f>
        <v>150.47</v>
      </c>
      <c r="I100" s="5">
        <f>SUMIFS('NQC list mod'!$E$4:$E$660,'NQC list mod'!$T$4:$T$660,$D100,'NQC list mod'!$W$4:$W$660,"&lt;="&amp;DATE((I$2-$B$99),12,31))+SUMIFS('NQC list mod'!$M$4:$M$660,'NQC list mod'!$T$4:$T$660,$D100,'NQC list mod'!$W$4:$W$660,"&lt;="&amp;DATE((I$2-$B$99),12,31))</f>
        <v>150.47</v>
      </c>
      <c r="J100" s="5">
        <f>SUMIFS('NQC list mod'!$E$4:$E$660,'NQC list mod'!$T$4:$T$660,$D100,'NQC list mod'!$W$4:$W$660,"&lt;="&amp;DATE((J$2-$B$99),12,31))+SUMIFS('NQC list mod'!$M$4:$M$660,'NQC list mod'!$T$4:$T$660,$D100,'NQC list mod'!$W$4:$W$660,"&lt;="&amp;DATE((J$2-$B$99),12,31))</f>
        <v>150.47</v>
      </c>
      <c r="K100" s="5">
        <f>SUMIFS('NQC list mod'!$E$4:$E$660,'NQC list mod'!$T$4:$T$660,$D100,'NQC list mod'!$W$4:$W$660,"&lt;="&amp;DATE((K$2-$B$99),12,31))+SUMIFS('NQC list mod'!$M$4:$M$660,'NQC list mod'!$T$4:$T$660,$D100,'NQC list mod'!$W$4:$W$660,"&lt;="&amp;DATE((K$2-$B$99),12,31))</f>
        <v>150.47</v>
      </c>
      <c r="L100" s="5">
        <f>SUMIFS('NQC list mod'!$E$4:$E$660,'NQC list mod'!$T$4:$T$660,$D100,'NQC list mod'!$W$4:$W$660,"&lt;="&amp;DATE((L$2-$B$99),12,31))+SUMIFS('NQC list mod'!$M$4:$M$660,'NQC list mod'!$T$4:$T$660,$D100,'NQC list mod'!$W$4:$W$660,"&lt;="&amp;DATE((L$2-$B$99),12,31))</f>
        <v>194.56</v>
      </c>
      <c r="M100" s="5">
        <f>SUMIFS('NQC list mod'!$E$4:$E$660,'NQC list mod'!$T$4:$T$660,$D100,'NQC list mod'!$W$4:$W$660,"&lt;="&amp;DATE((M$2-$B$99),12,31))+SUMIFS('NQC list mod'!$M$4:$M$660,'NQC list mod'!$T$4:$T$660,$D100,'NQC list mod'!$W$4:$W$660,"&lt;="&amp;DATE((M$2-$B$99),12,31))</f>
        <v>194.56</v>
      </c>
      <c r="N100" s="5">
        <f>SUMIFS('NQC list mod'!$E$4:$E$660,'NQC list mod'!$T$4:$T$660,$D100,'NQC list mod'!$W$4:$W$660,"&lt;="&amp;DATE((N$2-$B$99),12,31))+SUMIFS('NQC list mod'!$M$4:$M$660,'NQC list mod'!$T$4:$T$660,$D100,'NQC list mod'!$W$4:$W$660,"&lt;="&amp;DATE((N$2-$B$99),12,31))</f>
        <v>194.56</v>
      </c>
      <c r="O100" s="5">
        <f>SUMIFS('NQC list mod'!$E$4:$E$660,'NQC list mod'!$T$4:$T$660,$D100,'NQC list mod'!$W$4:$W$660,"&lt;="&amp;DATE((O$2-$B$99),12,31))+SUMIFS('NQC list mod'!$M$4:$M$660,'NQC list mod'!$T$4:$T$660,$D100,'NQC list mod'!$W$4:$W$660,"&lt;="&amp;DATE((O$2-$B$99),12,31))</f>
        <v>194.56</v>
      </c>
      <c r="P100" s="5">
        <f>SUMIFS('NQC list mod'!$E$4:$E$660,'NQC list mod'!$T$4:$T$660,$D100,'NQC list mod'!$W$4:$W$660,"&lt;="&amp;DATE((P$2-$B$99),12,31))+SUMIFS('NQC list mod'!$M$4:$M$660,'NQC list mod'!$T$4:$T$660,$D100,'NQC list mod'!$W$4:$W$660,"&lt;="&amp;DATE((P$2-$B$99),12,31))</f>
        <v>194.56</v>
      </c>
      <c r="Q100" s="5">
        <f>SUMIFS('NQC list mod'!$E$4:$E$660,'NQC list mod'!$T$4:$T$660,$D100,'NQC list mod'!$W$4:$W$660,"&lt;="&amp;DATE((Q$2-$B$99),12,31))+SUMIFS('NQC list mod'!$M$4:$M$660,'NQC list mod'!$T$4:$T$660,$D100,'NQC list mod'!$W$4:$W$660,"&lt;="&amp;DATE((Q$2-$B$99),12,31))</f>
        <v>194.71</v>
      </c>
      <c r="R100" s="5">
        <f>SUMIFS('NQC list mod'!$E$4:$E$660,'NQC list mod'!$T$4:$T$660,$D100,'NQC list mod'!$W$4:$W$660,"&lt;="&amp;DATE((R$2-$B$99),12,31))+SUMIFS('NQC list mod'!$M$4:$M$660,'NQC list mod'!$T$4:$T$660,$D100,'NQC list mod'!$W$4:$W$660,"&lt;="&amp;DATE((R$2-$B$99),12,31))</f>
        <v>194.71</v>
      </c>
      <c r="S100" s="5">
        <f>SUMIFS('NQC list mod'!$E$4:$E$660,'NQC list mod'!$T$4:$T$660,$D100,'NQC list mod'!$W$4:$W$660,"&lt;="&amp;DATE((S$2-$B$99),12,31))+SUMIFS('NQC list mod'!$M$4:$M$660,'NQC list mod'!$T$4:$T$660,$D100,'NQC list mod'!$W$4:$W$660,"&lt;="&amp;DATE((S$2-$B$99),12,31))</f>
        <v>204.55</v>
      </c>
      <c r="T100" s="5">
        <f>SUMIFS('NQC list mod'!$E$4:$E$660,'NQC list mod'!$T$4:$T$660,$D100,'NQC list mod'!$W$4:$W$660,"&lt;="&amp;DATE((T$2-$B$99),12,31))+SUMIFS('NQC list mod'!$M$4:$M$660,'NQC list mod'!$T$4:$T$660,$D100,'NQC list mod'!$W$4:$W$660,"&lt;="&amp;DATE((T$2-$B$99),12,31))</f>
        <v>224.1</v>
      </c>
      <c r="U100" s="5">
        <f>SUMIFS('NQC list mod'!$E$4:$E$660,'NQC list mod'!$T$4:$T$660,$D100,'NQC list mod'!$W$4:$W$660,"&lt;="&amp;DATE((U$2-$B$99),12,31))+SUMIFS('NQC list mod'!$M$4:$M$660,'NQC list mod'!$T$4:$T$660,$D100,'NQC list mod'!$W$4:$W$660,"&lt;="&amp;DATE((U$2-$B$99),12,31))</f>
        <v>262.22000000000003</v>
      </c>
      <c r="V100" s="5">
        <f>SUMIFS('NQC list mod'!$E$4:$E$660,'NQC list mod'!$T$4:$T$660,$D100,'NQC list mod'!$W$4:$W$660,"&lt;="&amp;DATE((V$2-$B$99),12,31))+SUMIFS('NQC list mod'!$M$4:$M$660,'NQC list mod'!$T$4:$T$660,$D100,'NQC list mod'!$W$4:$W$660,"&lt;="&amp;DATE((V$2-$B$99),12,31))</f>
        <v>262.22000000000003</v>
      </c>
      <c r="W100" s="5">
        <f>SUMIFS('NQC list mod'!$E$4:$E$660,'NQC list mod'!$T$4:$T$660,$D100,'NQC list mod'!$W$4:$W$660,"&lt;="&amp;DATE((W$2-$B$99),12,31))+SUMIFS('NQC list mod'!$M$4:$M$660,'NQC list mod'!$T$4:$T$660,$D100,'NQC list mod'!$W$4:$W$660,"&lt;="&amp;DATE((W$2-$B$99),12,31))</f>
        <v>277.56</v>
      </c>
      <c r="X100" s="5">
        <f>SUMIFS('NQC list mod'!$E$4:$E$660,'NQC list mod'!$T$4:$T$660,$D100,'NQC list mod'!$W$4:$W$660,"&lt;="&amp;DATE((X$2-$B$99),12,31))+SUMIFS('NQC list mod'!$M$4:$M$660,'NQC list mod'!$T$4:$T$660,$D100,'NQC list mod'!$W$4:$W$660,"&lt;="&amp;DATE((X$2-$B$99),12,31))</f>
        <v>314.41000000000003</v>
      </c>
      <c r="Y100" s="5">
        <f>SUMIFS('NQC list mod'!$E$4:$E$660,'NQC list mod'!$T$4:$T$660,$D100,'NQC list mod'!$W$4:$W$660,"&lt;="&amp;DATE((Y$2-$B$99),12,31))+SUMIFS('NQC list mod'!$M$4:$M$660,'NQC list mod'!$T$4:$T$660,$D100,'NQC list mod'!$W$4:$W$660,"&lt;="&amp;DATE((Y$2-$B$99),12,31))</f>
        <v>314.41000000000003</v>
      </c>
      <c r="Z100" s="5">
        <f>SUMIFS('NQC list mod'!$E$4:$E$660,'NQC list mod'!$T$4:$T$660,$D100,'NQC list mod'!$W$4:$W$660,"&lt;="&amp;DATE((Z$2-$B$99),12,31))+SUMIFS('NQC list mod'!$M$4:$M$660,'NQC list mod'!$T$4:$T$660,$D100,'NQC list mod'!$W$4:$W$660,"&lt;="&amp;DATE((Z$2-$B$99),12,31))</f>
        <v>320.04000000000002</v>
      </c>
      <c r="AA100" s="5">
        <f>SUMIFS('NQC list mod'!$E$4:$E$660,'NQC list mod'!$T$4:$T$660,$D100,'NQC list mod'!$W$4:$W$660,"&lt;="&amp;DATE((AA$2-$B$99),12,31))+SUMIFS('NQC list mod'!$M$4:$M$660,'NQC list mod'!$T$4:$T$660,$D100,'NQC list mod'!$W$4:$W$660,"&lt;="&amp;DATE((AA$2-$B$99),12,31))</f>
        <v>355.23166723631221</v>
      </c>
      <c r="AB100" s="9"/>
    </row>
    <row r="101" spans="1:28" s="115" customFormat="1" x14ac:dyDescent="0.25">
      <c r="B101" s="432"/>
      <c r="D101" s="3"/>
      <c r="E101" s="5"/>
      <c r="F101" s="5"/>
      <c r="G101" s="5"/>
      <c r="H101" s="5"/>
      <c r="I101" s="5"/>
      <c r="J101" s="5"/>
      <c r="K101" s="5"/>
      <c r="L101" s="5"/>
      <c r="M101" s="5"/>
      <c r="N101" s="5"/>
      <c r="O101" s="5"/>
      <c r="P101" s="5"/>
      <c r="Q101" s="5"/>
      <c r="R101" s="5"/>
      <c r="S101" s="5"/>
      <c r="T101" s="5"/>
      <c r="U101" s="5"/>
      <c r="V101" s="5"/>
      <c r="W101" s="5"/>
      <c r="X101" s="5"/>
      <c r="Y101" s="5"/>
      <c r="Z101" s="5"/>
      <c r="AA101" s="5"/>
      <c r="AB101" s="9"/>
    </row>
    <row r="102" spans="1:28" s="115" customFormat="1" x14ac:dyDescent="0.25">
      <c r="B102" s="432"/>
      <c r="C102" s="643" t="s">
        <v>1</v>
      </c>
      <c r="D102" s="641" t="s">
        <v>4692</v>
      </c>
      <c r="E102" s="642">
        <f>SUM(E103:E113)</f>
        <v>9090.81</v>
      </c>
      <c r="F102" s="642">
        <f t="shared" ref="F102:Z102" si="32">SUM(F103:F113)</f>
        <v>10324.049999999999</v>
      </c>
      <c r="G102" s="642">
        <f t="shared" si="32"/>
        <v>11310.149999999998</v>
      </c>
      <c r="H102" s="642">
        <f t="shared" si="32"/>
        <v>18084.829999999998</v>
      </c>
      <c r="I102" s="642">
        <f t="shared" si="32"/>
        <v>18629.360000000004</v>
      </c>
      <c r="J102" s="642">
        <f t="shared" si="32"/>
        <v>22898.7</v>
      </c>
      <c r="K102" s="642">
        <f t="shared" si="32"/>
        <v>23803.070000000003</v>
      </c>
      <c r="L102" s="642">
        <f t="shared" si="32"/>
        <v>24308.1</v>
      </c>
      <c r="M102" s="642">
        <f t="shared" si="32"/>
        <v>30457.350000000006</v>
      </c>
      <c r="N102" s="642">
        <f t="shared" si="32"/>
        <v>30523.105892884723</v>
      </c>
      <c r="O102" s="642">
        <f t="shared" si="32"/>
        <v>30779.695892884716</v>
      </c>
      <c r="P102" s="642">
        <f t="shared" si="32"/>
        <v>30865.575892884721</v>
      </c>
      <c r="Q102" s="642">
        <f t="shared" si="32"/>
        <v>30884.745892884719</v>
      </c>
      <c r="R102" s="642">
        <f t="shared" si="32"/>
        <v>30902.985892884721</v>
      </c>
      <c r="S102" s="642">
        <f t="shared" si="32"/>
        <v>33371.855892884727</v>
      </c>
      <c r="T102" s="642">
        <f t="shared" si="32"/>
        <v>34675.975892884722</v>
      </c>
      <c r="U102" s="642">
        <f t="shared" si="32"/>
        <v>38726.835892884723</v>
      </c>
      <c r="V102" s="642">
        <f t="shared" si="32"/>
        <v>38863.277560121031</v>
      </c>
      <c r="W102" s="642">
        <f t="shared" si="32"/>
        <v>42304.41756012103</v>
      </c>
      <c r="X102" s="642">
        <f t="shared" si="32"/>
        <v>43638.746914417308</v>
      </c>
      <c r="Y102" s="642">
        <f t="shared" si="32"/>
        <v>44183.336914417312</v>
      </c>
      <c r="Z102" s="642">
        <f t="shared" si="32"/>
        <v>44368.206914417315</v>
      </c>
      <c r="AA102" s="642">
        <f>SUM(AA103:AA113)</f>
        <v>47720.39691441731</v>
      </c>
      <c r="AB102" s="9"/>
    </row>
    <row r="103" spans="1:28" s="115" customFormat="1" x14ac:dyDescent="0.25">
      <c r="A103" s="432" t="s">
        <v>4686</v>
      </c>
      <c r="B103" s="432"/>
      <c r="D103" s="462" t="str">
        <f>D41</f>
        <v>OTC non Nuclear</v>
      </c>
      <c r="E103" s="5">
        <f>SUMIFS('NQC list mod'!$E$4:$E$660,'NQC list mod'!$U$4:$U$660,"OTC",'NQC list mod'!$V$4:$V$660,"&lt;&gt;URANIUM",'NQC list mod'!$Y$4:$Y$660,"&lt;="&amp;DATE(E$2,12,31))+SUMIFS('NQC list mod'!$M$4:$M$660,'NQC list mod'!$U$4:$U$660,"OTC",'NQC list mod'!$V$4:$V$660,"&lt;&gt;URANIUM",'NQC list mod'!$Y$4:$Y$660,"&lt;="&amp;DATE(E$2,12,31))</f>
        <v>452</v>
      </c>
      <c r="F103" s="5">
        <f>SUMIFS('NQC list mod'!$E$4:$E$660,'NQC list mod'!$U$4:$U$660,"OTC",'NQC list mod'!$V$4:$V$660,"&lt;&gt;URANIUM",'NQC list mod'!$Y$4:$Y$660,"&lt;="&amp;DATE(F$2,12,31))+SUMIFS('NQC list mod'!$M$4:$M$660,'NQC list mod'!$U$4:$U$660,"OTC",'NQC list mod'!$V$4:$V$660,"&lt;&gt;URANIUM",'NQC list mod'!$Y$4:$Y$660,"&lt;="&amp;DATE(F$2,12,31))</f>
        <v>1126</v>
      </c>
      <c r="G103" s="5">
        <f>SUMIFS('NQC list mod'!$E$4:$E$660,'NQC list mod'!$U$4:$U$660,"OTC",'NQC list mod'!$V$4:$V$660,"&lt;&gt;URANIUM",'NQC list mod'!$Y$4:$Y$660,"&lt;="&amp;DATE(G$2,12,31))+SUMIFS('NQC list mod'!$M$4:$M$660,'NQC list mod'!$U$4:$U$660,"OTC",'NQC list mod'!$V$4:$V$660,"&lt;&gt;URANIUM",'NQC list mod'!$Y$4:$Y$660,"&lt;="&amp;DATE(G$2,12,31))</f>
        <v>1126</v>
      </c>
      <c r="H103" s="5">
        <f>SUMIFS('NQC list mod'!$E$4:$E$660,'NQC list mod'!$U$4:$U$660,"OTC",'NQC list mod'!$V$4:$V$660,"&lt;&gt;URANIUM",'NQC list mod'!$Y$4:$Y$660,"&lt;="&amp;DATE(H$2,12,31))+SUMIFS('NQC list mod'!$M$4:$M$660,'NQC list mod'!$U$4:$U$660,"OTC",'NQC list mod'!$V$4:$V$660,"&lt;&gt;URANIUM",'NQC list mod'!$Y$4:$Y$660,"&lt;="&amp;DATE(H$2,12,31))</f>
        <v>2446</v>
      </c>
      <c r="I103" s="5">
        <f>SUMIFS('NQC list mod'!$E$4:$E$660,'NQC list mod'!$U$4:$U$660,"OTC",'NQC list mod'!$V$4:$V$660,"&lt;&gt;URANIUM",'NQC list mod'!$Y$4:$Y$660,"&lt;="&amp;DATE(I$2,12,31))+SUMIFS('NQC list mod'!$M$4:$M$660,'NQC list mod'!$U$4:$U$660,"OTC",'NQC list mod'!$V$4:$V$660,"&lt;&gt;URANIUM",'NQC list mod'!$Y$4:$Y$660,"&lt;="&amp;DATE(I$2,12,31))</f>
        <v>2446</v>
      </c>
      <c r="J103" s="5">
        <f>SUMIFS('NQC list mod'!$E$4:$E$660,'NQC list mod'!$U$4:$U$660,"OTC",'NQC list mod'!$V$4:$V$660,"&lt;&gt;URANIUM",'NQC list mod'!$Y$4:$Y$660,"&lt;="&amp;DATE(J$2,12,31))+SUMIFS('NQC list mod'!$M$4:$M$660,'NQC list mod'!$U$4:$U$660,"OTC",'NQC list mod'!$V$4:$V$660,"&lt;&gt;URANIUM",'NQC list mod'!$Y$4:$Y$660,"&lt;="&amp;DATE(J$2,12,31))</f>
        <v>6569.53</v>
      </c>
      <c r="K103" s="5">
        <f>SUMIFS('NQC list mod'!$E$4:$E$660,'NQC list mod'!$U$4:$U$660,"OTC",'NQC list mod'!$V$4:$V$660,"&lt;&gt;URANIUM",'NQC list mod'!$Y$4:$Y$660,"&lt;="&amp;DATE(K$2,12,31))+SUMIFS('NQC list mod'!$M$4:$M$660,'NQC list mod'!$U$4:$U$660,"OTC",'NQC list mod'!$V$4:$V$660,"&lt;&gt;URANIUM",'NQC list mod'!$Y$4:$Y$660,"&lt;="&amp;DATE(K$2,12,31))</f>
        <v>6569.53</v>
      </c>
      <c r="L103" s="5">
        <f>SUMIFS('NQC list mod'!$E$4:$E$660,'NQC list mod'!$U$4:$U$660,"OTC",'NQC list mod'!$V$4:$V$660,"&lt;&gt;URANIUM",'NQC list mod'!$Y$4:$Y$660,"&lt;="&amp;DATE(L$2,12,31))+SUMIFS('NQC list mod'!$M$4:$M$660,'NQC list mod'!$U$4:$U$660,"OTC",'NQC list mod'!$V$4:$V$660,"&lt;&gt;URANIUM",'NQC list mod'!$Y$4:$Y$660,"&lt;="&amp;DATE(L$2,12,31))</f>
        <v>6569.53</v>
      </c>
      <c r="M103" s="5">
        <f>SUMIFS('NQC list mod'!$E$4:$E$660,'NQC list mod'!$U$4:$U$660,"OTC",'NQC list mod'!$V$4:$V$660,"&lt;&gt;URANIUM",'NQC list mod'!$Y$4:$Y$660,"&lt;="&amp;DATE(M$2,12,31))+SUMIFS('NQC list mod'!$M$4:$M$660,'NQC list mod'!$U$4:$U$660,"OTC",'NQC list mod'!$V$4:$V$660,"&lt;&gt;URANIUM",'NQC list mod'!$Y$4:$Y$660,"&lt;="&amp;DATE(M$2,12,31))</f>
        <v>12463.750000000002</v>
      </c>
      <c r="N103" s="5">
        <f>SUMIFS('NQC list mod'!$E$4:$E$660,'NQC list mod'!$U$4:$U$660,"OTC",'NQC list mod'!$V$4:$V$660,"&lt;&gt;URANIUM",'NQC list mod'!$Y$4:$Y$660,"&lt;="&amp;DATE(N$2,12,31))+SUMIFS('NQC list mod'!$M$4:$M$660,'NQC list mod'!$U$4:$U$660,"OTC",'NQC list mod'!$V$4:$V$660,"&lt;&gt;URANIUM",'NQC list mod'!$Y$4:$Y$660,"&lt;="&amp;DATE(N$2,12,31))</f>
        <v>12463.750000000002</v>
      </c>
      <c r="O103" s="5">
        <f>SUMIFS('NQC list mod'!$E$4:$E$660,'NQC list mod'!$U$4:$U$660,"OTC",'NQC list mod'!$V$4:$V$660,"&lt;&gt;URANIUM",'NQC list mod'!$Y$4:$Y$660,"&lt;="&amp;DATE(O$2,12,31))+SUMIFS('NQC list mod'!$M$4:$M$660,'NQC list mod'!$U$4:$U$660,"OTC",'NQC list mod'!$V$4:$V$660,"&lt;&gt;URANIUM",'NQC list mod'!$Y$4:$Y$660,"&lt;="&amp;DATE(O$2,12,31))</f>
        <v>12463.750000000002</v>
      </c>
      <c r="P103" s="5">
        <f>SUMIFS('NQC list mod'!$E$4:$E$660,'NQC list mod'!$U$4:$U$660,"OTC",'NQC list mod'!$V$4:$V$660,"&lt;&gt;URANIUM",'NQC list mod'!$Y$4:$Y$660,"&lt;="&amp;DATE(P$2,12,31))+SUMIFS('NQC list mod'!$M$4:$M$660,'NQC list mod'!$U$4:$U$660,"OTC",'NQC list mod'!$V$4:$V$660,"&lt;&gt;URANIUM",'NQC list mod'!$Y$4:$Y$660,"&lt;="&amp;DATE(P$2,12,31))</f>
        <v>12463.750000000002</v>
      </c>
      <c r="Q103" s="5">
        <f>SUMIFS('NQC list mod'!$E$4:$E$660,'NQC list mod'!$U$4:$U$660,"OTC",'NQC list mod'!$V$4:$V$660,"&lt;&gt;URANIUM",'NQC list mod'!$Y$4:$Y$660,"&lt;="&amp;DATE(Q$2,12,31))+SUMIFS('NQC list mod'!$M$4:$M$660,'NQC list mod'!$U$4:$U$660,"OTC",'NQC list mod'!$V$4:$V$660,"&lt;&gt;URANIUM",'NQC list mod'!$Y$4:$Y$660,"&lt;="&amp;DATE(Q$2,12,31))</f>
        <v>12463.750000000002</v>
      </c>
      <c r="R103" s="5">
        <f>SUMIFS('NQC list mod'!$E$4:$E$660,'NQC list mod'!$U$4:$U$660,"OTC",'NQC list mod'!$V$4:$V$660,"&lt;&gt;URANIUM",'NQC list mod'!$Y$4:$Y$660,"&lt;="&amp;DATE(R$2,12,31))+SUMIFS('NQC list mod'!$M$4:$M$660,'NQC list mod'!$U$4:$U$660,"OTC",'NQC list mod'!$V$4:$V$660,"&lt;&gt;URANIUM",'NQC list mod'!$Y$4:$Y$660,"&lt;="&amp;DATE(R$2,12,31))</f>
        <v>12463.750000000002</v>
      </c>
      <c r="S103" s="5">
        <f>SUMIFS('NQC list mod'!$E$4:$E$660,'NQC list mod'!$U$4:$U$660,"OTC",'NQC list mod'!$V$4:$V$660,"&lt;&gt;URANIUM",'NQC list mod'!$Y$4:$Y$660,"&lt;="&amp;DATE(S$2,12,31))+SUMIFS('NQC list mod'!$M$4:$M$660,'NQC list mod'!$U$4:$U$660,"OTC",'NQC list mod'!$V$4:$V$660,"&lt;&gt;URANIUM",'NQC list mod'!$Y$4:$Y$660,"&lt;="&amp;DATE(S$2,12,31))</f>
        <v>12463.750000000002</v>
      </c>
      <c r="T103" s="5">
        <f>SUMIFS('NQC list mod'!$E$4:$E$660,'NQC list mod'!$U$4:$U$660,"OTC",'NQC list mod'!$V$4:$V$660,"&lt;&gt;URANIUM",'NQC list mod'!$Y$4:$Y$660,"&lt;="&amp;DATE(T$2,12,31))+SUMIFS('NQC list mod'!$M$4:$M$660,'NQC list mod'!$U$4:$U$660,"OTC",'NQC list mod'!$V$4:$V$660,"&lt;&gt;URANIUM",'NQC list mod'!$Y$4:$Y$660,"&lt;="&amp;DATE(T$2,12,31))</f>
        <v>12463.750000000002</v>
      </c>
      <c r="U103" s="5">
        <f>SUMIFS('NQC list mod'!$E$4:$E$660,'NQC list mod'!$U$4:$U$660,"OTC",'NQC list mod'!$V$4:$V$660,"&lt;&gt;URANIUM",'NQC list mod'!$Y$4:$Y$660,"&lt;="&amp;DATE(U$2,12,31))+SUMIFS('NQC list mod'!$M$4:$M$660,'NQC list mod'!$U$4:$U$660,"OTC",'NQC list mod'!$V$4:$V$660,"&lt;&gt;URANIUM",'NQC list mod'!$Y$4:$Y$660,"&lt;="&amp;DATE(U$2,12,31))</f>
        <v>12463.750000000002</v>
      </c>
      <c r="V103" s="5">
        <f>SUMIFS('NQC list mod'!$E$4:$E$660,'NQC list mod'!$U$4:$U$660,"OTC",'NQC list mod'!$V$4:$V$660,"&lt;&gt;URANIUM",'NQC list mod'!$Y$4:$Y$660,"&lt;="&amp;DATE(V$2,12,31))+SUMIFS('NQC list mod'!$M$4:$M$660,'NQC list mod'!$U$4:$U$660,"OTC",'NQC list mod'!$V$4:$V$660,"&lt;&gt;URANIUM",'NQC list mod'!$Y$4:$Y$660,"&lt;="&amp;DATE(V$2,12,31))</f>
        <v>12463.750000000002</v>
      </c>
      <c r="W103" s="5">
        <f>SUMIFS('NQC list mod'!$E$4:$E$660,'NQC list mod'!$U$4:$U$660,"OTC",'NQC list mod'!$V$4:$V$660,"&lt;&gt;URANIUM",'NQC list mod'!$Y$4:$Y$660,"&lt;="&amp;DATE(W$2,12,31))+SUMIFS('NQC list mod'!$M$4:$M$660,'NQC list mod'!$U$4:$U$660,"OTC",'NQC list mod'!$V$4:$V$660,"&lt;&gt;URANIUM",'NQC list mod'!$Y$4:$Y$660,"&lt;="&amp;DATE(W$2,12,31))</f>
        <v>12463.750000000002</v>
      </c>
      <c r="X103" s="5">
        <f>SUMIFS('NQC list mod'!$E$4:$E$660,'NQC list mod'!$U$4:$U$660,"OTC",'NQC list mod'!$V$4:$V$660,"&lt;&gt;URANIUM",'NQC list mod'!$Y$4:$Y$660,"&lt;="&amp;DATE(X$2,12,31))+SUMIFS('NQC list mod'!$M$4:$M$660,'NQC list mod'!$U$4:$U$660,"OTC",'NQC list mod'!$V$4:$V$660,"&lt;&gt;URANIUM",'NQC list mod'!$Y$4:$Y$660,"&lt;="&amp;DATE(X$2,12,31))</f>
        <v>12463.750000000002</v>
      </c>
      <c r="Y103" s="5">
        <f>SUMIFS('NQC list mod'!$E$4:$E$660,'NQC list mod'!$U$4:$U$660,"OTC",'NQC list mod'!$V$4:$V$660,"&lt;&gt;URANIUM",'NQC list mod'!$Y$4:$Y$660,"&lt;="&amp;DATE(Y$2,12,31))+SUMIFS('NQC list mod'!$M$4:$M$660,'NQC list mod'!$U$4:$U$660,"OTC",'NQC list mod'!$V$4:$V$660,"&lt;&gt;URANIUM",'NQC list mod'!$Y$4:$Y$660,"&lt;="&amp;DATE(Y$2,12,31))</f>
        <v>12463.750000000002</v>
      </c>
      <c r="Z103" s="5">
        <f>SUMIFS('NQC list mod'!$E$4:$E$660,'NQC list mod'!$U$4:$U$660,"OTC",'NQC list mod'!$V$4:$V$660,"&lt;&gt;URANIUM",'NQC list mod'!$Y$4:$Y$660,"&lt;="&amp;DATE(Z$2,12,31))+SUMIFS('NQC list mod'!$M$4:$M$660,'NQC list mod'!$U$4:$U$660,"OTC",'NQC list mod'!$V$4:$V$660,"&lt;&gt;URANIUM",'NQC list mod'!$Y$4:$Y$660,"&lt;="&amp;DATE(Z$2,12,31))</f>
        <v>12463.750000000002</v>
      </c>
      <c r="AA103" s="5">
        <f>SUMIFS('NQC list mod'!$E$4:$E$660,'NQC list mod'!$U$4:$U$660,"OTC",'NQC list mod'!$V$4:$V$660,"&lt;&gt;URANIUM",'NQC list mod'!$Y$4:$Y$660,"&lt;="&amp;DATE(AA$2,12,31))+SUMIFS('NQC list mod'!$M$4:$M$660,'NQC list mod'!$U$4:$U$660,"OTC",'NQC list mod'!$V$4:$V$660,"&lt;&gt;URANIUM",'NQC list mod'!$Y$4:$Y$660,"&lt;="&amp;DATE(AA$2,12,31))</f>
        <v>12463.750000000002</v>
      </c>
      <c r="AB103" s="9"/>
    </row>
    <row r="104" spans="1:28" s="115" customFormat="1" x14ac:dyDescent="0.25">
      <c r="A104" s="432" t="s">
        <v>4689</v>
      </c>
      <c r="B104" s="432"/>
      <c r="D104" s="97" t="str">
        <f>D42</f>
        <v>OTC Nuclear</v>
      </c>
      <c r="E104" s="5">
        <f>SUMIFS('NQC list mod'!$E$4:$E$660,'NQC list mod'!$V$4:$V$660,"URANIUM",'NQC list mod'!$Y$4:$Y$660,"&lt;="&amp;DATE(E$2,12,31))+SUMIFS('NQC list mod'!$M$4:$M$660,'NQC list mod'!$V$4:$V$660,"URANIUM",'NQC list mod'!$Y$4:$Y$660,"&lt;="&amp;DATE(E$2,12,31))</f>
        <v>0</v>
      </c>
      <c r="F104" s="5">
        <f>SUMIFS('NQC list mod'!$E$4:$E$660,'NQC list mod'!$V$4:$V$660,"URANIUM",'NQC list mod'!$Y$4:$Y$660,"&lt;="&amp;DATE(F$2,12,31))+SUMIFS('NQC list mod'!$M$4:$M$660,'NQC list mod'!$V$4:$V$660,"URANIUM",'NQC list mod'!$Y$4:$Y$660,"&lt;="&amp;DATE(F$2,12,31))</f>
        <v>0</v>
      </c>
      <c r="G104" s="5">
        <f>SUMIFS('NQC list mod'!$E$4:$E$660,'NQC list mod'!$V$4:$V$660,"URANIUM",'NQC list mod'!$Y$4:$Y$660,"&lt;="&amp;DATE(G$2,12,31))+SUMIFS('NQC list mod'!$M$4:$M$660,'NQC list mod'!$V$4:$V$660,"URANIUM",'NQC list mod'!$Y$4:$Y$660,"&lt;="&amp;DATE(G$2,12,31))</f>
        <v>0</v>
      </c>
      <c r="H104" s="5">
        <f>SUMIFS('NQC list mod'!$E$4:$E$660,'NQC list mod'!$V$4:$V$660,"URANIUM",'NQC list mod'!$Y$4:$Y$660,"&lt;="&amp;DATE(H$2,12,31))+SUMIFS('NQC list mod'!$M$4:$M$660,'NQC list mod'!$V$4:$V$660,"URANIUM",'NQC list mod'!$Y$4:$Y$660,"&lt;="&amp;DATE(H$2,12,31))</f>
        <v>4486</v>
      </c>
      <c r="I104" s="5">
        <f>SUMIFS('NQC list mod'!$E$4:$E$660,'NQC list mod'!$V$4:$V$660,"URANIUM",'NQC list mod'!$Y$4:$Y$660,"&lt;="&amp;DATE(I$2,12,31))+SUMIFS('NQC list mod'!$M$4:$M$660,'NQC list mod'!$V$4:$V$660,"URANIUM",'NQC list mod'!$Y$4:$Y$660,"&lt;="&amp;DATE(I$2,12,31))</f>
        <v>4486</v>
      </c>
      <c r="J104" s="5">
        <f>SUMIFS('NQC list mod'!$E$4:$E$660,'NQC list mod'!$V$4:$V$660,"URANIUM",'NQC list mod'!$Y$4:$Y$660,"&lt;="&amp;DATE(J$2,12,31))+SUMIFS('NQC list mod'!$M$4:$M$660,'NQC list mod'!$V$4:$V$660,"URANIUM",'NQC list mod'!$Y$4:$Y$660,"&lt;="&amp;DATE(J$2,12,31))</f>
        <v>4486</v>
      </c>
      <c r="K104" s="5">
        <f>SUMIFS('NQC list mod'!$E$4:$E$660,'NQC list mod'!$V$4:$V$660,"URANIUM",'NQC list mod'!$Y$4:$Y$660,"&lt;="&amp;DATE(K$2,12,31))+SUMIFS('NQC list mod'!$M$4:$M$660,'NQC list mod'!$V$4:$V$660,"URANIUM",'NQC list mod'!$Y$4:$Y$660,"&lt;="&amp;DATE(K$2,12,31))</f>
        <v>4486</v>
      </c>
      <c r="L104" s="5">
        <f>SUMIFS('NQC list mod'!$E$4:$E$660,'NQC list mod'!$V$4:$V$660,"URANIUM",'NQC list mod'!$Y$4:$Y$660,"&lt;="&amp;DATE(L$2,12,31))+SUMIFS('NQC list mod'!$M$4:$M$660,'NQC list mod'!$V$4:$V$660,"URANIUM",'NQC list mod'!$Y$4:$Y$660,"&lt;="&amp;DATE(L$2,12,31))</f>
        <v>4486</v>
      </c>
      <c r="M104" s="5">
        <f>SUMIFS('NQC list mod'!$E$4:$E$660,'NQC list mod'!$V$4:$V$660,"URANIUM",'NQC list mod'!$Y$4:$Y$660,"&lt;="&amp;DATE(M$2,12,31))+SUMIFS('NQC list mod'!$M$4:$M$660,'NQC list mod'!$V$4:$V$660,"URANIUM",'NQC list mod'!$Y$4:$Y$660,"&lt;="&amp;DATE(M$2,12,31))</f>
        <v>4486</v>
      </c>
      <c r="N104" s="5">
        <f>SUMIFS('NQC list mod'!$E$4:$E$660,'NQC list mod'!$V$4:$V$660,"URANIUM",'NQC list mod'!$Y$4:$Y$660,"&lt;="&amp;DATE(N$2,12,31))+SUMIFS('NQC list mod'!$M$4:$M$660,'NQC list mod'!$V$4:$V$660,"URANIUM",'NQC list mod'!$Y$4:$Y$660,"&lt;="&amp;DATE(N$2,12,31))</f>
        <v>4486</v>
      </c>
      <c r="O104" s="5">
        <f>SUMIFS('NQC list mod'!$E$4:$E$660,'NQC list mod'!$V$4:$V$660,"URANIUM",'NQC list mod'!$Y$4:$Y$660,"&lt;="&amp;DATE(O$2,12,31))+SUMIFS('NQC list mod'!$M$4:$M$660,'NQC list mod'!$V$4:$V$660,"URANIUM",'NQC list mod'!$Y$4:$Y$660,"&lt;="&amp;DATE(O$2,12,31))</f>
        <v>4486</v>
      </c>
      <c r="P104" s="5">
        <f>SUMIFS('NQC list mod'!$E$4:$E$660,'NQC list mod'!$V$4:$V$660,"URANIUM",'NQC list mod'!$Y$4:$Y$660,"&lt;="&amp;DATE(P$2,12,31))+SUMIFS('NQC list mod'!$M$4:$M$660,'NQC list mod'!$V$4:$V$660,"URANIUM",'NQC list mod'!$Y$4:$Y$660,"&lt;="&amp;DATE(P$2,12,31))</f>
        <v>4486</v>
      </c>
      <c r="Q104" s="5">
        <f>SUMIFS('NQC list mod'!$E$4:$E$660,'NQC list mod'!$V$4:$V$660,"URANIUM",'NQC list mod'!$Y$4:$Y$660,"&lt;="&amp;DATE(Q$2,12,31))+SUMIFS('NQC list mod'!$M$4:$M$660,'NQC list mod'!$V$4:$V$660,"URANIUM",'NQC list mod'!$Y$4:$Y$660,"&lt;="&amp;DATE(Q$2,12,31))</f>
        <v>4486</v>
      </c>
      <c r="R104" s="5">
        <f>SUMIFS('NQC list mod'!$E$4:$E$660,'NQC list mod'!$V$4:$V$660,"URANIUM",'NQC list mod'!$Y$4:$Y$660,"&lt;="&amp;DATE(R$2,12,31))+SUMIFS('NQC list mod'!$M$4:$M$660,'NQC list mod'!$V$4:$V$660,"URANIUM",'NQC list mod'!$Y$4:$Y$660,"&lt;="&amp;DATE(R$2,12,31))</f>
        <v>4486</v>
      </c>
      <c r="S104" s="5">
        <f>SUMIFS('NQC list mod'!$E$4:$E$660,'NQC list mod'!$V$4:$V$660,"URANIUM",'NQC list mod'!$Y$4:$Y$660,"&lt;="&amp;DATE(S$2,12,31))+SUMIFS('NQC list mod'!$M$4:$M$660,'NQC list mod'!$V$4:$V$660,"URANIUM",'NQC list mod'!$Y$4:$Y$660,"&lt;="&amp;DATE(S$2,12,31))</f>
        <v>4486</v>
      </c>
      <c r="T104" s="5">
        <f>SUMIFS('NQC list mod'!$E$4:$E$660,'NQC list mod'!$V$4:$V$660,"URANIUM",'NQC list mod'!$Y$4:$Y$660,"&lt;="&amp;DATE(T$2,12,31))+SUMIFS('NQC list mod'!$M$4:$M$660,'NQC list mod'!$V$4:$V$660,"URANIUM",'NQC list mod'!$Y$4:$Y$660,"&lt;="&amp;DATE(T$2,12,31))</f>
        <v>4486</v>
      </c>
      <c r="U104" s="5">
        <f>SUMIFS('NQC list mod'!$E$4:$E$660,'NQC list mod'!$V$4:$V$660,"URANIUM",'NQC list mod'!$Y$4:$Y$660,"&lt;="&amp;DATE(U$2,12,31))+SUMIFS('NQC list mod'!$M$4:$M$660,'NQC list mod'!$V$4:$V$660,"URANIUM",'NQC list mod'!$Y$4:$Y$660,"&lt;="&amp;DATE(U$2,12,31))</f>
        <v>4486</v>
      </c>
      <c r="V104" s="5">
        <f>SUMIFS('NQC list mod'!$E$4:$E$660,'NQC list mod'!$V$4:$V$660,"URANIUM",'NQC list mod'!$Y$4:$Y$660,"&lt;="&amp;DATE(V$2,12,31))+SUMIFS('NQC list mod'!$M$4:$M$660,'NQC list mod'!$V$4:$V$660,"URANIUM",'NQC list mod'!$Y$4:$Y$660,"&lt;="&amp;DATE(V$2,12,31))</f>
        <v>4486</v>
      </c>
      <c r="W104" s="5">
        <f>SUMIFS('NQC list mod'!$E$4:$E$660,'NQC list mod'!$V$4:$V$660,"URANIUM",'NQC list mod'!$Y$4:$Y$660,"&lt;="&amp;DATE(W$2,12,31))+SUMIFS('NQC list mod'!$M$4:$M$660,'NQC list mod'!$V$4:$V$660,"URANIUM",'NQC list mod'!$Y$4:$Y$660,"&lt;="&amp;DATE(W$2,12,31))</f>
        <v>4486</v>
      </c>
      <c r="X104" s="5">
        <f>SUMIFS('NQC list mod'!$E$4:$E$660,'NQC list mod'!$V$4:$V$660,"URANIUM",'NQC list mod'!$Y$4:$Y$660,"&lt;="&amp;DATE(X$2,12,31))+SUMIFS('NQC list mod'!$M$4:$M$660,'NQC list mod'!$V$4:$V$660,"URANIUM",'NQC list mod'!$Y$4:$Y$660,"&lt;="&amp;DATE(X$2,12,31))</f>
        <v>4486</v>
      </c>
      <c r="Y104" s="5">
        <f>SUMIFS('NQC list mod'!$E$4:$E$660,'NQC list mod'!$V$4:$V$660,"URANIUM",'NQC list mod'!$Y$4:$Y$660,"&lt;="&amp;DATE(Y$2,12,31))+SUMIFS('NQC list mod'!$M$4:$M$660,'NQC list mod'!$V$4:$V$660,"URANIUM",'NQC list mod'!$Y$4:$Y$660,"&lt;="&amp;DATE(Y$2,12,31))</f>
        <v>4486</v>
      </c>
      <c r="Z104" s="5">
        <f>SUMIFS('NQC list mod'!$E$4:$E$660,'NQC list mod'!$V$4:$V$660,"URANIUM",'NQC list mod'!$Y$4:$Y$660,"&lt;="&amp;DATE(Z$2,12,31))+SUMIFS('NQC list mod'!$M$4:$M$660,'NQC list mod'!$V$4:$V$660,"URANIUM",'NQC list mod'!$Y$4:$Y$660,"&lt;="&amp;DATE(Z$2,12,31))</f>
        <v>4486</v>
      </c>
      <c r="AA104" s="5">
        <f>SUMIFS('NQC list mod'!$E$4:$E$660,'NQC list mod'!$V$4:$V$660,"URANIUM",'NQC list mod'!$Y$4:$Y$660,"&lt;="&amp;DATE(AA$2,12,31))+SUMIFS('NQC list mod'!$M$4:$M$660,'NQC list mod'!$V$4:$V$660,"URANIUM",'NQC list mod'!$Y$4:$Y$660,"&lt;="&amp;DATE(AA$2,12,31))</f>
        <v>4486</v>
      </c>
      <c r="AB104" s="9"/>
    </row>
    <row r="105" spans="1:28" s="115" customFormat="1" x14ac:dyDescent="0.25">
      <c r="A105" s="432"/>
      <c r="B105" s="432"/>
      <c r="D105" s="97"/>
      <c r="E105" s="5"/>
      <c r="F105" s="5"/>
      <c r="G105" s="5"/>
      <c r="H105" s="5"/>
      <c r="I105" s="5"/>
      <c r="J105" s="5"/>
      <c r="K105" s="5"/>
      <c r="L105" s="5"/>
      <c r="M105" s="5"/>
      <c r="N105" s="5"/>
      <c r="O105" s="5"/>
      <c r="P105" s="5"/>
      <c r="Q105" s="5"/>
      <c r="R105" s="5"/>
      <c r="S105" s="5"/>
      <c r="T105" s="5"/>
      <c r="U105" s="5"/>
      <c r="V105" s="5"/>
      <c r="W105" s="5"/>
      <c r="X105" s="5"/>
      <c r="Y105" s="5"/>
      <c r="Z105" s="5"/>
      <c r="AA105" s="5"/>
      <c r="AB105" s="9"/>
    </row>
    <row r="106" spans="1:28" s="115" customFormat="1" x14ac:dyDescent="0.25">
      <c r="A106" s="115" t="s">
        <v>4676</v>
      </c>
      <c r="B106" s="43">
        <v>25</v>
      </c>
      <c r="D106" s="97" t="str">
        <f>D43</f>
        <v>Dispatchable (non OTC)</v>
      </c>
      <c r="E106" s="5">
        <f>SUMIFS('NQC list mod'!$E$4:$E$660,'NQC list mod'!$U$4:$U$660,"&lt;&gt;OTC",'NQC list mod'!$T$4:$T$660,"Dispatchable",'NQC list mod'!$W$4:$W$660,"&lt;="&amp;DATE((E$2-$B$106),12,31))+SUMIFS('NQC list mod'!$M$4:$M$660,'NQC list mod'!$U$4:$U$660,"&lt;&gt;OTC",'NQC list mod'!$T$4:$T$660,"Dispatchable",'NQC list mod'!$W$4:$W$660,"&lt;="&amp;DATE((E$2-$B$106),12,31))</f>
        <v>4104.95</v>
      </c>
      <c r="F106" s="5">
        <f>SUMIFS('NQC list mod'!$E$4:$E$660,'NQC list mod'!$U$4:$U$660,"&lt;&gt;OTC",'NQC list mod'!$T$4:$T$660,"Dispatchable",'NQC list mod'!$W$4:$W$660,"&lt;="&amp;DATE((F$2-$B$106),12,31))+SUMIFS('NQC list mod'!$M$4:$M$660,'NQC list mod'!$U$4:$U$660,"&lt;&gt;OTC",'NQC list mod'!$T$4:$T$660,"Dispatchable",'NQC list mod'!$W$4:$W$660,"&lt;="&amp;DATE((F$2-$B$106),12,31))</f>
        <v>4142.95</v>
      </c>
      <c r="G106" s="5">
        <f>SUMIFS('NQC list mod'!$E$4:$E$660,'NQC list mod'!$U$4:$U$660,"&lt;&gt;OTC",'NQC list mod'!$T$4:$T$660,"Dispatchable",'NQC list mod'!$W$4:$W$660,"&lt;="&amp;DATE((G$2-$B$106),12,31))+SUMIFS('NQC list mod'!$M$4:$M$660,'NQC list mod'!$U$4:$U$660,"&lt;&gt;OTC",'NQC list mod'!$T$4:$T$660,"Dispatchable",'NQC list mod'!$W$4:$W$660,"&lt;="&amp;DATE((G$2-$B$106),12,31))</f>
        <v>4158.95</v>
      </c>
      <c r="H106" s="5">
        <f>SUMIFS('NQC list mod'!$E$4:$E$660,'NQC list mod'!$U$4:$U$660,"&lt;&gt;OTC",'NQC list mod'!$T$4:$T$660,"Dispatchable",'NQC list mod'!$W$4:$W$660,"&lt;="&amp;DATE((H$2-$B$106),12,31))+SUMIFS('NQC list mod'!$M$4:$M$660,'NQC list mod'!$U$4:$U$660,"&lt;&gt;OTC",'NQC list mod'!$T$4:$T$660,"Dispatchable",'NQC list mod'!$W$4:$W$660,"&lt;="&amp;DATE((H$2-$B$106),12,31))</f>
        <v>4247.59</v>
      </c>
      <c r="I106" s="5">
        <f>SUMIFS('NQC list mod'!$E$4:$E$660,'NQC list mod'!$U$4:$U$660,"&lt;&gt;OTC",'NQC list mod'!$T$4:$T$660,"Dispatchable",'NQC list mod'!$W$4:$W$660,"&lt;="&amp;DATE((I$2-$B$106),12,31))+SUMIFS('NQC list mod'!$M$4:$M$660,'NQC list mod'!$U$4:$U$660,"&lt;&gt;OTC",'NQC list mod'!$T$4:$T$660,"Dispatchable",'NQC list mod'!$W$4:$W$660,"&lt;="&amp;DATE((I$2-$B$106),12,31))</f>
        <v>4247.59</v>
      </c>
      <c r="J106" s="5">
        <f>SUMIFS('NQC list mod'!$E$4:$E$660,'NQC list mod'!$U$4:$U$660,"&lt;&gt;OTC",'NQC list mod'!$T$4:$T$660,"Dispatchable",'NQC list mod'!$W$4:$W$660,"&lt;="&amp;DATE((J$2-$B$106),12,31))+SUMIFS('NQC list mod'!$M$4:$M$660,'NQC list mod'!$U$4:$U$660,"&lt;&gt;OTC",'NQC list mod'!$T$4:$T$660,"Dispatchable",'NQC list mod'!$W$4:$W$660,"&lt;="&amp;DATE((J$2-$B$106),12,31))</f>
        <v>4267.59</v>
      </c>
      <c r="K106" s="5">
        <f>SUMIFS('NQC list mod'!$E$4:$E$660,'NQC list mod'!$U$4:$U$660,"&lt;&gt;OTC",'NQC list mod'!$T$4:$T$660,"Dispatchable",'NQC list mod'!$W$4:$W$660,"&lt;="&amp;DATE((K$2-$B$106),12,31))+SUMIFS('NQC list mod'!$M$4:$M$660,'NQC list mod'!$U$4:$U$660,"&lt;&gt;OTC",'NQC list mod'!$T$4:$T$660,"Dispatchable",'NQC list mod'!$W$4:$W$660,"&lt;="&amp;DATE((K$2-$B$106),12,31))</f>
        <v>4267.59</v>
      </c>
      <c r="L106" s="5">
        <f>SUMIFS('NQC list mod'!$E$4:$E$660,'NQC list mod'!$U$4:$U$660,"&lt;&gt;OTC",'NQC list mod'!$T$4:$T$660,"Dispatchable",'NQC list mod'!$W$4:$W$660,"&lt;="&amp;DATE((L$2-$B$106),12,31))+SUMIFS('NQC list mod'!$M$4:$M$660,'NQC list mod'!$U$4:$U$660,"&lt;&gt;OTC",'NQC list mod'!$T$4:$T$660,"Dispatchable",'NQC list mod'!$W$4:$W$660,"&lt;="&amp;DATE((L$2-$B$106),12,31))</f>
        <v>4267.59</v>
      </c>
      <c r="M106" s="5">
        <f>SUMIFS('NQC list mod'!$E$4:$E$660,'NQC list mod'!$U$4:$U$660,"&lt;&gt;OTC",'NQC list mod'!$T$4:$T$660,"Dispatchable",'NQC list mod'!$W$4:$W$660,"&lt;="&amp;DATE((M$2-$B$106),12,31))+SUMIFS('NQC list mod'!$M$4:$M$660,'NQC list mod'!$U$4:$U$660,"&lt;&gt;OTC",'NQC list mod'!$T$4:$T$660,"Dispatchable",'NQC list mod'!$W$4:$W$660,"&lt;="&amp;DATE((M$2-$B$106),12,31))</f>
        <v>4267.59</v>
      </c>
      <c r="N106" s="5">
        <f>SUMIFS('NQC list mod'!$E$4:$E$660,'NQC list mod'!$U$4:$U$660,"&lt;&gt;OTC",'NQC list mod'!$T$4:$T$660,"Dispatchable",'NQC list mod'!$W$4:$W$660,"&lt;="&amp;DATE((N$2-$B$106),12,31))+SUMIFS('NQC list mod'!$M$4:$M$660,'NQC list mod'!$U$4:$U$660,"&lt;&gt;OTC",'NQC list mod'!$T$4:$T$660,"Dispatchable",'NQC list mod'!$W$4:$W$660,"&lt;="&amp;DATE((N$2-$B$106),12,31))</f>
        <v>4317.09</v>
      </c>
      <c r="O106" s="5">
        <f>SUMIFS('NQC list mod'!$E$4:$E$660,'NQC list mod'!$U$4:$U$660,"&lt;&gt;OTC",'NQC list mod'!$T$4:$T$660,"Dispatchable",'NQC list mod'!$W$4:$W$660,"&lt;="&amp;DATE((O$2-$B$106),12,31))+SUMIFS('NQC list mod'!$M$4:$M$660,'NQC list mod'!$U$4:$U$660,"&lt;&gt;OTC",'NQC list mod'!$T$4:$T$660,"Dispatchable",'NQC list mod'!$W$4:$W$660,"&lt;="&amp;DATE((O$2-$B$106),12,31))</f>
        <v>4317.09</v>
      </c>
      <c r="P106" s="5">
        <f>SUMIFS('NQC list mod'!$E$4:$E$660,'NQC list mod'!$U$4:$U$660,"&lt;&gt;OTC",'NQC list mod'!$T$4:$T$660,"Dispatchable",'NQC list mod'!$W$4:$W$660,"&lt;="&amp;DATE((P$2-$B$106),12,31))+SUMIFS('NQC list mod'!$M$4:$M$660,'NQC list mod'!$U$4:$U$660,"&lt;&gt;OTC",'NQC list mod'!$T$4:$T$660,"Dispatchable",'NQC list mod'!$W$4:$W$660,"&lt;="&amp;DATE((P$2-$B$106),12,31))</f>
        <v>4317.09</v>
      </c>
      <c r="Q106" s="5">
        <f>SUMIFS('NQC list mod'!$E$4:$E$660,'NQC list mod'!$U$4:$U$660,"&lt;&gt;OTC",'NQC list mod'!$T$4:$T$660,"Dispatchable",'NQC list mod'!$W$4:$W$660,"&lt;="&amp;DATE((Q$2-$B$106),12,31))+SUMIFS('NQC list mod'!$M$4:$M$660,'NQC list mod'!$U$4:$U$660,"&lt;&gt;OTC",'NQC list mod'!$T$4:$T$660,"Dispatchable",'NQC list mod'!$W$4:$W$660,"&lt;="&amp;DATE((Q$2-$B$106),12,31))</f>
        <v>4317.09</v>
      </c>
      <c r="R106" s="5">
        <f>SUMIFS('NQC list mod'!$E$4:$E$660,'NQC list mod'!$U$4:$U$660,"&lt;&gt;OTC",'NQC list mod'!$T$4:$T$660,"Dispatchable",'NQC list mod'!$W$4:$W$660,"&lt;="&amp;DATE((R$2-$B$106),12,31))+SUMIFS('NQC list mod'!$M$4:$M$660,'NQC list mod'!$U$4:$U$660,"&lt;&gt;OTC",'NQC list mod'!$T$4:$T$660,"Dispatchable",'NQC list mod'!$W$4:$W$660,"&lt;="&amp;DATE((R$2-$B$106),12,31))</f>
        <v>4317.09</v>
      </c>
      <c r="S106" s="5">
        <f>SUMIFS('NQC list mod'!$E$4:$E$660,'NQC list mod'!$U$4:$U$660,"&lt;&gt;OTC",'NQC list mod'!$T$4:$T$660,"Dispatchable",'NQC list mod'!$W$4:$W$660,"&lt;="&amp;DATE((S$2-$B$106),12,31))+SUMIFS('NQC list mod'!$M$4:$M$660,'NQC list mod'!$U$4:$U$660,"&lt;&gt;OTC",'NQC list mod'!$T$4:$T$660,"Dispatchable",'NQC list mod'!$W$4:$W$660,"&lt;="&amp;DATE((S$2-$B$106),12,31))</f>
        <v>6746.66</v>
      </c>
      <c r="T106" s="5">
        <f>SUMIFS('NQC list mod'!$E$4:$E$660,'NQC list mod'!$U$4:$U$660,"&lt;&gt;OTC",'NQC list mod'!$T$4:$T$660,"Dispatchable",'NQC list mod'!$W$4:$W$660,"&lt;="&amp;DATE((T$2-$B$106),12,31))+SUMIFS('NQC list mod'!$M$4:$M$660,'NQC list mod'!$U$4:$U$660,"&lt;&gt;OTC",'NQC list mod'!$T$4:$T$660,"Dispatchable",'NQC list mod'!$W$4:$W$660,"&lt;="&amp;DATE((T$2-$B$106),12,31))</f>
        <v>8046.28</v>
      </c>
      <c r="U106" s="5">
        <f>SUMIFS('NQC list mod'!$E$4:$E$660,'NQC list mod'!$U$4:$U$660,"&lt;&gt;OTC",'NQC list mod'!$T$4:$T$660,"Dispatchable",'NQC list mod'!$W$4:$W$660,"&lt;="&amp;DATE((U$2-$B$106),12,31))+SUMIFS('NQC list mod'!$M$4:$M$660,'NQC list mod'!$U$4:$U$660,"&lt;&gt;OTC",'NQC list mod'!$T$4:$T$660,"Dispatchable",'NQC list mod'!$W$4:$W$660,"&lt;="&amp;DATE((U$2-$B$106),12,31))</f>
        <v>12085.410000000002</v>
      </c>
      <c r="V106" s="5">
        <f>SUMIFS('NQC list mod'!$E$4:$E$660,'NQC list mod'!$U$4:$U$660,"&lt;&gt;OTC",'NQC list mod'!$T$4:$T$660,"Dispatchable",'NQC list mod'!$W$4:$W$660,"&lt;="&amp;DATE((V$2-$B$106),12,31))+SUMIFS('NQC list mod'!$M$4:$M$660,'NQC list mod'!$U$4:$U$660,"&lt;&gt;OTC",'NQC list mod'!$T$4:$T$660,"Dispatchable",'NQC list mod'!$W$4:$W$660,"&lt;="&amp;DATE((V$2-$B$106),12,31))</f>
        <v>12172.660000000002</v>
      </c>
      <c r="W106" s="5">
        <f>SUMIFS('NQC list mod'!$E$4:$E$660,'NQC list mod'!$U$4:$U$660,"&lt;&gt;OTC",'NQC list mod'!$T$4:$T$660,"Dispatchable",'NQC list mod'!$W$4:$W$660,"&lt;="&amp;DATE((W$2-$B$106),12,31))+SUMIFS('NQC list mod'!$M$4:$M$660,'NQC list mod'!$U$4:$U$660,"&lt;&gt;OTC",'NQC list mod'!$T$4:$T$660,"Dispatchable",'NQC list mod'!$W$4:$W$660,"&lt;="&amp;DATE((W$2-$B$106),12,31))</f>
        <v>14440.96</v>
      </c>
      <c r="X106" s="5">
        <f>SUMIFS('NQC list mod'!$E$4:$E$660,'NQC list mod'!$U$4:$U$660,"&lt;&gt;OTC",'NQC list mod'!$T$4:$T$660,"Dispatchable",'NQC list mod'!$W$4:$W$660,"&lt;="&amp;DATE((X$2-$B$106),12,31))+SUMIFS('NQC list mod'!$M$4:$M$660,'NQC list mod'!$U$4:$U$660,"&lt;&gt;OTC",'NQC list mod'!$T$4:$T$660,"Dispatchable",'NQC list mod'!$W$4:$W$660,"&lt;="&amp;DATE((X$2-$B$106),12,31))</f>
        <v>15678.92</v>
      </c>
      <c r="Y106" s="5">
        <f>SUMIFS('NQC list mod'!$E$4:$E$660,'NQC list mod'!$U$4:$U$660,"&lt;&gt;OTC",'NQC list mod'!$T$4:$T$660,"Dispatchable",'NQC list mod'!$W$4:$W$660,"&lt;="&amp;DATE((Y$2-$B$106),12,31))+SUMIFS('NQC list mod'!$M$4:$M$660,'NQC list mod'!$U$4:$U$660,"&lt;&gt;OTC",'NQC list mod'!$T$4:$T$660,"Dispatchable",'NQC list mod'!$W$4:$W$660,"&lt;="&amp;DATE((Y$2-$B$106),12,31))</f>
        <v>16133.78</v>
      </c>
      <c r="Z106" s="5">
        <f>SUMIFS('NQC list mod'!$E$4:$E$660,'NQC list mod'!$U$4:$U$660,"&lt;&gt;OTC",'NQC list mod'!$T$4:$T$660,"Dispatchable",'NQC list mod'!$W$4:$W$660,"&lt;="&amp;DATE((Z$2-$B$106),12,31))+SUMIFS('NQC list mod'!$M$4:$M$660,'NQC list mod'!$U$4:$U$660,"&lt;&gt;OTC",'NQC list mod'!$T$4:$T$660,"Dispatchable",'NQC list mod'!$W$4:$W$660,"&lt;="&amp;DATE((Z$2-$B$106),12,31))</f>
        <v>16133.78</v>
      </c>
      <c r="AA106" s="5">
        <f>SUMIFS('NQC list mod'!$E$4:$E$660,'NQC list mod'!$U$4:$U$660,"&lt;&gt;OTC",'NQC list mod'!$T$4:$T$660,"Dispatchable",'NQC list mod'!$W$4:$W$660,"&lt;="&amp;DATE((AA$2-$B$106),12,31))+SUMIFS('NQC list mod'!$M$4:$M$660,'NQC list mod'!$U$4:$U$660,"&lt;&gt;OTC",'NQC list mod'!$T$4:$T$660,"Dispatchable",'NQC list mod'!$W$4:$W$660,"&lt;="&amp;DATE((AA$2-$B$106),12,31))</f>
        <v>18172.400000000001</v>
      </c>
      <c r="AB106" s="9"/>
    </row>
    <row r="107" spans="1:28" s="115" customFormat="1" x14ac:dyDescent="0.25">
      <c r="C107" s="17"/>
      <c r="D107" s="115" t="str">
        <f>D44</f>
        <v>Non-Disp, QF, Bio, Geo &amp; Other</v>
      </c>
      <c r="E107" s="5">
        <f>SUMIFS('NQC list mod'!$E$4:$E$660,'NQC list mod'!$T$4:$T$660,$D107,'NQC list mod'!$W$4:$W$660,"&lt;="&amp;DATE((E$2-$B$106),12,31))+SUMIFS('NQC list mod'!$M$4:$M$660,'NQC list mod'!$T$4:$T$660,$D107,'NQC list mod'!$W$4:$W$660,"&lt;="&amp;DATE((E$2-$B$106),12,31))</f>
        <v>1355.27</v>
      </c>
      <c r="F107" s="5">
        <f>SUMIFS('NQC list mod'!$E$4:$E$660,'NQC list mod'!$T$4:$T$660,$D107,'NQC list mod'!$W$4:$W$660,"&lt;="&amp;DATE((F$2-$B$106),12,31))+SUMIFS('NQC list mod'!$M$4:$M$660,'NQC list mod'!$T$4:$T$660,$D107,'NQC list mod'!$W$4:$W$660,"&lt;="&amp;DATE((F$2-$B$106),12,31))</f>
        <v>1673.1499999999999</v>
      </c>
      <c r="G107" s="5">
        <f>SUMIFS('NQC list mod'!$E$4:$E$660,'NQC list mod'!$T$4:$T$660,$D107,'NQC list mod'!$W$4:$W$660,"&lt;="&amp;DATE((G$2-$B$106),12,31))+SUMIFS('NQC list mod'!$M$4:$M$660,'NQC list mod'!$T$4:$T$660,$D107,'NQC list mod'!$W$4:$W$660,"&lt;="&amp;DATE((G$2-$B$106),12,31))</f>
        <v>2599.16</v>
      </c>
      <c r="H107" s="5">
        <f>SUMIFS('NQC list mod'!$E$4:$E$660,'NQC list mod'!$T$4:$T$660,$D107,'NQC list mod'!$W$4:$W$660,"&lt;="&amp;DATE((H$2-$B$106),12,31))+SUMIFS('NQC list mod'!$M$4:$M$660,'NQC list mod'!$T$4:$T$660,$D107,'NQC list mod'!$W$4:$W$660,"&lt;="&amp;DATE((H$2-$B$106),12,31))</f>
        <v>3090.1200000000008</v>
      </c>
      <c r="I107" s="5">
        <f>SUMIFS('NQC list mod'!$E$4:$E$660,'NQC list mod'!$T$4:$T$660,$D107,'NQC list mod'!$W$4:$W$660,"&lt;="&amp;DATE((I$2-$B$106),12,31))+SUMIFS('NQC list mod'!$M$4:$M$660,'NQC list mod'!$T$4:$T$660,$D107,'NQC list mod'!$W$4:$W$660,"&lt;="&amp;DATE((I$2-$B$106),12,31))</f>
        <v>3318.9600000000009</v>
      </c>
      <c r="J107" s="5">
        <f>SUMIFS('NQC list mod'!$E$4:$E$660,'NQC list mod'!$T$4:$T$660,$D107,'NQC list mod'!$W$4:$W$660,"&lt;="&amp;DATE((J$2-$B$106),12,31))+SUMIFS('NQC list mod'!$M$4:$M$660,'NQC list mod'!$T$4:$T$660,$D107,'NQC list mod'!$W$4:$W$660,"&lt;="&amp;DATE((J$2-$B$106),12,31))</f>
        <v>3321.7800000000011</v>
      </c>
      <c r="K107" s="5">
        <f>SUMIFS('NQC list mod'!$E$4:$E$660,'NQC list mod'!$T$4:$T$660,$D107,'NQC list mod'!$W$4:$W$660,"&lt;="&amp;DATE((K$2-$B$106),12,31))+SUMIFS('NQC list mod'!$M$4:$M$660,'NQC list mod'!$T$4:$T$660,$D107,'NQC list mod'!$W$4:$W$660,"&lt;="&amp;DATE((K$2-$B$106),12,31))</f>
        <v>3338.150000000001</v>
      </c>
      <c r="L107" s="5">
        <f>SUMIFS('NQC list mod'!$E$4:$E$660,'NQC list mod'!$T$4:$T$660,$D107,'NQC list mod'!$W$4:$W$660,"&lt;="&amp;DATE((L$2-$B$106),12,31))+SUMIFS('NQC list mod'!$M$4:$M$660,'NQC list mod'!$T$4:$T$660,$D107,'NQC list mod'!$W$4:$W$660,"&lt;="&amp;DATE((L$2-$B$106),12,31))</f>
        <v>3382.110000000001</v>
      </c>
      <c r="M107" s="5">
        <f>SUMIFS('NQC list mod'!$E$4:$E$660,'NQC list mod'!$T$4:$T$660,$D107,'NQC list mod'!$W$4:$W$660,"&lt;="&amp;DATE((M$2-$B$106),12,31))+SUMIFS('NQC list mod'!$M$4:$M$660,'NQC list mod'!$T$4:$T$660,$D107,'NQC list mod'!$W$4:$W$660,"&lt;="&amp;DATE((M$2-$B$106),12,31))</f>
        <v>3637.1400000000017</v>
      </c>
      <c r="N107" s="5">
        <f>SUMIFS('NQC list mod'!$E$4:$E$660,'NQC list mod'!$T$4:$T$660,$D107,'NQC list mod'!$W$4:$W$660,"&lt;="&amp;DATE((N$2-$B$106),12,31))+SUMIFS('NQC list mod'!$M$4:$M$660,'NQC list mod'!$T$4:$T$660,$D107,'NQC list mod'!$W$4:$W$660,"&lt;="&amp;DATE((N$2-$B$106),12,31))</f>
        <v>3643.555892884719</v>
      </c>
      <c r="O107" s="5">
        <f>SUMIFS('NQC list mod'!$E$4:$E$660,'NQC list mod'!$T$4:$T$660,$D107,'NQC list mod'!$W$4:$W$660,"&lt;="&amp;DATE((O$2-$B$106),12,31))+SUMIFS('NQC list mod'!$M$4:$M$660,'NQC list mod'!$T$4:$T$660,$D107,'NQC list mod'!$W$4:$W$660,"&lt;="&amp;DATE((O$2-$B$106),12,31))</f>
        <v>3645.595892884719</v>
      </c>
      <c r="P107" s="5">
        <f>SUMIFS('NQC list mod'!$E$4:$E$660,'NQC list mod'!$T$4:$T$660,$D107,'NQC list mod'!$W$4:$W$660,"&lt;="&amp;DATE((P$2-$B$106),12,31))+SUMIFS('NQC list mod'!$M$4:$M$660,'NQC list mod'!$T$4:$T$660,$D107,'NQC list mod'!$W$4:$W$660,"&lt;="&amp;DATE((P$2-$B$106),12,31))</f>
        <v>3693.3558928847187</v>
      </c>
      <c r="Q107" s="5">
        <f>SUMIFS('NQC list mod'!$E$4:$E$660,'NQC list mod'!$T$4:$T$660,$D107,'NQC list mod'!$W$4:$W$660,"&lt;="&amp;DATE((Q$2-$B$106),12,31))+SUMIFS('NQC list mod'!$M$4:$M$660,'NQC list mod'!$T$4:$T$660,$D107,'NQC list mod'!$W$4:$W$660,"&lt;="&amp;DATE((Q$2-$B$106),12,31))</f>
        <v>3703.845892884719</v>
      </c>
      <c r="R107" s="5">
        <f>SUMIFS('NQC list mod'!$E$4:$E$660,'NQC list mod'!$T$4:$T$660,$D107,'NQC list mod'!$W$4:$W$660,"&lt;="&amp;DATE((R$2-$B$106),12,31))+SUMIFS('NQC list mod'!$M$4:$M$660,'NQC list mod'!$T$4:$T$660,$D107,'NQC list mod'!$W$4:$W$660,"&lt;="&amp;DATE((R$2-$B$106),12,31))</f>
        <v>3706.7458928847191</v>
      </c>
      <c r="S107" s="5">
        <f>SUMIFS('NQC list mod'!$E$4:$E$660,'NQC list mod'!$T$4:$T$660,$D107,'NQC list mod'!$W$4:$W$660,"&lt;="&amp;DATE((S$2-$B$106),12,31))+SUMIFS('NQC list mod'!$M$4:$M$660,'NQC list mod'!$T$4:$T$660,$D107,'NQC list mod'!$W$4:$W$660,"&lt;="&amp;DATE((S$2-$B$106),12,31))</f>
        <v>3709.1958928847189</v>
      </c>
      <c r="T107" s="5">
        <f>SUMIFS('NQC list mod'!$E$4:$E$660,'NQC list mod'!$T$4:$T$660,$D107,'NQC list mod'!$W$4:$W$660,"&lt;="&amp;DATE((T$2-$B$106),12,31))+SUMIFS('NQC list mod'!$M$4:$M$660,'NQC list mod'!$T$4:$T$660,$D107,'NQC list mod'!$W$4:$W$660,"&lt;="&amp;DATE((T$2-$B$106),12,31))</f>
        <v>3713.6958928847189</v>
      </c>
      <c r="U107" s="5">
        <f>SUMIFS('NQC list mod'!$E$4:$E$660,'NQC list mod'!$T$4:$T$660,$D107,'NQC list mod'!$W$4:$W$660,"&lt;="&amp;DATE((U$2-$B$106),12,31))+SUMIFS('NQC list mod'!$M$4:$M$660,'NQC list mod'!$T$4:$T$660,$D107,'NQC list mod'!$W$4:$W$660,"&lt;="&amp;DATE((U$2-$B$106),12,31))</f>
        <v>3719.7958928847188</v>
      </c>
      <c r="V107" s="5">
        <f>SUMIFS('NQC list mod'!$E$4:$E$660,'NQC list mod'!$T$4:$T$660,$D107,'NQC list mod'!$W$4:$W$660,"&lt;="&amp;DATE((V$2-$B$106),12,31))+SUMIFS('NQC list mod'!$M$4:$M$660,'NQC list mod'!$T$4:$T$660,$D107,'NQC list mod'!$W$4:$W$660,"&lt;="&amp;DATE((V$2-$B$106),12,31))</f>
        <v>3723.6858928847187</v>
      </c>
      <c r="W107" s="5">
        <f>SUMIFS('NQC list mod'!$E$4:$E$660,'NQC list mod'!$T$4:$T$660,$D107,'NQC list mod'!$W$4:$W$660,"&lt;="&amp;DATE((W$2-$B$106),12,31))+SUMIFS('NQC list mod'!$M$4:$M$660,'NQC list mod'!$T$4:$T$660,$D107,'NQC list mod'!$W$4:$W$660,"&lt;="&amp;DATE((W$2-$B$106),12,31))</f>
        <v>3745.615892884719</v>
      </c>
      <c r="X107" s="5">
        <f>SUMIFS('NQC list mod'!$E$4:$E$660,'NQC list mod'!$T$4:$T$660,$D107,'NQC list mod'!$W$4:$W$660,"&lt;="&amp;DATE((X$2-$B$106),12,31))+SUMIFS('NQC list mod'!$M$4:$M$660,'NQC list mod'!$T$4:$T$660,$D107,'NQC list mod'!$W$4:$W$660,"&lt;="&amp;DATE((X$2-$B$106),12,31))</f>
        <v>3751.4258928847189</v>
      </c>
      <c r="Y107" s="5">
        <f>SUMIFS('NQC list mod'!$E$4:$E$660,'NQC list mod'!$T$4:$T$660,$D107,'NQC list mod'!$W$4:$W$660,"&lt;="&amp;DATE((Y$2-$B$106),12,31))+SUMIFS('NQC list mod'!$M$4:$M$660,'NQC list mod'!$T$4:$T$660,$D107,'NQC list mod'!$W$4:$W$660,"&lt;="&amp;DATE((Y$2-$B$106),12,31))</f>
        <v>3756.3158928847188</v>
      </c>
      <c r="Z107" s="5">
        <f>SUMIFS('NQC list mod'!$E$4:$E$660,'NQC list mod'!$T$4:$T$660,$D107,'NQC list mod'!$W$4:$W$660,"&lt;="&amp;DATE((Z$2-$B$106),12,31))+SUMIFS('NQC list mod'!$M$4:$M$660,'NQC list mod'!$T$4:$T$660,$D107,'NQC list mod'!$W$4:$W$660,"&lt;="&amp;DATE((Z$2-$B$106),12,31))</f>
        <v>3763.3158928847192</v>
      </c>
      <c r="AA107" s="5">
        <f>SUMIFS('NQC list mod'!$E$4:$E$660,'NQC list mod'!$T$4:$T$660,$D107,'NQC list mod'!$W$4:$W$660,"&lt;="&amp;DATE((AA$2-$B$106),12,31))+SUMIFS('NQC list mod'!$M$4:$M$660,'NQC list mod'!$T$4:$T$660,$D107,'NQC list mod'!$W$4:$W$660,"&lt;="&amp;DATE((AA$2-$B$106),12,31))</f>
        <v>3778.5858928847188</v>
      </c>
      <c r="AB107" s="9"/>
    </row>
    <row r="108" spans="1:28" s="115" customFormat="1" x14ac:dyDescent="0.25">
      <c r="C108" s="17"/>
      <c r="E108" s="5"/>
      <c r="F108" s="5"/>
      <c r="G108" s="5"/>
      <c r="H108" s="5"/>
      <c r="I108" s="5"/>
      <c r="J108" s="5"/>
      <c r="K108" s="5"/>
      <c r="L108" s="5"/>
      <c r="M108" s="5"/>
      <c r="N108" s="5"/>
      <c r="O108" s="5"/>
      <c r="P108" s="5"/>
      <c r="Q108" s="5"/>
      <c r="R108" s="5"/>
      <c r="S108" s="5"/>
      <c r="T108" s="5"/>
      <c r="U108" s="5"/>
      <c r="V108" s="5"/>
      <c r="W108" s="5"/>
      <c r="X108" s="5"/>
      <c r="Y108" s="5"/>
      <c r="Z108" s="5"/>
      <c r="AA108" s="5"/>
      <c r="AB108" s="9"/>
    </row>
    <row r="109" spans="1:28" s="115" customFormat="1" x14ac:dyDescent="0.25">
      <c r="A109" s="115" t="s">
        <v>4676</v>
      </c>
      <c r="B109" s="43">
        <v>50</v>
      </c>
      <c r="D109" s="115" t="str">
        <f>D45</f>
        <v>Dispatchable Hydro</v>
      </c>
      <c r="E109" s="5">
        <f>SUMIFS('NQC list mod'!$E$4:$E$660,'NQC list mod'!$T$4:$T$660,$D109,'NQC list mod'!$W$4:$W$660,"&lt;="&amp;DATE((E$2-$B$109),12,31))+SUMIFS('NQC list mod'!$M$4:$M$660,'NQC list mod'!$T$4:$T$660,$D109,'NQC list mod'!$W$4:$W$660,"&lt;="&amp;DATE((E$2-$B$109),12,31))</f>
        <v>2550.1000000000004</v>
      </c>
      <c r="F109" s="5">
        <f>SUMIFS('NQC list mod'!$E$4:$E$660,'NQC list mod'!$T$4:$T$660,$D109,'NQC list mod'!$W$4:$W$660,"&lt;="&amp;DATE((F$2-$B$109),12,31))+SUMIFS('NQC list mod'!$M$4:$M$660,'NQC list mod'!$T$4:$T$660,$D109,'NQC list mod'!$W$4:$W$660,"&lt;="&amp;DATE((F$2-$B$109),12,31))</f>
        <v>2745.1000000000004</v>
      </c>
      <c r="G109" s="5">
        <f>SUMIFS('NQC list mod'!$E$4:$E$660,'NQC list mod'!$T$4:$T$660,$D109,'NQC list mod'!$W$4:$W$660,"&lt;="&amp;DATE((G$2-$B$109),12,31))+SUMIFS('NQC list mod'!$M$4:$M$660,'NQC list mod'!$T$4:$T$660,$D109,'NQC list mod'!$W$4:$W$660,"&lt;="&amp;DATE((G$2-$B$109),12,31))</f>
        <v>2745.1000000000004</v>
      </c>
      <c r="H109" s="5">
        <f>SUMIFS('NQC list mod'!$E$4:$E$660,'NQC list mod'!$T$4:$T$660,$D109,'NQC list mod'!$W$4:$W$660,"&lt;="&amp;DATE((H$2-$B$109),12,31))+SUMIFS('NQC list mod'!$M$4:$M$660,'NQC list mod'!$T$4:$T$660,$D109,'NQC list mod'!$W$4:$W$660,"&lt;="&amp;DATE((H$2-$B$109),12,31))</f>
        <v>3132</v>
      </c>
      <c r="I109" s="5">
        <f>SUMIFS('NQC list mod'!$E$4:$E$660,'NQC list mod'!$T$4:$T$660,$D109,'NQC list mod'!$W$4:$W$660,"&lt;="&amp;DATE((I$2-$B$109),12,31))+SUMIFS('NQC list mod'!$M$4:$M$660,'NQC list mod'!$T$4:$T$660,$D109,'NQC list mod'!$W$4:$W$660,"&lt;="&amp;DATE((I$2-$B$109),12,31))</f>
        <v>3447.6899999999996</v>
      </c>
      <c r="J109" s="5">
        <f>SUMIFS('NQC list mod'!$E$4:$E$660,'NQC list mod'!$T$4:$T$660,$D109,'NQC list mod'!$W$4:$W$660,"&lt;="&amp;DATE((J$2-$B$109),12,31))+SUMIFS('NQC list mod'!$M$4:$M$660,'NQC list mod'!$T$4:$T$660,$D109,'NQC list mod'!$W$4:$W$660,"&lt;="&amp;DATE((J$2-$B$109),12,31))</f>
        <v>3565.4599999999996</v>
      </c>
      <c r="K109" s="5">
        <f>SUMIFS('NQC list mod'!$E$4:$E$660,'NQC list mod'!$T$4:$T$660,$D109,'NQC list mod'!$W$4:$W$660,"&lt;="&amp;DATE((K$2-$B$109),12,31))+SUMIFS('NQC list mod'!$M$4:$M$660,'NQC list mod'!$T$4:$T$660,$D109,'NQC list mod'!$W$4:$W$660,"&lt;="&amp;DATE((K$2-$B$109),12,31))</f>
        <v>4453.4599999999991</v>
      </c>
      <c r="L109" s="5">
        <f>SUMIFS('NQC list mod'!$E$4:$E$660,'NQC list mod'!$T$4:$T$660,$D109,'NQC list mod'!$W$4:$W$660,"&lt;="&amp;DATE((L$2-$B$109),12,31))+SUMIFS('NQC list mod'!$M$4:$M$660,'NQC list mod'!$T$4:$T$660,$D109,'NQC list mod'!$W$4:$W$660,"&lt;="&amp;DATE((L$2-$B$109),12,31))</f>
        <v>4891.7899999999991</v>
      </c>
      <c r="M109" s="5">
        <f>SUMIFS('NQC list mod'!$E$4:$E$660,'NQC list mod'!$T$4:$T$660,$D109,'NQC list mod'!$W$4:$W$660,"&lt;="&amp;DATE((M$2-$B$109),12,31))+SUMIFS('NQC list mod'!$M$4:$M$660,'NQC list mod'!$T$4:$T$660,$D109,'NQC list mod'!$W$4:$W$660,"&lt;="&amp;DATE((M$2-$B$109),12,31))</f>
        <v>4891.7899999999991</v>
      </c>
      <c r="N109" s="5">
        <f>SUMIFS('NQC list mod'!$E$4:$E$660,'NQC list mod'!$T$4:$T$660,$D109,'NQC list mod'!$W$4:$W$660,"&lt;="&amp;DATE((N$2-$B$109),12,31))+SUMIFS('NQC list mod'!$M$4:$M$660,'NQC list mod'!$T$4:$T$660,$D109,'NQC list mod'!$W$4:$W$660,"&lt;="&amp;DATE((N$2-$B$109),12,31))</f>
        <v>4891.7899999999991</v>
      </c>
      <c r="O109" s="5">
        <f>SUMIFS('NQC list mod'!$E$4:$E$660,'NQC list mod'!$T$4:$T$660,$D109,'NQC list mod'!$W$4:$W$660,"&lt;="&amp;DATE((O$2-$B$109),12,31))+SUMIFS('NQC list mod'!$M$4:$M$660,'NQC list mod'!$T$4:$T$660,$D109,'NQC list mod'!$W$4:$W$660,"&lt;="&amp;DATE((O$2-$B$109),12,31))</f>
        <v>5126.7899999999991</v>
      </c>
      <c r="P109" s="5">
        <f>SUMIFS('NQC list mod'!$E$4:$E$660,'NQC list mod'!$T$4:$T$660,$D109,'NQC list mod'!$W$4:$W$660,"&lt;="&amp;DATE((P$2-$B$109),12,31))+SUMIFS('NQC list mod'!$M$4:$M$660,'NQC list mod'!$T$4:$T$660,$D109,'NQC list mod'!$W$4:$W$660,"&lt;="&amp;DATE((P$2-$B$109),12,31))</f>
        <v>5126.7899999999991</v>
      </c>
      <c r="Q109" s="5">
        <f>SUMIFS('NQC list mod'!$E$4:$E$660,'NQC list mod'!$T$4:$T$660,$D109,'NQC list mod'!$W$4:$W$660,"&lt;="&amp;DATE((Q$2-$B$109),12,31))+SUMIFS('NQC list mod'!$M$4:$M$660,'NQC list mod'!$T$4:$T$660,$D109,'NQC list mod'!$W$4:$W$660,"&lt;="&amp;DATE((Q$2-$B$109),12,31))</f>
        <v>5126.7899999999991</v>
      </c>
      <c r="R109" s="5">
        <f>SUMIFS('NQC list mod'!$E$4:$E$660,'NQC list mod'!$T$4:$T$660,$D109,'NQC list mod'!$W$4:$W$660,"&lt;="&amp;DATE((R$2-$B$109),12,31))+SUMIFS('NQC list mod'!$M$4:$M$660,'NQC list mod'!$T$4:$T$660,$D109,'NQC list mod'!$W$4:$W$660,"&lt;="&amp;DATE((R$2-$B$109),12,31))</f>
        <v>5126.7899999999991</v>
      </c>
      <c r="S109" s="5">
        <f>SUMIFS('NQC list mod'!$E$4:$E$660,'NQC list mod'!$T$4:$T$660,$D109,'NQC list mod'!$W$4:$W$660,"&lt;="&amp;DATE((S$2-$B$109),12,31))+SUMIFS('NQC list mod'!$M$4:$M$660,'NQC list mod'!$T$4:$T$660,$D109,'NQC list mod'!$W$4:$W$660,"&lt;="&amp;DATE((S$2-$B$109),12,31))</f>
        <v>5126.7899999999991</v>
      </c>
      <c r="T109" s="5">
        <f>SUMIFS('NQC list mod'!$E$4:$E$660,'NQC list mod'!$T$4:$T$660,$D109,'NQC list mod'!$W$4:$W$660,"&lt;="&amp;DATE((T$2-$B$109),12,31))+SUMIFS('NQC list mod'!$M$4:$M$660,'NQC list mod'!$T$4:$T$660,$D109,'NQC list mod'!$W$4:$W$660,"&lt;="&amp;DATE((T$2-$B$109),12,31))</f>
        <v>5126.7899999999991</v>
      </c>
      <c r="U109" s="5">
        <f>SUMIFS('NQC list mod'!$E$4:$E$660,'NQC list mod'!$T$4:$T$660,$D109,'NQC list mod'!$W$4:$W$660,"&lt;="&amp;DATE((U$2-$B$109),12,31))+SUMIFS('NQC list mod'!$M$4:$M$660,'NQC list mod'!$T$4:$T$660,$D109,'NQC list mod'!$W$4:$W$660,"&lt;="&amp;DATE((U$2-$B$109),12,31))</f>
        <v>5126.7899999999991</v>
      </c>
      <c r="V109" s="5">
        <f>SUMIFS('NQC list mod'!$E$4:$E$660,'NQC list mod'!$T$4:$T$660,$D109,'NQC list mod'!$W$4:$W$660,"&lt;="&amp;DATE((V$2-$B$109),12,31))+SUMIFS('NQC list mod'!$M$4:$M$660,'NQC list mod'!$T$4:$T$660,$D109,'NQC list mod'!$W$4:$W$660,"&lt;="&amp;DATE((V$2-$B$109),12,31))</f>
        <v>5129.9199999999992</v>
      </c>
      <c r="W109" s="5">
        <f>SUMIFS('NQC list mod'!$E$4:$E$660,'NQC list mod'!$T$4:$T$660,$D109,'NQC list mod'!$W$4:$W$660,"&lt;="&amp;DATE((W$2-$B$109),12,31))+SUMIFS('NQC list mod'!$M$4:$M$660,'NQC list mod'!$T$4:$T$660,$D109,'NQC list mod'!$W$4:$W$660,"&lt;="&amp;DATE((W$2-$B$109),12,31))</f>
        <v>5145.6099999999997</v>
      </c>
      <c r="X109" s="5">
        <f>SUMIFS('NQC list mod'!$E$4:$E$660,'NQC list mod'!$T$4:$T$660,$D109,'NQC list mod'!$W$4:$W$660,"&lt;="&amp;DATE((X$2-$B$109),12,31))+SUMIFS('NQC list mod'!$M$4:$M$660,'NQC list mod'!$T$4:$T$660,$D109,'NQC list mod'!$W$4:$W$660,"&lt;="&amp;DATE((X$2-$B$109),12,31))</f>
        <v>5160.8099999999995</v>
      </c>
      <c r="Y109" s="5">
        <f>SUMIFS('NQC list mod'!$E$4:$E$660,'NQC list mod'!$T$4:$T$660,$D109,'NQC list mod'!$W$4:$W$660,"&lt;="&amp;DATE((Y$2-$B$109),12,31))+SUMIFS('NQC list mod'!$M$4:$M$660,'NQC list mod'!$T$4:$T$660,$D109,'NQC list mod'!$W$4:$W$660,"&lt;="&amp;DATE((Y$2-$B$109),12,31))</f>
        <v>5236.8099999999995</v>
      </c>
      <c r="Z109" s="5">
        <f>SUMIFS('NQC list mod'!$E$4:$E$660,'NQC list mod'!$T$4:$T$660,$D109,'NQC list mod'!$W$4:$W$660,"&lt;="&amp;DATE((Z$2-$B$109),12,31))+SUMIFS('NQC list mod'!$M$4:$M$660,'NQC list mod'!$T$4:$T$660,$D109,'NQC list mod'!$W$4:$W$660,"&lt;="&amp;DATE((Z$2-$B$109),12,31))</f>
        <v>5409.0099999999993</v>
      </c>
      <c r="AA109" s="5">
        <f>SUMIFS('NQC list mod'!$E$4:$E$660,'NQC list mod'!$T$4:$T$660,$D109,'NQC list mod'!$W$4:$W$660,"&lt;="&amp;DATE((AA$2-$B$109),12,31))+SUMIFS('NQC list mod'!$M$4:$M$660,'NQC list mod'!$T$4:$T$660,$D109,'NQC list mod'!$W$4:$W$660,"&lt;="&amp;DATE((AA$2-$B$109),12,31))</f>
        <v>6705.42</v>
      </c>
      <c r="AB109" s="9"/>
    </row>
    <row r="110" spans="1:28" s="115" customFormat="1" x14ac:dyDescent="0.25">
      <c r="B110" s="432"/>
      <c r="D110" s="3" t="str">
        <f>D46</f>
        <v>Non-Disp Hydro</v>
      </c>
      <c r="E110" s="5">
        <f>SUMIFS('NQC list mod'!$E$4:$E$660,'NQC list mod'!$T$4:$T$660,$D110,'NQC list mod'!$W$4:$W$660,"&lt;="&amp;DATE((E$2-$B$109),12,31))+SUMIFS('NQC list mod'!$M$4:$M$660,'NQC list mod'!$T$4:$T$660,$D110,'NQC list mod'!$W$4:$W$660,"&lt;="&amp;DATE((E$2-$B$109),12,31))</f>
        <v>111.69</v>
      </c>
      <c r="F110" s="5">
        <f>SUMIFS('NQC list mod'!$E$4:$E$660,'NQC list mod'!$T$4:$T$660,$D110,'NQC list mod'!$W$4:$W$660,"&lt;="&amp;DATE((F$2-$B$109),12,31))+SUMIFS('NQC list mod'!$M$4:$M$660,'NQC list mod'!$T$4:$T$660,$D110,'NQC list mod'!$W$4:$W$660,"&lt;="&amp;DATE((F$2-$B$109),12,31))</f>
        <v>120.04999999999998</v>
      </c>
      <c r="G110" s="5">
        <f>SUMIFS('NQC list mod'!$E$4:$E$660,'NQC list mod'!$T$4:$T$660,$D110,'NQC list mod'!$W$4:$W$660,"&lt;="&amp;DATE((G$2-$B$109),12,31))+SUMIFS('NQC list mod'!$M$4:$M$660,'NQC list mod'!$T$4:$T$660,$D110,'NQC list mod'!$W$4:$W$660,"&lt;="&amp;DATE((G$2-$B$109),12,31))</f>
        <v>120.04999999999998</v>
      </c>
      <c r="H110" s="5">
        <f>SUMIFS('NQC list mod'!$E$4:$E$660,'NQC list mod'!$T$4:$T$660,$D110,'NQC list mod'!$W$4:$W$660,"&lt;="&amp;DATE((H$2-$B$109),12,31))+SUMIFS('NQC list mod'!$M$4:$M$660,'NQC list mod'!$T$4:$T$660,$D110,'NQC list mod'!$W$4:$W$660,"&lt;="&amp;DATE((H$2-$B$109),12,31))</f>
        <v>122.22999999999999</v>
      </c>
      <c r="I110" s="5">
        <f>SUMIFS('NQC list mod'!$E$4:$E$660,'NQC list mod'!$T$4:$T$660,$D110,'NQC list mod'!$W$4:$W$660,"&lt;="&amp;DATE((I$2-$B$109),12,31))+SUMIFS('NQC list mod'!$M$4:$M$660,'NQC list mod'!$T$4:$T$660,$D110,'NQC list mod'!$W$4:$W$660,"&lt;="&amp;DATE((I$2-$B$109),12,31))</f>
        <v>122.22999999999999</v>
      </c>
      <c r="J110" s="5">
        <f>SUMIFS('NQC list mod'!$E$4:$E$660,'NQC list mod'!$T$4:$T$660,$D110,'NQC list mod'!$W$4:$W$660,"&lt;="&amp;DATE((J$2-$B$109),12,31))+SUMIFS('NQC list mod'!$M$4:$M$660,'NQC list mod'!$T$4:$T$660,$D110,'NQC list mod'!$W$4:$W$660,"&lt;="&amp;DATE((J$2-$B$109),12,31))</f>
        <v>127.44999999999999</v>
      </c>
      <c r="K110" s="5">
        <f>SUMIFS('NQC list mod'!$E$4:$E$660,'NQC list mod'!$T$4:$T$660,$D110,'NQC list mod'!$W$4:$W$660,"&lt;="&amp;DATE((K$2-$B$109),12,31))+SUMIFS('NQC list mod'!$M$4:$M$660,'NQC list mod'!$T$4:$T$660,$D110,'NQC list mod'!$W$4:$W$660,"&lt;="&amp;DATE((K$2-$B$109),12,31))</f>
        <v>127.44999999999999</v>
      </c>
      <c r="L110" s="5">
        <f>SUMIFS('NQC list mod'!$E$4:$E$660,'NQC list mod'!$T$4:$T$660,$D110,'NQC list mod'!$W$4:$W$660,"&lt;="&amp;DATE((L$2-$B$109),12,31))+SUMIFS('NQC list mod'!$M$4:$M$660,'NQC list mod'!$T$4:$T$660,$D110,'NQC list mod'!$W$4:$W$660,"&lt;="&amp;DATE((L$2-$B$109),12,31))</f>
        <v>150.03999999999996</v>
      </c>
      <c r="M110" s="5">
        <f>SUMIFS('NQC list mod'!$E$4:$E$660,'NQC list mod'!$T$4:$T$660,$D110,'NQC list mod'!$W$4:$W$660,"&lt;="&amp;DATE((M$2-$B$109),12,31))+SUMIFS('NQC list mod'!$M$4:$M$660,'NQC list mod'!$T$4:$T$660,$D110,'NQC list mod'!$W$4:$W$660,"&lt;="&amp;DATE((M$2-$B$109),12,31))</f>
        <v>150.03999999999996</v>
      </c>
      <c r="N110" s="5">
        <f>SUMIFS('NQC list mod'!$E$4:$E$660,'NQC list mod'!$T$4:$T$660,$D110,'NQC list mod'!$W$4:$W$660,"&lt;="&amp;DATE((N$2-$B$109),12,31))+SUMIFS('NQC list mod'!$M$4:$M$660,'NQC list mod'!$T$4:$T$660,$D110,'NQC list mod'!$W$4:$W$660,"&lt;="&amp;DATE((N$2-$B$109),12,31))</f>
        <v>150.03999999999996</v>
      </c>
      <c r="O110" s="5">
        <f>SUMIFS('NQC list mod'!$E$4:$E$660,'NQC list mod'!$T$4:$T$660,$D110,'NQC list mod'!$W$4:$W$660,"&lt;="&amp;DATE((O$2-$B$109),12,31))+SUMIFS('NQC list mod'!$M$4:$M$660,'NQC list mod'!$T$4:$T$660,$D110,'NQC list mod'!$W$4:$W$660,"&lt;="&amp;DATE((O$2-$B$109),12,31))</f>
        <v>150.03999999999996</v>
      </c>
      <c r="P110" s="5">
        <f>SUMIFS('NQC list mod'!$E$4:$E$660,'NQC list mod'!$T$4:$T$660,$D110,'NQC list mod'!$W$4:$W$660,"&lt;="&amp;DATE((P$2-$B$109),12,31))+SUMIFS('NQC list mod'!$M$4:$M$660,'NQC list mod'!$T$4:$T$660,$D110,'NQC list mod'!$W$4:$W$660,"&lt;="&amp;DATE((P$2-$B$109),12,31))</f>
        <v>150.03999999999996</v>
      </c>
      <c r="Q110" s="5">
        <f>SUMIFS('NQC list mod'!$E$4:$E$660,'NQC list mod'!$T$4:$T$660,$D110,'NQC list mod'!$W$4:$W$660,"&lt;="&amp;DATE((Q$2-$B$109),12,31))+SUMIFS('NQC list mod'!$M$4:$M$660,'NQC list mod'!$T$4:$T$660,$D110,'NQC list mod'!$W$4:$W$660,"&lt;="&amp;DATE((Q$2-$B$109),12,31))</f>
        <v>158.72</v>
      </c>
      <c r="R110" s="5">
        <f>SUMIFS('NQC list mod'!$E$4:$E$660,'NQC list mod'!$T$4:$T$660,$D110,'NQC list mod'!$W$4:$W$660,"&lt;="&amp;DATE((R$2-$B$109),12,31))+SUMIFS('NQC list mod'!$M$4:$M$660,'NQC list mod'!$T$4:$T$660,$D110,'NQC list mod'!$W$4:$W$660,"&lt;="&amp;DATE((R$2-$B$109),12,31))</f>
        <v>158.72</v>
      </c>
      <c r="S110" s="5">
        <f>SUMIFS('NQC list mod'!$E$4:$E$660,'NQC list mod'!$T$4:$T$660,$D110,'NQC list mod'!$W$4:$W$660,"&lt;="&amp;DATE((S$2-$B$109),12,31))+SUMIFS('NQC list mod'!$M$4:$M$660,'NQC list mod'!$T$4:$T$660,$D110,'NQC list mod'!$W$4:$W$660,"&lt;="&amp;DATE((S$2-$B$109),12,31))</f>
        <v>158.72</v>
      </c>
      <c r="T110" s="5">
        <f>SUMIFS('NQC list mod'!$E$4:$E$660,'NQC list mod'!$T$4:$T$660,$D110,'NQC list mod'!$W$4:$W$660,"&lt;="&amp;DATE((T$2-$B$109),12,31))+SUMIFS('NQC list mod'!$M$4:$M$660,'NQC list mod'!$T$4:$T$660,$D110,'NQC list mod'!$W$4:$W$660,"&lt;="&amp;DATE((T$2-$B$109),12,31))</f>
        <v>158.72</v>
      </c>
      <c r="U110" s="5">
        <f>SUMIFS('NQC list mod'!$E$4:$E$660,'NQC list mod'!$T$4:$T$660,$D110,'NQC list mod'!$W$4:$W$660,"&lt;="&amp;DATE((U$2-$B$109),12,31))+SUMIFS('NQC list mod'!$M$4:$M$660,'NQC list mod'!$T$4:$T$660,$D110,'NQC list mod'!$W$4:$W$660,"&lt;="&amp;DATE((U$2-$B$109),12,31))</f>
        <v>158.72</v>
      </c>
      <c r="V110" s="5">
        <f>SUMIFS('NQC list mod'!$E$4:$E$660,'NQC list mod'!$T$4:$T$660,$D110,'NQC list mod'!$W$4:$W$660,"&lt;="&amp;DATE((V$2-$B$109),12,31))+SUMIFS('NQC list mod'!$M$4:$M$660,'NQC list mod'!$T$4:$T$660,$D110,'NQC list mod'!$W$4:$W$660,"&lt;="&amp;DATE((V$2-$B$109),12,31))</f>
        <v>164.75999999999996</v>
      </c>
      <c r="W110" s="5">
        <f>SUMIFS('NQC list mod'!$E$4:$E$660,'NQC list mod'!$T$4:$T$660,$D110,'NQC list mod'!$W$4:$W$660,"&lt;="&amp;DATE((W$2-$B$109),12,31))+SUMIFS('NQC list mod'!$M$4:$M$660,'NQC list mod'!$T$4:$T$660,$D110,'NQC list mod'!$W$4:$W$660,"&lt;="&amp;DATE((W$2-$B$109),12,31))</f>
        <v>1235.1200000000003</v>
      </c>
      <c r="X110" s="5">
        <f>SUMIFS('NQC list mod'!$E$4:$E$660,'NQC list mod'!$T$4:$T$660,$D110,'NQC list mod'!$W$4:$W$660,"&lt;="&amp;DATE((X$2-$B$109),12,31))+SUMIFS('NQC list mod'!$M$4:$M$660,'NQC list mod'!$T$4:$T$660,$D110,'NQC list mod'!$W$4:$W$660,"&lt;="&amp;DATE((X$2-$B$109),12,31))</f>
        <v>1236.6300000000003</v>
      </c>
      <c r="Y110" s="5">
        <f>SUMIFS('NQC list mod'!$E$4:$E$660,'NQC list mod'!$T$4:$T$660,$D110,'NQC list mod'!$W$4:$W$660,"&lt;="&amp;DATE((Y$2-$B$109),12,31))+SUMIFS('NQC list mod'!$M$4:$M$660,'NQC list mod'!$T$4:$T$660,$D110,'NQC list mod'!$W$4:$W$660,"&lt;="&amp;DATE((Y$2-$B$109),12,31))</f>
        <v>1242.9000000000003</v>
      </c>
      <c r="Z110" s="5">
        <f>SUMIFS('NQC list mod'!$E$4:$E$660,'NQC list mod'!$T$4:$T$660,$D110,'NQC list mod'!$W$4:$W$660,"&lt;="&amp;DATE((Z$2-$B$109),12,31))+SUMIFS('NQC list mod'!$M$4:$M$660,'NQC list mod'!$T$4:$T$660,$D110,'NQC list mod'!$W$4:$W$660,"&lt;="&amp;DATE((Z$2-$B$109),12,31))</f>
        <v>1248.5700000000002</v>
      </c>
      <c r="AA110" s="5">
        <f>SUMIFS('NQC list mod'!$E$4:$E$660,'NQC list mod'!$T$4:$T$660,$D110,'NQC list mod'!$W$4:$W$660,"&lt;="&amp;DATE((AA$2-$B$109),12,31))+SUMIFS('NQC list mod'!$M$4:$M$660,'NQC list mod'!$T$4:$T$660,$D110,'NQC list mod'!$W$4:$W$660,"&lt;="&amp;DATE((AA$2-$B$109),12,31))</f>
        <v>1250.46</v>
      </c>
      <c r="AB110" s="9"/>
    </row>
    <row r="111" spans="1:28" s="115" customFormat="1" x14ac:dyDescent="0.25">
      <c r="B111" s="432"/>
      <c r="D111" s="3"/>
      <c r="E111" s="5"/>
      <c r="F111" s="5"/>
      <c r="G111" s="5"/>
      <c r="H111" s="5"/>
      <c r="I111" s="5"/>
      <c r="J111" s="5"/>
      <c r="K111" s="5"/>
      <c r="L111" s="5"/>
      <c r="M111" s="5"/>
      <c r="N111" s="5"/>
      <c r="O111" s="5"/>
      <c r="P111" s="5"/>
      <c r="Q111" s="5"/>
      <c r="R111" s="5"/>
      <c r="S111" s="5"/>
      <c r="T111" s="5"/>
      <c r="U111" s="5"/>
      <c r="V111" s="5"/>
      <c r="W111" s="5"/>
      <c r="X111" s="5"/>
      <c r="Y111" s="5"/>
      <c r="Z111" s="5"/>
      <c r="AA111" s="5"/>
      <c r="AB111" s="9"/>
    </row>
    <row r="112" spans="1:28" s="115" customFormat="1" x14ac:dyDescent="0.25">
      <c r="A112" s="115" t="s">
        <v>4676</v>
      </c>
      <c r="B112" s="43">
        <v>20</v>
      </c>
      <c r="D112" s="115" t="str">
        <f>D47</f>
        <v>Solar</v>
      </c>
      <c r="E112" s="5">
        <f>SUMIFS('NQC list mod'!$E$4:$E$660,'NQC list mod'!$T$4:$T$660,$D112,'NQC list mod'!$W$4:$W$660,"&lt;="&amp;DATE((E$2-$B$112),12,31))+SUMIFS('NQC list mod'!$M$4:$M$660,'NQC list mod'!$T$4:$T$660,$D112,'NQC list mod'!$W$4:$W$660,"&lt;="&amp;DATE((E$2-$B$112),12,31))</f>
        <v>366.32999999999993</v>
      </c>
      <c r="F112" s="5">
        <f>SUMIFS('NQC list mod'!$E$4:$E$660,'NQC list mod'!$T$4:$T$660,$D112,'NQC list mod'!$W$4:$W$660,"&lt;="&amp;DATE((F$2-$B$112),12,31))+SUMIFS('NQC list mod'!$M$4:$M$660,'NQC list mod'!$T$4:$T$660,$D112,'NQC list mod'!$W$4:$W$660,"&lt;="&amp;DATE((F$2-$B$112),12,31))</f>
        <v>366.32999999999993</v>
      </c>
      <c r="G112" s="5">
        <f>SUMIFS('NQC list mod'!$E$4:$E$660,'NQC list mod'!$T$4:$T$660,$D112,'NQC list mod'!$W$4:$W$660,"&lt;="&amp;DATE((G$2-$B$112),12,31))+SUMIFS('NQC list mod'!$M$4:$M$660,'NQC list mod'!$T$4:$T$660,$D112,'NQC list mod'!$W$4:$W$660,"&lt;="&amp;DATE((G$2-$B$112),12,31))</f>
        <v>366.32999999999993</v>
      </c>
      <c r="H112" s="5">
        <f>SUMIFS('NQC list mod'!$E$4:$E$660,'NQC list mod'!$T$4:$T$660,$D112,'NQC list mod'!$W$4:$W$660,"&lt;="&amp;DATE((H$2-$B$112),12,31))+SUMIFS('NQC list mod'!$M$4:$M$660,'NQC list mod'!$T$4:$T$660,$D112,'NQC list mod'!$W$4:$W$660,"&lt;="&amp;DATE((H$2-$B$112),12,31))</f>
        <v>366.32999999999993</v>
      </c>
      <c r="I112" s="5">
        <f>SUMIFS('NQC list mod'!$E$4:$E$660,'NQC list mod'!$T$4:$T$660,$D112,'NQC list mod'!$W$4:$W$660,"&lt;="&amp;DATE((I$2-$B$112),12,31))+SUMIFS('NQC list mod'!$M$4:$M$660,'NQC list mod'!$T$4:$T$660,$D112,'NQC list mod'!$W$4:$W$660,"&lt;="&amp;DATE((I$2-$B$112),12,31))</f>
        <v>366.32999999999993</v>
      </c>
      <c r="J112" s="5">
        <f>SUMIFS('NQC list mod'!$E$4:$E$660,'NQC list mod'!$T$4:$T$660,$D112,'NQC list mod'!$W$4:$W$660,"&lt;="&amp;DATE((J$2-$B$112),12,31))+SUMIFS('NQC list mod'!$M$4:$M$660,'NQC list mod'!$T$4:$T$660,$D112,'NQC list mod'!$W$4:$W$660,"&lt;="&amp;DATE((J$2-$B$112),12,31))</f>
        <v>366.32999999999993</v>
      </c>
      <c r="K112" s="5">
        <f>SUMIFS('NQC list mod'!$E$4:$E$660,'NQC list mod'!$T$4:$T$660,$D112,'NQC list mod'!$W$4:$W$660,"&lt;="&amp;DATE((K$2-$B$112),12,31))+SUMIFS('NQC list mod'!$M$4:$M$660,'NQC list mod'!$T$4:$T$660,$D112,'NQC list mod'!$W$4:$W$660,"&lt;="&amp;DATE((K$2-$B$112),12,31))</f>
        <v>366.32999999999993</v>
      </c>
      <c r="L112" s="5">
        <f>SUMIFS('NQC list mod'!$E$4:$E$660,'NQC list mod'!$T$4:$T$660,$D112,'NQC list mod'!$W$4:$W$660,"&lt;="&amp;DATE((L$2-$B$112),12,31))+SUMIFS('NQC list mod'!$M$4:$M$660,'NQC list mod'!$T$4:$T$660,$D112,'NQC list mod'!$W$4:$W$660,"&lt;="&amp;DATE((L$2-$B$112),12,31))</f>
        <v>366.32999999999993</v>
      </c>
      <c r="M112" s="5">
        <f>SUMIFS('NQC list mod'!$E$4:$E$660,'NQC list mod'!$T$4:$T$660,$D112,'NQC list mod'!$W$4:$W$660,"&lt;="&amp;DATE((M$2-$B$112),12,31))+SUMIFS('NQC list mod'!$M$4:$M$660,'NQC list mod'!$T$4:$T$660,$D112,'NQC list mod'!$W$4:$W$660,"&lt;="&amp;DATE((M$2-$B$112),12,31))</f>
        <v>366.32999999999993</v>
      </c>
      <c r="N112" s="5">
        <f>SUMIFS('NQC list mod'!$E$4:$E$660,'NQC list mod'!$T$4:$T$660,$D112,'NQC list mod'!$W$4:$W$660,"&lt;="&amp;DATE((N$2-$B$112),12,31))+SUMIFS('NQC list mod'!$M$4:$M$660,'NQC list mod'!$T$4:$T$660,$D112,'NQC list mod'!$W$4:$W$660,"&lt;="&amp;DATE((N$2-$B$112),12,31))</f>
        <v>366.32999999999993</v>
      </c>
      <c r="O112" s="5">
        <f>SUMIFS('NQC list mod'!$E$4:$E$660,'NQC list mod'!$T$4:$T$660,$D112,'NQC list mod'!$W$4:$W$660,"&lt;="&amp;DATE((O$2-$B$112),12,31))+SUMIFS('NQC list mod'!$M$4:$M$660,'NQC list mod'!$T$4:$T$660,$D112,'NQC list mod'!$W$4:$W$660,"&lt;="&amp;DATE((O$2-$B$112),12,31))</f>
        <v>366.32999999999993</v>
      </c>
      <c r="P112" s="5">
        <f>SUMIFS('NQC list mod'!$E$4:$E$660,'NQC list mod'!$T$4:$T$660,$D112,'NQC list mod'!$W$4:$W$660,"&lt;="&amp;DATE((P$2-$B$112),12,31))+SUMIFS('NQC list mod'!$M$4:$M$660,'NQC list mod'!$T$4:$T$660,$D112,'NQC list mod'!$W$4:$W$660,"&lt;="&amp;DATE((P$2-$B$112),12,31))</f>
        <v>366.32999999999993</v>
      </c>
      <c r="Q112" s="5">
        <f>SUMIFS('NQC list mod'!$E$4:$E$660,'NQC list mod'!$T$4:$T$660,$D112,'NQC list mod'!$W$4:$W$660,"&lt;="&amp;DATE((Q$2-$B$112),12,31))+SUMIFS('NQC list mod'!$M$4:$M$660,'NQC list mod'!$T$4:$T$660,$D112,'NQC list mod'!$W$4:$W$660,"&lt;="&amp;DATE((Q$2-$B$112),12,31))</f>
        <v>366.32999999999993</v>
      </c>
      <c r="R112" s="5">
        <f>SUMIFS('NQC list mod'!$E$4:$E$660,'NQC list mod'!$T$4:$T$660,$D112,'NQC list mod'!$W$4:$W$660,"&lt;="&amp;DATE((R$2-$B$112),12,31))+SUMIFS('NQC list mod'!$M$4:$M$660,'NQC list mod'!$T$4:$T$660,$D112,'NQC list mod'!$W$4:$W$660,"&lt;="&amp;DATE((R$2-$B$112),12,31))</f>
        <v>366.32999999999993</v>
      </c>
      <c r="S112" s="5">
        <f>SUMIFS('NQC list mod'!$E$4:$E$660,'NQC list mod'!$T$4:$T$660,$D112,'NQC list mod'!$W$4:$W$660,"&lt;="&amp;DATE((S$2-$B$112),12,31))+SUMIFS('NQC list mod'!$M$4:$M$660,'NQC list mod'!$T$4:$T$660,$D112,'NQC list mod'!$W$4:$W$660,"&lt;="&amp;DATE((S$2-$B$112),12,31))</f>
        <v>366.32999999999993</v>
      </c>
      <c r="T112" s="5">
        <f>SUMIFS('NQC list mod'!$E$4:$E$660,'NQC list mod'!$T$4:$T$660,$D112,'NQC list mod'!$W$4:$W$660,"&lt;="&amp;DATE((T$2-$B$112),12,31))+SUMIFS('NQC list mod'!$M$4:$M$660,'NQC list mod'!$T$4:$T$660,$D112,'NQC list mod'!$W$4:$W$660,"&lt;="&amp;DATE((T$2-$B$112),12,31))</f>
        <v>366.32999999999993</v>
      </c>
      <c r="U112" s="5">
        <f>SUMIFS('NQC list mod'!$E$4:$E$660,'NQC list mod'!$T$4:$T$660,$D112,'NQC list mod'!$W$4:$W$660,"&lt;="&amp;DATE((U$2-$B$112),12,31))+SUMIFS('NQC list mod'!$M$4:$M$660,'NQC list mod'!$T$4:$T$660,$D112,'NQC list mod'!$W$4:$W$660,"&lt;="&amp;DATE((U$2-$B$112),12,31))</f>
        <v>366.32999999999993</v>
      </c>
      <c r="V112" s="5">
        <f>SUMIFS('NQC list mod'!$E$4:$E$660,'NQC list mod'!$T$4:$T$660,$D112,'NQC list mod'!$W$4:$W$660,"&lt;="&amp;DATE((V$2-$B$112),12,31))+SUMIFS('NQC list mod'!$M$4:$M$660,'NQC list mod'!$T$4:$T$660,$D112,'NQC list mod'!$W$4:$W$660,"&lt;="&amp;DATE((V$2-$B$112),12,31))</f>
        <v>367.26999999999992</v>
      </c>
      <c r="W112" s="5">
        <f>SUMIFS('NQC list mod'!$E$4:$E$660,'NQC list mod'!$T$4:$T$660,$D112,'NQC list mod'!$W$4:$W$660,"&lt;="&amp;DATE((W$2-$B$112),12,31))+SUMIFS('NQC list mod'!$M$4:$M$660,'NQC list mod'!$T$4:$T$660,$D112,'NQC list mod'!$W$4:$W$660,"&lt;="&amp;DATE((W$2-$B$112),12,31))</f>
        <v>367.26999999999992</v>
      </c>
      <c r="X112" s="5">
        <f>SUMIFS('NQC list mod'!$E$4:$E$660,'NQC list mod'!$T$4:$T$660,$D112,'NQC list mod'!$W$4:$W$660,"&lt;="&amp;DATE((X$2-$B$112),12,31))+SUMIFS('NQC list mod'!$M$4:$M$660,'NQC list mod'!$T$4:$T$660,$D112,'NQC list mod'!$W$4:$W$660,"&lt;="&amp;DATE((X$2-$B$112),12,31))</f>
        <v>367.26999999999992</v>
      </c>
      <c r="Y112" s="5">
        <f>SUMIFS('NQC list mod'!$E$4:$E$660,'NQC list mod'!$T$4:$T$660,$D112,'NQC list mod'!$W$4:$W$660,"&lt;="&amp;DATE((Y$2-$B$112),12,31))+SUMIFS('NQC list mod'!$M$4:$M$660,'NQC list mod'!$T$4:$T$660,$D112,'NQC list mod'!$W$4:$W$660,"&lt;="&amp;DATE((Y$2-$B$112),12,31))</f>
        <v>367.26999999999992</v>
      </c>
      <c r="Z112" s="5">
        <f>SUMIFS('NQC list mod'!$E$4:$E$660,'NQC list mod'!$T$4:$T$660,$D112,'NQC list mod'!$W$4:$W$660,"&lt;="&amp;DATE((Z$2-$B$112),12,31))+SUMIFS('NQC list mod'!$M$4:$M$660,'NQC list mod'!$T$4:$T$660,$D112,'NQC list mod'!$W$4:$W$660,"&lt;="&amp;DATE((Z$2-$B$112),12,31))</f>
        <v>367.26999999999992</v>
      </c>
      <c r="AA112" s="5">
        <f>SUMIFS('NQC list mod'!$E$4:$E$660,'NQC list mod'!$T$4:$T$660,$D112,'NQC list mod'!$W$4:$W$660,"&lt;="&amp;DATE((AA$2-$B$112),12,31))+SUMIFS('NQC list mod'!$M$4:$M$660,'NQC list mod'!$T$4:$T$660,$D112,'NQC list mod'!$W$4:$W$660,"&lt;="&amp;DATE((AA$2-$B$112),12,31))</f>
        <v>367.26999999999992</v>
      </c>
      <c r="AB112" s="9"/>
    </row>
    <row r="113" spans="1:28" s="443" customFormat="1" x14ac:dyDescent="0.25">
      <c r="B113" s="444"/>
      <c r="D113" s="463" t="str">
        <f>D48</f>
        <v>Wind</v>
      </c>
      <c r="E113" s="5">
        <f>SUMIFS('NQC list mod'!$E$4:$E$660,'NQC list mod'!$T$4:$T$660,$D113,'NQC list mod'!$W$4:$W$660,"&lt;="&amp;DATE((E$2-$B$112),12,31))+SUMIFS('NQC list mod'!$M$4:$M$660,'NQC list mod'!$T$4:$T$660,$D113,'NQC list mod'!$W$4:$W$660,"&lt;="&amp;DATE((E$2-$B$112),12,31))</f>
        <v>150.47</v>
      </c>
      <c r="F113" s="5">
        <f>SUMIFS('NQC list mod'!$E$4:$E$660,'NQC list mod'!$T$4:$T$660,$D113,'NQC list mod'!$W$4:$W$660,"&lt;="&amp;DATE((F$2-$B$112),12,31))+SUMIFS('NQC list mod'!$M$4:$M$660,'NQC list mod'!$T$4:$T$660,$D113,'NQC list mod'!$W$4:$W$660,"&lt;="&amp;DATE((F$2-$B$112),12,31))</f>
        <v>150.47</v>
      </c>
      <c r="G113" s="5">
        <f>SUMIFS('NQC list mod'!$E$4:$E$660,'NQC list mod'!$T$4:$T$660,$D113,'NQC list mod'!$W$4:$W$660,"&lt;="&amp;DATE((G$2-$B$112),12,31))+SUMIFS('NQC list mod'!$M$4:$M$660,'NQC list mod'!$T$4:$T$660,$D113,'NQC list mod'!$W$4:$W$660,"&lt;="&amp;DATE((G$2-$B$112),12,31))</f>
        <v>194.56</v>
      </c>
      <c r="H113" s="5">
        <f>SUMIFS('NQC list mod'!$E$4:$E$660,'NQC list mod'!$T$4:$T$660,$D113,'NQC list mod'!$W$4:$W$660,"&lt;="&amp;DATE((H$2-$B$112),12,31))+SUMIFS('NQC list mod'!$M$4:$M$660,'NQC list mod'!$T$4:$T$660,$D113,'NQC list mod'!$W$4:$W$660,"&lt;="&amp;DATE((H$2-$B$112),12,31))</f>
        <v>194.56</v>
      </c>
      <c r="I113" s="5">
        <f>SUMIFS('NQC list mod'!$E$4:$E$660,'NQC list mod'!$T$4:$T$660,$D113,'NQC list mod'!$W$4:$W$660,"&lt;="&amp;DATE((I$2-$B$112),12,31))+SUMIFS('NQC list mod'!$M$4:$M$660,'NQC list mod'!$T$4:$T$660,$D113,'NQC list mod'!$W$4:$W$660,"&lt;="&amp;DATE((I$2-$B$112),12,31))</f>
        <v>194.56</v>
      </c>
      <c r="J113" s="5">
        <f>SUMIFS('NQC list mod'!$E$4:$E$660,'NQC list mod'!$T$4:$T$660,$D113,'NQC list mod'!$W$4:$W$660,"&lt;="&amp;DATE((J$2-$B$112),12,31))+SUMIFS('NQC list mod'!$M$4:$M$660,'NQC list mod'!$T$4:$T$660,$D113,'NQC list mod'!$W$4:$W$660,"&lt;="&amp;DATE((J$2-$B$112),12,31))</f>
        <v>194.56</v>
      </c>
      <c r="K113" s="5">
        <f>SUMIFS('NQC list mod'!$E$4:$E$660,'NQC list mod'!$T$4:$T$660,$D113,'NQC list mod'!$W$4:$W$660,"&lt;="&amp;DATE((K$2-$B$112),12,31))+SUMIFS('NQC list mod'!$M$4:$M$660,'NQC list mod'!$T$4:$T$660,$D113,'NQC list mod'!$W$4:$W$660,"&lt;="&amp;DATE((K$2-$B$112),12,31))</f>
        <v>194.56</v>
      </c>
      <c r="L113" s="5">
        <f>SUMIFS('NQC list mod'!$E$4:$E$660,'NQC list mod'!$T$4:$T$660,$D113,'NQC list mod'!$W$4:$W$660,"&lt;="&amp;DATE((L$2-$B$112),12,31))+SUMIFS('NQC list mod'!$M$4:$M$660,'NQC list mod'!$T$4:$T$660,$D113,'NQC list mod'!$W$4:$W$660,"&lt;="&amp;DATE((L$2-$B$112),12,31))</f>
        <v>194.71</v>
      </c>
      <c r="M113" s="5">
        <f>SUMIFS('NQC list mod'!$E$4:$E$660,'NQC list mod'!$T$4:$T$660,$D113,'NQC list mod'!$W$4:$W$660,"&lt;="&amp;DATE((M$2-$B$112),12,31))+SUMIFS('NQC list mod'!$M$4:$M$660,'NQC list mod'!$T$4:$T$660,$D113,'NQC list mod'!$W$4:$W$660,"&lt;="&amp;DATE((M$2-$B$112),12,31))</f>
        <v>194.71</v>
      </c>
      <c r="N113" s="5">
        <f>SUMIFS('NQC list mod'!$E$4:$E$660,'NQC list mod'!$T$4:$T$660,$D113,'NQC list mod'!$W$4:$W$660,"&lt;="&amp;DATE((N$2-$B$112),12,31))+SUMIFS('NQC list mod'!$M$4:$M$660,'NQC list mod'!$T$4:$T$660,$D113,'NQC list mod'!$W$4:$W$660,"&lt;="&amp;DATE((N$2-$B$112),12,31))</f>
        <v>204.55</v>
      </c>
      <c r="O113" s="5">
        <f>SUMIFS('NQC list mod'!$E$4:$E$660,'NQC list mod'!$T$4:$T$660,$D113,'NQC list mod'!$W$4:$W$660,"&lt;="&amp;DATE((O$2-$B$112),12,31))+SUMIFS('NQC list mod'!$M$4:$M$660,'NQC list mod'!$T$4:$T$660,$D113,'NQC list mod'!$W$4:$W$660,"&lt;="&amp;DATE((O$2-$B$112),12,31))</f>
        <v>224.1</v>
      </c>
      <c r="P113" s="5">
        <f>SUMIFS('NQC list mod'!$E$4:$E$660,'NQC list mod'!$T$4:$T$660,$D113,'NQC list mod'!$W$4:$W$660,"&lt;="&amp;DATE((P$2-$B$112),12,31))+SUMIFS('NQC list mod'!$M$4:$M$660,'NQC list mod'!$T$4:$T$660,$D113,'NQC list mod'!$W$4:$W$660,"&lt;="&amp;DATE((P$2-$B$112),12,31))</f>
        <v>262.22000000000003</v>
      </c>
      <c r="Q113" s="5">
        <f>SUMIFS('NQC list mod'!$E$4:$E$660,'NQC list mod'!$T$4:$T$660,$D113,'NQC list mod'!$W$4:$W$660,"&lt;="&amp;DATE((Q$2-$B$112),12,31))+SUMIFS('NQC list mod'!$M$4:$M$660,'NQC list mod'!$T$4:$T$660,$D113,'NQC list mod'!$W$4:$W$660,"&lt;="&amp;DATE((Q$2-$B$112),12,31))</f>
        <v>262.22000000000003</v>
      </c>
      <c r="R113" s="5">
        <f>SUMIFS('NQC list mod'!$E$4:$E$660,'NQC list mod'!$T$4:$T$660,$D113,'NQC list mod'!$W$4:$W$660,"&lt;="&amp;DATE((R$2-$B$112),12,31))+SUMIFS('NQC list mod'!$M$4:$M$660,'NQC list mod'!$T$4:$T$660,$D113,'NQC list mod'!$W$4:$W$660,"&lt;="&amp;DATE((R$2-$B$112),12,31))</f>
        <v>277.56</v>
      </c>
      <c r="S113" s="5">
        <f>SUMIFS('NQC list mod'!$E$4:$E$660,'NQC list mod'!$T$4:$T$660,$D113,'NQC list mod'!$W$4:$W$660,"&lt;="&amp;DATE((S$2-$B$112),12,31))+SUMIFS('NQC list mod'!$M$4:$M$660,'NQC list mod'!$T$4:$T$660,$D113,'NQC list mod'!$W$4:$W$660,"&lt;="&amp;DATE((S$2-$B$112),12,31))</f>
        <v>314.41000000000003</v>
      </c>
      <c r="T113" s="5">
        <f>SUMIFS('NQC list mod'!$E$4:$E$660,'NQC list mod'!$T$4:$T$660,$D113,'NQC list mod'!$W$4:$W$660,"&lt;="&amp;DATE((T$2-$B$112),12,31))+SUMIFS('NQC list mod'!$M$4:$M$660,'NQC list mod'!$T$4:$T$660,$D113,'NQC list mod'!$W$4:$W$660,"&lt;="&amp;DATE((T$2-$B$112),12,31))</f>
        <v>314.41000000000003</v>
      </c>
      <c r="U113" s="5">
        <f>SUMIFS('NQC list mod'!$E$4:$E$660,'NQC list mod'!$T$4:$T$660,$D113,'NQC list mod'!$W$4:$W$660,"&lt;="&amp;DATE((U$2-$B$112),12,31))+SUMIFS('NQC list mod'!$M$4:$M$660,'NQC list mod'!$T$4:$T$660,$D113,'NQC list mod'!$W$4:$W$660,"&lt;="&amp;DATE((U$2-$B$112),12,31))</f>
        <v>320.04000000000002</v>
      </c>
      <c r="V113" s="5">
        <f>SUMIFS('NQC list mod'!$E$4:$E$660,'NQC list mod'!$T$4:$T$660,$D113,'NQC list mod'!$W$4:$W$660,"&lt;="&amp;DATE((V$2-$B$112),12,31))+SUMIFS('NQC list mod'!$M$4:$M$660,'NQC list mod'!$T$4:$T$660,$D113,'NQC list mod'!$W$4:$W$660,"&lt;="&amp;DATE((V$2-$B$112),12,31))</f>
        <v>355.23166723631221</v>
      </c>
      <c r="W113" s="5">
        <f>SUMIFS('NQC list mod'!$E$4:$E$660,'NQC list mod'!$T$4:$T$660,$D113,'NQC list mod'!$W$4:$W$660,"&lt;="&amp;DATE((W$2-$B$112),12,31))+SUMIFS('NQC list mod'!$M$4:$M$660,'NQC list mod'!$T$4:$T$660,$D113,'NQC list mod'!$W$4:$W$660,"&lt;="&amp;DATE((W$2-$B$112),12,31))</f>
        <v>420.09166723631222</v>
      </c>
      <c r="X113" s="5">
        <f>SUMIFS('NQC list mod'!$E$4:$E$660,'NQC list mod'!$T$4:$T$660,$D113,'NQC list mod'!$W$4:$W$660,"&lt;="&amp;DATE((X$2-$B$112),12,31))+SUMIFS('NQC list mod'!$M$4:$M$660,'NQC list mod'!$T$4:$T$660,$D113,'NQC list mod'!$W$4:$W$660,"&lt;="&amp;DATE((X$2-$B$112),12,31))</f>
        <v>493.94102153260053</v>
      </c>
      <c r="Y113" s="5">
        <f>SUMIFS('NQC list mod'!$E$4:$E$660,'NQC list mod'!$T$4:$T$660,$D113,'NQC list mod'!$W$4:$W$660,"&lt;="&amp;DATE((Y$2-$B$112),12,31))+SUMIFS('NQC list mod'!$M$4:$M$660,'NQC list mod'!$T$4:$T$660,$D113,'NQC list mod'!$W$4:$W$660,"&lt;="&amp;DATE((Y$2-$B$112),12,31))</f>
        <v>496.51102153260052</v>
      </c>
      <c r="Z113" s="5">
        <f>SUMIFS('NQC list mod'!$E$4:$E$660,'NQC list mod'!$T$4:$T$660,$D113,'NQC list mod'!$W$4:$W$660,"&lt;="&amp;DATE((Z$2-$B$112),12,31))+SUMIFS('NQC list mod'!$M$4:$M$660,'NQC list mod'!$T$4:$T$660,$D113,'NQC list mod'!$W$4:$W$660,"&lt;="&amp;DATE((Z$2-$B$112),12,31))</f>
        <v>496.51102153260052</v>
      </c>
      <c r="AA113" s="5">
        <f>SUMIFS('NQC list mod'!$E$4:$E$660,'NQC list mod'!$T$4:$T$660,$D113,'NQC list mod'!$W$4:$W$660,"&lt;="&amp;DATE((AA$2-$B$112),12,31))+SUMIFS('NQC list mod'!$M$4:$M$660,'NQC list mod'!$T$4:$T$660,$D113,'NQC list mod'!$W$4:$W$660,"&lt;="&amp;DATE((AA$2-$B$112),12,31))</f>
        <v>496.51102153260052</v>
      </c>
      <c r="AB113" s="442"/>
    </row>
    <row r="114" spans="1:28" s="115" customFormat="1" x14ac:dyDescent="0.25">
      <c r="B114" s="435" t="s">
        <v>4674</v>
      </c>
      <c r="E114" s="5"/>
      <c r="AB114" s="9"/>
    </row>
    <row r="115" spans="1:28" s="8" customFormat="1" x14ac:dyDescent="0.25">
      <c r="C115" s="8" t="s">
        <v>14</v>
      </c>
      <c r="D115" s="8" t="s">
        <v>3152</v>
      </c>
      <c r="E115" s="434">
        <v>1425</v>
      </c>
      <c r="F115" s="434">
        <v>1425</v>
      </c>
      <c r="G115" s="434">
        <v>2434</v>
      </c>
      <c r="H115" s="434">
        <v>4695</v>
      </c>
      <c r="I115" s="434">
        <v>6597</v>
      </c>
      <c r="J115" s="434">
        <v>11328.63</v>
      </c>
      <c r="K115" s="434">
        <v>12280</v>
      </c>
      <c r="L115" s="434">
        <v>13231</v>
      </c>
      <c r="M115" s="434">
        <v>14357.5</v>
      </c>
      <c r="AB115" s="9"/>
    </row>
    <row r="116" spans="1:28" s="8" customFormat="1" x14ac:dyDescent="0.25">
      <c r="A116" s="115"/>
      <c r="E116" s="5"/>
      <c r="F116" s="5"/>
      <c r="G116" s="5"/>
      <c r="H116" s="5"/>
      <c r="I116" s="5"/>
      <c r="J116" s="5"/>
      <c r="K116" s="5"/>
      <c r="L116" s="5"/>
      <c r="M116" s="5"/>
      <c r="AB116" s="9"/>
    </row>
    <row r="117" spans="1:28" s="8" customFormat="1" x14ac:dyDescent="0.25">
      <c r="A117" s="115"/>
      <c r="C117" s="643" t="s">
        <v>4859</v>
      </c>
      <c r="D117" s="643"/>
      <c r="E117" s="643"/>
      <c r="F117" s="643"/>
      <c r="G117" s="643"/>
      <c r="H117" s="643"/>
      <c r="I117" s="643"/>
      <c r="J117" s="643"/>
      <c r="K117" s="643"/>
      <c r="L117" s="643"/>
      <c r="M117" s="643"/>
      <c r="N117" s="643"/>
      <c r="O117" s="643"/>
      <c r="P117" s="643"/>
      <c r="Q117" s="643"/>
      <c r="R117" s="643"/>
      <c r="S117" s="643"/>
      <c r="T117" s="643"/>
      <c r="U117" s="643"/>
      <c r="V117" s="643"/>
      <c r="W117" s="643"/>
      <c r="X117" s="643"/>
      <c r="Y117" s="643"/>
      <c r="Z117" s="643"/>
      <c r="AA117" s="643"/>
      <c r="AB117" s="9"/>
    </row>
    <row r="118" spans="1:28" s="8" customFormat="1" x14ac:dyDescent="0.25">
      <c r="A118" s="97" t="s">
        <v>4860</v>
      </c>
      <c r="D118" s="8" t="s">
        <v>4705</v>
      </c>
      <c r="E118" s="5">
        <f>SUMIFS('NQC list mod'!$E$4:$E$660,'NQC list mod'!$V$4:$V$660,"URANIUM",'NQC list mod'!$Z$4:$Z$660,"&lt;="&amp;DATE(E$2,12,31))+SUMIFS('NQC list mod'!$M$4:$M$660,'NQC list mod'!$V$4:$V$660,"URANIUM",'NQC list mod'!$Z$4:$Z$660,"&lt;="&amp;DATE(E$2,12,31))</f>
        <v>0</v>
      </c>
      <c r="F118" s="5">
        <f>SUMIFS('NQC list mod'!$E$4:$E$660,'NQC list mod'!$V$4:$V$660,"URANIUM",'NQC list mod'!$Z$4:$Z$660,"&lt;="&amp;DATE(F$2,12,31))+SUMIFS('NQC list mod'!$M$4:$M$660,'NQC list mod'!$V$4:$V$660,"URANIUM",'NQC list mod'!$Z$4:$Z$660,"&lt;="&amp;DATE(F$2,12,31))</f>
        <v>0</v>
      </c>
      <c r="G118" s="5">
        <f>SUMIFS('NQC list mod'!$E$4:$E$660,'NQC list mod'!$V$4:$V$660,"URANIUM",'NQC list mod'!$Z$4:$Z$660,"&lt;="&amp;DATE(G$2,12,31))+SUMIFS('NQC list mod'!$M$4:$M$660,'NQC list mod'!$V$4:$V$660,"URANIUM",'NQC list mod'!$Z$4:$Z$660,"&lt;="&amp;DATE(G$2,12,31))</f>
        <v>0</v>
      </c>
      <c r="H118" s="5">
        <f>SUMIFS('NQC list mod'!$E$4:$E$660,'NQC list mod'!$V$4:$V$660,"URANIUM",'NQC list mod'!$Z$4:$Z$660,"&lt;="&amp;DATE(H$2,12,31))+SUMIFS('NQC list mod'!$M$4:$M$660,'NQC list mod'!$V$4:$V$660,"URANIUM",'NQC list mod'!$Z$4:$Z$660,"&lt;="&amp;DATE(H$2,12,31))</f>
        <v>2246</v>
      </c>
      <c r="I118" s="5">
        <f>SUMIFS('NQC list mod'!$E$4:$E$660,'NQC list mod'!$V$4:$V$660,"URANIUM",'NQC list mod'!$Z$4:$Z$660,"&lt;="&amp;DATE(I$2,12,31))+SUMIFS('NQC list mod'!$M$4:$M$660,'NQC list mod'!$V$4:$V$660,"URANIUM",'NQC list mod'!$Z$4:$Z$660,"&lt;="&amp;DATE(I$2,12,31))</f>
        <v>2246</v>
      </c>
      <c r="J118" s="5">
        <f>SUMIFS('NQC list mod'!$E$4:$E$660,'NQC list mod'!$V$4:$V$660,"URANIUM",'NQC list mod'!$Z$4:$Z$660,"&lt;="&amp;DATE(J$2,12,31))+SUMIFS('NQC list mod'!$M$4:$M$660,'NQC list mod'!$V$4:$V$660,"URANIUM",'NQC list mod'!$Z$4:$Z$660,"&lt;="&amp;DATE(J$2,12,31))</f>
        <v>2246</v>
      </c>
      <c r="K118" s="5">
        <f>SUMIFS('NQC list mod'!$E$4:$E$660,'NQC list mod'!$V$4:$V$660,"URANIUM",'NQC list mod'!$Z$4:$Z$660,"&lt;="&amp;DATE(K$2,12,31))+SUMIFS('NQC list mod'!$M$4:$M$660,'NQC list mod'!$V$4:$V$660,"URANIUM",'NQC list mod'!$Z$4:$Z$660,"&lt;="&amp;DATE(K$2,12,31))</f>
        <v>2246</v>
      </c>
      <c r="L118" s="5">
        <f>SUMIFS('NQC list mod'!$E$4:$E$660,'NQC list mod'!$V$4:$V$660,"URANIUM",'NQC list mod'!$Z$4:$Z$660,"&lt;="&amp;DATE(L$2,12,31))+SUMIFS('NQC list mod'!$M$4:$M$660,'NQC list mod'!$V$4:$V$660,"URANIUM",'NQC list mod'!$Z$4:$Z$660,"&lt;="&amp;DATE(L$2,12,31))</f>
        <v>2246</v>
      </c>
      <c r="M118" s="5">
        <f>SUMIFS('NQC list mod'!$E$4:$E$660,'NQC list mod'!$V$4:$V$660,"URANIUM",'NQC list mod'!$Z$4:$Z$660,"&lt;="&amp;DATE(M$2,12,31))+SUMIFS('NQC list mod'!$M$4:$M$660,'NQC list mod'!$V$4:$V$660,"URANIUM",'NQC list mod'!$Z$4:$Z$660,"&lt;="&amp;DATE(M$2,12,31))</f>
        <v>2246</v>
      </c>
      <c r="N118" s="5">
        <f>SUMIFS('NQC list mod'!$E$4:$E$660,'NQC list mod'!$V$4:$V$660,"URANIUM",'NQC list mod'!$Z$4:$Z$660,"&lt;="&amp;DATE(N$2,12,31))+SUMIFS('NQC list mod'!$M$4:$M$660,'NQC list mod'!$V$4:$V$660,"URANIUM",'NQC list mod'!$Z$4:$Z$660,"&lt;="&amp;DATE(N$2,12,31))</f>
        <v>2246</v>
      </c>
      <c r="O118" s="5">
        <f>SUMIFS('NQC list mod'!$E$4:$E$660,'NQC list mod'!$V$4:$V$660,"URANIUM",'NQC list mod'!$Z$4:$Z$660,"&lt;="&amp;DATE(O$2,12,31))+SUMIFS('NQC list mod'!$M$4:$M$660,'NQC list mod'!$V$4:$V$660,"URANIUM",'NQC list mod'!$Z$4:$Z$660,"&lt;="&amp;DATE(O$2,12,31))</f>
        <v>2246</v>
      </c>
      <c r="P118" s="5">
        <f>SUMIFS('NQC list mod'!$E$4:$E$660,'NQC list mod'!$V$4:$V$660,"URANIUM",'NQC list mod'!$Z$4:$Z$660,"&lt;="&amp;DATE(P$2,12,31))+SUMIFS('NQC list mod'!$M$4:$M$660,'NQC list mod'!$V$4:$V$660,"URANIUM",'NQC list mod'!$Z$4:$Z$660,"&lt;="&amp;DATE(P$2,12,31))</f>
        <v>2246</v>
      </c>
      <c r="Q118" s="5">
        <f>SUMIFS('NQC list mod'!$E$4:$E$660,'NQC list mod'!$V$4:$V$660,"URANIUM",'NQC list mod'!$Z$4:$Z$660,"&lt;="&amp;DATE(Q$2,12,31))+SUMIFS('NQC list mod'!$M$4:$M$660,'NQC list mod'!$V$4:$V$660,"URANIUM",'NQC list mod'!$Z$4:$Z$660,"&lt;="&amp;DATE(Q$2,12,31))</f>
        <v>4486</v>
      </c>
      <c r="R118" s="5">
        <f>SUMIFS('NQC list mod'!$E$4:$E$660,'NQC list mod'!$V$4:$V$660,"URANIUM",'NQC list mod'!$Z$4:$Z$660,"&lt;="&amp;DATE(R$2,12,31))+SUMIFS('NQC list mod'!$M$4:$M$660,'NQC list mod'!$V$4:$V$660,"URANIUM",'NQC list mod'!$Z$4:$Z$660,"&lt;="&amp;DATE(R$2,12,31))</f>
        <v>4486</v>
      </c>
      <c r="S118" s="5">
        <f>SUMIFS('NQC list mod'!$E$4:$E$660,'NQC list mod'!$V$4:$V$660,"URANIUM",'NQC list mod'!$Z$4:$Z$660,"&lt;="&amp;DATE(S$2,12,31))+SUMIFS('NQC list mod'!$M$4:$M$660,'NQC list mod'!$V$4:$V$660,"URANIUM",'NQC list mod'!$Z$4:$Z$660,"&lt;="&amp;DATE(S$2,12,31))</f>
        <v>4486</v>
      </c>
      <c r="T118" s="5">
        <f>SUMIFS('NQC list mod'!$E$4:$E$660,'NQC list mod'!$V$4:$V$660,"URANIUM",'NQC list mod'!$Z$4:$Z$660,"&lt;="&amp;DATE(T$2,12,31))+SUMIFS('NQC list mod'!$M$4:$M$660,'NQC list mod'!$V$4:$V$660,"URANIUM",'NQC list mod'!$Z$4:$Z$660,"&lt;="&amp;DATE(T$2,12,31))</f>
        <v>4486</v>
      </c>
      <c r="U118" s="5">
        <f>SUMIFS('NQC list mod'!$E$4:$E$660,'NQC list mod'!$V$4:$V$660,"URANIUM",'NQC list mod'!$Z$4:$Z$660,"&lt;="&amp;DATE(U$2,12,31))+SUMIFS('NQC list mod'!$M$4:$M$660,'NQC list mod'!$V$4:$V$660,"URANIUM",'NQC list mod'!$Z$4:$Z$660,"&lt;="&amp;DATE(U$2,12,31))</f>
        <v>4486</v>
      </c>
      <c r="V118" s="5">
        <f>SUMIFS('NQC list mod'!$E$4:$E$660,'NQC list mod'!$V$4:$V$660,"URANIUM",'NQC list mod'!$Z$4:$Z$660,"&lt;="&amp;DATE(V$2,12,31))+SUMIFS('NQC list mod'!$M$4:$M$660,'NQC list mod'!$V$4:$V$660,"URANIUM",'NQC list mod'!$Z$4:$Z$660,"&lt;="&amp;DATE(V$2,12,31))</f>
        <v>4486</v>
      </c>
      <c r="W118" s="5">
        <f>SUMIFS('NQC list mod'!$E$4:$E$660,'NQC list mod'!$V$4:$V$660,"URANIUM",'NQC list mod'!$Z$4:$Z$660,"&lt;="&amp;DATE(W$2,12,31))+SUMIFS('NQC list mod'!$M$4:$M$660,'NQC list mod'!$V$4:$V$660,"URANIUM",'NQC list mod'!$Z$4:$Z$660,"&lt;="&amp;DATE(W$2,12,31))</f>
        <v>4486</v>
      </c>
      <c r="X118" s="5">
        <f>SUMIFS('NQC list mod'!$E$4:$E$660,'NQC list mod'!$V$4:$V$660,"URANIUM",'NQC list mod'!$Z$4:$Z$660,"&lt;="&amp;DATE(X$2,12,31))+SUMIFS('NQC list mod'!$M$4:$M$660,'NQC list mod'!$V$4:$V$660,"URANIUM",'NQC list mod'!$Z$4:$Z$660,"&lt;="&amp;DATE(X$2,12,31))</f>
        <v>4486</v>
      </c>
      <c r="Y118" s="5">
        <f>SUMIFS('NQC list mod'!$E$4:$E$660,'NQC list mod'!$V$4:$V$660,"URANIUM",'NQC list mod'!$Z$4:$Z$660,"&lt;="&amp;DATE(Y$2,12,31))+SUMIFS('NQC list mod'!$M$4:$M$660,'NQC list mod'!$V$4:$V$660,"URANIUM",'NQC list mod'!$Z$4:$Z$660,"&lt;="&amp;DATE(Y$2,12,31))</f>
        <v>4486</v>
      </c>
      <c r="Z118" s="5">
        <f>SUMIFS('NQC list mod'!$E$4:$E$660,'NQC list mod'!$V$4:$V$660,"URANIUM",'NQC list mod'!$Z$4:$Z$660,"&lt;="&amp;DATE(Z$2,12,31))+SUMIFS('NQC list mod'!$M$4:$M$660,'NQC list mod'!$V$4:$V$660,"URANIUM",'NQC list mod'!$Z$4:$Z$660,"&lt;="&amp;DATE(Z$2,12,31))</f>
        <v>4486</v>
      </c>
      <c r="AA118" s="5">
        <f>SUMIFS('NQC list mod'!$E$4:$E$660,'NQC list mod'!$V$4:$V$660,"URANIUM",'NQC list mod'!$Z$4:$Z$660,"&lt;="&amp;DATE(AA$2,12,31))+SUMIFS('NQC list mod'!$M$4:$M$660,'NQC list mod'!$V$4:$V$660,"URANIUM",'NQC list mod'!$Z$4:$Z$660,"&lt;="&amp;DATE(AA$2,12,31))</f>
        <v>4486</v>
      </c>
      <c r="AB118" s="9"/>
    </row>
    <row r="119" spans="1:28" x14ac:dyDescent="0.25">
      <c r="A119" s="97" t="s">
        <v>4861</v>
      </c>
      <c r="B119" s="8"/>
      <c r="C119" s="8"/>
      <c r="D119" s="8"/>
      <c r="E119" s="8"/>
      <c r="F119" s="115"/>
      <c r="G119" s="115"/>
      <c r="H119" s="115"/>
      <c r="I119" s="115"/>
      <c r="J119" s="115"/>
      <c r="K119" s="115"/>
      <c r="L119" s="115"/>
      <c r="M119" s="115"/>
    </row>
    <row r="120" spans="1:28" x14ac:dyDescent="0.25">
      <c r="A120" s="115"/>
      <c r="B120" s="115"/>
    </row>
    <row r="121" spans="1:28" x14ac:dyDescent="0.25">
      <c r="A121" s="115"/>
      <c r="B121" s="97"/>
    </row>
    <row r="122" spans="1:28" x14ac:dyDescent="0.25">
      <c r="A122" s="115"/>
      <c r="B122" s="97"/>
      <c r="D122" s="93"/>
    </row>
    <row r="123" spans="1:28" x14ac:dyDescent="0.25">
      <c r="A123" s="115"/>
      <c r="B123" s="115"/>
      <c r="D123" s="93"/>
    </row>
    <row r="124" spans="1:28" x14ac:dyDescent="0.25">
      <c r="A124" s="115"/>
      <c r="B124" s="115"/>
    </row>
    <row r="125" spans="1:28" x14ac:dyDescent="0.25">
      <c r="B125" s="115"/>
    </row>
    <row r="126" spans="1:28" x14ac:dyDescent="0.25">
      <c r="B126" s="115"/>
    </row>
    <row r="127" spans="1:28" x14ac:dyDescent="0.25">
      <c r="B127" s="115"/>
      <c r="E127" s="8"/>
    </row>
    <row r="128" spans="1:28" x14ac:dyDescent="0.25">
      <c r="E128" s="8"/>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S1569"/>
  <sheetViews>
    <sheetView zoomScale="60" zoomScaleNormal="60" zoomScalePageLayoutView="60" workbookViewId="0">
      <selection activeCell="A4" sqref="A4:F4"/>
    </sheetView>
  </sheetViews>
  <sheetFormatPr defaultColWidth="8.85546875" defaultRowHeight="15" x14ac:dyDescent="0.25"/>
  <cols>
    <col min="1" max="1" width="13.42578125" style="116" bestFit="1" customWidth="1"/>
    <col min="2" max="2" width="21.85546875" style="116" bestFit="1" customWidth="1"/>
    <col min="3" max="3" width="5.42578125" style="116" customWidth="1"/>
    <col min="4" max="4" width="13.7109375" style="116" bestFit="1" customWidth="1"/>
    <col min="5" max="5" width="27.140625" style="116" bestFit="1" customWidth="1"/>
    <col min="6" max="6" width="36.42578125" style="116" bestFit="1" customWidth="1"/>
    <col min="7" max="7" width="20.140625" style="116" bestFit="1" customWidth="1"/>
    <col min="8" max="8" width="12.42578125" style="116" bestFit="1" customWidth="1"/>
    <col min="9" max="9" width="36.42578125" style="116" bestFit="1" customWidth="1"/>
    <col min="10" max="10" width="22.140625" style="116" bestFit="1" customWidth="1"/>
    <col min="11" max="11" width="32.140625" style="116" bestFit="1" customWidth="1"/>
    <col min="12" max="12" width="26.42578125" style="116" bestFit="1" customWidth="1"/>
    <col min="13" max="13" width="7.7109375" style="116" customWidth="1"/>
    <col min="14" max="14" width="17.7109375" style="116" bestFit="1" customWidth="1"/>
    <col min="15" max="15" width="19.42578125" style="116" bestFit="1" customWidth="1"/>
    <col min="16" max="16" width="36.42578125" style="116" bestFit="1" customWidth="1"/>
    <col min="17" max="17" width="35.42578125" style="116" bestFit="1" customWidth="1"/>
    <col min="18" max="18" width="18.85546875" style="116" bestFit="1" customWidth="1"/>
    <col min="19" max="19" width="36.42578125" style="116" bestFit="1" customWidth="1"/>
    <col min="20" max="256" width="8.85546875" style="116"/>
    <col min="257" max="257" width="13.42578125" style="116" bestFit="1" customWidth="1"/>
    <col min="258" max="258" width="21.85546875" style="116" bestFit="1" customWidth="1"/>
    <col min="259" max="259" width="5.42578125" style="116" customWidth="1"/>
    <col min="260" max="260" width="13.7109375" style="116" bestFit="1" customWidth="1"/>
    <col min="261" max="261" width="27.140625" style="116" bestFit="1" customWidth="1"/>
    <col min="262" max="262" width="36.42578125" style="116" bestFit="1" customWidth="1"/>
    <col min="263" max="263" width="20.140625" style="116" bestFit="1" customWidth="1"/>
    <col min="264" max="264" width="12.42578125" style="116" bestFit="1" customWidth="1"/>
    <col min="265" max="265" width="36.42578125" style="116" bestFit="1" customWidth="1"/>
    <col min="266" max="266" width="22.140625" style="116" bestFit="1" customWidth="1"/>
    <col min="267" max="267" width="32.140625" style="116" bestFit="1" customWidth="1"/>
    <col min="268" max="268" width="26.42578125" style="116" bestFit="1" customWidth="1"/>
    <col min="269" max="269" width="7.7109375" style="116" customWidth="1"/>
    <col min="270" max="270" width="17.7109375" style="116" bestFit="1" customWidth="1"/>
    <col min="271" max="271" width="19.42578125" style="116" bestFit="1" customWidth="1"/>
    <col min="272" max="272" width="36.42578125" style="116" bestFit="1" customWidth="1"/>
    <col min="273" max="273" width="35.42578125" style="116" bestFit="1" customWidth="1"/>
    <col min="274" max="274" width="18.85546875" style="116" bestFit="1" customWidth="1"/>
    <col min="275" max="275" width="36.42578125" style="116" bestFit="1" customWidth="1"/>
    <col min="276" max="512" width="8.85546875" style="116"/>
    <col min="513" max="513" width="13.42578125" style="116" bestFit="1" customWidth="1"/>
    <col min="514" max="514" width="21.85546875" style="116" bestFit="1" customWidth="1"/>
    <col min="515" max="515" width="5.42578125" style="116" customWidth="1"/>
    <col min="516" max="516" width="13.7109375" style="116" bestFit="1" customWidth="1"/>
    <col min="517" max="517" width="27.140625" style="116" bestFit="1" customWidth="1"/>
    <col min="518" max="518" width="36.42578125" style="116" bestFit="1" customWidth="1"/>
    <col min="519" max="519" width="20.140625" style="116" bestFit="1" customWidth="1"/>
    <col min="520" max="520" width="12.42578125" style="116" bestFit="1" customWidth="1"/>
    <col min="521" max="521" width="36.42578125" style="116" bestFit="1" customWidth="1"/>
    <col min="522" max="522" width="22.140625" style="116" bestFit="1" customWidth="1"/>
    <col min="523" max="523" width="32.140625" style="116" bestFit="1" customWidth="1"/>
    <col min="524" max="524" width="26.42578125" style="116" bestFit="1" customWidth="1"/>
    <col min="525" max="525" width="7.7109375" style="116" customWidth="1"/>
    <col min="526" max="526" width="17.7109375" style="116" bestFit="1" customWidth="1"/>
    <col min="527" max="527" width="19.42578125" style="116" bestFit="1" customWidth="1"/>
    <col min="528" max="528" width="36.42578125" style="116" bestFit="1" customWidth="1"/>
    <col min="529" max="529" width="35.42578125" style="116" bestFit="1" customWidth="1"/>
    <col min="530" max="530" width="18.85546875" style="116" bestFit="1" customWidth="1"/>
    <col min="531" max="531" width="36.42578125" style="116" bestFit="1" customWidth="1"/>
    <col min="532" max="768" width="8.85546875" style="116"/>
    <col min="769" max="769" width="13.42578125" style="116" bestFit="1" customWidth="1"/>
    <col min="770" max="770" width="21.85546875" style="116" bestFit="1" customWidth="1"/>
    <col min="771" max="771" width="5.42578125" style="116" customWidth="1"/>
    <col min="772" max="772" width="13.7109375" style="116" bestFit="1" customWidth="1"/>
    <col min="773" max="773" width="27.140625" style="116" bestFit="1" customWidth="1"/>
    <col min="774" max="774" width="36.42578125" style="116" bestFit="1" customWidth="1"/>
    <col min="775" max="775" width="20.140625" style="116" bestFit="1" customWidth="1"/>
    <col min="776" max="776" width="12.42578125" style="116" bestFit="1" customWidth="1"/>
    <col min="777" max="777" width="36.42578125" style="116" bestFit="1" customWidth="1"/>
    <col min="778" max="778" width="22.140625" style="116" bestFit="1" customWidth="1"/>
    <col min="779" max="779" width="32.140625" style="116" bestFit="1" customWidth="1"/>
    <col min="780" max="780" width="26.42578125" style="116" bestFit="1" customWidth="1"/>
    <col min="781" max="781" width="7.7109375" style="116" customWidth="1"/>
    <col min="782" max="782" width="17.7109375" style="116" bestFit="1" customWidth="1"/>
    <col min="783" max="783" width="19.42578125" style="116" bestFit="1" customWidth="1"/>
    <col min="784" max="784" width="36.42578125" style="116" bestFit="1" customWidth="1"/>
    <col min="785" max="785" width="35.42578125" style="116" bestFit="1" customWidth="1"/>
    <col min="786" max="786" width="18.85546875" style="116" bestFit="1" customWidth="1"/>
    <col min="787" max="787" width="36.42578125" style="116" bestFit="1" customWidth="1"/>
    <col min="788" max="1024" width="8.85546875" style="116"/>
    <col min="1025" max="1025" width="13.42578125" style="116" bestFit="1" customWidth="1"/>
    <col min="1026" max="1026" width="21.85546875" style="116" bestFit="1" customWidth="1"/>
    <col min="1027" max="1027" width="5.42578125" style="116" customWidth="1"/>
    <col min="1028" max="1028" width="13.7109375" style="116" bestFit="1" customWidth="1"/>
    <col min="1029" max="1029" width="27.140625" style="116" bestFit="1" customWidth="1"/>
    <col min="1030" max="1030" width="36.42578125" style="116" bestFit="1" customWidth="1"/>
    <col min="1031" max="1031" width="20.140625" style="116" bestFit="1" customWidth="1"/>
    <col min="1032" max="1032" width="12.42578125" style="116" bestFit="1" customWidth="1"/>
    <col min="1033" max="1033" width="36.42578125" style="116" bestFit="1" customWidth="1"/>
    <col min="1034" max="1034" width="22.140625" style="116" bestFit="1" customWidth="1"/>
    <col min="1035" max="1035" width="32.140625" style="116" bestFit="1" customWidth="1"/>
    <col min="1036" max="1036" width="26.42578125" style="116" bestFit="1" customWidth="1"/>
    <col min="1037" max="1037" width="7.7109375" style="116" customWidth="1"/>
    <col min="1038" max="1038" width="17.7109375" style="116" bestFit="1" customWidth="1"/>
    <col min="1039" max="1039" width="19.42578125" style="116" bestFit="1" customWidth="1"/>
    <col min="1040" max="1040" width="36.42578125" style="116" bestFit="1" customWidth="1"/>
    <col min="1041" max="1041" width="35.42578125" style="116" bestFit="1" customWidth="1"/>
    <col min="1042" max="1042" width="18.85546875" style="116" bestFit="1" customWidth="1"/>
    <col min="1043" max="1043" width="36.42578125" style="116" bestFit="1" customWidth="1"/>
    <col min="1044" max="1280" width="8.85546875" style="116"/>
    <col min="1281" max="1281" width="13.42578125" style="116" bestFit="1" customWidth="1"/>
    <col min="1282" max="1282" width="21.85546875" style="116" bestFit="1" customWidth="1"/>
    <col min="1283" max="1283" width="5.42578125" style="116" customWidth="1"/>
    <col min="1284" max="1284" width="13.7109375" style="116" bestFit="1" customWidth="1"/>
    <col min="1285" max="1285" width="27.140625" style="116" bestFit="1" customWidth="1"/>
    <col min="1286" max="1286" width="36.42578125" style="116" bestFit="1" customWidth="1"/>
    <col min="1287" max="1287" width="20.140625" style="116" bestFit="1" customWidth="1"/>
    <col min="1288" max="1288" width="12.42578125" style="116" bestFit="1" customWidth="1"/>
    <col min="1289" max="1289" width="36.42578125" style="116" bestFit="1" customWidth="1"/>
    <col min="1290" max="1290" width="22.140625" style="116" bestFit="1" customWidth="1"/>
    <col min="1291" max="1291" width="32.140625" style="116" bestFit="1" customWidth="1"/>
    <col min="1292" max="1292" width="26.42578125" style="116" bestFit="1" customWidth="1"/>
    <col min="1293" max="1293" width="7.7109375" style="116" customWidth="1"/>
    <col min="1294" max="1294" width="17.7109375" style="116" bestFit="1" customWidth="1"/>
    <col min="1295" max="1295" width="19.42578125" style="116" bestFit="1" customWidth="1"/>
    <col min="1296" max="1296" width="36.42578125" style="116" bestFit="1" customWidth="1"/>
    <col min="1297" max="1297" width="35.42578125" style="116" bestFit="1" customWidth="1"/>
    <col min="1298" max="1298" width="18.85546875" style="116" bestFit="1" customWidth="1"/>
    <col min="1299" max="1299" width="36.42578125" style="116" bestFit="1" customWidth="1"/>
    <col min="1300" max="1536" width="8.85546875" style="116"/>
    <col min="1537" max="1537" width="13.42578125" style="116" bestFit="1" customWidth="1"/>
    <col min="1538" max="1538" width="21.85546875" style="116" bestFit="1" customWidth="1"/>
    <col min="1539" max="1539" width="5.42578125" style="116" customWidth="1"/>
    <col min="1540" max="1540" width="13.7109375" style="116" bestFit="1" customWidth="1"/>
    <col min="1541" max="1541" width="27.140625" style="116" bestFit="1" customWidth="1"/>
    <col min="1542" max="1542" width="36.42578125" style="116" bestFit="1" customWidth="1"/>
    <col min="1543" max="1543" width="20.140625" style="116" bestFit="1" customWidth="1"/>
    <col min="1544" max="1544" width="12.42578125" style="116" bestFit="1" customWidth="1"/>
    <col min="1545" max="1545" width="36.42578125" style="116" bestFit="1" customWidth="1"/>
    <col min="1546" max="1546" width="22.140625" style="116" bestFit="1" customWidth="1"/>
    <col min="1547" max="1547" width="32.140625" style="116" bestFit="1" customWidth="1"/>
    <col min="1548" max="1548" width="26.42578125" style="116" bestFit="1" customWidth="1"/>
    <col min="1549" max="1549" width="7.7109375" style="116" customWidth="1"/>
    <col min="1550" max="1550" width="17.7109375" style="116" bestFit="1" customWidth="1"/>
    <col min="1551" max="1551" width="19.42578125" style="116" bestFit="1" customWidth="1"/>
    <col min="1552" max="1552" width="36.42578125" style="116" bestFit="1" customWidth="1"/>
    <col min="1553" max="1553" width="35.42578125" style="116" bestFit="1" customWidth="1"/>
    <col min="1554" max="1554" width="18.85546875" style="116" bestFit="1" customWidth="1"/>
    <col min="1555" max="1555" width="36.42578125" style="116" bestFit="1" customWidth="1"/>
    <col min="1556" max="1792" width="8.85546875" style="116"/>
    <col min="1793" max="1793" width="13.42578125" style="116" bestFit="1" customWidth="1"/>
    <col min="1794" max="1794" width="21.85546875" style="116" bestFit="1" customWidth="1"/>
    <col min="1795" max="1795" width="5.42578125" style="116" customWidth="1"/>
    <col min="1796" max="1796" width="13.7109375" style="116" bestFit="1" customWidth="1"/>
    <col min="1797" max="1797" width="27.140625" style="116" bestFit="1" customWidth="1"/>
    <col min="1798" max="1798" width="36.42578125" style="116" bestFit="1" customWidth="1"/>
    <col min="1799" max="1799" width="20.140625" style="116" bestFit="1" customWidth="1"/>
    <col min="1800" max="1800" width="12.42578125" style="116" bestFit="1" customWidth="1"/>
    <col min="1801" max="1801" width="36.42578125" style="116" bestFit="1" customWidth="1"/>
    <col min="1802" max="1802" width="22.140625" style="116" bestFit="1" customWidth="1"/>
    <col min="1803" max="1803" width="32.140625" style="116" bestFit="1" customWidth="1"/>
    <col min="1804" max="1804" width="26.42578125" style="116" bestFit="1" customWidth="1"/>
    <col min="1805" max="1805" width="7.7109375" style="116" customWidth="1"/>
    <col min="1806" max="1806" width="17.7109375" style="116" bestFit="1" customWidth="1"/>
    <col min="1807" max="1807" width="19.42578125" style="116" bestFit="1" customWidth="1"/>
    <col min="1808" max="1808" width="36.42578125" style="116" bestFit="1" customWidth="1"/>
    <col min="1809" max="1809" width="35.42578125" style="116" bestFit="1" customWidth="1"/>
    <col min="1810" max="1810" width="18.85546875" style="116" bestFit="1" customWidth="1"/>
    <col min="1811" max="1811" width="36.42578125" style="116" bestFit="1" customWidth="1"/>
    <col min="1812" max="2048" width="8.85546875" style="116"/>
    <col min="2049" max="2049" width="13.42578125" style="116" bestFit="1" customWidth="1"/>
    <col min="2050" max="2050" width="21.85546875" style="116" bestFit="1" customWidth="1"/>
    <col min="2051" max="2051" width="5.42578125" style="116" customWidth="1"/>
    <col min="2052" max="2052" width="13.7109375" style="116" bestFit="1" customWidth="1"/>
    <col min="2053" max="2053" width="27.140625" style="116" bestFit="1" customWidth="1"/>
    <col min="2054" max="2054" width="36.42578125" style="116" bestFit="1" customWidth="1"/>
    <col min="2055" max="2055" width="20.140625" style="116" bestFit="1" customWidth="1"/>
    <col min="2056" max="2056" width="12.42578125" style="116" bestFit="1" customWidth="1"/>
    <col min="2057" max="2057" width="36.42578125" style="116" bestFit="1" customWidth="1"/>
    <col min="2058" max="2058" width="22.140625" style="116" bestFit="1" customWidth="1"/>
    <col min="2059" max="2059" width="32.140625" style="116" bestFit="1" customWidth="1"/>
    <col min="2060" max="2060" width="26.42578125" style="116" bestFit="1" customWidth="1"/>
    <col min="2061" max="2061" width="7.7109375" style="116" customWidth="1"/>
    <col min="2062" max="2062" width="17.7109375" style="116" bestFit="1" customWidth="1"/>
    <col min="2063" max="2063" width="19.42578125" style="116" bestFit="1" customWidth="1"/>
    <col min="2064" max="2064" width="36.42578125" style="116" bestFit="1" customWidth="1"/>
    <col min="2065" max="2065" width="35.42578125" style="116" bestFit="1" customWidth="1"/>
    <col min="2066" max="2066" width="18.85546875" style="116" bestFit="1" customWidth="1"/>
    <col min="2067" max="2067" width="36.42578125" style="116" bestFit="1" customWidth="1"/>
    <col min="2068" max="2304" width="8.85546875" style="116"/>
    <col min="2305" max="2305" width="13.42578125" style="116" bestFit="1" customWidth="1"/>
    <col min="2306" max="2306" width="21.85546875" style="116" bestFit="1" customWidth="1"/>
    <col min="2307" max="2307" width="5.42578125" style="116" customWidth="1"/>
    <col min="2308" max="2308" width="13.7109375" style="116" bestFit="1" customWidth="1"/>
    <col min="2309" max="2309" width="27.140625" style="116" bestFit="1" customWidth="1"/>
    <col min="2310" max="2310" width="36.42578125" style="116" bestFit="1" customWidth="1"/>
    <col min="2311" max="2311" width="20.140625" style="116" bestFit="1" customWidth="1"/>
    <col min="2312" max="2312" width="12.42578125" style="116" bestFit="1" customWidth="1"/>
    <col min="2313" max="2313" width="36.42578125" style="116" bestFit="1" customWidth="1"/>
    <col min="2314" max="2314" width="22.140625" style="116" bestFit="1" customWidth="1"/>
    <col min="2315" max="2315" width="32.140625" style="116" bestFit="1" customWidth="1"/>
    <col min="2316" max="2316" width="26.42578125" style="116" bestFit="1" customWidth="1"/>
    <col min="2317" max="2317" width="7.7109375" style="116" customWidth="1"/>
    <col min="2318" max="2318" width="17.7109375" style="116" bestFit="1" customWidth="1"/>
    <col min="2319" max="2319" width="19.42578125" style="116" bestFit="1" customWidth="1"/>
    <col min="2320" max="2320" width="36.42578125" style="116" bestFit="1" customWidth="1"/>
    <col min="2321" max="2321" width="35.42578125" style="116" bestFit="1" customWidth="1"/>
    <col min="2322" max="2322" width="18.85546875" style="116" bestFit="1" customWidth="1"/>
    <col min="2323" max="2323" width="36.42578125" style="116" bestFit="1" customWidth="1"/>
    <col min="2324" max="2560" width="8.85546875" style="116"/>
    <col min="2561" max="2561" width="13.42578125" style="116" bestFit="1" customWidth="1"/>
    <col min="2562" max="2562" width="21.85546875" style="116" bestFit="1" customWidth="1"/>
    <col min="2563" max="2563" width="5.42578125" style="116" customWidth="1"/>
    <col min="2564" max="2564" width="13.7109375" style="116" bestFit="1" customWidth="1"/>
    <col min="2565" max="2565" width="27.140625" style="116" bestFit="1" customWidth="1"/>
    <col min="2566" max="2566" width="36.42578125" style="116" bestFit="1" customWidth="1"/>
    <col min="2567" max="2567" width="20.140625" style="116" bestFit="1" customWidth="1"/>
    <col min="2568" max="2568" width="12.42578125" style="116" bestFit="1" customWidth="1"/>
    <col min="2569" max="2569" width="36.42578125" style="116" bestFit="1" customWidth="1"/>
    <col min="2570" max="2570" width="22.140625" style="116" bestFit="1" customWidth="1"/>
    <col min="2571" max="2571" width="32.140625" style="116" bestFit="1" customWidth="1"/>
    <col min="2572" max="2572" width="26.42578125" style="116" bestFit="1" customWidth="1"/>
    <col min="2573" max="2573" width="7.7109375" style="116" customWidth="1"/>
    <col min="2574" max="2574" width="17.7109375" style="116" bestFit="1" customWidth="1"/>
    <col min="2575" max="2575" width="19.42578125" style="116" bestFit="1" customWidth="1"/>
    <col min="2576" max="2576" width="36.42578125" style="116" bestFit="1" customWidth="1"/>
    <col min="2577" max="2577" width="35.42578125" style="116" bestFit="1" customWidth="1"/>
    <col min="2578" max="2578" width="18.85546875" style="116" bestFit="1" customWidth="1"/>
    <col min="2579" max="2579" width="36.42578125" style="116" bestFit="1" customWidth="1"/>
    <col min="2580" max="2816" width="8.85546875" style="116"/>
    <col min="2817" max="2817" width="13.42578125" style="116" bestFit="1" customWidth="1"/>
    <col min="2818" max="2818" width="21.85546875" style="116" bestFit="1" customWidth="1"/>
    <col min="2819" max="2819" width="5.42578125" style="116" customWidth="1"/>
    <col min="2820" max="2820" width="13.7109375" style="116" bestFit="1" customWidth="1"/>
    <col min="2821" max="2821" width="27.140625" style="116" bestFit="1" customWidth="1"/>
    <col min="2822" max="2822" width="36.42578125" style="116" bestFit="1" customWidth="1"/>
    <col min="2823" max="2823" width="20.140625" style="116" bestFit="1" customWidth="1"/>
    <col min="2824" max="2824" width="12.42578125" style="116" bestFit="1" customWidth="1"/>
    <col min="2825" max="2825" width="36.42578125" style="116" bestFit="1" customWidth="1"/>
    <col min="2826" max="2826" width="22.140625" style="116" bestFit="1" customWidth="1"/>
    <col min="2827" max="2827" width="32.140625" style="116" bestFit="1" customWidth="1"/>
    <col min="2828" max="2828" width="26.42578125" style="116" bestFit="1" customWidth="1"/>
    <col min="2829" max="2829" width="7.7109375" style="116" customWidth="1"/>
    <col min="2830" max="2830" width="17.7109375" style="116" bestFit="1" customWidth="1"/>
    <col min="2831" max="2831" width="19.42578125" style="116" bestFit="1" customWidth="1"/>
    <col min="2832" max="2832" width="36.42578125" style="116" bestFit="1" customWidth="1"/>
    <col min="2833" max="2833" width="35.42578125" style="116" bestFit="1" customWidth="1"/>
    <col min="2834" max="2834" width="18.85546875" style="116" bestFit="1" customWidth="1"/>
    <col min="2835" max="2835" width="36.42578125" style="116" bestFit="1" customWidth="1"/>
    <col min="2836" max="3072" width="8.85546875" style="116"/>
    <col min="3073" max="3073" width="13.42578125" style="116" bestFit="1" customWidth="1"/>
    <col min="3074" max="3074" width="21.85546875" style="116" bestFit="1" customWidth="1"/>
    <col min="3075" max="3075" width="5.42578125" style="116" customWidth="1"/>
    <col min="3076" max="3076" width="13.7109375" style="116" bestFit="1" customWidth="1"/>
    <col min="3077" max="3077" width="27.140625" style="116" bestFit="1" customWidth="1"/>
    <col min="3078" max="3078" width="36.42578125" style="116" bestFit="1" customWidth="1"/>
    <col min="3079" max="3079" width="20.140625" style="116" bestFit="1" customWidth="1"/>
    <col min="3080" max="3080" width="12.42578125" style="116" bestFit="1" customWidth="1"/>
    <col min="3081" max="3081" width="36.42578125" style="116" bestFit="1" customWidth="1"/>
    <col min="3082" max="3082" width="22.140625" style="116" bestFit="1" customWidth="1"/>
    <col min="3083" max="3083" width="32.140625" style="116" bestFit="1" customWidth="1"/>
    <col min="3084" max="3084" width="26.42578125" style="116" bestFit="1" customWidth="1"/>
    <col min="3085" max="3085" width="7.7109375" style="116" customWidth="1"/>
    <col min="3086" max="3086" width="17.7109375" style="116" bestFit="1" customWidth="1"/>
    <col min="3087" max="3087" width="19.42578125" style="116" bestFit="1" customWidth="1"/>
    <col min="3088" max="3088" width="36.42578125" style="116" bestFit="1" customWidth="1"/>
    <col min="3089" max="3089" width="35.42578125" style="116" bestFit="1" customWidth="1"/>
    <col min="3090" max="3090" width="18.85546875" style="116" bestFit="1" customWidth="1"/>
    <col min="3091" max="3091" width="36.42578125" style="116" bestFit="1" customWidth="1"/>
    <col min="3092" max="3328" width="8.85546875" style="116"/>
    <col min="3329" max="3329" width="13.42578125" style="116" bestFit="1" customWidth="1"/>
    <col min="3330" max="3330" width="21.85546875" style="116" bestFit="1" customWidth="1"/>
    <col min="3331" max="3331" width="5.42578125" style="116" customWidth="1"/>
    <col min="3332" max="3332" width="13.7109375" style="116" bestFit="1" customWidth="1"/>
    <col min="3333" max="3333" width="27.140625" style="116" bestFit="1" customWidth="1"/>
    <col min="3334" max="3334" width="36.42578125" style="116" bestFit="1" customWidth="1"/>
    <col min="3335" max="3335" width="20.140625" style="116" bestFit="1" customWidth="1"/>
    <col min="3336" max="3336" width="12.42578125" style="116" bestFit="1" customWidth="1"/>
    <col min="3337" max="3337" width="36.42578125" style="116" bestFit="1" customWidth="1"/>
    <col min="3338" max="3338" width="22.140625" style="116" bestFit="1" customWidth="1"/>
    <col min="3339" max="3339" width="32.140625" style="116" bestFit="1" customWidth="1"/>
    <col min="3340" max="3340" width="26.42578125" style="116" bestFit="1" customWidth="1"/>
    <col min="3341" max="3341" width="7.7109375" style="116" customWidth="1"/>
    <col min="3342" max="3342" width="17.7109375" style="116" bestFit="1" customWidth="1"/>
    <col min="3343" max="3343" width="19.42578125" style="116" bestFit="1" customWidth="1"/>
    <col min="3344" max="3344" width="36.42578125" style="116" bestFit="1" customWidth="1"/>
    <col min="3345" max="3345" width="35.42578125" style="116" bestFit="1" customWidth="1"/>
    <col min="3346" max="3346" width="18.85546875" style="116" bestFit="1" customWidth="1"/>
    <col min="3347" max="3347" width="36.42578125" style="116" bestFit="1" customWidth="1"/>
    <col min="3348" max="3584" width="8.85546875" style="116"/>
    <col min="3585" max="3585" width="13.42578125" style="116" bestFit="1" customWidth="1"/>
    <col min="3586" max="3586" width="21.85546875" style="116" bestFit="1" customWidth="1"/>
    <col min="3587" max="3587" width="5.42578125" style="116" customWidth="1"/>
    <col min="3588" max="3588" width="13.7109375" style="116" bestFit="1" customWidth="1"/>
    <col min="3589" max="3589" width="27.140625" style="116" bestFit="1" customWidth="1"/>
    <col min="3590" max="3590" width="36.42578125" style="116" bestFit="1" customWidth="1"/>
    <col min="3591" max="3591" width="20.140625" style="116" bestFit="1" customWidth="1"/>
    <col min="3592" max="3592" width="12.42578125" style="116" bestFit="1" customWidth="1"/>
    <col min="3593" max="3593" width="36.42578125" style="116" bestFit="1" customWidth="1"/>
    <col min="3594" max="3594" width="22.140625" style="116" bestFit="1" customWidth="1"/>
    <col min="3595" max="3595" width="32.140625" style="116" bestFit="1" customWidth="1"/>
    <col min="3596" max="3596" width="26.42578125" style="116" bestFit="1" customWidth="1"/>
    <col min="3597" max="3597" width="7.7109375" style="116" customWidth="1"/>
    <col min="3598" max="3598" width="17.7109375" style="116" bestFit="1" customWidth="1"/>
    <col min="3599" max="3599" width="19.42578125" style="116" bestFit="1" customWidth="1"/>
    <col min="3600" max="3600" width="36.42578125" style="116" bestFit="1" customWidth="1"/>
    <col min="3601" max="3601" width="35.42578125" style="116" bestFit="1" customWidth="1"/>
    <col min="3602" max="3602" width="18.85546875" style="116" bestFit="1" customWidth="1"/>
    <col min="3603" max="3603" width="36.42578125" style="116" bestFit="1" customWidth="1"/>
    <col min="3604" max="3840" width="8.85546875" style="116"/>
    <col min="3841" max="3841" width="13.42578125" style="116" bestFit="1" customWidth="1"/>
    <col min="3842" max="3842" width="21.85546875" style="116" bestFit="1" customWidth="1"/>
    <col min="3843" max="3843" width="5.42578125" style="116" customWidth="1"/>
    <col min="3844" max="3844" width="13.7109375" style="116" bestFit="1" customWidth="1"/>
    <col min="3845" max="3845" width="27.140625" style="116" bestFit="1" customWidth="1"/>
    <col min="3846" max="3846" width="36.42578125" style="116" bestFit="1" customWidth="1"/>
    <col min="3847" max="3847" width="20.140625" style="116" bestFit="1" customWidth="1"/>
    <col min="3848" max="3848" width="12.42578125" style="116" bestFit="1" customWidth="1"/>
    <col min="3849" max="3849" width="36.42578125" style="116" bestFit="1" customWidth="1"/>
    <col min="3850" max="3850" width="22.140625" style="116" bestFit="1" customWidth="1"/>
    <col min="3851" max="3851" width="32.140625" style="116" bestFit="1" customWidth="1"/>
    <col min="3852" max="3852" width="26.42578125" style="116" bestFit="1" customWidth="1"/>
    <col min="3853" max="3853" width="7.7109375" style="116" customWidth="1"/>
    <col min="3854" max="3854" width="17.7109375" style="116" bestFit="1" customWidth="1"/>
    <col min="3855" max="3855" width="19.42578125" style="116" bestFit="1" customWidth="1"/>
    <col min="3856" max="3856" width="36.42578125" style="116" bestFit="1" customWidth="1"/>
    <col min="3857" max="3857" width="35.42578125" style="116" bestFit="1" customWidth="1"/>
    <col min="3858" max="3858" width="18.85546875" style="116" bestFit="1" customWidth="1"/>
    <col min="3859" max="3859" width="36.42578125" style="116" bestFit="1" customWidth="1"/>
    <col min="3860" max="4096" width="8.85546875" style="116"/>
    <col min="4097" max="4097" width="13.42578125" style="116" bestFit="1" customWidth="1"/>
    <col min="4098" max="4098" width="21.85546875" style="116" bestFit="1" customWidth="1"/>
    <col min="4099" max="4099" width="5.42578125" style="116" customWidth="1"/>
    <col min="4100" max="4100" width="13.7109375" style="116" bestFit="1" customWidth="1"/>
    <col min="4101" max="4101" width="27.140625" style="116" bestFit="1" customWidth="1"/>
    <col min="4102" max="4102" width="36.42578125" style="116" bestFit="1" customWidth="1"/>
    <col min="4103" max="4103" width="20.140625" style="116" bestFit="1" customWidth="1"/>
    <col min="4104" max="4104" width="12.42578125" style="116" bestFit="1" customWidth="1"/>
    <col min="4105" max="4105" width="36.42578125" style="116" bestFit="1" customWidth="1"/>
    <col min="4106" max="4106" width="22.140625" style="116" bestFit="1" customWidth="1"/>
    <col min="4107" max="4107" width="32.140625" style="116" bestFit="1" customWidth="1"/>
    <col min="4108" max="4108" width="26.42578125" style="116" bestFit="1" customWidth="1"/>
    <col min="4109" max="4109" width="7.7109375" style="116" customWidth="1"/>
    <col min="4110" max="4110" width="17.7109375" style="116" bestFit="1" customWidth="1"/>
    <col min="4111" max="4111" width="19.42578125" style="116" bestFit="1" customWidth="1"/>
    <col min="4112" max="4112" width="36.42578125" style="116" bestFit="1" customWidth="1"/>
    <col min="4113" max="4113" width="35.42578125" style="116" bestFit="1" customWidth="1"/>
    <col min="4114" max="4114" width="18.85546875" style="116" bestFit="1" customWidth="1"/>
    <col min="4115" max="4115" width="36.42578125" style="116" bestFit="1" customWidth="1"/>
    <col min="4116" max="4352" width="8.85546875" style="116"/>
    <col min="4353" max="4353" width="13.42578125" style="116" bestFit="1" customWidth="1"/>
    <col min="4354" max="4354" width="21.85546875" style="116" bestFit="1" customWidth="1"/>
    <col min="4355" max="4355" width="5.42578125" style="116" customWidth="1"/>
    <col min="4356" max="4356" width="13.7109375" style="116" bestFit="1" customWidth="1"/>
    <col min="4357" max="4357" width="27.140625" style="116" bestFit="1" customWidth="1"/>
    <col min="4358" max="4358" width="36.42578125" style="116" bestFit="1" customWidth="1"/>
    <col min="4359" max="4359" width="20.140625" style="116" bestFit="1" customWidth="1"/>
    <col min="4360" max="4360" width="12.42578125" style="116" bestFit="1" customWidth="1"/>
    <col min="4361" max="4361" width="36.42578125" style="116" bestFit="1" customWidth="1"/>
    <col min="4362" max="4362" width="22.140625" style="116" bestFit="1" customWidth="1"/>
    <col min="4363" max="4363" width="32.140625" style="116" bestFit="1" customWidth="1"/>
    <col min="4364" max="4364" width="26.42578125" style="116" bestFit="1" customWidth="1"/>
    <col min="4365" max="4365" width="7.7109375" style="116" customWidth="1"/>
    <col min="4366" max="4366" width="17.7109375" style="116" bestFit="1" customWidth="1"/>
    <col min="4367" max="4367" width="19.42578125" style="116" bestFit="1" customWidth="1"/>
    <col min="4368" max="4368" width="36.42578125" style="116" bestFit="1" customWidth="1"/>
    <col min="4369" max="4369" width="35.42578125" style="116" bestFit="1" customWidth="1"/>
    <col min="4370" max="4370" width="18.85546875" style="116" bestFit="1" customWidth="1"/>
    <col min="4371" max="4371" width="36.42578125" style="116" bestFit="1" customWidth="1"/>
    <col min="4372" max="4608" width="8.85546875" style="116"/>
    <col min="4609" max="4609" width="13.42578125" style="116" bestFit="1" customWidth="1"/>
    <col min="4610" max="4610" width="21.85546875" style="116" bestFit="1" customWidth="1"/>
    <col min="4611" max="4611" width="5.42578125" style="116" customWidth="1"/>
    <col min="4612" max="4612" width="13.7109375" style="116" bestFit="1" customWidth="1"/>
    <col min="4613" max="4613" width="27.140625" style="116" bestFit="1" customWidth="1"/>
    <col min="4614" max="4614" width="36.42578125" style="116" bestFit="1" customWidth="1"/>
    <col min="4615" max="4615" width="20.140625" style="116" bestFit="1" customWidth="1"/>
    <col min="4616" max="4616" width="12.42578125" style="116" bestFit="1" customWidth="1"/>
    <col min="4617" max="4617" width="36.42578125" style="116" bestFit="1" customWidth="1"/>
    <col min="4618" max="4618" width="22.140625" style="116" bestFit="1" customWidth="1"/>
    <col min="4619" max="4619" width="32.140625" style="116" bestFit="1" customWidth="1"/>
    <col min="4620" max="4620" width="26.42578125" style="116" bestFit="1" customWidth="1"/>
    <col min="4621" max="4621" width="7.7109375" style="116" customWidth="1"/>
    <col min="4622" max="4622" width="17.7109375" style="116" bestFit="1" customWidth="1"/>
    <col min="4623" max="4623" width="19.42578125" style="116" bestFit="1" customWidth="1"/>
    <col min="4624" max="4624" width="36.42578125" style="116" bestFit="1" customWidth="1"/>
    <col min="4625" max="4625" width="35.42578125" style="116" bestFit="1" customWidth="1"/>
    <col min="4626" max="4626" width="18.85546875" style="116" bestFit="1" customWidth="1"/>
    <col min="4627" max="4627" width="36.42578125" style="116" bestFit="1" customWidth="1"/>
    <col min="4628" max="4864" width="8.85546875" style="116"/>
    <col min="4865" max="4865" width="13.42578125" style="116" bestFit="1" customWidth="1"/>
    <col min="4866" max="4866" width="21.85546875" style="116" bestFit="1" customWidth="1"/>
    <col min="4867" max="4867" width="5.42578125" style="116" customWidth="1"/>
    <col min="4868" max="4868" width="13.7109375" style="116" bestFit="1" customWidth="1"/>
    <col min="4869" max="4869" width="27.140625" style="116" bestFit="1" customWidth="1"/>
    <col min="4870" max="4870" width="36.42578125" style="116" bestFit="1" customWidth="1"/>
    <col min="4871" max="4871" width="20.140625" style="116" bestFit="1" customWidth="1"/>
    <col min="4872" max="4872" width="12.42578125" style="116" bestFit="1" customWidth="1"/>
    <col min="4873" max="4873" width="36.42578125" style="116" bestFit="1" customWidth="1"/>
    <col min="4874" max="4874" width="22.140625" style="116" bestFit="1" customWidth="1"/>
    <col min="4875" max="4875" width="32.140625" style="116" bestFit="1" customWidth="1"/>
    <col min="4876" max="4876" width="26.42578125" style="116" bestFit="1" customWidth="1"/>
    <col min="4877" max="4877" width="7.7109375" style="116" customWidth="1"/>
    <col min="4878" max="4878" width="17.7109375" style="116" bestFit="1" customWidth="1"/>
    <col min="4879" max="4879" width="19.42578125" style="116" bestFit="1" customWidth="1"/>
    <col min="4880" max="4880" width="36.42578125" style="116" bestFit="1" customWidth="1"/>
    <col min="4881" max="4881" width="35.42578125" style="116" bestFit="1" customWidth="1"/>
    <col min="4882" max="4882" width="18.85546875" style="116" bestFit="1" customWidth="1"/>
    <col min="4883" max="4883" width="36.42578125" style="116" bestFit="1" customWidth="1"/>
    <col min="4884" max="5120" width="8.85546875" style="116"/>
    <col min="5121" max="5121" width="13.42578125" style="116" bestFit="1" customWidth="1"/>
    <col min="5122" max="5122" width="21.85546875" style="116" bestFit="1" customWidth="1"/>
    <col min="5123" max="5123" width="5.42578125" style="116" customWidth="1"/>
    <col min="5124" max="5124" width="13.7109375" style="116" bestFit="1" customWidth="1"/>
    <col min="5125" max="5125" width="27.140625" style="116" bestFit="1" customWidth="1"/>
    <col min="5126" max="5126" width="36.42578125" style="116" bestFit="1" customWidth="1"/>
    <col min="5127" max="5127" width="20.140625" style="116" bestFit="1" customWidth="1"/>
    <col min="5128" max="5128" width="12.42578125" style="116" bestFit="1" customWidth="1"/>
    <col min="5129" max="5129" width="36.42578125" style="116" bestFit="1" customWidth="1"/>
    <col min="5130" max="5130" width="22.140625" style="116" bestFit="1" customWidth="1"/>
    <col min="5131" max="5131" width="32.140625" style="116" bestFit="1" customWidth="1"/>
    <col min="5132" max="5132" width="26.42578125" style="116" bestFit="1" customWidth="1"/>
    <col min="5133" max="5133" width="7.7109375" style="116" customWidth="1"/>
    <col min="5134" max="5134" width="17.7109375" style="116" bestFit="1" customWidth="1"/>
    <col min="5135" max="5135" width="19.42578125" style="116" bestFit="1" customWidth="1"/>
    <col min="5136" max="5136" width="36.42578125" style="116" bestFit="1" customWidth="1"/>
    <col min="5137" max="5137" width="35.42578125" style="116" bestFit="1" customWidth="1"/>
    <col min="5138" max="5138" width="18.85546875" style="116" bestFit="1" customWidth="1"/>
    <col min="5139" max="5139" width="36.42578125" style="116" bestFit="1" customWidth="1"/>
    <col min="5140" max="5376" width="8.85546875" style="116"/>
    <col min="5377" max="5377" width="13.42578125" style="116" bestFit="1" customWidth="1"/>
    <col min="5378" max="5378" width="21.85546875" style="116" bestFit="1" customWidth="1"/>
    <col min="5379" max="5379" width="5.42578125" style="116" customWidth="1"/>
    <col min="5380" max="5380" width="13.7109375" style="116" bestFit="1" customWidth="1"/>
    <col min="5381" max="5381" width="27.140625" style="116" bestFit="1" customWidth="1"/>
    <col min="5382" max="5382" width="36.42578125" style="116" bestFit="1" customWidth="1"/>
    <col min="5383" max="5383" width="20.140625" style="116" bestFit="1" customWidth="1"/>
    <col min="5384" max="5384" width="12.42578125" style="116" bestFit="1" customWidth="1"/>
    <col min="5385" max="5385" width="36.42578125" style="116" bestFit="1" customWidth="1"/>
    <col min="5386" max="5386" width="22.140625" style="116" bestFit="1" customWidth="1"/>
    <col min="5387" max="5387" width="32.140625" style="116" bestFit="1" customWidth="1"/>
    <col min="5388" max="5388" width="26.42578125" style="116" bestFit="1" customWidth="1"/>
    <col min="5389" max="5389" width="7.7109375" style="116" customWidth="1"/>
    <col min="5390" max="5390" width="17.7109375" style="116" bestFit="1" customWidth="1"/>
    <col min="5391" max="5391" width="19.42578125" style="116" bestFit="1" customWidth="1"/>
    <col min="5392" max="5392" width="36.42578125" style="116" bestFit="1" customWidth="1"/>
    <col min="5393" max="5393" width="35.42578125" style="116" bestFit="1" customWidth="1"/>
    <col min="5394" max="5394" width="18.85546875" style="116" bestFit="1" customWidth="1"/>
    <col min="5395" max="5395" width="36.42578125" style="116" bestFit="1" customWidth="1"/>
    <col min="5396" max="5632" width="8.85546875" style="116"/>
    <col min="5633" max="5633" width="13.42578125" style="116" bestFit="1" customWidth="1"/>
    <col min="5634" max="5634" width="21.85546875" style="116" bestFit="1" customWidth="1"/>
    <col min="5635" max="5635" width="5.42578125" style="116" customWidth="1"/>
    <col min="5636" max="5636" width="13.7109375" style="116" bestFit="1" customWidth="1"/>
    <col min="5637" max="5637" width="27.140625" style="116" bestFit="1" customWidth="1"/>
    <col min="5638" max="5638" width="36.42578125" style="116" bestFit="1" customWidth="1"/>
    <col min="5639" max="5639" width="20.140625" style="116" bestFit="1" customWidth="1"/>
    <col min="5640" max="5640" width="12.42578125" style="116" bestFit="1" customWidth="1"/>
    <col min="5641" max="5641" width="36.42578125" style="116" bestFit="1" customWidth="1"/>
    <col min="5642" max="5642" width="22.140625" style="116" bestFit="1" customWidth="1"/>
    <col min="5643" max="5643" width="32.140625" style="116" bestFit="1" customWidth="1"/>
    <col min="5644" max="5644" width="26.42578125" style="116" bestFit="1" customWidth="1"/>
    <col min="5645" max="5645" width="7.7109375" style="116" customWidth="1"/>
    <col min="5646" max="5646" width="17.7109375" style="116" bestFit="1" customWidth="1"/>
    <col min="5647" max="5647" width="19.42578125" style="116" bestFit="1" customWidth="1"/>
    <col min="5648" max="5648" width="36.42578125" style="116" bestFit="1" customWidth="1"/>
    <col min="5649" max="5649" width="35.42578125" style="116" bestFit="1" customWidth="1"/>
    <col min="5650" max="5650" width="18.85546875" style="116" bestFit="1" customWidth="1"/>
    <col min="5651" max="5651" width="36.42578125" style="116" bestFit="1" customWidth="1"/>
    <col min="5652" max="5888" width="8.85546875" style="116"/>
    <col min="5889" max="5889" width="13.42578125" style="116" bestFit="1" customWidth="1"/>
    <col min="5890" max="5890" width="21.85546875" style="116" bestFit="1" customWidth="1"/>
    <col min="5891" max="5891" width="5.42578125" style="116" customWidth="1"/>
    <col min="5892" max="5892" width="13.7109375" style="116" bestFit="1" customWidth="1"/>
    <col min="5893" max="5893" width="27.140625" style="116" bestFit="1" customWidth="1"/>
    <col min="5894" max="5894" width="36.42578125" style="116" bestFit="1" customWidth="1"/>
    <col min="5895" max="5895" width="20.140625" style="116" bestFit="1" customWidth="1"/>
    <col min="5896" max="5896" width="12.42578125" style="116" bestFit="1" customWidth="1"/>
    <col min="5897" max="5897" width="36.42578125" style="116" bestFit="1" customWidth="1"/>
    <col min="5898" max="5898" width="22.140625" style="116" bestFit="1" customWidth="1"/>
    <col min="5899" max="5899" width="32.140625" style="116" bestFit="1" customWidth="1"/>
    <col min="5900" max="5900" width="26.42578125" style="116" bestFit="1" customWidth="1"/>
    <col min="5901" max="5901" width="7.7109375" style="116" customWidth="1"/>
    <col min="5902" max="5902" width="17.7109375" style="116" bestFit="1" customWidth="1"/>
    <col min="5903" max="5903" width="19.42578125" style="116" bestFit="1" customWidth="1"/>
    <col min="5904" max="5904" width="36.42578125" style="116" bestFit="1" customWidth="1"/>
    <col min="5905" max="5905" width="35.42578125" style="116" bestFit="1" customWidth="1"/>
    <col min="5906" max="5906" width="18.85546875" style="116" bestFit="1" customWidth="1"/>
    <col min="5907" max="5907" width="36.42578125" style="116" bestFit="1" customWidth="1"/>
    <col min="5908" max="6144" width="8.85546875" style="116"/>
    <col min="6145" max="6145" width="13.42578125" style="116" bestFit="1" customWidth="1"/>
    <col min="6146" max="6146" width="21.85546875" style="116" bestFit="1" customWidth="1"/>
    <col min="6147" max="6147" width="5.42578125" style="116" customWidth="1"/>
    <col min="6148" max="6148" width="13.7109375" style="116" bestFit="1" customWidth="1"/>
    <col min="6149" max="6149" width="27.140625" style="116" bestFit="1" customWidth="1"/>
    <col min="6150" max="6150" width="36.42578125" style="116" bestFit="1" customWidth="1"/>
    <col min="6151" max="6151" width="20.140625" style="116" bestFit="1" customWidth="1"/>
    <col min="6152" max="6152" width="12.42578125" style="116" bestFit="1" customWidth="1"/>
    <col min="6153" max="6153" width="36.42578125" style="116" bestFit="1" customWidth="1"/>
    <col min="6154" max="6154" width="22.140625" style="116" bestFit="1" customWidth="1"/>
    <col min="6155" max="6155" width="32.140625" style="116" bestFit="1" customWidth="1"/>
    <col min="6156" max="6156" width="26.42578125" style="116" bestFit="1" customWidth="1"/>
    <col min="6157" max="6157" width="7.7109375" style="116" customWidth="1"/>
    <col min="6158" max="6158" width="17.7109375" style="116" bestFit="1" customWidth="1"/>
    <col min="6159" max="6159" width="19.42578125" style="116" bestFit="1" customWidth="1"/>
    <col min="6160" max="6160" width="36.42578125" style="116" bestFit="1" customWidth="1"/>
    <col min="6161" max="6161" width="35.42578125" style="116" bestFit="1" customWidth="1"/>
    <col min="6162" max="6162" width="18.85546875" style="116" bestFit="1" customWidth="1"/>
    <col min="6163" max="6163" width="36.42578125" style="116" bestFit="1" customWidth="1"/>
    <col min="6164" max="6400" width="8.85546875" style="116"/>
    <col min="6401" max="6401" width="13.42578125" style="116" bestFit="1" customWidth="1"/>
    <col min="6402" max="6402" width="21.85546875" style="116" bestFit="1" customWidth="1"/>
    <col min="6403" max="6403" width="5.42578125" style="116" customWidth="1"/>
    <col min="6404" max="6404" width="13.7109375" style="116" bestFit="1" customWidth="1"/>
    <col min="6405" max="6405" width="27.140625" style="116" bestFit="1" customWidth="1"/>
    <col min="6406" max="6406" width="36.42578125" style="116" bestFit="1" customWidth="1"/>
    <col min="6407" max="6407" width="20.140625" style="116" bestFit="1" customWidth="1"/>
    <col min="6408" max="6408" width="12.42578125" style="116" bestFit="1" customWidth="1"/>
    <col min="6409" max="6409" width="36.42578125" style="116" bestFit="1" customWidth="1"/>
    <col min="6410" max="6410" width="22.140625" style="116" bestFit="1" customWidth="1"/>
    <col min="6411" max="6411" width="32.140625" style="116" bestFit="1" customWidth="1"/>
    <col min="6412" max="6412" width="26.42578125" style="116" bestFit="1" customWidth="1"/>
    <col min="6413" max="6413" width="7.7109375" style="116" customWidth="1"/>
    <col min="6414" max="6414" width="17.7109375" style="116" bestFit="1" customWidth="1"/>
    <col min="6415" max="6415" width="19.42578125" style="116" bestFit="1" customWidth="1"/>
    <col min="6416" max="6416" width="36.42578125" style="116" bestFit="1" customWidth="1"/>
    <col min="6417" max="6417" width="35.42578125" style="116" bestFit="1" customWidth="1"/>
    <col min="6418" max="6418" width="18.85546875" style="116" bestFit="1" customWidth="1"/>
    <col min="6419" max="6419" width="36.42578125" style="116" bestFit="1" customWidth="1"/>
    <col min="6420" max="6656" width="8.85546875" style="116"/>
    <col min="6657" max="6657" width="13.42578125" style="116" bestFit="1" customWidth="1"/>
    <col min="6658" max="6658" width="21.85546875" style="116" bestFit="1" customWidth="1"/>
    <col min="6659" max="6659" width="5.42578125" style="116" customWidth="1"/>
    <col min="6660" max="6660" width="13.7109375" style="116" bestFit="1" customWidth="1"/>
    <col min="6661" max="6661" width="27.140625" style="116" bestFit="1" customWidth="1"/>
    <col min="6662" max="6662" width="36.42578125" style="116" bestFit="1" customWidth="1"/>
    <col min="6663" max="6663" width="20.140625" style="116" bestFit="1" customWidth="1"/>
    <col min="6664" max="6664" width="12.42578125" style="116" bestFit="1" customWidth="1"/>
    <col min="6665" max="6665" width="36.42578125" style="116" bestFit="1" customWidth="1"/>
    <col min="6666" max="6666" width="22.140625" style="116" bestFit="1" customWidth="1"/>
    <col min="6667" max="6667" width="32.140625" style="116" bestFit="1" customWidth="1"/>
    <col min="6668" max="6668" width="26.42578125" style="116" bestFit="1" customWidth="1"/>
    <col min="6669" max="6669" width="7.7109375" style="116" customWidth="1"/>
    <col min="6670" max="6670" width="17.7109375" style="116" bestFit="1" customWidth="1"/>
    <col min="6671" max="6671" width="19.42578125" style="116" bestFit="1" customWidth="1"/>
    <col min="6672" max="6672" width="36.42578125" style="116" bestFit="1" customWidth="1"/>
    <col min="6673" max="6673" width="35.42578125" style="116" bestFit="1" customWidth="1"/>
    <col min="6674" max="6674" width="18.85546875" style="116" bestFit="1" customWidth="1"/>
    <col min="6675" max="6675" width="36.42578125" style="116" bestFit="1" customWidth="1"/>
    <col min="6676" max="6912" width="8.85546875" style="116"/>
    <col min="6913" max="6913" width="13.42578125" style="116" bestFit="1" customWidth="1"/>
    <col min="6914" max="6914" width="21.85546875" style="116" bestFit="1" customWidth="1"/>
    <col min="6915" max="6915" width="5.42578125" style="116" customWidth="1"/>
    <col min="6916" max="6916" width="13.7109375" style="116" bestFit="1" customWidth="1"/>
    <col min="6917" max="6917" width="27.140625" style="116" bestFit="1" customWidth="1"/>
    <col min="6918" max="6918" width="36.42578125" style="116" bestFit="1" customWidth="1"/>
    <col min="6919" max="6919" width="20.140625" style="116" bestFit="1" customWidth="1"/>
    <col min="6920" max="6920" width="12.42578125" style="116" bestFit="1" customWidth="1"/>
    <col min="6921" max="6921" width="36.42578125" style="116" bestFit="1" customWidth="1"/>
    <col min="6922" max="6922" width="22.140625" style="116" bestFit="1" customWidth="1"/>
    <col min="6923" max="6923" width="32.140625" style="116" bestFit="1" customWidth="1"/>
    <col min="6924" max="6924" width="26.42578125" style="116" bestFit="1" customWidth="1"/>
    <col min="6925" max="6925" width="7.7109375" style="116" customWidth="1"/>
    <col min="6926" max="6926" width="17.7109375" style="116" bestFit="1" customWidth="1"/>
    <col min="6927" max="6927" width="19.42578125" style="116" bestFit="1" customWidth="1"/>
    <col min="6928" max="6928" width="36.42578125" style="116" bestFit="1" customWidth="1"/>
    <col min="6929" max="6929" width="35.42578125" style="116" bestFit="1" customWidth="1"/>
    <col min="6930" max="6930" width="18.85546875" style="116" bestFit="1" customWidth="1"/>
    <col min="6931" max="6931" width="36.42578125" style="116" bestFit="1" customWidth="1"/>
    <col min="6932" max="7168" width="8.85546875" style="116"/>
    <col min="7169" max="7169" width="13.42578125" style="116" bestFit="1" customWidth="1"/>
    <col min="7170" max="7170" width="21.85546875" style="116" bestFit="1" customWidth="1"/>
    <col min="7171" max="7171" width="5.42578125" style="116" customWidth="1"/>
    <col min="7172" max="7172" width="13.7109375" style="116" bestFit="1" customWidth="1"/>
    <col min="7173" max="7173" width="27.140625" style="116" bestFit="1" customWidth="1"/>
    <col min="7174" max="7174" width="36.42578125" style="116" bestFit="1" customWidth="1"/>
    <col min="7175" max="7175" width="20.140625" style="116" bestFit="1" customWidth="1"/>
    <col min="7176" max="7176" width="12.42578125" style="116" bestFit="1" customWidth="1"/>
    <col min="7177" max="7177" width="36.42578125" style="116" bestFit="1" customWidth="1"/>
    <col min="7178" max="7178" width="22.140625" style="116" bestFit="1" customWidth="1"/>
    <col min="7179" max="7179" width="32.140625" style="116" bestFit="1" customWidth="1"/>
    <col min="7180" max="7180" width="26.42578125" style="116" bestFit="1" customWidth="1"/>
    <col min="7181" max="7181" width="7.7109375" style="116" customWidth="1"/>
    <col min="7182" max="7182" width="17.7109375" style="116" bestFit="1" customWidth="1"/>
    <col min="7183" max="7183" width="19.42578125" style="116" bestFit="1" customWidth="1"/>
    <col min="7184" max="7184" width="36.42578125" style="116" bestFit="1" customWidth="1"/>
    <col min="7185" max="7185" width="35.42578125" style="116" bestFit="1" customWidth="1"/>
    <col min="7186" max="7186" width="18.85546875" style="116" bestFit="1" customWidth="1"/>
    <col min="7187" max="7187" width="36.42578125" style="116" bestFit="1" customWidth="1"/>
    <col min="7188" max="7424" width="8.85546875" style="116"/>
    <col min="7425" max="7425" width="13.42578125" style="116" bestFit="1" customWidth="1"/>
    <col min="7426" max="7426" width="21.85546875" style="116" bestFit="1" customWidth="1"/>
    <col min="7427" max="7427" width="5.42578125" style="116" customWidth="1"/>
    <col min="7428" max="7428" width="13.7109375" style="116" bestFit="1" customWidth="1"/>
    <col min="7429" max="7429" width="27.140625" style="116" bestFit="1" customWidth="1"/>
    <col min="7430" max="7430" width="36.42578125" style="116" bestFit="1" customWidth="1"/>
    <col min="7431" max="7431" width="20.140625" style="116" bestFit="1" customWidth="1"/>
    <col min="7432" max="7432" width="12.42578125" style="116" bestFit="1" customWidth="1"/>
    <col min="7433" max="7433" width="36.42578125" style="116" bestFit="1" customWidth="1"/>
    <col min="7434" max="7434" width="22.140625" style="116" bestFit="1" customWidth="1"/>
    <col min="7435" max="7435" width="32.140625" style="116" bestFit="1" customWidth="1"/>
    <col min="7436" max="7436" width="26.42578125" style="116" bestFit="1" customWidth="1"/>
    <col min="7437" max="7437" width="7.7109375" style="116" customWidth="1"/>
    <col min="7438" max="7438" width="17.7109375" style="116" bestFit="1" customWidth="1"/>
    <col min="7439" max="7439" width="19.42578125" style="116" bestFit="1" customWidth="1"/>
    <col min="7440" max="7440" width="36.42578125" style="116" bestFit="1" customWidth="1"/>
    <col min="7441" max="7441" width="35.42578125" style="116" bestFit="1" customWidth="1"/>
    <col min="7442" max="7442" width="18.85546875" style="116" bestFit="1" customWidth="1"/>
    <col min="7443" max="7443" width="36.42578125" style="116" bestFit="1" customWidth="1"/>
    <col min="7444" max="7680" width="8.85546875" style="116"/>
    <col min="7681" max="7681" width="13.42578125" style="116" bestFit="1" customWidth="1"/>
    <col min="7682" max="7682" width="21.85546875" style="116" bestFit="1" customWidth="1"/>
    <col min="7683" max="7683" width="5.42578125" style="116" customWidth="1"/>
    <col min="7684" max="7684" width="13.7109375" style="116" bestFit="1" customWidth="1"/>
    <col min="7685" max="7685" width="27.140625" style="116" bestFit="1" customWidth="1"/>
    <col min="7686" max="7686" width="36.42578125" style="116" bestFit="1" customWidth="1"/>
    <col min="7687" max="7687" width="20.140625" style="116" bestFit="1" customWidth="1"/>
    <col min="7688" max="7688" width="12.42578125" style="116" bestFit="1" customWidth="1"/>
    <col min="7689" max="7689" width="36.42578125" style="116" bestFit="1" customWidth="1"/>
    <col min="7690" max="7690" width="22.140625" style="116" bestFit="1" customWidth="1"/>
    <col min="7691" max="7691" width="32.140625" style="116" bestFit="1" customWidth="1"/>
    <col min="7692" max="7692" width="26.42578125" style="116" bestFit="1" customWidth="1"/>
    <col min="7693" max="7693" width="7.7109375" style="116" customWidth="1"/>
    <col min="7694" max="7694" width="17.7109375" style="116" bestFit="1" customWidth="1"/>
    <col min="7695" max="7695" width="19.42578125" style="116" bestFit="1" customWidth="1"/>
    <col min="7696" max="7696" width="36.42578125" style="116" bestFit="1" customWidth="1"/>
    <col min="7697" max="7697" width="35.42578125" style="116" bestFit="1" customWidth="1"/>
    <col min="7698" max="7698" width="18.85546875" style="116" bestFit="1" customWidth="1"/>
    <col min="7699" max="7699" width="36.42578125" style="116" bestFit="1" customWidth="1"/>
    <col min="7700" max="7936" width="8.85546875" style="116"/>
    <col min="7937" max="7937" width="13.42578125" style="116" bestFit="1" customWidth="1"/>
    <col min="7938" max="7938" width="21.85546875" style="116" bestFit="1" customWidth="1"/>
    <col min="7939" max="7939" width="5.42578125" style="116" customWidth="1"/>
    <col min="7940" max="7940" width="13.7109375" style="116" bestFit="1" customWidth="1"/>
    <col min="7941" max="7941" width="27.140625" style="116" bestFit="1" customWidth="1"/>
    <col min="7942" max="7942" width="36.42578125" style="116" bestFit="1" customWidth="1"/>
    <col min="7943" max="7943" width="20.140625" style="116" bestFit="1" customWidth="1"/>
    <col min="7944" max="7944" width="12.42578125" style="116" bestFit="1" customWidth="1"/>
    <col min="7945" max="7945" width="36.42578125" style="116" bestFit="1" customWidth="1"/>
    <col min="7946" max="7946" width="22.140625" style="116" bestFit="1" customWidth="1"/>
    <col min="7947" max="7947" width="32.140625" style="116" bestFit="1" customWidth="1"/>
    <col min="7948" max="7948" width="26.42578125" style="116" bestFit="1" customWidth="1"/>
    <col min="7949" max="7949" width="7.7109375" style="116" customWidth="1"/>
    <col min="7950" max="7950" width="17.7109375" style="116" bestFit="1" customWidth="1"/>
    <col min="7951" max="7951" width="19.42578125" style="116" bestFit="1" customWidth="1"/>
    <col min="7952" max="7952" width="36.42578125" style="116" bestFit="1" customWidth="1"/>
    <col min="7953" max="7953" width="35.42578125" style="116" bestFit="1" customWidth="1"/>
    <col min="7954" max="7954" width="18.85546875" style="116" bestFit="1" customWidth="1"/>
    <col min="7955" max="7955" width="36.42578125" style="116" bestFit="1" customWidth="1"/>
    <col min="7956" max="8192" width="8.85546875" style="116"/>
    <col min="8193" max="8193" width="13.42578125" style="116" bestFit="1" customWidth="1"/>
    <col min="8194" max="8194" width="21.85546875" style="116" bestFit="1" customWidth="1"/>
    <col min="8195" max="8195" width="5.42578125" style="116" customWidth="1"/>
    <col min="8196" max="8196" width="13.7109375" style="116" bestFit="1" customWidth="1"/>
    <col min="8197" max="8197" width="27.140625" style="116" bestFit="1" customWidth="1"/>
    <col min="8198" max="8198" width="36.42578125" style="116" bestFit="1" customWidth="1"/>
    <col min="8199" max="8199" width="20.140625" style="116" bestFit="1" customWidth="1"/>
    <col min="8200" max="8200" width="12.42578125" style="116" bestFit="1" customWidth="1"/>
    <col min="8201" max="8201" width="36.42578125" style="116" bestFit="1" customWidth="1"/>
    <col min="8202" max="8202" width="22.140625" style="116" bestFit="1" customWidth="1"/>
    <col min="8203" max="8203" width="32.140625" style="116" bestFit="1" customWidth="1"/>
    <col min="8204" max="8204" width="26.42578125" style="116" bestFit="1" customWidth="1"/>
    <col min="8205" max="8205" width="7.7109375" style="116" customWidth="1"/>
    <col min="8206" max="8206" width="17.7109375" style="116" bestFit="1" customWidth="1"/>
    <col min="8207" max="8207" width="19.42578125" style="116" bestFit="1" customWidth="1"/>
    <col min="8208" max="8208" width="36.42578125" style="116" bestFit="1" customWidth="1"/>
    <col min="8209" max="8209" width="35.42578125" style="116" bestFit="1" customWidth="1"/>
    <col min="8210" max="8210" width="18.85546875" style="116" bestFit="1" customWidth="1"/>
    <col min="8211" max="8211" width="36.42578125" style="116" bestFit="1" customWidth="1"/>
    <col min="8212" max="8448" width="8.85546875" style="116"/>
    <col min="8449" max="8449" width="13.42578125" style="116" bestFit="1" customWidth="1"/>
    <col min="8450" max="8450" width="21.85546875" style="116" bestFit="1" customWidth="1"/>
    <col min="8451" max="8451" width="5.42578125" style="116" customWidth="1"/>
    <col min="8452" max="8452" width="13.7109375" style="116" bestFit="1" customWidth="1"/>
    <col min="8453" max="8453" width="27.140625" style="116" bestFit="1" customWidth="1"/>
    <col min="8454" max="8454" width="36.42578125" style="116" bestFit="1" customWidth="1"/>
    <col min="8455" max="8455" width="20.140625" style="116" bestFit="1" customWidth="1"/>
    <col min="8456" max="8456" width="12.42578125" style="116" bestFit="1" customWidth="1"/>
    <col min="8457" max="8457" width="36.42578125" style="116" bestFit="1" customWidth="1"/>
    <col min="8458" max="8458" width="22.140625" style="116" bestFit="1" customWidth="1"/>
    <col min="8459" max="8459" width="32.140625" style="116" bestFit="1" customWidth="1"/>
    <col min="8460" max="8460" width="26.42578125" style="116" bestFit="1" customWidth="1"/>
    <col min="8461" max="8461" width="7.7109375" style="116" customWidth="1"/>
    <col min="8462" max="8462" width="17.7109375" style="116" bestFit="1" customWidth="1"/>
    <col min="8463" max="8463" width="19.42578125" style="116" bestFit="1" customWidth="1"/>
    <col min="8464" max="8464" width="36.42578125" style="116" bestFit="1" customWidth="1"/>
    <col min="8465" max="8465" width="35.42578125" style="116" bestFit="1" customWidth="1"/>
    <col min="8466" max="8466" width="18.85546875" style="116" bestFit="1" customWidth="1"/>
    <col min="8467" max="8467" width="36.42578125" style="116" bestFit="1" customWidth="1"/>
    <col min="8468" max="8704" width="8.85546875" style="116"/>
    <col min="8705" max="8705" width="13.42578125" style="116" bestFit="1" customWidth="1"/>
    <col min="8706" max="8706" width="21.85546875" style="116" bestFit="1" customWidth="1"/>
    <col min="8707" max="8707" width="5.42578125" style="116" customWidth="1"/>
    <col min="8708" max="8708" width="13.7109375" style="116" bestFit="1" customWidth="1"/>
    <col min="8709" max="8709" width="27.140625" style="116" bestFit="1" customWidth="1"/>
    <col min="8710" max="8710" width="36.42578125" style="116" bestFit="1" customWidth="1"/>
    <col min="8711" max="8711" width="20.140625" style="116" bestFit="1" customWidth="1"/>
    <col min="8712" max="8712" width="12.42578125" style="116" bestFit="1" customWidth="1"/>
    <col min="8713" max="8713" width="36.42578125" style="116" bestFit="1" customWidth="1"/>
    <col min="8714" max="8714" width="22.140625" style="116" bestFit="1" customWidth="1"/>
    <col min="8715" max="8715" width="32.140625" style="116" bestFit="1" customWidth="1"/>
    <col min="8716" max="8716" width="26.42578125" style="116" bestFit="1" customWidth="1"/>
    <col min="8717" max="8717" width="7.7109375" style="116" customWidth="1"/>
    <col min="8718" max="8718" width="17.7109375" style="116" bestFit="1" customWidth="1"/>
    <col min="8719" max="8719" width="19.42578125" style="116" bestFit="1" customWidth="1"/>
    <col min="8720" max="8720" width="36.42578125" style="116" bestFit="1" customWidth="1"/>
    <col min="8721" max="8721" width="35.42578125" style="116" bestFit="1" customWidth="1"/>
    <col min="8722" max="8722" width="18.85546875" style="116" bestFit="1" customWidth="1"/>
    <col min="8723" max="8723" width="36.42578125" style="116" bestFit="1" customWidth="1"/>
    <col min="8724" max="8960" width="8.85546875" style="116"/>
    <col min="8961" max="8961" width="13.42578125" style="116" bestFit="1" customWidth="1"/>
    <col min="8962" max="8962" width="21.85546875" style="116" bestFit="1" customWidth="1"/>
    <col min="8963" max="8963" width="5.42578125" style="116" customWidth="1"/>
    <col min="8964" max="8964" width="13.7109375" style="116" bestFit="1" customWidth="1"/>
    <col min="8965" max="8965" width="27.140625" style="116" bestFit="1" customWidth="1"/>
    <col min="8966" max="8966" width="36.42578125" style="116" bestFit="1" customWidth="1"/>
    <col min="8967" max="8967" width="20.140625" style="116" bestFit="1" customWidth="1"/>
    <col min="8968" max="8968" width="12.42578125" style="116" bestFit="1" customWidth="1"/>
    <col min="8969" max="8969" width="36.42578125" style="116" bestFit="1" customWidth="1"/>
    <col min="8970" max="8970" width="22.140625" style="116" bestFit="1" customWidth="1"/>
    <col min="8971" max="8971" width="32.140625" style="116" bestFit="1" customWidth="1"/>
    <col min="8972" max="8972" width="26.42578125" style="116" bestFit="1" customWidth="1"/>
    <col min="8973" max="8973" width="7.7109375" style="116" customWidth="1"/>
    <col min="8974" max="8974" width="17.7109375" style="116" bestFit="1" customWidth="1"/>
    <col min="8975" max="8975" width="19.42578125" style="116" bestFit="1" customWidth="1"/>
    <col min="8976" max="8976" width="36.42578125" style="116" bestFit="1" customWidth="1"/>
    <col min="8977" max="8977" width="35.42578125" style="116" bestFit="1" customWidth="1"/>
    <col min="8978" max="8978" width="18.85546875" style="116" bestFit="1" customWidth="1"/>
    <col min="8979" max="8979" width="36.42578125" style="116" bestFit="1" customWidth="1"/>
    <col min="8980" max="9216" width="8.85546875" style="116"/>
    <col min="9217" max="9217" width="13.42578125" style="116" bestFit="1" customWidth="1"/>
    <col min="9218" max="9218" width="21.85546875" style="116" bestFit="1" customWidth="1"/>
    <col min="9219" max="9219" width="5.42578125" style="116" customWidth="1"/>
    <col min="9220" max="9220" width="13.7109375" style="116" bestFit="1" customWidth="1"/>
    <col min="9221" max="9221" width="27.140625" style="116" bestFit="1" customWidth="1"/>
    <col min="9222" max="9222" width="36.42578125" style="116" bestFit="1" customWidth="1"/>
    <col min="9223" max="9223" width="20.140625" style="116" bestFit="1" customWidth="1"/>
    <col min="9224" max="9224" width="12.42578125" style="116" bestFit="1" customWidth="1"/>
    <col min="9225" max="9225" width="36.42578125" style="116" bestFit="1" customWidth="1"/>
    <col min="9226" max="9226" width="22.140625" style="116" bestFit="1" customWidth="1"/>
    <col min="9227" max="9227" width="32.140625" style="116" bestFit="1" customWidth="1"/>
    <col min="9228" max="9228" width="26.42578125" style="116" bestFit="1" customWidth="1"/>
    <col min="9229" max="9229" width="7.7109375" style="116" customWidth="1"/>
    <col min="9230" max="9230" width="17.7109375" style="116" bestFit="1" customWidth="1"/>
    <col min="9231" max="9231" width="19.42578125" style="116" bestFit="1" customWidth="1"/>
    <col min="9232" max="9232" width="36.42578125" style="116" bestFit="1" customWidth="1"/>
    <col min="9233" max="9233" width="35.42578125" style="116" bestFit="1" customWidth="1"/>
    <col min="9234" max="9234" width="18.85546875" style="116" bestFit="1" customWidth="1"/>
    <col min="9235" max="9235" width="36.42578125" style="116" bestFit="1" customWidth="1"/>
    <col min="9236" max="9472" width="8.85546875" style="116"/>
    <col min="9473" max="9473" width="13.42578125" style="116" bestFit="1" customWidth="1"/>
    <col min="9474" max="9474" width="21.85546875" style="116" bestFit="1" customWidth="1"/>
    <col min="9475" max="9475" width="5.42578125" style="116" customWidth="1"/>
    <col min="9476" max="9476" width="13.7109375" style="116" bestFit="1" customWidth="1"/>
    <col min="9477" max="9477" width="27.140625" style="116" bestFit="1" customWidth="1"/>
    <col min="9478" max="9478" width="36.42578125" style="116" bestFit="1" customWidth="1"/>
    <col min="9479" max="9479" width="20.140625" style="116" bestFit="1" customWidth="1"/>
    <col min="9480" max="9480" width="12.42578125" style="116" bestFit="1" customWidth="1"/>
    <col min="9481" max="9481" width="36.42578125" style="116" bestFit="1" customWidth="1"/>
    <col min="9482" max="9482" width="22.140625" style="116" bestFit="1" customWidth="1"/>
    <col min="9483" max="9483" width="32.140625" style="116" bestFit="1" customWidth="1"/>
    <col min="9484" max="9484" width="26.42578125" style="116" bestFit="1" customWidth="1"/>
    <col min="9485" max="9485" width="7.7109375" style="116" customWidth="1"/>
    <col min="9486" max="9486" width="17.7109375" style="116" bestFit="1" customWidth="1"/>
    <col min="9487" max="9487" width="19.42578125" style="116" bestFit="1" customWidth="1"/>
    <col min="9488" max="9488" width="36.42578125" style="116" bestFit="1" customWidth="1"/>
    <col min="9489" max="9489" width="35.42578125" style="116" bestFit="1" customWidth="1"/>
    <col min="9490" max="9490" width="18.85546875" style="116" bestFit="1" customWidth="1"/>
    <col min="9491" max="9491" width="36.42578125" style="116" bestFit="1" customWidth="1"/>
    <col min="9492" max="9728" width="8.85546875" style="116"/>
    <col min="9729" max="9729" width="13.42578125" style="116" bestFit="1" customWidth="1"/>
    <col min="9730" max="9730" width="21.85546875" style="116" bestFit="1" customWidth="1"/>
    <col min="9731" max="9731" width="5.42578125" style="116" customWidth="1"/>
    <col min="9732" max="9732" width="13.7109375" style="116" bestFit="1" customWidth="1"/>
    <col min="9733" max="9733" width="27.140625" style="116" bestFit="1" customWidth="1"/>
    <col min="9734" max="9734" width="36.42578125" style="116" bestFit="1" customWidth="1"/>
    <col min="9735" max="9735" width="20.140625" style="116" bestFit="1" customWidth="1"/>
    <col min="9736" max="9736" width="12.42578125" style="116" bestFit="1" customWidth="1"/>
    <col min="9737" max="9737" width="36.42578125" style="116" bestFit="1" customWidth="1"/>
    <col min="9738" max="9738" width="22.140625" style="116" bestFit="1" customWidth="1"/>
    <col min="9739" max="9739" width="32.140625" style="116" bestFit="1" customWidth="1"/>
    <col min="9740" max="9740" width="26.42578125" style="116" bestFit="1" customWidth="1"/>
    <col min="9741" max="9741" width="7.7109375" style="116" customWidth="1"/>
    <col min="9742" max="9742" width="17.7109375" style="116" bestFit="1" customWidth="1"/>
    <col min="9743" max="9743" width="19.42578125" style="116" bestFit="1" customWidth="1"/>
    <col min="9744" max="9744" width="36.42578125" style="116" bestFit="1" customWidth="1"/>
    <col min="9745" max="9745" width="35.42578125" style="116" bestFit="1" customWidth="1"/>
    <col min="9746" max="9746" width="18.85546875" style="116" bestFit="1" customWidth="1"/>
    <col min="9747" max="9747" width="36.42578125" style="116" bestFit="1" customWidth="1"/>
    <col min="9748" max="9984" width="8.85546875" style="116"/>
    <col min="9985" max="9985" width="13.42578125" style="116" bestFit="1" customWidth="1"/>
    <col min="9986" max="9986" width="21.85546875" style="116" bestFit="1" customWidth="1"/>
    <col min="9987" max="9987" width="5.42578125" style="116" customWidth="1"/>
    <col min="9988" max="9988" width="13.7109375" style="116" bestFit="1" customWidth="1"/>
    <col min="9989" max="9989" width="27.140625" style="116" bestFit="1" customWidth="1"/>
    <col min="9990" max="9990" width="36.42578125" style="116" bestFit="1" customWidth="1"/>
    <col min="9991" max="9991" width="20.140625" style="116" bestFit="1" customWidth="1"/>
    <col min="9992" max="9992" width="12.42578125" style="116" bestFit="1" customWidth="1"/>
    <col min="9993" max="9993" width="36.42578125" style="116" bestFit="1" customWidth="1"/>
    <col min="9994" max="9994" width="22.140625" style="116" bestFit="1" customWidth="1"/>
    <col min="9995" max="9995" width="32.140625" style="116" bestFit="1" customWidth="1"/>
    <col min="9996" max="9996" width="26.42578125" style="116" bestFit="1" customWidth="1"/>
    <col min="9997" max="9997" width="7.7109375" style="116" customWidth="1"/>
    <col min="9998" max="9998" width="17.7109375" style="116" bestFit="1" customWidth="1"/>
    <col min="9999" max="9999" width="19.42578125" style="116" bestFit="1" customWidth="1"/>
    <col min="10000" max="10000" width="36.42578125" style="116" bestFit="1" customWidth="1"/>
    <col min="10001" max="10001" width="35.42578125" style="116" bestFit="1" customWidth="1"/>
    <col min="10002" max="10002" width="18.85546875" style="116" bestFit="1" customWidth="1"/>
    <col min="10003" max="10003" width="36.42578125" style="116" bestFit="1" customWidth="1"/>
    <col min="10004" max="10240" width="8.85546875" style="116"/>
    <col min="10241" max="10241" width="13.42578125" style="116" bestFit="1" customWidth="1"/>
    <col min="10242" max="10242" width="21.85546875" style="116" bestFit="1" customWidth="1"/>
    <col min="10243" max="10243" width="5.42578125" style="116" customWidth="1"/>
    <col min="10244" max="10244" width="13.7109375" style="116" bestFit="1" customWidth="1"/>
    <col min="10245" max="10245" width="27.140625" style="116" bestFit="1" customWidth="1"/>
    <col min="10246" max="10246" width="36.42578125" style="116" bestFit="1" customWidth="1"/>
    <col min="10247" max="10247" width="20.140625" style="116" bestFit="1" customWidth="1"/>
    <col min="10248" max="10248" width="12.42578125" style="116" bestFit="1" customWidth="1"/>
    <col min="10249" max="10249" width="36.42578125" style="116" bestFit="1" customWidth="1"/>
    <col min="10250" max="10250" width="22.140625" style="116" bestFit="1" customWidth="1"/>
    <col min="10251" max="10251" width="32.140625" style="116" bestFit="1" customWidth="1"/>
    <col min="10252" max="10252" width="26.42578125" style="116" bestFit="1" customWidth="1"/>
    <col min="10253" max="10253" width="7.7109375" style="116" customWidth="1"/>
    <col min="10254" max="10254" width="17.7109375" style="116" bestFit="1" customWidth="1"/>
    <col min="10255" max="10255" width="19.42578125" style="116" bestFit="1" customWidth="1"/>
    <col min="10256" max="10256" width="36.42578125" style="116" bestFit="1" customWidth="1"/>
    <col min="10257" max="10257" width="35.42578125" style="116" bestFit="1" customWidth="1"/>
    <col min="10258" max="10258" width="18.85546875" style="116" bestFit="1" customWidth="1"/>
    <col min="10259" max="10259" width="36.42578125" style="116" bestFit="1" customWidth="1"/>
    <col min="10260" max="10496" width="8.85546875" style="116"/>
    <col min="10497" max="10497" width="13.42578125" style="116" bestFit="1" customWidth="1"/>
    <col min="10498" max="10498" width="21.85546875" style="116" bestFit="1" customWidth="1"/>
    <col min="10499" max="10499" width="5.42578125" style="116" customWidth="1"/>
    <col min="10500" max="10500" width="13.7109375" style="116" bestFit="1" customWidth="1"/>
    <col min="10501" max="10501" width="27.140625" style="116" bestFit="1" customWidth="1"/>
    <col min="10502" max="10502" width="36.42578125" style="116" bestFit="1" customWidth="1"/>
    <col min="10503" max="10503" width="20.140625" style="116" bestFit="1" customWidth="1"/>
    <col min="10504" max="10504" width="12.42578125" style="116" bestFit="1" customWidth="1"/>
    <col min="10505" max="10505" width="36.42578125" style="116" bestFit="1" customWidth="1"/>
    <col min="10506" max="10506" width="22.140625" style="116" bestFit="1" customWidth="1"/>
    <col min="10507" max="10507" width="32.140625" style="116" bestFit="1" customWidth="1"/>
    <col min="10508" max="10508" width="26.42578125" style="116" bestFit="1" customWidth="1"/>
    <col min="10509" max="10509" width="7.7109375" style="116" customWidth="1"/>
    <col min="10510" max="10510" width="17.7109375" style="116" bestFit="1" customWidth="1"/>
    <col min="10511" max="10511" width="19.42578125" style="116" bestFit="1" customWidth="1"/>
    <col min="10512" max="10512" width="36.42578125" style="116" bestFit="1" customWidth="1"/>
    <col min="10513" max="10513" width="35.42578125" style="116" bestFit="1" customWidth="1"/>
    <col min="10514" max="10514" width="18.85546875" style="116" bestFit="1" customWidth="1"/>
    <col min="10515" max="10515" width="36.42578125" style="116" bestFit="1" customWidth="1"/>
    <col min="10516" max="10752" width="8.85546875" style="116"/>
    <col min="10753" max="10753" width="13.42578125" style="116" bestFit="1" customWidth="1"/>
    <col min="10754" max="10754" width="21.85546875" style="116" bestFit="1" customWidth="1"/>
    <col min="10755" max="10755" width="5.42578125" style="116" customWidth="1"/>
    <col min="10756" max="10756" width="13.7109375" style="116" bestFit="1" customWidth="1"/>
    <col min="10757" max="10757" width="27.140625" style="116" bestFit="1" customWidth="1"/>
    <col min="10758" max="10758" width="36.42578125" style="116" bestFit="1" customWidth="1"/>
    <col min="10759" max="10759" width="20.140625" style="116" bestFit="1" customWidth="1"/>
    <col min="10760" max="10760" width="12.42578125" style="116" bestFit="1" customWidth="1"/>
    <col min="10761" max="10761" width="36.42578125" style="116" bestFit="1" customWidth="1"/>
    <col min="10762" max="10762" width="22.140625" style="116" bestFit="1" customWidth="1"/>
    <col min="10763" max="10763" width="32.140625" style="116" bestFit="1" customWidth="1"/>
    <col min="10764" max="10764" width="26.42578125" style="116" bestFit="1" customWidth="1"/>
    <col min="10765" max="10765" width="7.7109375" style="116" customWidth="1"/>
    <col min="10766" max="10766" width="17.7109375" style="116" bestFit="1" customWidth="1"/>
    <col min="10767" max="10767" width="19.42578125" style="116" bestFit="1" customWidth="1"/>
    <col min="10768" max="10768" width="36.42578125" style="116" bestFit="1" customWidth="1"/>
    <col min="10769" max="10769" width="35.42578125" style="116" bestFit="1" customWidth="1"/>
    <col min="10770" max="10770" width="18.85546875" style="116" bestFit="1" customWidth="1"/>
    <col min="10771" max="10771" width="36.42578125" style="116" bestFit="1" customWidth="1"/>
    <col min="10772" max="11008" width="8.85546875" style="116"/>
    <col min="11009" max="11009" width="13.42578125" style="116" bestFit="1" customWidth="1"/>
    <col min="11010" max="11010" width="21.85546875" style="116" bestFit="1" customWidth="1"/>
    <col min="11011" max="11011" width="5.42578125" style="116" customWidth="1"/>
    <col min="11012" max="11012" width="13.7109375" style="116" bestFit="1" customWidth="1"/>
    <col min="11013" max="11013" width="27.140625" style="116" bestFit="1" customWidth="1"/>
    <col min="11014" max="11014" width="36.42578125" style="116" bestFit="1" customWidth="1"/>
    <col min="11015" max="11015" width="20.140625" style="116" bestFit="1" customWidth="1"/>
    <col min="11016" max="11016" width="12.42578125" style="116" bestFit="1" customWidth="1"/>
    <col min="11017" max="11017" width="36.42578125" style="116" bestFit="1" customWidth="1"/>
    <col min="11018" max="11018" width="22.140625" style="116" bestFit="1" customWidth="1"/>
    <col min="11019" max="11019" width="32.140625" style="116" bestFit="1" customWidth="1"/>
    <col min="11020" max="11020" width="26.42578125" style="116" bestFit="1" customWidth="1"/>
    <col min="11021" max="11021" width="7.7109375" style="116" customWidth="1"/>
    <col min="11022" max="11022" width="17.7109375" style="116" bestFit="1" customWidth="1"/>
    <col min="11023" max="11023" width="19.42578125" style="116" bestFit="1" customWidth="1"/>
    <col min="11024" max="11024" width="36.42578125" style="116" bestFit="1" customWidth="1"/>
    <col min="11025" max="11025" width="35.42578125" style="116" bestFit="1" customWidth="1"/>
    <col min="11026" max="11026" width="18.85546875" style="116" bestFit="1" customWidth="1"/>
    <col min="11027" max="11027" width="36.42578125" style="116" bestFit="1" customWidth="1"/>
    <col min="11028" max="11264" width="8.85546875" style="116"/>
    <col min="11265" max="11265" width="13.42578125" style="116" bestFit="1" customWidth="1"/>
    <col min="11266" max="11266" width="21.85546875" style="116" bestFit="1" customWidth="1"/>
    <col min="11267" max="11267" width="5.42578125" style="116" customWidth="1"/>
    <col min="11268" max="11268" width="13.7109375" style="116" bestFit="1" customWidth="1"/>
    <col min="11269" max="11269" width="27.140625" style="116" bestFit="1" customWidth="1"/>
    <col min="11270" max="11270" width="36.42578125" style="116" bestFit="1" customWidth="1"/>
    <col min="11271" max="11271" width="20.140625" style="116" bestFit="1" customWidth="1"/>
    <col min="11272" max="11272" width="12.42578125" style="116" bestFit="1" customWidth="1"/>
    <col min="11273" max="11273" width="36.42578125" style="116" bestFit="1" customWidth="1"/>
    <col min="11274" max="11274" width="22.140625" style="116" bestFit="1" customWidth="1"/>
    <col min="11275" max="11275" width="32.140625" style="116" bestFit="1" customWidth="1"/>
    <col min="11276" max="11276" width="26.42578125" style="116" bestFit="1" customWidth="1"/>
    <col min="11277" max="11277" width="7.7109375" style="116" customWidth="1"/>
    <col min="11278" max="11278" width="17.7109375" style="116" bestFit="1" customWidth="1"/>
    <col min="11279" max="11279" width="19.42578125" style="116" bestFit="1" customWidth="1"/>
    <col min="11280" max="11280" width="36.42578125" style="116" bestFit="1" customWidth="1"/>
    <col min="11281" max="11281" width="35.42578125" style="116" bestFit="1" customWidth="1"/>
    <col min="11282" max="11282" width="18.85546875" style="116" bestFit="1" customWidth="1"/>
    <col min="11283" max="11283" width="36.42578125" style="116" bestFit="1" customWidth="1"/>
    <col min="11284" max="11520" width="8.85546875" style="116"/>
    <col min="11521" max="11521" width="13.42578125" style="116" bestFit="1" customWidth="1"/>
    <col min="11522" max="11522" width="21.85546875" style="116" bestFit="1" customWidth="1"/>
    <col min="11523" max="11523" width="5.42578125" style="116" customWidth="1"/>
    <col min="11524" max="11524" width="13.7109375" style="116" bestFit="1" customWidth="1"/>
    <col min="11525" max="11525" width="27.140625" style="116" bestFit="1" customWidth="1"/>
    <col min="11526" max="11526" width="36.42578125" style="116" bestFit="1" customWidth="1"/>
    <col min="11527" max="11527" width="20.140625" style="116" bestFit="1" customWidth="1"/>
    <col min="11528" max="11528" width="12.42578125" style="116" bestFit="1" customWidth="1"/>
    <col min="11529" max="11529" width="36.42578125" style="116" bestFit="1" customWidth="1"/>
    <col min="11530" max="11530" width="22.140625" style="116" bestFit="1" customWidth="1"/>
    <col min="11531" max="11531" width="32.140625" style="116" bestFit="1" customWidth="1"/>
    <col min="11532" max="11532" width="26.42578125" style="116" bestFit="1" customWidth="1"/>
    <col min="11533" max="11533" width="7.7109375" style="116" customWidth="1"/>
    <col min="11534" max="11534" width="17.7109375" style="116" bestFit="1" customWidth="1"/>
    <col min="11535" max="11535" width="19.42578125" style="116" bestFit="1" customWidth="1"/>
    <col min="11536" max="11536" width="36.42578125" style="116" bestFit="1" customWidth="1"/>
    <col min="11537" max="11537" width="35.42578125" style="116" bestFit="1" customWidth="1"/>
    <col min="11538" max="11538" width="18.85546875" style="116" bestFit="1" customWidth="1"/>
    <col min="11539" max="11539" width="36.42578125" style="116" bestFit="1" customWidth="1"/>
    <col min="11540" max="11776" width="8.85546875" style="116"/>
    <col min="11777" max="11777" width="13.42578125" style="116" bestFit="1" customWidth="1"/>
    <col min="11778" max="11778" width="21.85546875" style="116" bestFit="1" customWidth="1"/>
    <col min="11779" max="11779" width="5.42578125" style="116" customWidth="1"/>
    <col min="11780" max="11780" width="13.7109375" style="116" bestFit="1" customWidth="1"/>
    <col min="11781" max="11781" width="27.140625" style="116" bestFit="1" customWidth="1"/>
    <col min="11782" max="11782" width="36.42578125" style="116" bestFit="1" customWidth="1"/>
    <col min="11783" max="11783" width="20.140625" style="116" bestFit="1" customWidth="1"/>
    <col min="11784" max="11784" width="12.42578125" style="116" bestFit="1" customWidth="1"/>
    <col min="11785" max="11785" width="36.42578125" style="116" bestFit="1" customWidth="1"/>
    <col min="11786" max="11786" width="22.140625" style="116" bestFit="1" customWidth="1"/>
    <col min="11787" max="11787" width="32.140625" style="116" bestFit="1" customWidth="1"/>
    <col min="11788" max="11788" width="26.42578125" style="116" bestFit="1" customWidth="1"/>
    <col min="11789" max="11789" width="7.7109375" style="116" customWidth="1"/>
    <col min="11790" max="11790" width="17.7109375" style="116" bestFit="1" customWidth="1"/>
    <col min="11791" max="11791" width="19.42578125" style="116" bestFit="1" customWidth="1"/>
    <col min="11792" max="11792" width="36.42578125" style="116" bestFit="1" customWidth="1"/>
    <col min="11793" max="11793" width="35.42578125" style="116" bestFit="1" customWidth="1"/>
    <col min="11794" max="11794" width="18.85546875" style="116" bestFit="1" customWidth="1"/>
    <col min="11795" max="11795" width="36.42578125" style="116" bestFit="1" customWidth="1"/>
    <col min="11796" max="12032" width="8.85546875" style="116"/>
    <col min="12033" max="12033" width="13.42578125" style="116" bestFit="1" customWidth="1"/>
    <col min="12034" max="12034" width="21.85546875" style="116" bestFit="1" customWidth="1"/>
    <col min="12035" max="12035" width="5.42578125" style="116" customWidth="1"/>
    <col min="12036" max="12036" width="13.7109375" style="116" bestFit="1" customWidth="1"/>
    <col min="12037" max="12037" width="27.140625" style="116" bestFit="1" customWidth="1"/>
    <col min="12038" max="12038" width="36.42578125" style="116" bestFit="1" customWidth="1"/>
    <col min="12039" max="12039" width="20.140625" style="116" bestFit="1" customWidth="1"/>
    <col min="12040" max="12040" width="12.42578125" style="116" bestFit="1" customWidth="1"/>
    <col min="12041" max="12041" width="36.42578125" style="116" bestFit="1" customWidth="1"/>
    <col min="12042" max="12042" width="22.140625" style="116" bestFit="1" customWidth="1"/>
    <col min="12043" max="12043" width="32.140625" style="116" bestFit="1" customWidth="1"/>
    <col min="12044" max="12044" width="26.42578125" style="116" bestFit="1" customWidth="1"/>
    <col min="12045" max="12045" width="7.7109375" style="116" customWidth="1"/>
    <col min="12046" max="12046" width="17.7109375" style="116" bestFit="1" customWidth="1"/>
    <col min="12047" max="12047" width="19.42578125" style="116" bestFit="1" customWidth="1"/>
    <col min="12048" max="12048" width="36.42578125" style="116" bestFit="1" customWidth="1"/>
    <col min="12049" max="12049" width="35.42578125" style="116" bestFit="1" customWidth="1"/>
    <col min="12050" max="12050" width="18.85546875" style="116" bestFit="1" customWidth="1"/>
    <col min="12051" max="12051" width="36.42578125" style="116" bestFit="1" customWidth="1"/>
    <col min="12052" max="12288" width="8.85546875" style="116"/>
    <col min="12289" max="12289" width="13.42578125" style="116" bestFit="1" customWidth="1"/>
    <col min="12290" max="12290" width="21.85546875" style="116" bestFit="1" customWidth="1"/>
    <col min="12291" max="12291" width="5.42578125" style="116" customWidth="1"/>
    <col min="12292" max="12292" width="13.7109375" style="116" bestFit="1" customWidth="1"/>
    <col min="12293" max="12293" width="27.140625" style="116" bestFit="1" customWidth="1"/>
    <col min="12294" max="12294" width="36.42578125" style="116" bestFit="1" customWidth="1"/>
    <col min="12295" max="12295" width="20.140625" style="116" bestFit="1" customWidth="1"/>
    <col min="12296" max="12296" width="12.42578125" style="116" bestFit="1" customWidth="1"/>
    <col min="12297" max="12297" width="36.42578125" style="116" bestFit="1" customWidth="1"/>
    <col min="12298" max="12298" width="22.140625" style="116" bestFit="1" customWidth="1"/>
    <col min="12299" max="12299" width="32.140625" style="116" bestFit="1" customWidth="1"/>
    <col min="12300" max="12300" width="26.42578125" style="116" bestFit="1" customWidth="1"/>
    <col min="12301" max="12301" width="7.7109375" style="116" customWidth="1"/>
    <col min="12302" max="12302" width="17.7109375" style="116" bestFit="1" customWidth="1"/>
    <col min="12303" max="12303" width="19.42578125" style="116" bestFit="1" customWidth="1"/>
    <col min="12304" max="12304" width="36.42578125" style="116" bestFit="1" customWidth="1"/>
    <col min="12305" max="12305" width="35.42578125" style="116" bestFit="1" customWidth="1"/>
    <col min="12306" max="12306" width="18.85546875" style="116" bestFit="1" customWidth="1"/>
    <col min="12307" max="12307" width="36.42578125" style="116" bestFit="1" customWidth="1"/>
    <col min="12308" max="12544" width="8.85546875" style="116"/>
    <col min="12545" max="12545" width="13.42578125" style="116" bestFit="1" customWidth="1"/>
    <col min="12546" max="12546" width="21.85546875" style="116" bestFit="1" customWidth="1"/>
    <col min="12547" max="12547" width="5.42578125" style="116" customWidth="1"/>
    <col min="12548" max="12548" width="13.7109375" style="116" bestFit="1" customWidth="1"/>
    <col min="12549" max="12549" width="27.140625" style="116" bestFit="1" customWidth="1"/>
    <col min="12550" max="12550" width="36.42578125" style="116" bestFit="1" customWidth="1"/>
    <col min="12551" max="12551" width="20.140625" style="116" bestFit="1" customWidth="1"/>
    <col min="12552" max="12552" width="12.42578125" style="116" bestFit="1" customWidth="1"/>
    <col min="12553" max="12553" width="36.42578125" style="116" bestFit="1" customWidth="1"/>
    <col min="12554" max="12554" width="22.140625" style="116" bestFit="1" customWidth="1"/>
    <col min="12555" max="12555" width="32.140625" style="116" bestFit="1" customWidth="1"/>
    <col min="12556" max="12556" width="26.42578125" style="116" bestFit="1" customWidth="1"/>
    <col min="12557" max="12557" width="7.7109375" style="116" customWidth="1"/>
    <col min="12558" max="12558" width="17.7109375" style="116" bestFit="1" customWidth="1"/>
    <col min="12559" max="12559" width="19.42578125" style="116" bestFit="1" customWidth="1"/>
    <col min="12560" max="12560" width="36.42578125" style="116" bestFit="1" customWidth="1"/>
    <col min="12561" max="12561" width="35.42578125" style="116" bestFit="1" customWidth="1"/>
    <col min="12562" max="12562" width="18.85546875" style="116" bestFit="1" customWidth="1"/>
    <col min="12563" max="12563" width="36.42578125" style="116" bestFit="1" customWidth="1"/>
    <col min="12564" max="12800" width="8.85546875" style="116"/>
    <col min="12801" max="12801" width="13.42578125" style="116" bestFit="1" customWidth="1"/>
    <col min="12802" max="12802" width="21.85546875" style="116" bestFit="1" customWidth="1"/>
    <col min="12803" max="12803" width="5.42578125" style="116" customWidth="1"/>
    <col min="12804" max="12804" width="13.7109375" style="116" bestFit="1" customWidth="1"/>
    <col min="12805" max="12805" width="27.140625" style="116" bestFit="1" customWidth="1"/>
    <col min="12806" max="12806" width="36.42578125" style="116" bestFit="1" customWidth="1"/>
    <col min="12807" max="12807" width="20.140625" style="116" bestFit="1" customWidth="1"/>
    <col min="12808" max="12808" width="12.42578125" style="116" bestFit="1" customWidth="1"/>
    <col min="12809" max="12809" width="36.42578125" style="116" bestFit="1" customWidth="1"/>
    <col min="12810" max="12810" width="22.140625" style="116" bestFit="1" customWidth="1"/>
    <col min="12811" max="12811" width="32.140625" style="116" bestFit="1" customWidth="1"/>
    <col min="12812" max="12812" width="26.42578125" style="116" bestFit="1" customWidth="1"/>
    <col min="12813" max="12813" width="7.7109375" style="116" customWidth="1"/>
    <col min="12814" max="12814" width="17.7109375" style="116" bestFit="1" customWidth="1"/>
    <col min="12815" max="12815" width="19.42578125" style="116" bestFit="1" customWidth="1"/>
    <col min="12816" max="12816" width="36.42578125" style="116" bestFit="1" customWidth="1"/>
    <col min="12817" max="12817" width="35.42578125" style="116" bestFit="1" customWidth="1"/>
    <col min="12818" max="12818" width="18.85546875" style="116" bestFit="1" customWidth="1"/>
    <col min="12819" max="12819" width="36.42578125" style="116" bestFit="1" customWidth="1"/>
    <col min="12820" max="13056" width="8.85546875" style="116"/>
    <col min="13057" max="13057" width="13.42578125" style="116" bestFit="1" customWidth="1"/>
    <col min="13058" max="13058" width="21.85546875" style="116" bestFit="1" customWidth="1"/>
    <col min="13059" max="13059" width="5.42578125" style="116" customWidth="1"/>
    <col min="13060" max="13060" width="13.7109375" style="116" bestFit="1" customWidth="1"/>
    <col min="13061" max="13061" width="27.140625" style="116" bestFit="1" customWidth="1"/>
    <col min="13062" max="13062" width="36.42578125" style="116" bestFit="1" customWidth="1"/>
    <col min="13063" max="13063" width="20.140625" style="116" bestFit="1" customWidth="1"/>
    <col min="13064" max="13064" width="12.42578125" style="116" bestFit="1" customWidth="1"/>
    <col min="13065" max="13065" width="36.42578125" style="116" bestFit="1" customWidth="1"/>
    <col min="13066" max="13066" width="22.140625" style="116" bestFit="1" customWidth="1"/>
    <col min="13067" max="13067" width="32.140625" style="116" bestFit="1" customWidth="1"/>
    <col min="13068" max="13068" width="26.42578125" style="116" bestFit="1" customWidth="1"/>
    <col min="13069" max="13069" width="7.7109375" style="116" customWidth="1"/>
    <col min="13070" max="13070" width="17.7109375" style="116" bestFit="1" customWidth="1"/>
    <col min="13071" max="13071" width="19.42578125" style="116" bestFit="1" customWidth="1"/>
    <col min="13072" max="13072" width="36.42578125" style="116" bestFit="1" customWidth="1"/>
    <col min="13073" max="13073" width="35.42578125" style="116" bestFit="1" customWidth="1"/>
    <col min="13074" max="13074" width="18.85546875" style="116" bestFit="1" customWidth="1"/>
    <col min="13075" max="13075" width="36.42578125" style="116" bestFit="1" customWidth="1"/>
    <col min="13076" max="13312" width="8.85546875" style="116"/>
    <col min="13313" max="13313" width="13.42578125" style="116" bestFit="1" customWidth="1"/>
    <col min="13314" max="13314" width="21.85546875" style="116" bestFit="1" customWidth="1"/>
    <col min="13315" max="13315" width="5.42578125" style="116" customWidth="1"/>
    <col min="13316" max="13316" width="13.7109375" style="116" bestFit="1" customWidth="1"/>
    <col min="13317" max="13317" width="27.140625" style="116" bestFit="1" customWidth="1"/>
    <col min="13318" max="13318" width="36.42578125" style="116" bestFit="1" customWidth="1"/>
    <col min="13319" max="13319" width="20.140625" style="116" bestFit="1" customWidth="1"/>
    <col min="13320" max="13320" width="12.42578125" style="116" bestFit="1" customWidth="1"/>
    <col min="13321" max="13321" width="36.42578125" style="116" bestFit="1" customWidth="1"/>
    <col min="13322" max="13322" width="22.140625" style="116" bestFit="1" customWidth="1"/>
    <col min="13323" max="13323" width="32.140625" style="116" bestFit="1" customWidth="1"/>
    <col min="13324" max="13324" width="26.42578125" style="116" bestFit="1" customWidth="1"/>
    <col min="13325" max="13325" width="7.7109375" style="116" customWidth="1"/>
    <col min="13326" max="13326" width="17.7109375" style="116" bestFit="1" customWidth="1"/>
    <col min="13327" max="13327" width="19.42578125" style="116" bestFit="1" customWidth="1"/>
    <col min="13328" max="13328" width="36.42578125" style="116" bestFit="1" customWidth="1"/>
    <col min="13329" max="13329" width="35.42578125" style="116" bestFit="1" customWidth="1"/>
    <col min="13330" max="13330" width="18.85546875" style="116" bestFit="1" customWidth="1"/>
    <col min="13331" max="13331" width="36.42578125" style="116" bestFit="1" customWidth="1"/>
    <col min="13332" max="13568" width="8.85546875" style="116"/>
    <col min="13569" max="13569" width="13.42578125" style="116" bestFit="1" customWidth="1"/>
    <col min="13570" max="13570" width="21.85546875" style="116" bestFit="1" customWidth="1"/>
    <col min="13571" max="13571" width="5.42578125" style="116" customWidth="1"/>
    <col min="13572" max="13572" width="13.7109375" style="116" bestFit="1" customWidth="1"/>
    <col min="13573" max="13573" width="27.140625" style="116" bestFit="1" customWidth="1"/>
    <col min="13574" max="13574" width="36.42578125" style="116" bestFit="1" customWidth="1"/>
    <col min="13575" max="13575" width="20.140625" style="116" bestFit="1" customWidth="1"/>
    <col min="13576" max="13576" width="12.42578125" style="116" bestFit="1" customWidth="1"/>
    <col min="13577" max="13577" width="36.42578125" style="116" bestFit="1" customWidth="1"/>
    <col min="13578" max="13578" width="22.140625" style="116" bestFit="1" customWidth="1"/>
    <col min="13579" max="13579" width="32.140625" style="116" bestFit="1" customWidth="1"/>
    <col min="13580" max="13580" width="26.42578125" style="116" bestFit="1" customWidth="1"/>
    <col min="13581" max="13581" width="7.7109375" style="116" customWidth="1"/>
    <col min="13582" max="13582" width="17.7109375" style="116" bestFit="1" customWidth="1"/>
    <col min="13583" max="13583" width="19.42578125" style="116" bestFit="1" customWidth="1"/>
    <col min="13584" max="13584" width="36.42578125" style="116" bestFit="1" customWidth="1"/>
    <col min="13585" max="13585" width="35.42578125" style="116" bestFit="1" customWidth="1"/>
    <col min="13586" max="13586" width="18.85546875" style="116" bestFit="1" customWidth="1"/>
    <col min="13587" max="13587" width="36.42578125" style="116" bestFit="1" customWidth="1"/>
    <col min="13588" max="13824" width="8.85546875" style="116"/>
    <col min="13825" max="13825" width="13.42578125" style="116" bestFit="1" customWidth="1"/>
    <col min="13826" max="13826" width="21.85546875" style="116" bestFit="1" customWidth="1"/>
    <col min="13827" max="13827" width="5.42578125" style="116" customWidth="1"/>
    <col min="13828" max="13828" width="13.7109375" style="116" bestFit="1" customWidth="1"/>
    <col min="13829" max="13829" width="27.140625" style="116" bestFit="1" customWidth="1"/>
    <col min="13830" max="13830" width="36.42578125" style="116" bestFit="1" customWidth="1"/>
    <col min="13831" max="13831" width="20.140625" style="116" bestFit="1" customWidth="1"/>
    <col min="13832" max="13832" width="12.42578125" style="116" bestFit="1" customWidth="1"/>
    <col min="13833" max="13833" width="36.42578125" style="116" bestFit="1" customWidth="1"/>
    <col min="13834" max="13834" width="22.140625" style="116" bestFit="1" customWidth="1"/>
    <col min="13835" max="13835" width="32.140625" style="116" bestFit="1" customWidth="1"/>
    <col min="13836" max="13836" width="26.42578125" style="116" bestFit="1" customWidth="1"/>
    <col min="13837" max="13837" width="7.7109375" style="116" customWidth="1"/>
    <col min="13838" max="13838" width="17.7109375" style="116" bestFit="1" customWidth="1"/>
    <col min="13839" max="13839" width="19.42578125" style="116" bestFit="1" customWidth="1"/>
    <col min="13840" max="13840" width="36.42578125" style="116" bestFit="1" customWidth="1"/>
    <col min="13841" max="13841" width="35.42578125" style="116" bestFit="1" customWidth="1"/>
    <col min="13842" max="13842" width="18.85546875" style="116" bestFit="1" customWidth="1"/>
    <col min="13843" max="13843" width="36.42578125" style="116" bestFit="1" customWidth="1"/>
    <col min="13844" max="14080" width="8.85546875" style="116"/>
    <col min="14081" max="14081" width="13.42578125" style="116" bestFit="1" customWidth="1"/>
    <col min="14082" max="14082" width="21.85546875" style="116" bestFit="1" customWidth="1"/>
    <col min="14083" max="14083" width="5.42578125" style="116" customWidth="1"/>
    <col min="14084" max="14084" width="13.7109375" style="116" bestFit="1" customWidth="1"/>
    <col min="14085" max="14085" width="27.140625" style="116" bestFit="1" customWidth="1"/>
    <col min="14086" max="14086" width="36.42578125" style="116" bestFit="1" customWidth="1"/>
    <col min="14087" max="14087" width="20.140625" style="116" bestFit="1" customWidth="1"/>
    <col min="14088" max="14088" width="12.42578125" style="116" bestFit="1" customWidth="1"/>
    <col min="14089" max="14089" width="36.42578125" style="116" bestFit="1" customWidth="1"/>
    <col min="14090" max="14090" width="22.140625" style="116" bestFit="1" customWidth="1"/>
    <col min="14091" max="14091" width="32.140625" style="116" bestFit="1" customWidth="1"/>
    <col min="14092" max="14092" width="26.42578125" style="116" bestFit="1" customWidth="1"/>
    <col min="14093" max="14093" width="7.7109375" style="116" customWidth="1"/>
    <col min="14094" max="14094" width="17.7109375" style="116" bestFit="1" customWidth="1"/>
    <col min="14095" max="14095" width="19.42578125" style="116" bestFit="1" customWidth="1"/>
    <col min="14096" max="14096" width="36.42578125" style="116" bestFit="1" customWidth="1"/>
    <col min="14097" max="14097" width="35.42578125" style="116" bestFit="1" customWidth="1"/>
    <col min="14098" max="14098" width="18.85546875" style="116" bestFit="1" customWidth="1"/>
    <col min="14099" max="14099" width="36.42578125" style="116" bestFit="1" customWidth="1"/>
    <col min="14100" max="14336" width="8.85546875" style="116"/>
    <col min="14337" max="14337" width="13.42578125" style="116" bestFit="1" customWidth="1"/>
    <col min="14338" max="14338" width="21.85546875" style="116" bestFit="1" customWidth="1"/>
    <col min="14339" max="14339" width="5.42578125" style="116" customWidth="1"/>
    <col min="14340" max="14340" width="13.7109375" style="116" bestFit="1" customWidth="1"/>
    <col min="14341" max="14341" width="27.140625" style="116" bestFit="1" customWidth="1"/>
    <col min="14342" max="14342" width="36.42578125" style="116" bestFit="1" customWidth="1"/>
    <col min="14343" max="14343" width="20.140625" style="116" bestFit="1" customWidth="1"/>
    <col min="14344" max="14344" width="12.42578125" style="116" bestFit="1" customWidth="1"/>
    <col min="14345" max="14345" width="36.42578125" style="116" bestFit="1" customWidth="1"/>
    <col min="14346" max="14346" width="22.140625" style="116" bestFit="1" customWidth="1"/>
    <col min="14347" max="14347" width="32.140625" style="116" bestFit="1" customWidth="1"/>
    <col min="14348" max="14348" width="26.42578125" style="116" bestFit="1" customWidth="1"/>
    <col min="14349" max="14349" width="7.7109375" style="116" customWidth="1"/>
    <col min="14350" max="14350" width="17.7109375" style="116" bestFit="1" customWidth="1"/>
    <col min="14351" max="14351" width="19.42578125" style="116" bestFit="1" customWidth="1"/>
    <col min="14352" max="14352" width="36.42578125" style="116" bestFit="1" customWidth="1"/>
    <col min="14353" max="14353" width="35.42578125" style="116" bestFit="1" customWidth="1"/>
    <col min="14354" max="14354" width="18.85546875" style="116" bestFit="1" customWidth="1"/>
    <col min="14355" max="14355" width="36.42578125" style="116" bestFit="1" customWidth="1"/>
    <col min="14356" max="14592" width="8.85546875" style="116"/>
    <col min="14593" max="14593" width="13.42578125" style="116" bestFit="1" customWidth="1"/>
    <col min="14594" max="14594" width="21.85546875" style="116" bestFit="1" customWidth="1"/>
    <col min="14595" max="14595" width="5.42578125" style="116" customWidth="1"/>
    <col min="14596" max="14596" width="13.7109375" style="116" bestFit="1" customWidth="1"/>
    <col min="14597" max="14597" width="27.140625" style="116" bestFit="1" customWidth="1"/>
    <col min="14598" max="14598" width="36.42578125" style="116" bestFit="1" customWidth="1"/>
    <col min="14599" max="14599" width="20.140625" style="116" bestFit="1" customWidth="1"/>
    <col min="14600" max="14600" width="12.42578125" style="116" bestFit="1" customWidth="1"/>
    <col min="14601" max="14601" width="36.42578125" style="116" bestFit="1" customWidth="1"/>
    <col min="14602" max="14602" width="22.140625" style="116" bestFit="1" customWidth="1"/>
    <col min="14603" max="14603" width="32.140625" style="116" bestFit="1" customWidth="1"/>
    <col min="14604" max="14604" width="26.42578125" style="116" bestFit="1" customWidth="1"/>
    <col min="14605" max="14605" width="7.7109375" style="116" customWidth="1"/>
    <col min="14606" max="14606" width="17.7109375" style="116" bestFit="1" customWidth="1"/>
    <col min="14607" max="14607" width="19.42578125" style="116" bestFit="1" customWidth="1"/>
    <col min="14608" max="14608" width="36.42578125" style="116" bestFit="1" customWidth="1"/>
    <col min="14609" max="14609" width="35.42578125" style="116" bestFit="1" customWidth="1"/>
    <col min="14610" max="14610" width="18.85546875" style="116" bestFit="1" customWidth="1"/>
    <col min="14611" max="14611" width="36.42578125" style="116" bestFit="1" customWidth="1"/>
    <col min="14612" max="14848" width="8.85546875" style="116"/>
    <col min="14849" max="14849" width="13.42578125" style="116" bestFit="1" customWidth="1"/>
    <col min="14850" max="14850" width="21.85546875" style="116" bestFit="1" customWidth="1"/>
    <col min="14851" max="14851" width="5.42578125" style="116" customWidth="1"/>
    <col min="14852" max="14852" width="13.7109375" style="116" bestFit="1" customWidth="1"/>
    <col min="14853" max="14853" width="27.140625" style="116" bestFit="1" customWidth="1"/>
    <col min="14854" max="14854" width="36.42578125" style="116" bestFit="1" customWidth="1"/>
    <col min="14855" max="14855" width="20.140625" style="116" bestFit="1" customWidth="1"/>
    <col min="14856" max="14856" width="12.42578125" style="116" bestFit="1" customWidth="1"/>
    <col min="14857" max="14857" width="36.42578125" style="116" bestFit="1" customWidth="1"/>
    <col min="14858" max="14858" width="22.140625" style="116" bestFit="1" customWidth="1"/>
    <col min="14859" max="14859" width="32.140625" style="116" bestFit="1" customWidth="1"/>
    <col min="14860" max="14860" width="26.42578125" style="116" bestFit="1" customWidth="1"/>
    <col min="14861" max="14861" width="7.7109375" style="116" customWidth="1"/>
    <col min="14862" max="14862" width="17.7109375" style="116" bestFit="1" customWidth="1"/>
    <col min="14863" max="14863" width="19.42578125" style="116" bestFit="1" customWidth="1"/>
    <col min="14864" max="14864" width="36.42578125" style="116" bestFit="1" customWidth="1"/>
    <col min="14865" max="14865" width="35.42578125" style="116" bestFit="1" customWidth="1"/>
    <col min="14866" max="14866" width="18.85546875" style="116" bestFit="1" customWidth="1"/>
    <col min="14867" max="14867" width="36.42578125" style="116" bestFit="1" customWidth="1"/>
    <col min="14868" max="15104" width="8.85546875" style="116"/>
    <col min="15105" max="15105" width="13.42578125" style="116" bestFit="1" customWidth="1"/>
    <col min="15106" max="15106" width="21.85546875" style="116" bestFit="1" customWidth="1"/>
    <col min="15107" max="15107" width="5.42578125" style="116" customWidth="1"/>
    <col min="15108" max="15108" width="13.7109375" style="116" bestFit="1" customWidth="1"/>
    <col min="15109" max="15109" width="27.140625" style="116" bestFit="1" customWidth="1"/>
    <col min="15110" max="15110" width="36.42578125" style="116" bestFit="1" customWidth="1"/>
    <col min="15111" max="15111" width="20.140625" style="116" bestFit="1" customWidth="1"/>
    <col min="15112" max="15112" width="12.42578125" style="116" bestFit="1" customWidth="1"/>
    <col min="15113" max="15113" width="36.42578125" style="116" bestFit="1" customWidth="1"/>
    <col min="15114" max="15114" width="22.140625" style="116" bestFit="1" customWidth="1"/>
    <col min="15115" max="15115" width="32.140625" style="116" bestFit="1" customWidth="1"/>
    <col min="15116" max="15116" width="26.42578125" style="116" bestFit="1" customWidth="1"/>
    <col min="15117" max="15117" width="7.7109375" style="116" customWidth="1"/>
    <col min="15118" max="15118" width="17.7109375" style="116" bestFit="1" customWidth="1"/>
    <col min="15119" max="15119" width="19.42578125" style="116" bestFit="1" customWidth="1"/>
    <col min="15120" max="15120" width="36.42578125" style="116" bestFit="1" customWidth="1"/>
    <col min="15121" max="15121" width="35.42578125" style="116" bestFit="1" customWidth="1"/>
    <col min="15122" max="15122" width="18.85546875" style="116" bestFit="1" customWidth="1"/>
    <col min="15123" max="15123" width="36.42578125" style="116" bestFit="1" customWidth="1"/>
    <col min="15124" max="15360" width="8.85546875" style="116"/>
    <col min="15361" max="15361" width="13.42578125" style="116" bestFit="1" customWidth="1"/>
    <col min="15362" max="15362" width="21.85546875" style="116" bestFit="1" customWidth="1"/>
    <col min="15363" max="15363" width="5.42578125" style="116" customWidth="1"/>
    <col min="15364" max="15364" width="13.7109375" style="116" bestFit="1" customWidth="1"/>
    <col min="15365" max="15365" width="27.140625" style="116" bestFit="1" customWidth="1"/>
    <col min="15366" max="15366" width="36.42578125" style="116" bestFit="1" customWidth="1"/>
    <col min="15367" max="15367" width="20.140625" style="116" bestFit="1" customWidth="1"/>
    <col min="15368" max="15368" width="12.42578125" style="116" bestFit="1" customWidth="1"/>
    <col min="15369" max="15369" width="36.42578125" style="116" bestFit="1" customWidth="1"/>
    <col min="15370" max="15370" width="22.140625" style="116" bestFit="1" customWidth="1"/>
    <col min="15371" max="15371" width="32.140625" style="116" bestFit="1" customWidth="1"/>
    <col min="15372" max="15372" width="26.42578125" style="116" bestFit="1" customWidth="1"/>
    <col min="15373" max="15373" width="7.7109375" style="116" customWidth="1"/>
    <col min="15374" max="15374" width="17.7109375" style="116" bestFit="1" customWidth="1"/>
    <col min="15375" max="15375" width="19.42578125" style="116" bestFit="1" customWidth="1"/>
    <col min="15376" max="15376" width="36.42578125" style="116" bestFit="1" customWidth="1"/>
    <col min="15377" max="15377" width="35.42578125" style="116" bestFit="1" customWidth="1"/>
    <col min="15378" max="15378" width="18.85546875" style="116" bestFit="1" customWidth="1"/>
    <col min="15379" max="15379" width="36.42578125" style="116" bestFit="1" customWidth="1"/>
    <col min="15380" max="15616" width="8.85546875" style="116"/>
    <col min="15617" max="15617" width="13.42578125" style="116" bestFit="1" customWidth="1"/>
    <col min="15618" max="15618" width="21.85546875" style="116" bestFit="1" customWidth="1"/>
    <col min="15619" max="15619" width="5.42578125" style="116" customWidth="1"/>
    <col min="15620" max="15620" width="13.7109375" style="116" bestFit="1" customWidth="1"/>
    <col min="15621" max="15621" width="27.140625" style="116" bestFit="1" customWidth="1"/>
    <col min="15622" max="15622" width="36.42578125" style="116" bestFit="1" customWidth="1"/>
    <col min="15623" max="15623" width="20.140625" style="116" bestFit="1" customWidth="1"/>
    <col min="15624" max="15624" width="12.42578125" style="116" bestFit="1" customWidth="1"/>
    <col min="15625" max="15625" width="36.42578125" style="116" bestFit="1" customWidth="1"/>
    <col min="15626" max="15626" width="22.140625" style="116" bestFit="1" customWidth="1"/>
    <col min="15627" max="15627" width="32.140625" style="116" bestFit="1" customWidth="1"/>
    <col min="15628" max="15628" width="26.42578125" style="116" bestFit="1" customWidth="1"/>
    <col min="15629" max="15629" width="7.7109375" style="116" customWidth="1"/>
    <col min="15630" max="15630" width="17.7109375" style="116" bestFit="1" customWidth="1"/>
    <col min="15631" max="15631" width="19.42578125" style="116" bestFit="1" customWidth="1"/>
    <col min="15632" max="15632" width="36.42578125" style="116" bestFit="1" customWidth="1"/>
    <col min="15633" max="15633" width="35.42578125" style="116" bestFit="1" customWidth="1"/>
    <col min="15634" max="15634" width="18.85546875" style="116" bestFit="1" customWidth="1"/>
    <col min="15635" max="15635" width="36.42578125" style="116" bestFit="1" customWidth="1"/>
    <col min="15636" max="15872" width="8.85546875" style="116"/>
    <col min="15873" max="15873" width="13.42578125" style="116" bestFit="1" customWidth="1"/>
    <col min="15874" max="15874" width="21.85546875" style="116" bestFit="1" customWidth="1"/>
    <col min="15875" max="15875" width="5.42578125" style="116" customWidth="1"/>
    <col min="15876" max="15876" width="13.7109375" style="116" bestFit="1" customWidth="1"/>
    <col min="15877" max="15877" width="27.140625" style="116" bestFit="1" customWidth="1"/>
    <col min="15878" max="15878" width="36.42578125" style="116" bestFit="1" customWidth="1"/>
    <col min="15879" max="15879" width="20.140625" style="116" bestFit="1" customWidth="1"/>
    <col min="15880" max="15880" width="12.42578125" style="116" bestFit="1" customWidth="1"/>
    <col min="15881" max="15881" width="36.42578125" style="116" bestFit="1" customWidth="1"/>
    <col min="15882" max="15882" width="22.140625" style="116" bestFit="1" customWidth="1"/>
    <col min="15883" max="15883" width="32.140625" style="116" bestFit="1" customWidth="1"/>
    <col min="15884" max="15884" width="26.42578125" style="116" bestFit="1" customWidth="1"/>
    <col min="15885" max="15885" width="7.7109375" style="116" customWidth="1"/>
    <col min="15886" max="15886" width="17.7109375" style="116" bestFit="1" customWidth="1"/>
    <col min="15887" max="15887" width="19.42578125" style="116" bestFit="1" customWidth="1"/>
    <col min="15888" max="15888" width="36.42578125" style="116" bestFit="1" customWidth="1"/>
    <col min="15889" max="15889" width="35.42578125" style="116" bestFit="1" customWidth="1"/>
    <col min="15890" max="15890" width="18.85546875" style="116" bestFit="1" customWidth="1"/>
    <col min="15891" max="15891" width="36.42578125" style="116" bestFit="1" customWidth="1"/>
    <col min="15892" max="16128" width="8.85546875" style="116"/>
    <col min="16129" max="16129" width="13.42578125" style="116" bestFit="1" customWidth="1"/>
    <col min="16130" max="16130" width="21.85546875" style="116" bestFit="1" customWidth="1"/>
    <col min="16131" max="16131" width="5.42578125" style="116" customWidth="1"/>
    <col min="16132" max="16132" width="13.7109375" style="116" bestFit="1" customWidth="1"/>
    <col min="16133" max="16133" width="27.140625" style="116" bestFit="1" customWidth="1"/>
    <col min="16134" max="16134" width="36.42578125" style="116" bestFit="1" customWidth="1"/>
    <col min="16135" max="16135" width="20.140625" style="116" bestFit="1" customWidth="1"/>
    <col min="16136" max="16136" width="12.42578125" style="116" bestFit="1" customWidth="1"/>
    <col min="16137" max="16137" width="36.42578125" style="116" bestFit="1" customWidth="1"/>
    <col min="16138" max="16138" width="22.140625" style="116" bestFit="1" customWidth="1"/>
    <col min="16139" max="16139" width="32.140625" style="116" bestFit="1" customWidth="1"/>
    <col min="16140" max="16140" width="26.42578125" style="116" bestFit="1" customWidth="1"/>
    <col min="16141" max="16141" width="7.7109375" style="116" customWidth="1"/>
    <col min="16142" max="16142" width="17.7109375" style="116" bestFit="1" customWidth="1"/>
    <col min="16143" max="16143" width="19.42578125" style="116" bestFit="1" customWidth="1"/>
    <col min="16144" max="16144" width="36.42578125" style="116" bestFit="1" customWidth="1"/>
    <col min="16145" max="16145" width="35.42578125" style="116" bestFit="1" customWidth="1"/>
    <col min="16146" max="16146" width="18.85546875" style="116" bestFit="1" customWidth="1"/>
    <col min="16147" max="16147" width="36.42578125" style="116" bestFit="1" customWidth="1"/>
    <col min="16148" max="16384" width="8.85546875" style="116"/>
  </cols>
  <sheetData>
    <row r="1" spans="1:19" ht="17.25" customHeight="1" x14ac:dyDescent="0.25">
      <c r="A1" s="692" t="s">
        <v>32</v>
      </c>
      <c r="B1" s="692"/>
      <c r="C1" s="692"/>
      <c r="D1" s="692"/>
      <c r="E1" s="692"/>
      <c r="F1" s="692"/>
      <c r="G1" s="693" t="s">
        <v>33</v>
      </c>
      <c r="H1" s="693"/>
      <c r="I1" s="693"/>
      <c r="J1" s="693"/>
    </row>
    <row r="2" spans="1:19" ht="15.75" x14ac:dyDescent="0.25">
      <c r="A2" s="694" t="s">
        <v>34</v>
      </c>
      <c r="B2" s="694"/>
      <c r="C2" s="694"/>
      <c r="D2" s="694"/>
      <c r="E2" s="694"/>
      <c r="F2" s="694"/>
      <c r="G2" s="117" t="s">
        <v>35</v>
      </c>
      <c r="H2" s="695" t="s">
        <v>36</v>
      </c>
      <c r="I2" s="695"/>
      <c r="J2" s="695"/>
    </row>
    <row r="3" spans="1:19" ht="15.75" x14ac:dyDescent="0.25">
      <c r="A3" s="694" t="s">
        <v>3991</v>
      </c>
      <c r="B3" s="694"/>
      <c r="C3" s="694"/>
      <c r="D3" s="694"/>
      <c r="E3" s="694"/>
      <c r="F3" s="694"/>
      <c r="G3" s="118" t="s">
        <v>35</v>
      </c>
      <c r="H3" s="696" t="s">
        <v>37</v>
      </c>
      <c r="I3" s="696"/>
      <c r="J3" s="696"/>
    </row>
    <row r="4" spans="1:19" x14ac:dyDescent="0.25">
      <c r="A4" s="697"/>
      <c r="B4" s="697"/>
      <c r="C4" s="697"/>
      <c r="D4" s="697"/>
      <c r="E4" s="697"/>
      <c r="F4" s="697"/>
      <c r="G4" s="119" t="s">
        <v>35</v>
      </c>
      <c r="H4" s="698" t="s">
        <v>38</v>
      </c>
      <c r="I4" s="698"/>
      <c r="J4" s="698"/>
    </row>
    <row r="5" spans="1:19" ht="15.75" x14ac:dyDescent="0.25">
      <c r="A5" s="699"/>
      <c r="B5" s="699"/>
      <c r="C5" s="699"/>
      <c r="D5" s="699"/>
      <c r="E5" s="699"/>
      <c r="F5" s="699"/>
    </row>
    <row r="6" spans="1:19" x14ac:dyDescent="0.25">
      <c r="A6" s="700" t="s">
        <v>3149</v>
      </c>
      <c r="B6" s="700" t="s">
        <v>3150</v>
      </c>
      <c r="C6" s="700" t="s">
        <v>3151</v>
      </c>
      <c r="D6" s="700" t="s">
        <v>3152</v>
      </c>
      <c r="E6" s="700" t="s">
        <v>3153</v>
      </c>
      <c r="F6" s="700" t="s">
        <v>3154</v>
      </c>
      <c r="G6" s="121"/>
      <c r="H6" s="700" t="s">
        <v>3155</v>
      </c>
      <c r="I6" s="700" t="s">
        <v>3156</v>
      </c>
      <c r="J6" s="700" t="s">
        <v>3157</v>
      </c>
      <c r="K6" s="700" t="s">
        <v>3158</v>
      </c>
      <c r="L6" s="700" t="s">
        <v>3159</v>
      </c>
      <c r="M6" s="700" t="s">
        <v>3160</v>
      </c>
      <c r="N6" s="700" t="s">
        <v>3161</v>
      </c>
      <c r="O6" s="121"/>
      <c r="P6" s="700" t="s">
        <v>3162</v>
      </c>
      <c r="Q6" s="700" t="s">
        <v>3163</v>
      </c>
      <c r="R6" s="121"/>
      <c r="S6" s="120" t="s">
        <v>3164</v>
      </c>
    </row>
    <row r="7" spans="1:19" ht="43.5" x14ac:dyDescent="0.25">
      <c r="A7" s="701"/>
      <c r="B7" s="701"/>
      <c r="C7" s="701"/>
      <c r="D7" s="701"/>
      <c r="E7" s="701"/>
      <c r="F7" s="701"/>
      <c r="G7" s="122" t="s">
        <v>3143</v>
      </c>
      <c r="H7" s="701"/>
      <c r="I7" s="701"/>
      <c r="J7" s="701"/>
      <c r="K7" s="701"/>
      <c r="L7" s="701"/>
      <c r="M7" s="701"/>
      <c r="N7" s="701"/>
      <c r="O7" s="122" t="s">
        <v>3144</v>
      </c>
      <c r="P7" s="701"/>
      <c r="Q7" s="701"/>
      <c r="R7" s="122" t="s">
        <v>3145</v>
      </c>
      <c r="S7" s="122" t="s">
        <v>3146</v>
      </c>
    </row>
    <row r="8" spans="1:19" ht="15" customHeight="1" x14ac:dyDescent="0.25">
      <c r="A8" s="702"/>
      <c r="B8" s="702"/>
      <c r="C8" s="702"/>
      <c r="D8" s="702"/>
      <c r="E8" s="702"/>
      <c r="F8" s="702"/>
      <c r="G8" s="123" t="s">
        <v>3147</v>
      </c>
      <c r="H8" s="702"/>
      <c r="I8" s="702"/>
      <c r="J8" s="702"/>
      <c r="K8" s="702"/>
      <c r="L8" s="702"/>
      <c r="M8" s="702"/>
      <c r="N8" s="702"/>
      <c r="O8" s="123" t="s">
        <v>3148</v>
      </c>
      <c r="P8" s="702"/>
      <c r="Q8" s="702"/>
      <c r="R8" s="123" t="s">
        <v>3147</v>
      </c>
      <c r="S8" s="123"/>
    </row>
    <row r="9" spans="1:19" ht="57.75" x14ac:dyDescent="0.25">
      <c r="A9" s="128">
        <v>103500</v>
      </c>
      <c r="B9" s="128" t="s">
        <v>39</v>
      </c>
      <c r="C9" s="128" t="s">
        <v>40</v>
      </c>
      <c r="D9" s="128" t="s">
        <v>40</v>
      </c>
      <c r="E9" s="128" t="s">
        <v>3102</v>
      </c>
      <c r="F9" s="128" t="s">
        <v>3103</v>
      </c>
      <c r="G9" s="128">
        <v>220</v>
      </c>
      <c r="H9" s="128" t="s">
        <v>162</v>
      </c>
      <c r="I9" s="128" t="s">
        <v>3104</v>
      </c>
      <c r="J9" s="128" t="s">
        <v>1055</v>
      </c>
      <c r="K9" s="128" t="s">
        <v>2179</v>
      </c>
      <c r="L9" s="128" t="s">
        <v>1056</v>
      </c>
      <c r="M9" s="128" t="s">
        <v>57</v>
      </c>
      <c r="N9" s="128" t="s">
        <v>47</v>
      </c>
      <c r="O9" s="129">
        <v>40930</v>
      </c>
      <c r="P9" s="128" t="s">
        <v>3105</v>
      </c>
      <c r="Q9" s="128"/>
      <c r="R9" s="128">
        <v>290</v>
      </c>
      <c r="S9" s="128" t="s">
        <v>48</v>
      </c>
    </row>
    <row r="10" spans="1:19" x14ac:dyDescent="0.25">
      <c r="A10" s="128">
        <v>400</v>
      </c>
      <c r="B10" s="128" t="s">
        <v>39</v>
      </c>
      <c r="C10" s="128" t="s">
        <v>40</v>
      </c>
      <c r="D10" s="128" t="s">
        <v>40</v>
      </c>
      <c r="E10" s="128" t="s">
        <v>1298</v>
      </c>
      <c r="F10" s="128" t="s">
        <v>1299</v>
      </c>
      <c r="G10" s="128">
        <v>23.8</v>
      </c>
      <c r="H10" s="128" t="s">
        <v>43</v>
      </c>
      <c r="I10" s="128" t="s">
        <v>879</v>
      </c>
      <c r="J10" s="128" t="s">
        <v>314</v>
      </c>
      <c r="K10" s="128" t="s">
        <v>599</v>
      </c>
      <c r="L10" s="128" t="s">
        <v>259</v>
      </c>
      <c r="M10" s="128" t="s">
        <v>46</v>
      </c>
      <c r="N10" s="128" t="s">
        <v>47</v>
      </c>
      <c r="O10" s="129">
        <v>31413</v>
      </c>
      <c r="P10" s="128"/>
      <c r="Q10" s="128"/>
      <c r="R10" s="128">
        <v>25.4</v>
      </c>
      <c r="S10" s="128" t="s">
        <v>48</v>
      </c>
    </row>
    <row r="11" spans="1:19" x14ac:dyDescent="0.25">
      <c r="A11" s="128">
        <v>500</v>
      </c>
      <c r="B11" s="128" t="s">
        <v>39</v>
      </c>
      <c r="C11" s="128" t="s">
        <v>40</v>
      </c>
      <c r="D11" s="128" t="s">
        <v>40</v>
      </c>
      <c r="E11" s="128" t="s">
        <v>1300</v>
      </c>
      <c r="F11" s="128" t="s">
        <v>1301</v>
      </c>
      <c r="G11" s="128">
        <v>25.4</v>
      </c>
      <c r="H11" s="128" t="s">
        <v>43</v>
      </c>
      <c r="I11" s="128" t="s">
        <v>879</v>
      </c>
      <c r="J11" s="128" t="s">
        <v>314</v>
      </c>
      <c r="K11" s="128" t="s">
        <v>599</v>
      </c>
      <c r="L11" s="128" t="s">
        <v>259</v>
      </c>
      <c r="M11" s="128" t="s">
        <v>46</v>
      </c>
      <c r="N11" s="128" t="s">
        <v>47</v>
      </c>
      <c r="O11" s="129">
        <v>31413</v>
      </c>
      <c r="P11" s="128"/>
      <c r="Q11" s="128"/>
      <c r="R11" s="128">
        <v>25.4</v>
      </c>
      <c r="S11" s="128" t="s">
        <v>48</v>
      </c>
    </row>
    <row r="12" spans="1:19" x14ac:dyDescent="0.25">
      <c r="A12" s="128">
        <v>600</v>
      </c>
      <c r="B12" s="128" t="s">
        <v>39</v>
      </c>
      <c r="C12" s="128" t="s">
        <v>40</v>
      </c>
      <c r="D12" s="128" t="s">
        <v>40</v>
      </c>
      <c r="E12" s="128" t="s">
        <v>398</v>
      </c>
      <c r="F12" s="128" t="s">
        <v>399</v>
      </c>
      <c r="G12" s="128">
        <v>174.56</v>
      </c>
      <c r="H12" s="128" t="s">
        <v>7</v>
      </c>
      <c r="I12" s="128" t="s">
        <v>388</v>
      </c>
      <c r="J12" s="128" t="s">
        <v>384</v>
      </c>
      <c r="K12" s="128" t="s">
        <v>385</v>
      </c>
      <c r="L12" s="128" t="s">
        <v>259</v>
      </c>
      <c r="M12" s="128" t="s">
        <v>57</v>
      </c>
      <c r="N12" s="128" t="s">
        <v>58</v>
      </c>
      <c r="O12" s="129">
        <v>20455</v>
      </c>
      <c r="P12" s="128"/>
      <c r="Q12" s="128"/>
      <c r="R12" s="128">
        <v>175</v>
      </c>
      <c r="S12" s="128" t="s">
        <v>48</v>
      </c>
    </row>
    <row r="13" spans="1:19" x14ac:dyDescent="0.25">
      <c r="A13" s="128">
        <v>700</v>
      </c>
      <c r="B13" s="128" t="s">
        <v>39</v>
      </c>
      <c r="C13" s="128" t="s">
        <v>40</v>
      </c>
      <c r="D13" s="128" t="s">
        <v>40</v>
      </c>
      <c r="E13" s="128" t="s">
        <v>404</v>
      </c>
      <c r="F13" s="128" t="s">
        <v>405</v>
      </c>
      <c r="G13" s="128">
        <v>175</v>
      </c>
      <c r="H13" s="128" t="s">
        <v>7</v>
      </c>
      <c r="I13" s="128" t="s">
        <v>388</v>
      </c>
      <c r="J13" s="128" t="s">
        <v>384</v>
      </c>
      <c r="K13" s="128" t="s">
        <v>385</v>
      </c>
      <c r="L13" s="128" t="s">
        <v>259</v>
      </c>
      <c r="M13" s="128" t="s">
        <v>57</v>
      </c>
      <c r="N13" s="128" t="s">
        <v>58</v>
      </c>
      <c r="O13" s="129">
        <v>20821</v>
      </c>
      <c r="P13" s="128"/>
      <c r="Q13" s="128"/>
      <c r="R13" s="128">
        <v>176</v>
      </c>
      <c r="S13" s="128" t="s">
        <v>48</v>
      </c>
    </row>
    <row r="14" spans="1:19" x14ac:dyDescent="0.25">
      <c r="A14" s="128">
        <v>800</v>
      </c>
      <c r="B14" s="128" t="s">
        <v>39</v>
      </c>
      <c r="C14" s="128" t="s">
        <v>40</v>
      </c>
      <c r="D14" s="128" t="s">
        <v>40</v>
      </c>
      <c r="E14" s="128" t="s">
        <v>460</v>
      </c>
      <c r="F14" s="128" t="s">
        <v>461</v>
      </c>
      <c r="G14" s="128">
        <v>332.18</v>
      </c>
      <c r="H14" s="128" t="s">
        <v>7</v>
      </c>
      <c r="I14" s="128" t="s">
        <v>388</v>
      </c>
      <c r="J14" s="128" t="s">
        <v>384</v>
      </c>
      <c r="K14" s="128" t="s">
        <v>385</v>
      </c>
      <c r="L14" s="128" t="s">
        <v>259</v>
      </c>
      <c r="M14" s="128" t="s">
        <v>57</v>
      </c>
      <c r="N14" s="128" t="s">
        <v>58</v>
      </c>
      <c r="O14" s="129">
        <v>22282</v>
      </c>
      <c r="P14" s="128"/>
      <c r="Q14" s="128"/>
      <c r="R14" s="128">
        <v>322</v>
      </c>
      <c r="S14" s="128" t="s">
        <v>48</v>
      </c>
    </row>
    <row r="15" spans="1:19" x14ac:dyDescent="0.25">
      <c r="A15" s="128">
        <v>900</v>
      </c>
      <c r="B15" s="128" t="s">
        <v>39</v>
      </c>
      <c r="C15" s="128" t="s">
        <v>40</v>
      </c>
      <c r="D15" s="128" t="s">
        <v>40</v>
      </c>
      <c r="E15" s="128" t="s">
        <v>467</v>
      </c>
      <c r="F15" s="128" t="s">
        <v>468</v>
      </c>
      <c r="G15" s="128">
        <v>335.67</v>
      </c>
      <c r="H15" s="128" t="s">
        <v>7</v>
      </c>
      <c r="I15" s="128" t="s">
        <v>388</v>
      </c>
      <c r="J15" s="128" t="s">
        <v>384</v>
      </c>
      <c r="K15" s="128" t="s">
        <v>385</v>
      </c>
      <c r="L15" s="128" t="s">
        <v>259</v>
      </c>
      <c r="M15" s="128" t="s">
        <v>57</v>
      </c>
      <c r="N15" s="128" t="s">
        <v>58</v>
      </c>
      <c r="O15" s="129">
        <v>22647</v>
      </c>
      <c r="P15" s="128"/>
      <c r="Q15" s="128"/>
      <c r="R15" s="128">
        <v>320</v>
      </c>
      <c r="S15" s="128" t="s">
        <v>48</v>
      </c>
    </row>
    <row r="16" spans="1:19" x14ac:dyDescent="0.25">
      <c r="A16" s="128">
        <v>1000</v>
      </c>
      <c r="B16" s="128" t="s">
        <v>39</v>
      </c>
      <c r="C16" s="128" t="s">
        <v>40</v>
      </c>
      <c r="D16" s="128" t="s">
        <v>40</v>
      </c>
      <c r="E16" s="128" t="s">
        <v>2280</v>
      </c>
      <c r="F16" s="128" t="s">
        <v>2281</v>
      </c>
      <c r="G16" s="128">
        <v>497.97</v>
      </c>
      <c r="H16" s="128" t="s">
        <v>7</v>
      </c>
      <c r="I16" s="128" t="s">
        <v>388</v>
      </c>
      <c r="J16" s="128" t="s">
        <v>384</v>
      </c>
      <c r="K16" s="128" t="s">
        <v>385</v>
      </c>
      <c r="L16" s="128" t="s">
        <v>259</v>
      </c>
      <c r="M16" s="128" t="s">
        <v>57</v>
      </c>
      <c r="N16" s="128" t="s">
        <v>58</v>
      </c>
      <c r="O16" s="129">
        <v>36161</v>
      </c>
      <c r="P16" s="128"/>
      <c r="Q16" s="128"/>
      <c r="R16" s="128">
        <v>482</v>
      </c>
      <c r="S16" s="128" t="s">
        <v>48</v>
      </c>
    </row>
    <row r="17" spans="1:19" x14ac:dyDescent="0.25">
      <c r="A17" s="128">
        <v>1100</v>
      </c>
      <c r="B17" s="128" t="s">
        <v>39</v>
      </c>
      <c r="C17" s="128" t="s">
        <v>40</v>
      </c>
      <c r="D17" s="128" t="s">
        <v>40</v>
      </c>
      <c r="E17" s="128" t="s">
        <v>527</v>
      </c>
      <c r="F17" s="128" t="s">
        <v>528</v>
      </c>
      <c r="G17" s="128">
        <v>495</v>
      </c>
      <c r="H17" s="128" t="s">
        <v>7</v>
      </c>
      <c r="I17" s="128" t="s">
        <v>388</v>
      </c>
      <c r="J17" s="128" t="s">
        <v>384</v>
      </c>
      <c r="K17" s="128" t="s">
        <v>385</v>
      </c>
      <c r="L17" s="128" t="s">
        <v>259</v>
      </c>
      <c r="M17" s="128" t="s">
        <v>57</v>
      </c>
      <c r="N17" s="128" t="s">
        <v>58</v>
      </c>
      <c r="O17" s="129">
        <v>24108</v>
      </c>
      <c r="P17" s="128"/>
      <c r="Q17" s="128"/>
      <c r="R17" s="128">
        <v>481</v>
      </c>
      <c r="S17" s="128" t="s">
        <v>48</v>
      </c>
    </row>
    <row r="18" spans="1:19" x14ac:dyDescent="0.25">
      <c r="A18" s="128">
        <v>1300</v>
      </c>
      <c r="B18" s="128" t="s">
        <v>39</v>
      </c>
      <c r="C18" s="128" t="s">
        <v>40</v>
      </c>
      <c r="D18" s="128" t="s">
        <v>40</v>
      </c>
      <c r="E18" s="128" t="s">
        <v>1302</v>
      </c>
      <c r="F18" s="128" t="s">
        <v>1303</v>
      </c>
      <c r="G18" s="128">
        <v>16</v>
      </c>
      <c r="H18" s="128" t="s">
        <v>7</v>
      </c>
      <c r="I18" s="128" t="s">
        <v>560</v>
      </c>
      <c r="J18" s="128" t="s">
        <v>44</v>
      </c>
      <c r="K18" s="128" t="s">
        <v>44</v>
      </c>
      <c r="L18" s="128" t="s">
        <v>45</v>
      </c>
      <c r="M18" s="128" t="s">
        <v>57</v>
      </c>
      <c r="N18" s="128" t="s">
        <v>58</v>
      </c>
      <c r="O18" s="129">
        <v>31413</v>
      </c>
      <c r="P18" s="128"/>
      <c r="Q18" s="128"/>
      <c r="R18" s="128">
        <v>18</v>
      </c>
      <c r="S18" s="128" t="s">
        <v>48</v>
      </c>
    </row>
    <row r="19" spans="1:19" x14ac:dyDescent="0.25">
      <c r="A19" s="128">
        <v>1500</v>
      </c>
      <c r="B19" s="128" t="s">
        <v>39</v>
      </c>
      <c r="C19" s="128" t="s">
        <v>40</v>
      </c>
      <c r="D19" s="128" t="s">
        <v>40</v>
      </c>
      <c r="E19" s="128" t="s">
        <v>1960</v>
      </c>
      <c r="F19" s="128" t="s">
        <v>1961</v>
      </c>
      <c r="G19" s="128">
        <v>42.81</v>
      </c>
      <c r="H19" s="128" t="s">
        <v>7</v>
      </c>
      <c r="I19" s="128" t="s">
        <v>1962</v>
      </c>
      <c r="J19" s="128" t="s">
        <v>314</v>
      </c>
      <c r="K19" s="128" t="s">
        <v>599</v>
      </c>
      <c r="L19" s="128" t="s">
        <v>259</v>
      </c>
      <c r="M19" s="128" t="s">
        <v>57</v>
      </c>
      <c r="N19" s="128" t="s">
        <v>1963</v>
      </c>
      <c r="O19" s="129">
        <v>32874</v>
      </c>
      <c r="P19" s="128"/>
      <c r="Q19" s="128"/>
      <c r="R19" s="128">
        <v>49.2</v>
      </c>
      <c r="S19" s="128" t="s">
        <v>48</v>
      </c>
    </row>
    <row r="20" spans="1:19" x14ac:dyDescent="0.25">
      <c r="A20" s="128">
        <v>101600</v>
      </c>
      <c r="B20" s="128" t="s">
        <v>39</v>
      </c>
      <c r="C20" s="128" t="s">
        <v>40</v>
      </c>
      <c r="D20" s="128" t="s">
        <v>40</v>
      </c>
      <c r="E20" s="128" t="s">
        <v>3053</v>
      </c>
      <c r="F20" s="128" t="s">
        <v>3054</v>
      </c>
      <c r="G20" s="128">
        <v>6</v>
      </c>
      <c r="H20" s="128" t="s">
        <v>43</v>
      </c>
      <c r="I20" s="128" t="s">
        <v>3055</v>
      </c>
      <c r="J20" s="128" t="s">
        <v>1055</v>
      </c>
      <c r="K20" s="128" t="s">
        <v>2179</v>
      </c>
      <c r="L20" s="128" t="s">
        <v>1056</v>
      </c>
      <c r="M20" s="128" t="s">
        <v>46</v>
      </c>
      <c r="N20" s="128" t="s">
        <v>1455</v>
      </c>
      <c r="O20" s="129">
        <v>40760</v>
      </c>
      <c r="P20" s="128"/>
      <c r="Q20" s="128"/>
      <c r="R20" s="128">
        <v>6</v>
      </c>
      <c r="S20" s="128" t="s">
        <v>48</v>
      </c>
    </row>
    <row r="21" spans="1:19" ht="29.25" x14ac:dyDescent="0.25">
      <c r="A21" s="128">
        <v>2200</v>
      </c>
      <c r="B21" s="128" t="s">
        <v>39</v>
      </c>
      <c r="C21" s="128" t="s">
        <v>49</v>
      </c>
      <c r="D21" s="128" t="s">
        <v>40</v>
      </c>
      <c r="E21" s="128" t="s">
        <v>1153</v>
      </c>
      <c r="F21" s="128" t="s">
        <v>1154</v>
      </c>
      <c r="G21" s="128">
        <v>2.5</v>
      </c>
      <c r="H21" s="128" t="s">
        <v>43</v>
      </c>
      <c r="I21" s="128" t="s">
        <v>1155</v>
      </c>
      <c r="J21" s="128" t="s">
        <v>807</v>
      </c>
      <c r="K21" s="128" t="s">
        <v>315</v>
      </c>
      <c r="L21" s="128" t="s">
        <v>915</v>
      </c>
      <c r="M21" s="128" t="s">
        <v>46</v>
      </c>
      <c r="N21" s="128" t="s">
        <v>47</v>
      </c>
      <c r="O21" s="129">
        <v>31048</v>
      </c>
      <c r="P21" s="128"/>
      <c r="Q21" s="128"/>
      <c r="R21" s="128">
        <v>3</v>
      </c>
      <c r="S21" s="128" t="s">
        <v>48</v>
      </c>
    </row>
    <row r="22" spans="1:19" x14ac:dyDescent="0.25">
      <c r="A22" s="128">
        <v>3000</v>
      </c>
      <c r="B22" s="128" t="s">
        <v>39</v>
      </c>
      <c r="C22" s="128" t="s">
        <v>49</v>
      </c>
      <c r="D22" s="128" t="s">
        <v>40</v>
      </c>
      <c r="E22" s="128" t="s">
        <v>1480</v>
      </c>
      <c r="F22" s="128" t="s">
        <v>1481</v>
      </c>
      <c r="G22" s="128">
        <v>5</v>
      </c>
      <c r="H22" s="128" t="s">
        <v>43</v>
      </c>
      <c r="I22" s="128" t="s">
        <v>1482</v>
      </c>
      <c r="J22" s="128" t="s">
        <v>44</v>
      </c>
      <c r="K22" s="128" t="s">
        <v>44</v>
      </c>
      <c r="L22" s="128" t="s">
        <v>45</v>
      </c>
      <c r="M22" s="128" t="s">
        <v>46</v>
      </c>
      <c r="N22" s="128" t="s">
        <v>47</v>
      </c>
      <c r="O22" s="129">
        <v>31778</v>
      </c>
      <c r="P22" s="128"/>
      <c r="Q22" s="128"/>
      <c r="R22" s="128">
        <v>5</v>
      </c>
      <c r="S22" s="128" t="s">
        <v>48</v>
      </c>
    </row>
    <row r="23" spans="1:19" x14ac:dyDescent="0.25">
      <c r="A23" s="128">
        <v>3300</v>
      </c>
      <c r="B23" s="128" t="s">
        <v>39</v>
      </c>
      <c r="C23" s="128" t="s">
        <v>40</v>
      </c>
      <c r="D23" s="128" t="s">
        <v>40</v>
      </c>
      <c r="E23" s="128" t="s">
        <v>1663</v>
      </c>
      <c r="F23" s="128" t="s">
        <v>1664</v>
      </c>
      <c r="G23" s="128">
        <v>6.2</v>
      </c>
      <c r="H23" s="128" t="s">
        <v>43</v>
      </c>
      <c r="I23" s="128" t="s">
        <v>792</v>
      </c>
      <c r="J23" s="128" t="s">
        <v>44</v>
      </c>
      <c r="K23" s="128" t="s">
        <v>44</v>
      </c>
      <c r="L23" s="128" t="s">
        <v>45</v>
      </c>
      <c r="M23" s="128" t="s">
        <v>46</v>
      </c>
      <c r="N23" s="128" t="s">
        <v>47</v>
      </c>
      <c r="O23" s="129">
        <v>32143</v>
      </c>
      <c r="P23" s="128"/>
      <c r="Q23" s="128"/>
      <c r="R23" s="128">
        <v>6.2</v>
      </c>
      <c r="S23" s="128" t="s">
        <v>48</v>
      </c>
    </row>
    <row r="24" spans="1:19" x14ac:dyDescent="0.25">
      <c r="A24" s="128">
        <v>3400</v>
      </c>
      <c r="B24" s="128" t="s">
        <v>39</v>
      </c>
      <c r="C24" s="128" t="s">
        <v>40</v>
      </c>
      <c r="D24" s="128" t="s">
        <v>40</v>
      </c>
      <c r="E24" s="128" t="s">
        <v>2512</v>
      </c>
      <c r="F24" s="128" t="s">
        <v>2513</v>
      </c>
      <c r="G24" s="128">
        <v>48.98</v>
      </c>
      <c r="H24" s="128" t="s">
        <v>162</v>
      </c>
      <c r="I24" s="128" t="s">
        <v>2511</v>
      </c>
      <c r="J24" s="128" t="s">
        <v>314</v>
      </c>
      <c r="K24" s="128" t="s">
        <v>599</v>
      </c>
      <c r="L24" s="128" t="s">
        <v>259</v>
      </c>
      <c r="M24" s="128" t="s">
        <v>57</v>
      </c>
      <c r="N24" s="128" t="s">
        <v>163</v>
      </c>
      <c r="O24" s="129">
        <v>37190</v>
      </c>
      <c r="P24" s="128"/>
      <c r="Q24" s="128"/>
      <c r="R24" s="128">
        <v>49.96</v>
      </c>
      <c r="S24" s="128" t="s">
        <v>48</v>
      </c>
    </row>
    <row r="25" spans="1:19" ht="43.5" x14ac:dyDescent="0.25">
      <c r="A25" s="128">
        <v>1700</v>
      </c>
      <c r="B25" s="128" t="s">
        <v>39</v>
      </c>
      <c r="C25" s="128" t="s">
        <v>49</v>
      </c>
      <c r="D25" s="128" t="s">
        <v>40</v>
      </c>
      <c r="E25" s="128" t="s">
        <v>811</v>
      </c>
      <c r="F25" s="128" t="s">
        <v>812</v>
      </c>
      <c r="G25" s="128">
        <v>29</v>
      </c>
      <c r="H25" s="128" t="s">
        <v>7</v>
      </c>
      <c r="I25" s="128" t="s">
        <v>813</v>
      </c>
      <c r="J25" s="128" t="s">
        <v>713</v>
      </c>
      <c r="K25" s="128" t="s">
        <v>385</v>
      </c>
      <c r="L25" s="128" t="s">
        <v>731</v>
      </c>
      <c r="M25" s="128" t="s">
        <v>57</v>
      </c>
      <c r="N25" s="128" t="s">
        <v>58</v>
      </c>
      <c r="O25" s="129">
        <v>29952</v>
      </c>
      <c r="P25" s="128"/>
      <c r="Q25" s="128"/>
      <c r="R25" s="128">
        <v>35.799999999999997</v>
      </c>
      <c r="S25" s="128" t="s">
        <v>48</v>
      </c>
    </row>
    <row r="26" spans="1:19" ht="29.25" x14ac:dyDescent="0.25">
      <c r="A26" s="128">
        <v>37400</v>
      </c>
      <c r="B26" s="128" t="s">
        <v>39</v>
      </c>
      <c r="C26" s="128" t="s">
        <v>40</v>
      </c>
      <c r="D26" s="128" t="s">
        <v>40</v>
      </c>
      <c r="E26" s="128" t="s">
        <v>1002</v>
      </c>
      <c r="F26" s="128" t="s">
        <v>1003</v>
      </c>
      <c r="G26" s="128">
        <v>38</v>
      </c>
      <c r="H26" s="128" t="s">
        <v>43</v>
      </c>
      <c r="I26" s="128" t="s">
        <v>1004</v>
      </c>
      <c r="J26" s="128" t="s">
        <v>800</v>
      </c>
      <c r="K26" s="128" t="s">
        <v>800</v>
      </c>
      <c r="L26" s="128" t="s">
        <v>800</v>
      </c>
      <c r="M26" s="128" t="s">
        <v>46</v>
      </c>
      <c r="N26" s="128" t="s">
        <v>47</v>
      </c>
      <c r="O26" s="129">
        <v>30674</v>
      </c>
      <c r="P26" s="128"/>
      <c r="Q26" s="128"/>
      <c r="R26" s="128">
        <v>38</v>
      </c>
      <c r="S26" s="128" t="s">
        <v>48</v>
      </c>
    </row>
    <row r="27" spans="1:19" ht="29.25" x14ac:dyDescent="0.25">
      <c r="A27" s="128">
        <v>1800</v>
      </c>
      <c r="B27" s="128" t="s">
        <v>39</v>
      </c>
      <c r="C27" s="128" t="s">
        <v>49</v>
      </c>
      <c r="D27" s="128" t="s">
        <v>40</v>
      </c>
      <c r="E27" s="128" t="s">
        <v>2432</v>
      </c>
      <c r="F27" s="128" t="s">
        <v>2433</v>
      </c>
      <c r="G27" s="128">
        <v>1.3</v>
      </c>
      <c r="H27" s="128" t="s">
        <v>7</v>
      </c>
      <c r="I27" s="128" t="s">
        <v>2434</v>
      </c>
      <c r="J27" s="128" t="s">
        <v>807</v>
      </c>
      <c r="K27" s="128" t="s">
        <v>315</v>
      </c>
      <c r="L27" s="128" t="s">
        <v>915</v>
      </c>
      <c r="M27" s="128" t="s">
        <v>57</v>
      </c>
      <c r="N27" s="128" t="s">
        <v>58</v>
      </c>
      <c r="O27" s="129">
        <v>37110</v>
      </c>
      <c r="P27" s="128" t="s">
        <v>2435</v>
      </c>
      <c r="Q27" s="128"/>
      <c r="R27" s="128">
        <v>1.2</v>
      </c>
      <c r="S27" s="128" t="s">
        <v>48</v>
      </c>
    </row>
    <row r="28" spans="1:19" x14ac:dyDescent="0.25">
      <c r="A28" s="128">
        <v>1900</v>
      </c>
      <c r="B28" s="128" t="s">
        <v>39</v>
      </c>
      <c r="C28" s="128" t="s">
        <v>40</v>
      </c>
      <c r="D28" s="128" t="s">
        <v>40</v>
      </c>
      <c r="E28" s="128" t="s">
        <v>260</v>
      </c>
      <c r="F28" s="128" t="s">
        <v>261</v>
      </c>
      <c r="G28" s="128">
        <v>33</v>
      </c>
      <c r="H28" s="128" t="s">
        <v>43</v>
      </c>
      <c r="I28" s="128" t="s">
        <v>6</v>
      </c>
      <c r="J28" s="128" t="s">
        <v>44</v>
      </c>
      <c r="K28" s="128" t="s">
        <v>44</v>
      </c>
      <c r="L28" s="128" t="s">
        <v>45</v>
      </c>
      <c r="M28" s="128" t="s">
        <v>46</v>
      </c>
      <c r="N28" s="128" t="s">
        <v>47</v>
      </c>
      <c r="O28" s="129">
        <v>9863</v>
      </c>
      <c r="P28" s="128"/>
      <c r="Q28" s="128" t="s">
        <v>262</v>
      </c>
      <c r="R28" s="128">
        <v>34</v>
      </c>
      <c r="S28" s="128" t="s">
        <v>48</v>
      </c>
    </row>
    <row r="29" spans="1:19" x14ac:dyDescent="0.25">
      <c r="A29" s="128">
        <v>2000</v>
      </c>
      <c r="B29" s="128" t="s">
        <v>39</v>
      </c>
      <c r="C29" s="128" t="s">
        <v>40</v>
      </c>
      <c r="D29" s="128" t="s">
        <v>40</v>
      </c>
      <c r="E29" s="128" t="s">
        <v>413</v>
      </c>
      <c r="F29" s="128" t="s">
        <v>414</v>
      </c>
      <c r="G29" s="128">
        <v>52.5</v>
      </c>
      <c r="H29" s="128" t="s">
        <v>43</v>
      </c>
      <c r="I29" s="128" t="s">
        <v>6</v>
      </c>
      <c r="J29" s="128" t="s">
        <v>44</v>
      </c>
      <c r="K29" s="128" t="s">
        <v>44</v>
      </c>
      <c r="L29" s="128" t="s">
        <v>45</v>
      </c>
      <c r="M29" s="128" t="s">
        <v>46</v>
      </c>
      <c r="N29" s="128" t="s">
        <v>47</v>
      </c>
      <c r="O29" s="129">
        <v>21186</v>
      </c>
      <c r="P29" s="128"/>
      <c r="Q29" s="128" t="s">
        <v>262</v>
      </c>
      <c r="R29" s="128">
        <v>52.5</v>
      </c>
      <c r="S29" s="128" t="s">
        <v>48</v>
      </c>
    </row>
    <row r="30" spans="1:19" x14ac:dyDescent="0.25">
      <c r="A30" s="128">
        <v>2100</v>
      </c>
      <c r="B30" s="128" t="s">
        <v>39</v>
      </c>
      <c r="C30" s="128" t="s">
        <v>40</v>
      </c>
      <c r="D30" s="128" t="s">
        <v>40</v>
      </c>
      <c r="E30" s="128" t="s">
        <v>415</v>
      </c>
      <c r="F30" s="128" t="s">
        <v>416</v>
      </c>
      <c r="G30" s="128">
        <v>54.6</v>
      </c>
      <c r="H30" s="128" t="s">
        <v>43</v>
      </c>
      <c r="I30" s="128" t="s">
        <v>6</v>
      </c>
      <c r="J30" s="128" t="s">
        <v>44</v>
      </c>
      <c r="K30" s="128" t="s">
        <v>44</v>
      </c>
      <c r="L30" s="128" t="s">
        <v>45</v>
      </c>
      <c r="M30" s="128" t="s">
        <v>46</v>
      </c>
      <c r="N30" s="128" t="s">
        <v>47</v>
      </c>
      <c r="O30" s="129">
        <v>21186</v>
      </c>
      <c r="P30" s="128"/>
      <c r="Q30" s="128" t="s">
        <v>262</v>
      </c>
      <c r="R30" s="128">
        <v>54.6</v>
      </c>
      <c r="S30" s="128" t="s">
        <v>48</v>
      </c>
    </row>
    <row r="31" spans="1:19" x14ac:dyDescent="0.25">
      <c r="A31" s="128">
        <v>2300</v>
      </c>
      <c r="B31" s="128" t="s">
        <v>39</v>
      </c>
      <c r="C31" s="128" t="s">
        <v>40</v>
      </c>
      <c r="D31" s="128" t="s">
        <v>40</v>
      </c>
      <c r="E31" s="128" t="s">
        <v>406</v>
      </c>
      <c r="F31" s="128" t="s">
        <v>407</v>
      </c>
      <c r="G31" s="128">
        <v>11.5</v>
      </c>
      <c r="H31" s="128" t="s">
        <v>43</v>
      </c>
      <c r="I31" s="128" t="s">
        <v>408</v>
      </c>
      <c r="J31" s="128" t="s">
        <v>44</v>
      </c>
      <c r="K31" s="128" t="s">
        <v>44</v>
      </c>
      <c r="L31" s="128" t="s">
        <v>45</v>
      </c>
      <c r="M31" s="128" t="s">
        <v>46</v>
      </c>
      <c r="N31" s="128" t="s">
        <v>47</v>
      </c>
      <c r="O31" s="129">
        <v>20821</v>
      </c>
      <c r="P31" s="128"/>
      <c r="Q31" s="128" t="s">
        <v>331</v>
      </c>
      <c r="R31" s="128">
        <v>11.5</v>
      </c>
      <c r="S31" s="128" t="s">
        <v>48</v>
      </c>
    </row>
    <row r="32" spans="1:19" x14ac:dyDescent="0.25">
      <c r="A32" s="128">
        <v>2400</v>
      </c>
      <c r="B32" s="128" t="s">
        <v>39</v>
      </c>
      <c r="C32" s="128" t="s">
        <v>40</v>
      </c>
      <c r="D32" s="128" t="s">
        <v>40</v>
      </c>
      <c r="E32" s="128" t="s">
        <v>626</v>
      </c>
      <c r="F32" s="128" t="s">
        <v>627</v>
      </c>
      <c r="G32" s="128">
        <v>119</v>
      </c>
      <c r="H32" s="128" t="s">
        <v>43</v>
      </c>
      <c r="I32" s="128" t="s">
        <v>6</v>
      </c>
      <c r="J32" s="128" t="s">
        <v>44</v>
      </c>
      <c r="K32" s="128" t="s">
        <v>44</v>
      </c>
      <c r="L32" s="128" t="s">
        <v>45</v>
      </c>
      <c r="M32" s="128" t="s">
        <v>46</v>
      </c>
      <c r="N32" s="128" t="s">
        <v>47</v>
      </c>
      <c r="O32" s="129">
        <v>25204</v>
      </c>
      <c r="P32" s="128"/>
      <c r="Q32" s="128" t="s">
        <v>194</v>
      </c>
      <c r="R32" s="128">
        <v>119</v>
      </c>
      <c r="S32" s="128" t="s">
        <v>48</v>
      </c>
    </row>
    <row r="33" spans="1:19" ht="29.25" x14ac:dyDescent="0.25">
      <c r="A33" s="128">
        <v>2800</v>
      </c>
      <c r="B33" s="128" t="s">
        <v>39</v>
      </c>
      <c r="C33" s="128" t="s">
        <v>40</v>
      </c>
      <c r="D33" s="128" t="s">
        <v>40</v>
      </c>
      <c r="E33" s="128" t="s">
        <v>1304</v>
      </c>
      <c r="F33" s="128" t="s">
        <v>1305</v>
      </c>
      <c r="G33" s="128">
        <v>0.3</v>
      </c>
      <c r="H33" s="128" t="s">
        <v>7</v>
      </c>
      <c r="I33" s="128" t="s">
        <v>7</v>
      </c>
      <c r="J33" s="128" t="s">
        <v>44</v>
      </c>
      <c r="K33" s="128" t="s">
        <v>44</v>
      </c>
      <c r="L33" s="128" t="s">
        <v>45</v>
      </c>
      <c r="M33" s="128" t="s">
        <v>57</v>
      </c>
      <c r="N33" s="128" t="s">
        <v>58</v>
      </c>
      <c r="O33" s="129">
        <v>31413</v>
      </c>
      <c r="P33" s="128"/>
      <c r="Q33" s="128"/>
      <c r="R33" s="128">
        <v>0.35</v>
      </c>
      <c r="S33" s="128" t="s">
        <v>48</v>
      </c>
    </row>
    <row r="34" spans="1:19" x14ac:dyDescent="0.25">
      <c r="A34" s="128">
        <v>99300</v>
      </c>
      <c r="B34" s="128" t="s">
        <v>39</v>
      </c>
      <c r="C34" s="128" t="s">
        <v>49</v>
      </c>
      <c r="D34" s="128" t="s">
        <v>40</v>
      </c>
      <c r="E34" s="128" t="s">
        <v>2988</v>
      </c>
      <c r="F34" s="128" t="s">
        <v>2989</v>
      </c>
      <c r="G34" s="128">
        <v>12</v>
      </c>
      <c r="H34" s="128" t="s">
        <v>43</v>
      </c>
      <c r="I34" s="128" t="s">
        <v>2990</v>
      </c>
      <c r="J34" s="128" t="s">
        <v>807</v>
      </c>
      <c r="K34" s="128" t="s">
        <v>385</v>
      </c>
      <c r="L34" s="128" t="s">
        <v>808</v>
      </c>
      <c r="M34" s="128" t="s">
        <v>46</v>
      </c>
      <c r="N34" s="128" t="s">
        <v>58</v>
      </c>
      <c r="O34" s="129">
        <v>40430</v>
      </c>
      <c r="P34" s="128"/>
      <c r="Q34" s="128"/>
      <c r="R34" s="128">
        <v>13.8</v>
      </c>
      <c r="S34" s="128" t="s">
        <v>48</v>
      </c>
    </row>
    <row r="35" spans="1:19" x14ac:dyDescent="0.25">
      <c r="A35" s="128">
        <v>98200</v>
      </c>
      <c r="B35" s="128" t="s">
        <v>39</v>
      </c>
      <c r="C35" s="128" t="s">
        <v>40</v>
      </c>
      <c r="D35" s="128" t="s">
        <v>40</v>
      </c>
      <c r="E35" s="128" t="s">
        <v>2961</v>
      </c>
      <c r="F35" s="128" t="s">
        <v>2962</v>
      </c>
      <c r="G35" s="128">
        <v>21</v>
      </c>
      <c r="H35" s="128" t="s">
        <v>7</v>
      </c>
      <c r="I35" s="128" t="s">
        <v>2963</v>
      </c>
      <c r="J35" s="128" t="s">
        <v>1055</v>
      </c>
      <c r="K35" s="128" t="s">
        <v>2179</v>
      </c>
      <c r="L35" s="128" t="s">
        <v>1056</v>
      </c>
      <c r="M35" s="128" t="s">
        <v>57</v>
      </c>
      <c r="N35" s="128" t="s">
        <v>58</v>
      </c>
      <c r="O35" s="129">
        <v>40165</v>
      </c>
      <c r="P35" s="128"/>
      <c r="Q35" s="128"/>
      <c r="R35" s="128">
        <v>21</v>
      </c>
      <c r="S35" s="128" t="s">
        <v>48</v>
      </c>
    </row>
    <row r="36" spans="1:19" x14ac:dyDescent="0.25">
      <c r="A36" s="128">
        <v>3800</v>
      </c>
      <c r="B36" s="128" t="s">
        <v>39</v>
      </c>
      <c r="C36" s="128" t="s">
        <v>40</v>
      </c>
      <c r="D36" s="128" t="s">
        <v>40</v>
      </c>
      <c r="E36" s="128" t="s">
        <v>502</v>
      </c>
      <c r="F36" s="128" t="s">
        <v>503</v>
      </c>
      <c r="G36" s="128">
        <v>65</v>
      </c>
      <c r="H36" s="128" t="s">
        <v>7</v>
      </c>
      <c r="I36" s="128" t="s">
        <v>504</v>
      </c>
      <c r="J36" s="128" t="s">
        <v>384</v>
      </c>
      <c r="K36" s="128" t="s">
        <v>385</v>
      </c>
      <c r="L36" s="128" t="s">
        <v>259</v>
      </c>
      <c r="M36" s="128" t="s">
        <v>57</v>
      </c>
      <c r="N36" s="128" t="s">
        <v>505</v>
      </c>
      <c r="O36" s="129">
        <v>23743</v>
      </c>
      <c r="P36" s="128"/>
      <c r="Q36" s="128"/>
      <c r="R36" s="128">
        <v>65</v>
      </c>
      <c r="S36" s="128" t="s">
        <v>48</v>
      </c>
    </row>
    <row r="37" spans="1:19" x14ac:dyDescent="0.25">
      <c r="A37" s="128">
        <v>4000</v>
      </c>
      <c r="B37" s="128" t="s">
        <v>39</v>
      </c>
      <c r="C37" s="128" t="s">
        <v>40</v>
      </c>
      <c r="D37" s="128" t="s">
        <v>40</v>
      </c>
      <c r="E37" s="128" t="s">
        <v>417</v>
      </c>
      <c r="F37" s="128" t="s">
        <v>418</v>
      </c>
      <c r="G37" s="128">
        <v>41</v>
      </c>
      <c r="H37" s="128" t="s">
        <v>43</v>
      </c>
      <c r="I37" s="128" t="s">
        <v>6</v>
      </c>
      <c r="J37" s="128" t="s">
        <v>44</v>
      </c>
      <c r="K37" s="128" t="s">
        <v>44</v>
      </c>
      <c r="L37" s="128" t="s">
        <v>45</v>
      </c>
      <c r="M37" s="128" t="s">
        <v>46</v>
      </c>
      <c r="N37" s="128" t="s">
        <v>47</v>
      </c>
      <c r="O37" s="129">
        <v>21186</v>
      </c>
      <c r="P37" s="128"/>
      <c r="Q37" s="128" t="s">
        <v>194</v>
      </c>
      <c r="R37" s="128">
        <v>41</v>
      </c>
      <c r="S37" s="128" t="s">
        <v>48</v>
      </c>
    </row>
    <row r="38" spans="1:19" ht="29.25" x14ac:dyDescent="0.25">
      <c r="A38" s="128">
        <v>38300</v>
      </c>
      <c r="B38" s="128" t="s">
        <v>39</v>
      </c>
      <c r="C38" s="128" t="s">
        <v>40</v>
      </c>
      <c r="D38" s="128" t="s">
        <v>40</v>
      </c>
      <c r="E38" s="128" t="s">
        <v>1789</v>
      </c>
      <c r="F38" s="128" t="s">
        <v>1790</v>
      </c>
      <c r="G38" s="128">
        <v>32.6</v>
      </c>
      <c r="H38" s="128" t="s">
        <v>43</v>
      </c>
      <c r="I38" s="128" t="s">
        <v>1791</v>
      </c>
      <c r="J38" s="128" t="s">
        <v>663</v>
      </c>
      <c r="K38" s="128" t="s">
        <v>385</v>
      </c>
      <c r="L38" s="128" t="s">
        <v>663</v>
      </c>
      <c r="M38" s="128" t="s">
        <v>46</v>
      </c>
      <c r="N38" s="128" t="s">
        <v>47</v>
      </c>
      <c r="O38" s="129">
        <v>32488</v>
      </c>
      <c r="P38" s="128"/>
      <c r="Q38" s="128"/>
      <c r="R38" s="128">
        <v>32.6</v>
      </c>
      <c r="S38" s="128" t="s">
        <v>48</v>
      </c>
    </row>
    <row r="39" spans="1:19" x14ac:dyDescent="0.25">
      <c r="A39" s="128">
        <v>4800</v>
      </c>
      <c r="B39" s="128" t="s">
        <v>39</v>
      </c>
      <c r="C39" s="128" t="s">
        <v>40</v>
      </c>
      <c r="D39" s="128" t="s">
        <v>40</v>
      </c>
      <c r="E39" s="128" t="s">
        <v>41</v>
      </c>
      <c r="F39" s="128" t="s">
        <v>42</v>
      </c>
      <c r="G39" s="128">
        <v>6.4</v>
      </c>
      <c r="H39" s="128" t="s">
        <v>43</v>
      </c>
      <c r="I39" s="128" t="s">
        <v>6</v>
      </c>
      <c r="J39" s="128" t="s">
        <v>44</v>
      </c>
      <c r="K39" s="128" t="s">
        <v>44</v>
      </c>
      <c r="L39" s="128" t="s">
        <v>45</v>
      </c>
      <c r="M39" s="128" t="s">
        <v>46</v>
      </c>
      <c r="N39" s="128" t="s">
        <v>47</v>
      </c>
      <c r="O39" s="129">
        <v>1</v>
      </c>
      <c r="P39" s="128"/>
      <c r="Q39" s="128"/>
      <c r="R39" s="128">
        <v>5.9</v>
      </c>
      <c r="S39" s="128" t="s">
        <v>48</v>
      </c>
    </row>
    <row r="40" spans="1:19" x14ac:dyDescent="0.25">
      <c r="A40" s="128">
        <v>5100</v>
      </c>
      <c r="B40" s="128" t="s">
        <v>39</v>
      </c>
      <c r="C40" s="128" t="s">
        <v>40</v>
      </c>
      <c r="D40" s="128" t="s">
        <v>40</v>
      </c>
      <c r="E40" s="128" t="s">
        <v>506</v>
      </c>
      <c r="F40" s="128" t="s">
        <v>507</v>
      </c>
      <c r="G40" s="128">
        <v>8.4</v>
      </c>
      <c r="H40" s="128" t="s">
        <v>43</v>
      </c>
      <c r="I40" s="128" t="s">
        <v>6</v>
      </c>
      <c r="J40" s="128" t="s">
        <v>44</v>
      </c>
      <c r="K40" s="128" t="s">
        <v>44</v>
      </c>
      <c r="L40" s="128" t="s">
        <v>45</v>
      </c>
      <c r="M40" s="128" t="s">
        <v>46</v>
      </c>
      <c r="N40" s="128" t="s">
        <v>47</v>
      </c>
      <c r="O40" s="129">
        <v>23743</v>
      </c>
      <c r="P40" s="128"/>
      <c r="Q40" s="128"/>
      <c r="R40" s="128">
        <v>7</v>
      </c>
      <c r="S40" s="128" t="s">
        <v>48</v>
      </c>
    </row>
    <row r="41" spans="1:19" x14ac:dyDescent="0.25">
      <c r="A41" s="128">
        <v>84000</v>
      </c>
      <c r="B41" s="128" t="s">
        <v>39</v>
      </c>
      <c r="C41" s="128" t="s">
        <v>40</v>
      </c>
      <c r="D41" s="128" t="s">
        <v>40</v>
      </c>
      <c r="E41" s="128" t="s">
        <v>2678</v>
      </c>
      <c r="F41" s="128" t="s">
        <v>2679</v>
      </c>
      <c r="G41" s="128">
        <v>180</v>
      </c>
      <c r="H41" s="128" t="s">
        <v>162</v>
      </c>
      <c r="I41" s="128" t="s">
        <v>2680</v>
      </c>
      <c r="J41" s="128" t="s">
        <v>384</v>
      </c>
      <c r="K41" s="128" t="s">
        <v>599</v>
      </c>
      <c r="L41" s="128" t="s">
        <v>259</v>
      </c>
      <c r="M41" s="128" t="s">
        <v>57</v>
      </c>
      <c r="N41" s="128" t="s">
        <v>163</v>
      </c>
      <c r="O41" s="129">
        <v>37822</v>
      </c>
      <c r="P41" s="128"/>
      <c r="Q41" s="128"/>
      <c r="R41" s="128">
        <v>181.5</v>
      </c>
      <c r="S41" s="128" t="s">
        <v>48</v>
      </c>
    </row>
    <row r="42" spans="1:19" ht="143.25" x14ac:dyDescent="0.25">
      <c r="A42" s="128">
        <v>103200</v>
      </c>
      <c r="B42" s="128" t="s">
        <v>39</v>
      </c>
      <c r="C42" s="128" t="s">
        <v>40</v>
      </c>
      <c r="D42" s="128" t="s">
        <v>40</v>
      </c>
      <c r="E42" s="128" t="s">
        <v>3084</v>
      </c>
      <c r="F42" s="128" t="s">
        <v>3085</v>
      </c>
      <c r="G42" s="128">
        <v>10</v>
      </c>
      <c r="H42" s="128" t="s">
        <v>7</v>
      </c>
      <c r="I42" s="128" t="s">
        <v>3086</v>
      </c>
      <c r="J42" s="128" t="s">
        <v>1055</v>
      </c>
      <c r="K42" s="128" t="s">
        <v>2179</v>
      </c>
      <c r="L42" s="128" t="s">
        <v>1056</v>
      </c>
      <c r="M42" s="128" t="s">
        <v>57</v>
      </c>
      <c r="N42" s="128" t="s">
        <v>58</v>
      </c>
      <c r="O42" s="129">
        <v>40819</v>
      </c>
      <c r="P42" s="128" t="s">
        <v>3087</v>
      </c>
      <c r="Q42" s="128"/>
      <c r="R42" s="128">
        <v>10</v>
      </c>
      <c r="S42" s="128" t="s">
        <v>48</v>
      </c>
    </row>
    <row r="43" spans="1:19" x14ac:dyDescent="0.25">
      <c r="A43" s="128">
        <v>5400</v>
      </c>
      <c r="B43" s="128" t="s">
        <v>39</v>
      </c>
      <c r="C43" s="128" t="s">
        <v>40</v>
      </c>
      <c r="D43" s="128" t="s">
        <v>40</v>
      </c>
      <c r="E43" s="128" t="s">
        <v>86</v>
      </c>
      <c r="F43" s="128" t="s">
        <v>87</v>
      </c>
      <c r="G43" s="128">
        <v>0.9</v>
      </c>
      <c r="H43" s="128" t="s">
        <v>43</v>
      </c>
      <c r="I43" s="128" t="s">
        <v>6</v>
      </c>
      <c r="J43" s="128" t="s">
        <v>44</v>
      </c>
      <c r="K43" s="128" t="s">
        <v>44</v>
      </c>
      <c r="L43" s="128" t="s">
        <v>45</v>
      </c>
      <c r="M43" s="128" t="s">
        <v>46</v>
      </c>
      <c r="N43" s="128" t="s">
        <v>47</v>
      </c>
      <c r="O43" s="129">
        <v>2558</v>
      </c>
      <c r="P43" s="128"/>
      <c r="Q43" s="128" t="s">
        <v>84</v>
      </c>
      <c r="R43" s="128">
        <v>0.9</v>
      </c>
      <c r="S43" s="128" t="s">
        <v>48</v>
      </c>
    </row>
    <row r="44" spans="1:19" x14ac:dyDescent="0.25">
      <c r="A44" s="128">
        <v>5500</v>
      </c>
      <c r="B44" s="128" t="s">
        <v>39</v>
      </c>
      <c r="C44" s="128" t="s">
        <v>40</v>
      </c>
      <c r="D44" s="128" t="s">
        <v>40</v>
      </c>
      <c r="E44" s="128" t="s">
        <v>754</v>
      </c>
      <c r="F44" s="128" t="s">
        <v>755</v>
      </c>
      <c r="G44" s="128">
        <v>13</v>
      </c>
      <c r="H44" s="128" t="s">
        <v>43</v>
      </c>
      <c r="I44" s="128" t="s">
        <v>6</v>
      </c>
      <c r="J44" s="128" t="s">
        <v>44</v>
      </c>
      <c r="K44" s="128" t="s">
        <v>44</v>
      </c>
      <c r="L44" s="128" t="s">
        <v>45</v>
      </c>
      <c r="M44" s="128" t="s">
        <v>46</v>
      </c>
      <c r="N44" s="128" t="s">
        <v>47</v>
      </c>
      <c r="O44" s="129">
        <v>28856</v>
      </c>
      <c r="P44" s="128"/>
      <c r="Q44" s="128" t="s">
        <v>756</v>
      </c>
      <c r="R44" s="128">
        <v>13</v>
      </c>
      <c r="S44" s="128" t="s">
        <v>48</v>
      </c>
    </row>
    <row r="45" spans="1:19" ht="29.25" x14ac:dyDescent="0.25">
      <c r="A45" s="128">
        <v>32400</v>
      </c>
      <c r="B45" s="128" t="s">
        <v>39</v>
      </c>
      <c r="C45" s="128" t="s">
        <v>49</v>
      </c>
      <c r="D45" s="128" t="s">
        <v>40</v>
      </c>
      <c r="E45" s="128" t="s">
        <v>871</v>
      </c>
      <c r="F45" s="128" t="s">
        <v>872</v>
      </c>
      <c r="G45" s="128">
        <v>19</v>
      </c>
      <c r="H45" s="128" t="s">
        <v>43</v>
      </c>
      <c r="I45" s="128" t="s">
        <v>873</v>
      </c>
      <c r="J45" s="128" t="s">
        <v>713</v>
      </c>
      <c r="K45" s="128" t="s">
        <v>385</v>
      </c>
      <c r="L45" s="128" t="s">
        <v>874</v>
      </c>
      <c r="M45" s="128" t="s">
        <v>46</v>
      </c>
      <c r="N45" s="128" t="s">
        <v>47</v>
      </c>
      <c r="O45" s="129">
        <v>30317</v>
      </c>
      <c r="P45" s="128"/>
      <c r="Q45" s="128"/>
      <c r="R45" s="128">
        <v>20</v>
      </c>
      <c r="S45" s="128" t="s">
        <v>48</v>
      </c>
    </row>
    <row r="46" spans="1:19" x14ac:dyDescent="0.25">
      <c r="A46" s="128">
        <v>6800</v>
      </c>
      <c r="B46" s="128" t="s">
        <v>39</v>
      </c>
      <c r="C46" s="128" t="s">
        <v>40</v>
      </c>
      <c r="D46" s="128" t="s">
        <v>40</v>
      </c>
      <c r="E46" s="128" t="s">
        <v>88</v>
      </c>
      <c r="F46" s="128" t="s">
        <v>89</v>
      </c>
      <c r="G46" s="128">
        <v>2</v>
      </c>
      <c r="H46" s="128" t="s">
        <v>43</v>
      </c>
      <c r="I46" s="128" t="s">
        <v>6</v>
      </c>
      <c r="J46" s="128" t="s">
        <v>44</v>
      </c>
      <c r="K46" s="128" t="s">
        <v>44</v>
      </c>
      <c r="L46" s="128" t="s">
        <v>45</v>
      </c>
      <c r="M46" s="128" t="s">
        <v>46</v>
      </c>
      <c r="N46" s="128" t="s">
        <v>47</v>
      </c>
      <c r="O46" s="129">
        <v>2558</v>
      </c>
      <c r="P46" s="128"/>
      <c r="Q46" s="128"/>
      <c r="R46" s="128">
        <v>2</v>
      </c>
      <c r="S46" s="128" t="s">
        <v>48</v>
      </c>
    </row>
    <row r="47" spans="1:19" x14ac:dyDescent="0.25">
      <c r="A47" s="128">
        <v>100900</v>
      </c>
      <c r="B47" s="128" t="s">
        <v>39</v>
      </c>
      <c r="C47" s="128" t="s">
        <v>40</v>
      </c>
      <c r="D47" s="128" t="s">
        <v>40</v>
      </c>
      <c r="E47" s="128" t="s">
        <v>3028</v>
      </c>
      <c r="F47" s="128" t="s">
        <v>3029</v>
      </c>
      <c r="G47" s="128">
        <v>102</v>
      </c>
      <c r="H47" s="128" t="s">
        <v>7</v>
      </c>
      <c r="I47" s="128" t="s">
        <v>3030</v>
      </c>
      <c r="J47" s="128" t="s">
        <v>800</v>
      </c>
      <c r="K47" s="128" t="s">
        <v>800</v>
      </c>
      <c r="L47" s="128" t="s">
        <v>800</v>
      </c>
      <c r="M47" s="128" t="s">
        <v>57</v>
      </c>
      <c r="N47" s="128" t="s">
        <v>58</v>
      </c>
      <c r="O47" s="129">
        <v>40614</v>
      </c>
      <c r="P47" s="128"/>
      <c r="Q47" s="128"/>
      <c r="R47" s="128">
        <v>102</v>
      </c>
      <c r="S47" s="128" t="s">
        <v>48</v>
      </c>
    </row>
    <row r="48" spans="1:19" ht="29.25" x14ac:dyDescent="0.25">
      <c r="A48" s="128">
        <v>101300</v>
      </c>
      <c r="B48" s="128" t="s">
        <v>39</v>
      </c>
      <c r="C48" s="128" t="s">
        <v>40</v>
      </c>
      <c r="D48" s="128" t="s">
        <v>40</v>
      </c>
      <c r="E48" s="128" t="s">
        <v>3039</v>
      </c>
      <c r="F48" s="128" t="s">
        <v>3040</v>
      </c>
      <c r="G48" s="128">
        <v>168</v>
      </c>
      <c r="H48" s="128" t="s">
        <v>7</v>
      </c>
      <c r="I48" s="128" t="s">
        <v>3041</v>
      </c>
      <c r="J48" s="128" t="s">
        <v>800</v>
      </c>
      <c r="K48" s="128" t="s">
        <v>800</v>
      </c>
      <c r="L48" s="128" t="s">
        <v>800</v>
      </c>
      <c r="M48" s="128" t="s">
        <v>57</v>
      </c>
      <c r="N48" s="128" t="s">
        <v>58</v>
      </c>
      <c r="O48" s="129">
        <v>40654</v>
      </c>
      <c r="P48" s="128"/>
      <c r="Q48" s="128"/>
      <c r="R48" s="128">
        <v>168</v>
      </c>
      <c r="S48" s="128" t="s">
        <v>48</v>
      </c>
    </row>
    <row r="49" spans="1:19" ht="43.5" x14ac:dyDescent="0.25">
      <c r="A49" s="128">
        <v>103600</v>
      </c>
      <c r="B49" s="128" t="s">
        <v>39</v>
      </c>
      <c r="C49" s="128" t="s">
        <v>40</v>
      </c>
      <c r="D49" s="128" t="s">
        <v>40</v>
      </c>
      <c r="E49" s="128" t="s">
        <v>3113</v>
      </c>
      <c r="F49" s="128" t="s">
        <v>3114</v>
      </c>
      <c r="G49" s="128">
        <v>150</v>
      </c>
      <c r="H49" s="128" t="s">
        <v>7</v>
      </c>
      <c r="I49" s="128" t="s">
        <v>3115</v>
      </c>
      <c r="J49" s="128" t="s">
        <v>800</v>
      </c>
      <c r="K49" s="128" t="s">
        <v>800</v>
      </c>
      <c r="L49" s="128" t="s">
        <v>800</v>
      </c>
      <c r="M49" s="128" t="s">
        <v>57</v>
      </c>
      <c r="N49" s="128" t="s">
        <v>58</v>
      </c>
      <c r="O49" s="129">
        <v>40940</v>
      </c>
      <c r="P49" s="128" t="s">
        <v>3116</v>
      </c>
      <c r="Q49" s="128"/>
      <c r="R49" s="128">
        <v>150</v>
      </c>
      <c r="S49" s="128" t="s">
        <v>48</v>
      </c>
    </row>
    <row r="50" spans="1:19" x14ac:dyDescent="0.25">
      <c r="A50" s="128">
        <v>104500</v>
      </c>
      <c r="B50" s="128" t="s">
        <v>39</v>
      </c>
      <c r="C50" s="128" t="s">
        <v>40</v>
      </c>
      <c r="D50" s="128" t="s">
        <v>40</v>
      </c>
      <c r="E50" s="128" t="s">
        <v>3992</v>
      </c>
      <c r="F50" s="128" t="s">
        <v>3993</v>
      </c>
      <c r="G50" s="128">
        <v>150</v>
      </c>
      <c r="H50" s="128" t="s">
        <v>7</v>
      </c>
      <c r="I50" s="128" t="s">
        <v>3994</v>
      </c>
      <c r="J50" s="128" t="s">
        <v>800</v>
      </c>
      <c r="K50" s="128" t="s">
        <v>800</v>
      </c>
      <c r="L50" s="128" t="s">
        <v>800</v>
      </c>
      <c r="M50" s="128" t="s">
        <v>57</v>
      </c>
      <c r="N50" s="128" t="s">
        <v>58</v>
      </c>
      <c r="O50" s="129">
        <v>41038</v>
      </c>
      <c r="P50" s="128"/>
      <c r="Q50" s="128"/>
      <c r="R50" s="128">
        <v>150</v>
      </c>
      <c r="S50" s="128" t="s">
        <v>48</v>
      </c>
    </row>
    <row r="51" spans="1:19" x14ac:dyDescent="0.25">
      <c r="A51" s="128">
        <v>100400</v>
      </c>
      <c r="B51" s="128" t="s">
        <v>39</v>
      </c>
      <c r="C51" s="128" t="s">
        <v>40</v>
      </c>
      <c r="D51" s="128" t="s">
        <v>40</v>
      </c>
      <c r="E51" s="128" t="s">
        <v>3014</v>
      </c>
      <c r="F51" s="128" t="s">
        <v>3015</v>
      </c>
      <c r="G51" s="128">
        <v>150</v>
      </c>
      <c r="H51" s="128" t="s">
        <v>7</v>
      </c>
      <c r="I51" s="128" t="s">
        <v>3016</v>
      </c>
      <c r="J51" s="128" t="s">
        <v>800</v>
      </c>
      <c r="K51" s="128" t="s">
        <v>800</v>
      </c>
      <c r="L51" s="128" t="s">
        <v>800</v>
      </c>
      <c r="M51" s="128" t="s">
        <v>57</v>
      </c>
      <c r="N51" s="128" t="s">
        <v>58</v>
      </c>
      <c r="O51" s="129">
        <v>40541</v>
      </c>
      <c r="P51" s="128"/>
      <c r="Q51" s="128"/>
      <c r="R51" s="128">
        <v>150</v>
      </c>
      <c r="S51" s="128" t="s">
        <v>48</v>
      </c>
    </row>
    <row r="52" spans="1:19" x14ac:dyDescent="0.25">
      <c r="A52" s="128">
        <v>100500</v>
      </c>
      <c r="B52" s="128" t="s">
        <v>39</v>
      </c>
      <c r="C52" s="128" t="s">
        <v>40</v>
      </c>
      <c r="D52" s="128" t="s">
        <v>40</v>
      </c>
      <c r="E52" s="128" t="s">
        <v>3017</v>
      </c>
      <c r="F52" s="128" t="s">
        <v>3018</v>
      </c>
      <c r="G52" s="128">
        <v>150</v>
      </c>
      <c r="H52" s="128" t="s">
        <v>7</v>
      </c>
      <c r="I52" s="128" t="s">
        <v>3019</v>
      </c>
      <c r="J52" s="128" t="s">
        <v>800</v>
      </c>
      <c r="K52" s="128" t="s">
        <v>800</v>
      </c>
      <c r="L52" s="128" t="s">
        <v>800</v>
      </c>
      <c r="M52" s="128" t="s">
        <v>57</v>
      </c>
      <c r="N52" s="128" t="s">
        <v>58</v>
      </c>
      <c r="O52" s="129">
        <v>40541</v>
      </c>
      <c r="P52" s="128"/>
      <c r="Q52" s="128"/>
      <c r="R52" s="128">
        <v>150</v>
      </c>
      <c r="S52" s="128" t="s">
        <v>48</v>
      </c>
    </row>
    <row r="53" spans="1:19" x14ac:dyDescent="0.25">
      <c r="A53" s="128">
        <v>100700</v>
      </c>
      <c r="B53" s="128" t="s">
        <v>39</v>
      </c>
      <c r="C53" s="128" t="s">
        <v>40</v>
      </c>
      <c r="D53" s="128" t="s">
        <v>40</v>
      </c>
      <c r="E53" s="128" t="s">
        <v>3023</v>
      </c>
      <c r="F53" s="128" t="s">
        <v>3024</v>
      </c>
      <c r="G53" s="128">
        <v>150</v>
      </c>
      <c r="H53" s="128" t="s">
        <v>7</v>
      </c>
      <c r="I53" s="128" t="s">
        <v>3025</v>
      </c>
      <c r="J53" s="128" t="s">
        <v>800</v>
      </c>
      <c r="K53" s="128" t="s">
        <v>800</v>
      </c>
      <c r="L53" s="128" t="s">
        <v>800</v>
      </c>
      <c r="M53" s="128" t="s">
        <v>57</v>
      </c>
      <c r="N53" s="128" t="s">
        <v>58</v>
      </c>
      <c r="O53" s="129">
        <v>40586</v>
      </c>
      <c r="P53" s="128"/>
      <c r="Q53" s="128"/>
      <c r="R53" s="128">
        <v>150</v>
      </c>
      <c r="S53" s="128" t="s">
        <v>48</v>
      </c>
    </row>
    <row r="54" spans="1:19" x14ac:dyDescent="0.25">
      <c r="A54" s="128">
        <v>7000</v>
      </c>
      <c r="B54" s="128" t="s">
        <v>39</v>
      </c>
      <c r="C54" s="128" t="s">
        <v>40</v>
      </c>
      <c r="D54" s="128" t="s">
        <v>40</v>
      </c>
      <c r="E54" s="128" t="s">
        <v>180</v>
      </c>
      <c r="F54" s="128" t="s">
        <v>181</v>
      </c>
      <c r="G54" s="128">
        <v>0.9</v>
      </c>
      <c r="H54" s="128" t="s">
        <v>43</v>
      </c>
      <c r="I54" s="128" t="s">
        <v>6</v>
      </c>
      <c r="J54" s="128" t="s">
        <v>44</v>
      </c>
      <c r="K54" s="128" t="s">
        <v>44</v>
      </c>
      <c r="L54" s="128" t="s">
        <v>45</v>
      </c>
      <c r="M54" s="128" t="s">
        <v>46</v>
      </c>
      <c r="N54" s="128" t="s">
        <v>47</v>
      </c>
      <c r="O54" s="129">
        <v>6941</v>
      </c>
      <c r="P54" s="128"/>
      <c r="Q54" s="128"/>
      <c r="R54" s="128">
        <v>0.9</v>
      </c>
      <c r="S54" s="128" t="s">
        <v>48</v>
      </c>
    </row>
    <row r="55" spans="1:19" ht="29.25" x14ac:dyDescent="0.25">
      <c r="A55" s="128">
        <v>81700</v>
      </c>
      <c r="B55" s="128" t="s">
        <v>39</v>
      </c>
      <c r="C55" s="128" t="s">
        <v>40</v>
      </c>
      <c r="D55" s="128" t="s">
        <v>40</v>
      </c>
      <c r="E55" s="128" t="s">
        <v>2607</v>
      </c>
      <c r="F55" s="128" t="s">
        <v>2608</v>
      </c>
      <c r="G55" s="128">
        <v>48</v>
      </c>
      <c r="H55" s="128" t="s">
        <v>43</v>
      </c>
      <c r="I55" s="128" t="s">
        <v>2609</v>
      </c>
      <c r="J55" s="128" t="s">
        <v>314</v>
      </c>
      <c r="K55" s="128" t="s">
        <v>599</v>
      </c>
      <c r="L55" s="128" t="s">
        <v>259</v>
      </c>
      <c r="M55" s="128" t="s">
        <v>46</v>
      </c>
      <c r="N55" s="128" t="s">
        <v>47</v>
      </c>
      <c r="O55" s="129">
        <v>37627</v>
      </c>
      <c r="P55" s="128"/>
      <c r="Q55" s="128"/>
      <c r="R55" s="128">
        <v>49.9</v>
      </c>
      <c r="S55" s="128" t="s">
        <v>48</v>
      </c>
    </row>
    <row r="56" spans="1:19" x14ac:dyDescent="0.25">
      <c r="A56" s="128">
        <v>7200</v>
      </c>
      <c r="B56" s="128" t="s">
        <v>39</v>
      </c>
      <c r="C56" s="128" t="s">
        <v>49</v>
      </c>
      <c r="D56" s="128" t="s">
        <v>40</v>
      </c>
      <c r="E56" s="128" t="s">
        <v>2238</v>
      </c>
      <c r="F56" s="128" t="s">
        <v>2239</v>
      </c>
      <c r="G56" s="128">
        <v>240</v>
      </c>
      <c r="H56" s="128" t="s">
        <v>43</v>
      </c>
      <c r="I56" s="128" t="s">
        <v>2240</v>
      </c>
      <c r="J56" s="128" t="s">
        <v>713</v>
      </c>
      <c r="K56" s="128" t="s">
        <v>724</v>
      </c>
      <c r="L56" s="128" t="s">
        <v>259</v>
      </c>
      <c r="M56" s="128" t="s">
        <v>46</v>
      </c>
      <c r="N56" s="128" t="s">
        <v>47</v>
      </c>
      <c r="O56" s="129">
        <v>35053</v>
      </c>
      <c r="P56" s="128"/>
      <c r="Q56" s="128"/>
      <c r="R56" s="128">
        <v>247</v>
      </c>
      <c r="S56" s="128" t="s">
        <v>48</v>
      </c>
    </row>
    <row r="57" spans="1:19" ht="57.75" x14ac:dyDescent="0.25">
      <c r="A57" s="128">
        <v>102800</v>
      </c>
      <c r="B57" s="128" t="s">
        <v>39</v>
      </c>
      <c r="C57" s="128" t="s">
        <v>40</v>
      </c>
      <c r="D57" s="128" t="s">
        <v>40</v>
      </c>
      <c r="E57" s="128" t="s">
        <v>3077</v>
      </c>
      <c r="F57" s="128" t="s">
        <v>3078</v>
      </c>
      <c r="G57" s="128">
        <v>1.4</v>
      </c>
      <c r="H57" s="128" t="s">
        <v>43</v>
      </c>
      <c r="I57" s="128" t="s">
        <v>3079</v>
      </c>
      <c r="J57" s="128" t="s">
        <v>384</v>
      </c>
      <c r="K57" s="128" t="s">
        <v>599</v>
      </c>
      <c r="L57" s="128" t="s">
        <v>259</v>
      </c>
      <c r="M57" s="128" t="s">
        <v>46</v>
      </c>
      <c r="N57" s="128" t="s">
        <v>1455</v>
      </c>
      <c r="O57" s="129">
        <v>40813</v>
      </c>
      <c r="P57" s="128" t="s">
        <v>3080</v>
      </c>
      <c r="Q57" s="128"/>
      <c r="R57" s="128">
        <v>1.55</v>
      </c>
      <c r="S57" s="128" t="s">
        <v>48</v>
      </c>
    </row>
    <row r="58" spans="1:19" x14ac:dyDescent="0.25">
      <c r="A58" s="128">
        <v>4100</v>
      </c>
      <c r="B58" s="128" t="s">
        <v>39</v>
      </c>
      <c r="C58" s="128" t="s">
        <v>40</v>
      </c>
      <c r="D58" s="128" t="s">
        <v>40</v>
      </c>
      <c r="E58" s="128" t="s">
        <v>2592</v>
      </c>
      <c r="F58" s="128" t="s">
        <v>2593</v>
      </c>
      <c r="G58" s="128">
        <v>41</v>
      </c>
      <c r="H58" s="128" t="s">
        <v>7</v>
      </c>
      <c r="I58" s="128" t="s">
        <v>2594</v>
      </c>
      <c r="J58" s="128" t="s">
        <v>800</v>
      </c>
      <c r="K58" s="128" t="s">
        <v>800</v>
      </c>
      <c r="L58" s="128" t="s">
        <v>800</v>
      </c>
      <c r="M58" s="128" t="s">
        <v>57</v>
      </c>
      <c r="N58" s="128" t="s">
        <v>58</v>
      </c>
      <c r="O58" s="129">
        <v>37499</v>
      </c>
      <c r="P58" s="128"/>
      <c r="Q58" s="128"/>
      <c r="R58" s="128">
        <v>41</v>
      </c>
      <c r="S58" s="128" t="s">
        <v>48</v>
      </c>
    </row>
    <row r="59" spans="1:19" x14ac:dyDescent="0.25">
      <c r="A59" s="128">
        <v>98800</v>
      </c>
      <c r="B59" s="128" t="s">
        <v>39</v>
      </c>
      <c r="C59" s="128" t="s">
        <v>40</v>
      </c>
      <c r="D59" s="128" t="s">
        <v>40</v>
      </c>
      <c r="E59" s="128" t="s">
        <v>2968</v>
      </c>
      <c r="F59" s="128" t="s">
        <v>2969</v>
      </c>
      <c r="G59" s="128">
        <v>5</v>
      </c>
      <c r="H59" s="128" t="s">
        <v>43</v>
      </c>
      <c r="I59" s="128" t="s">
        <v>2970</v>
      </c>
      <c r="J59" s="128" t="s">
        <v>1055</v>
      </c>
      <c r="K59" s="128" t="s">
        <v>2179</v>
      </c>
      <c r="L59" s="128" t="s">
        <v>1056</v>
      </c>
      <c r="M59" s="128" t="s">
        <v>46</v>
      </c>
      <c r="N59" s="128" t="s">
        <v>47</v>
      </c>
      <c r="O59" s="129">
        <v>40298</v>
      </c>
      <c r="P59" s="128"/>
      <c r="Q59" s="128"/>
      <c r="R59" s="128">
        <v>5</v>
      </c>
      <c r="S59" s="128" t="s">
        <v>48</v>
      </c>
    </row>
    <row r="60" spans="1:19" ht="29.25" x14ac:dyDescent="0.25">
      <c r="A60" s="128">
        <v>99400</v>
      </c>
      <c r="B60" s="128" t="s">
        <v>39</v>
      </c>
      <c r="C60" s="128" t="s">
        <v>49</v>
      </c>
      <c r="D60" s="128" t="s">
        <v>40</v>
      </c>
      <c r="E60" s="128" t="s">
        <v>2991</v>
      </c>
      <c r="F60" s="128" t="s">
        <v>2992</v>
      </c>
      <c r="G60" s="128">
        <v>6.96</v>
      </c>
      <c r="H60" s="128" t="s">
        <v>7</v>
      </c>
      <c r="I60" s="128" t="s">
        <v>2993</v>
      </c>
      <c r="J60" s="128" t="s">
        <v>807</v>
      </c>
      <c r="K60" s="128" t="s">
        <v>315</v>
      </c>
      <c r="L60" s="128" t="s">
        <v>915</v>
      </c>
      <c r="M60" s="128" t="s">
        <v>57</v>
      </c>
      <c r="N60" s="128" t="s">
        <v>58</v>
      </c>
      <c r="O60" s="129">
        <v>40441</v>
      </c>
      <c r="P60" s="128"/>
      <c r="Q60" s="128"/>
      <c r="R60" s="128">
        <v>13.8</v>
      </c>
      <c r="S60" s="128" t="s">
        <v>48</v>
      </c>
    </row>
    <row r="61" spans="1:19" ht="29.25" x14ac:dyDescent="0.25">
      <c r="A61" s="128">
        <v>4300</v>
      </c>
      <c r="B61" s="128" t="s">
        <v>39</v>
      </c>
      <c r="C61" s="128" t="s">
        <v>49</v>
      </c>
      <c r="D61" s="128" t="s">
        <v>40</v>
      </c>
      <c r="E61" s="128" t="s">
        <v>875</v>
      </c>
      <c r="F61" s="128" t="s">
        <v>876</v>
      </c>
      <c r="G61" s="128">
        <v>53</v>
      </c>
      <c r="H61" s="128" t="s">
        <v>43</v>
      </c>
      <c r="I61" s="128" t="s">
        <v>662</v>
      </c>
      <c r="J61" s="128" t="s">
        <v>663</v>
      </c>
      <c r="K61" s="128" t="s">
        <v>385</v>
      </c>
      <c r="L61" s="128" t="s">
        <v>663</v>
      </c>
      <c r="M61" s="128" t="s">
        <v>46</v>
      </c>
      <c r="N61" s="128" t="s">
        <v>47</v>
      </c>
      <c r="O61" s="129">
        <v>30317</v>
      </c>
      <c r="P61" s="128"/>
      <c r="Q61" s="128"/>
      <c r="R61" s="128">
        <v>78</v>
      </c>
      <c r="S61" s="128" t="s">
        <v>48</v>
      </c>
    </row>
    <row r="62" spans="1:19" x14ac:dyDescent="0.25">
      <c r="A62" s="128">
        <v>76200</v>
      </c>
      <c r="B62" s="128" t="s">
        <v>39</v>
      </c>
      <c r="C62" s="128" t="s">
        <v>40</v>
      </c>
      <c r="D62" s="128" t="s">
        <v>40</v>
      </c>
      <c r="E62" s="128" t="s">
        <v>1156</v>
      </c>
      <c r="F62" s="128" t="s">
        <v>1157</v>
      </c>
      <c r="G62" s="128">
        <v>8</v>
      </c>
      <c r="H62" s="128" t="s">
        <v>43</v>
      </c>
      <c r="I62" s="128" t="s">
        <v>1158</v>
      </c>
      <c r="J62" s="128" t="s">
        <v>44</v>
      </c>
      <c r="K62" s="128" t="s">
        <v>44</v>
      </c>
      <c r="L62" s="128" t="s">
        <v>45</v>
      </c>
      <c r="M62" s="128" t="s">
        <v>46</v>
      </c>
      <c r="N62" s="128" t="s">
        <v>47</v>
      </c>
      <c r="O62" s="129">
        <v>31048</v>
      </c>
      <c r="P62" s="128"/>
      <c r="Q62" s="128"/>
      <c r="R62" s="128">
        <v>7.9</v>
      </c>
      <c r="S62" s="128" t="s">
        <v>48</v>
      </c>
    </row>
    <row r="63" spans="1:19" ht="29.25" x14ac:dyDescent="0.25">
      <c r="A63" s="128">
        <v>102500</v>
      </c>
      <c r="B63" s="128" t="s">
        <v>39</v>
      </c>
      <c r="C63" s="128" t="s">
        <v>40</v>
      </c>
      <c r="D63" s="128" t="s">
        <v>40</v>
      </c>
      <c r="E63" s="128" t="s">
        <v>3072</v>
      </c>
      <c r="F63" s="128" t="s">
        <v>3073</v>
      </c>
      <c r="G63" s="128">
        <v>49.4</v>
      </c>
      <c r="H63" s="128" t="s">
        <v>7</v>
      </c>
      <c r="I63" s="128" t="s">
        <v>1962</v>
      </c>
      <c r="J63" s="128" t="s">
        <v>314</v>
      </c>
      <c r="K63" s="128" t="s">
        <v>599</v>
      </c>
      <c r="L63" s="128" t="s">
        <v>259</v>
      </c>
      <c r="M63" s="128" t="s">
        <v>57</v>
      </c>
      <c r="N63" s="128" t="s">
        <v>58</v>
      </c>
      <c r="O63" s="129">
        <v>40802</v>
      </c>
      <c r="P63" s="128" t="s">
        <v>3074</v>
      </c>
      <c r="Q63" s="128"/>
      <c r="R63" s="128">
        <v>49.5</v>
      </c>
      <c r="S63" s="128" t="s">
        <v>48</v>
      </c>
    </row>
    <row r="64" spans="1:19" ht="29.25" x14ac:dyDescent="0.25">
      <c r="A64" s="128">
        <v>102600</v>
      </c>
      <c r="B64" s="128" t="s">
        <v>39</v>
      </c>
      <c r="C64" s="128" t="s">
        <v>40</v>
      </c>
      <c r="D64" s="128" t="s">
        <v>40</v>
      </c>
      <c r="E64" s="128" t="s">
        <v>3075</v>
      </c>
      <c r="F64" s="128" t="s">
        <v>3076</v>
      </c>
      <c r="G64" s="128">
        <v>49.4</v>
      </c>
      <c r="H64" s="128" t="s">
        <v>7</v>
      </c>
      <c r="I64" s="128" t="s">
        <v>1962</v>
      </c>
      <c r="J64" s="128" t="s">
        <v>314</v>
      </c>
      <c r="K64" s="128" t="s">
        <v>599</v>
      </c>
      <c r="L64" s="128" t="s">
        <v>259</v>
      </c>
      <c r="M64" s="128" t="s">
        <v>57</v>
      </c>
      <c r="N64" s="128" t="s">
        <v>58</v>
      </c>
      <c r="O64" s="129">
        <v>40802</v>
      </c>
      <c r="P64" s="128" t="s">
        <v>3074</v>
      </c>
      <c r="Q64" s="128"/>
      <c r="R64" s="128">
        <v>49.5</v>
      </c>
      <c r="S64" s="128" t="s">
        <v>48</v>
      </c>
    </row>
    <row r="65" spans="1:19" x14ac:dyDescent="0.25">
      <c r="A65" s="128">
        <v>101900</v>
      </c>
      <c r="B65" s="128" t="s">
        <v>39</v>
      </c>
      <c r="C65" s="128" t="s">
        <v>40</v>
      </c>
      <c r="D65" s="128" t="s">
        <v>40</v>
      </c>
      <c r="E65" s="128" t="s">
        <v>3048</v>
      </c>
      <c r="F65" s="128" t="s">
        <v>3049</v>
      </c>
      <c r="G65" s="128">
        <v>49.4</v>
      </c>
      <c r="H65" s="128" t="s">
        <v>7</v>
      </c>
      <c r="I65" s="128" t="s">
        <v>3050</v>
      </c>
      <c r="J65" s="128" t="s">
        <v>314</v>
      </c>
      <c r="K65" s="128" t="s">
        <v>599</v>
      </c>
      <c r="L65" s="128" t="s">
        <v>259</v>
      </c>
      <c r="M65" s="128" t="s">
        <v>57</v>
      </c>
      <c r="N65" s="128" t="s">
        <v>1963</v>
      </c>
      <c r="O65" s="129">
        <v>40754</v>
      </c>
      <c r="P65" s="128"/>
      <c r="Q65" s="128"/>
      <c r="R65" s="128">
        <v>49.5</v>
      </c>
      <c r="S65" s="128" t="s">
        <v>48</v>
      </c>
    </row>
    <row r="66" spans="1:19" x14ac:dyDescent="0.25">
      <c r="A66" s="128">
        <v>102000</v>
      </c>
      <c r="B66" s="128" t="s">
        <v>39</v>
      </c>
      <c r="C66" s="128" t="s">
        <v>40</v>
      </c>
      <c r="D66" s="128" t="s">
        <v>40</v>
      </c>
      <c r="E66" s="128" t="s">
        <v>3051</v>
      </c>
      <c r="F66" s="128" t="s">
        <v>3052</v>
      </c>
      <c r="G66" s="128">
        <v>49.4</v>
      </c>
      <c r="H66" s="128" t="s">
        <v>7</v>
      </c>
      <c r="I66" s="128" t="s">
        <v>3050</v>
      </c>
      <c r="J66" s="128" t="s">
        <v>314</v>
      </c>
      <c r="K66" s="128" t="s">
        <v>599</v>
      </c>
      <c r="L66" s="128" t="s">
        <v>259</v>
      </c>
      <c r="M66" s="128" t="s">
        <v>57</v>
      </c>
      <c r="N66" s="128" t="s">
        <v>1963</v>
      </c>
      <c r="O66" s="129">
        <v>40754</v>
      </c>
      <c r="P66" s="128"/>
      <c r="Q66" s="128"/>
      <c r="R66" s="128">
        <v>49.5</v>
      </c>
      <c r="S66" s="128" t="s">
        <v>48</v>
      </c>
    </row>
    <row r="67" spans="1:19" x14ac:dyDescent="0.25">
      <c r="A67" s="128">
        <v>4500</v>
      </c>
      <c r="B67" s="128" t="s">
        <v>39</v>
      </c>
      <c r="C67" s="128" t="s">
        <v>40</v>
      </c>
      <c r="D67" s="128" t="s">
        <v>40</v>
      </c>
      <c r="E67" s="128" t="s">
        <v>197</v>
      </c>
      <c r="F67" s="128" t="s">
        <v>198</v>
      </c>
      <c r="G67" s="128">
        <v>24</v>
      </c>
      <c r="H67" s="128" t="s">
        <v>43</v>
      </c>
      <c r="I67" s="128" t="s">
        <v>6</v>
      </c>
      <c r="J67" s="128" t="s">
        <v>44</v>
      </c>
      <c r="K67" s="128" t="s">
        <v>44</v>
      </c>
      <c r="L67" s="128" t="s">
        <v>45</v>
      </c>
      <c r="M67" s="128" t="s">
        <v>46</v>
      </c>
      <c r="N67" s="128" t="s">
        <v>47</v>
      </c>
      <c r="O67" s="129">
        <v>7672</v>
      </c>
      <c r="P67" s="128"/>
      <c r="Q67" s="128" t="s">
        <v>194</v>
      </c>
      <c r="R67" s="128">
        <v>24</v>
      </c>
      <c r="S67" s="128" t="s">
        <v>48</v>
      </c>
    </row>
    <row r="68" spans="1:19" x14ac:dyDescent="0.25">
      <c r="A68" s="128">
        <v>5000</v>
      </c>
      <c r="B68" s="128" t="s">
        <v>39</v>
      </c>
      <c r="C68" s="128" t="s">
        <v>40</v>
      </c>
      <c r="D68" s="128" t="s">
        <v>40</v>
      </c>
      <c r="E68" s="128" t="s">
        <v>508</v>
      </c>
      <c r="F68" s="128" t="s">
        <v>509</v>
      </c>
      <c r="G68" s="128">
        <v>42</v>
      </c>
      <c r="H68" s="128" t="s">
        <v>43</v>
      </c>
      <c r="I68" s="128" t="s">
        <v>510</v>
      </c>
      <c r="J68" s="128" t="s">
        <v>44</v>
      </c>
      <c r="K68" s="128" t="s">
        <v>44</v>
      </c>
      <c r="L68" s="128" t="s">
        <v>45</v>
      </c>
      <c r="M68" s="128" t="s">
        <v>46</v>
      </c>
      <c r="N68" s="128" t="s">
        <v>47</v>
      </c>
      <c r="O68" s="129">
        <v>23743</v>
      </c>
      <c r="P68" s="128"/>
      <c r="Q68" s="128" t="s">
        <v>148</v>
      </c>
      <c r="R68" s="128">
        <v>42</v>
      </c>
      <c r="S68" s="128" t="s">
        <v>48</v>
      </c>
    </row>
    <row r="69" spans="1:19" x14ac:dyDescent="0.25">
      <c r="A69" s="128">
        <v>98400</v>
      </c>
      <c r="B69" s="128" t="s">
        <v>39</v>
      </c>
      <c r="C69" s="128" t="s">
        <v>40</v>
      </c>
      <c r="D69" s="128" t="s">
        <v>40</v>
      </c>
      <c r="E69" s="128" t="s">
        <v>2959</v>
      </c>
      <c r="F69" s="128" t="s">
        <v>2960</v>
      </c>
      <c r="G69" s="128">
        <v>2</v>
      </c>
      <c r="H69" s="128" t="s">
        <v>7</v>
      </c>
      <c r="I69" s="128" t="s">
        <v>7</v>
      </c>
      <c r="J69" s="128" t="s">
        <v>1055</v>
      </c>
      <c r="K69" s="128" t="s">
        <v>2179</v>
      </c>
      <c r="L69" s="128" t="s">
        <v>1056</v>
      </c>
      <c r="M69" s="128" t="s">
        <v>57</v>
      </c>
      <c r="N69" s="128" t="s">
        <v>58</v>
      </c>
      <c r="O69" s="129">
        <v>40148</v>
      </c>
      <c r="P69" s="128"/>
      <c r="Q69" s="128"/>
      <c r="R69" s="128">
        <v>2</v>
      </c>
      <c r="S69" s="128" t="s">
        <v>48</v>
      </c>
    </row>
    <row r="70" spans="1:19" ht="29.25" x14ac:dyDescent="0.25">
      <c r="A70" s="128">
        <v>100200</v>
      </c>
      <c r="B70" s="128" t="s">
        <v>39</v>
      </c>
      <c r="C70" s="128" t="s">
        <v>49</v>
      </c>
      <c r="D70" s="128" t="s">
        <v>40</v>
      </c>
      <c r="E70" s="128" t="s">
        <v>3009</v>
      </c>
      <c r="F70" s="128" t="s">
        <v>3010</v>
      </c>
      <c r="G70" s="128">
        <v>8</v>
      </c>
      <c r="H70" s="128" t="s">
        <v>7</v>
      </c>
      <c r="I70" s="128" t="s">
        <v>3011</v>
      </c>
      <c r="J70" s="128" t="s">
        <v>807</v>
      </c>
      <c r="K70" s="128" t="s">
        <v>315</v>
      </c>
      <c r="L70" s="128" t="s">
        <v>915</v>
      </c>
      <c r="M70" s="128" t="s">
        <v>57</v>
      </c>
      <c r="N70" s="128" t="s">
        <v>58</v>
      </c>
      <c r="O70" s="129">
        <v>40505</v>
      </c>
      <c r="P70" s="128"/>
      <c r="Q70" s="128"/>
      <c r="R70" s="128">
        <v>9.1999999999999993</v>
      </c>
      <c r="S70" s="128" t="s">
        <v>48</v>
      </c>
    </row>
    <row r="71" spans="1:19" x14ac:dyDescent="0.25">
      <c r="A71" s="128">
        <v>96400</v>
      </c>
      <c r="B71" s="128" t="s">
        <v>39</v>
      </c>
      <c r="C71" s="128" t="s">
        <v>40</v>
      </c>
      <c r="D71" s="128" t="s">
        <v>40</v>
      </c>
      <c r="E71" s="128" t="s">
        <v>2914</v>
      </c>
      <c r="F71" s="128" t="s">
        <v>2915</v>
      </c>
      <c r="G71" s="128">
        <v>10.8</v>
      </c>
      <c r="H71" s="128" t="s">
        <v>43</v>
      </c>
      <c r="I71" s="128" t="s">
        <v>2916</v>
      </c>
      <c r="J71" s="128" t="s">
        <v>807</v>
      </c>
      <c r="K71" s="128" t="s">
        <v>385</v>
      </c>
      <c r="L71" s="128" t="s">
        <v>915</v>
      </c>
      <c r="M71" s="128" t="s">
        <v>46</v>
      </c>
      <c r="N71" s="128" t="s">
        <v>47</v>
      </c>
      <c r="O71" s="129">
        <v>39576</v>
      </c>
      <c r="P71" s="128"/>
      <c r="Q71" s="128"/>
      <c r="R71" s="128">
        <v>12.5</v>
      </c>
      <c r="S71" s="128" t="s">
        <v>48</v>
      </c>
    </row>
    <row r="72" spans="1:19" x14ac:dyDescent="0.25">
      <c r="A72" s="128">
        <v>5600</v>
      </c>
      <c r="B72" s="128" t="s">
        <v>39</v>
      </c>
      <c r="C72" s="128" t="s">
        <v>40</v>
      </c>
      <c r="D72" s="128" t="s">
        <v>40</v>
      </c>
      <c r="E72" s="128" t="s">
        <v>628</v>
      </c>
      <c r="F72" s="128" t="s">
        <v>629</v>
      </c>
      <c r="G72" s="128">
        <v>176.72</v>
      </c>
      <c r="H72" s="128" t="s">
        <v>43</v>
      </c>
      <c r="I72" s="128" t="s">
        <v>531</v>
      </c>
      <c r="J72" s="128" t="s">
        <v>44</v>
      </c>
      <c r="K72" s="128" t="s">
        <v>44</v>
      </c>
      <c r="L72" s="128" t="s">
        <v>45</v>
      </c>
      <c r="M72" s="128" t="s">
        <v>46</v>
      </c>
      <c r="N72" s="128" t="s">
        <v>47</v>
      </c>
      <c r="O72" s="129">
        <v>25204</v>
      </c>
      <c r="P72" s="128"/>
      <c r="Q72" s="128" t="s">
        <v>630</v>
      </c>
      <c r="R72" s="128">
        <v>176.72</v>
      </c>
      <c r="S72" s="128" t="s">
        <v>48</v>
      </c>
    </row>
    <row r="73" spans="1:19" x14ac:dyDescent="0.25">
      <c r="A73" s="128">
        <v>5700</v>
      </c>
      <c r="B73" s="128" t="s">
        <v>39</v>
      </c>
      <c r="C73" s="128" t="s">
        <v>40</v>
      </c>
      <c r="D73" s="128" t="s">
        <v>40</v>
      </c>
      <c r="E73" s="128" t="s">
        <v>631</v>
      </c>
      <c r="F73" s="128" t="s">
        <v>632</v>
      </c>
      <c r="G73" s="128">
        <v>175.67</v>
      </c>
      <c r="H73" s="128" t="s">
        <v>43</v>
      </c>
      <c r="I73" s="128" t="s">
        <v>531</v>
      </c>
      <c r="J73" s="128" t="s">
        <v>44</v>
      </c>
      <c r="K73" s="128" t="s">
        <v>44</v>
      </c>
      <c r="L73" s="128" t="s">
        <v>45</v>
      </c>
      <c r="M73" s="128" t="s">
        <v>46</v>
      </c>
      <c r="N73" s="128" t="s">
        <v>47</v>
      </c>
      <c r="O73" s="129">
        <v>25204</v>
      </c>
      <c r="P73" s="128"/>
      <c r="Q73" s="128" t="s">
        <v>630</v>
      </c>
      <c r="R73" s="128">
        <v>175.67</v>
      </c>
      <c r="S73" s="128" t="s">
        <v>48</v>
      </c>
    </row>
    <row r="74" spans="1:19" x14ac:dyDescent="0.25">
      <c r="A74" s="128">
        <v>100300</v>
      </c>
      <c r="B74" s="128" t="s">
        <v>39</v>
      </c>
      <c r="C74" s="128" t="s">
        <v>40</v>
      </c>
      <c r="D74" s="128" t="s">
        <v>40</v>
      </c>
      <c r="E74" s="128" t="s">
        <v>3012</v>
      </c>
      <c r="F74" s="128" t="s">
        <v>3013</v>
      </c>
      <c r="G74" s="128">
        <v>668</v>
      </c>
      <c r="H74" s="128" t="s">
        <v>43</v>
      </c>
      <c r="I74" s="128" t="s">
        <v>6</v>
      </c>
      <c r="J74" s="128" t="s">
        <v>713</v>
      </c>
      <c r="K74" s="128" t="s">
        <v>599</v>
      </c>
      <c r="L74" s="128" t="s">
        <v>259</v>
      </c>
      <c r="M74" s="128" t="s">
        <v>46</v>
      </c>
      <c r="N74" s="128" t="s">
        <v>47</v>
      </c>
      <c r="O74" s="129">
        <v>40534</v>
      </c>
      <c r="P74" s="128"/>
      <c r="Q74" s="128"/>
      <c r="R74" s="128">
        <v>715</v>
      </c>
      <c r="S74" s="128" t="s">
        <v>48</v>
      </c>
    </row>
    <row r="75" spans="1:19" x14ac:dyDescent="0.25">
      <c r="A75" s="128">
        <v>6100</v>
      </c>
      <c r="B75" s="128" t="s">
        <v>39</v>
      </c>
      <c r="C75" s="128" t="s">
        <v>40</v>
      </c>
      <c r="D75" s="128" t="s">
        <v>40</v>
      </c>
      <c r="E75" s="128" t="s">
        <v>490</v>
      </c>
      <c r="F75" s="128" t="s">
        <v>491</v>
      </c>
      <c r="G75" s="128">
        <v>337</v>
      </c>
      <c r="H75" s="128" t="s">
        <v>43</v>
      </c>
      <c r="I75" s="128" t="s">
        <v>454</v>
      </c>
      <c r="J75" s="128" t="s">
        <v>384</v>
      </c>
      <c r="K75" s="128" t="s">
        <v>385</v>
      </c>
      <c r="L75" s="128" t="s">
        <v>259</v>
      </c>
      <c r="M75" s="128" t="s">
        <v>46</v>
      </c>
      <c r="N75" s="128" t="s">
        <v>47</v>
      </c>
      <c r="O75" s="129">
        <v>23377</v>
      </c>
      <c r="P75" s="128"/>
      <c r="Q75" s="128"/>
      <c r="R75" s="128">
        <v>330</v>
      </c>
      <c r="S75" s="128" t="s">
        <v>48</v>
      </c>
    </row>
    <row r="76" spans="1:19" x14ac:dyDescent="0.25">
      <c r="A76" s="128">
        <v>6200</v>
      </c>
      <c r="B76" s="128" t="s">
        <v>39</v>
      </c>
      <c r="C76" s="128" t="s">
        <v>40</v>
      </c>
      <c r="D76" s="128" t="s">
        <v>40</v>
      </c>
      <c r="E76" s="128" t="s">
        <v>492</v>
      </c>
      <c r="F76" s="128" t="s">
        <v>493</v>
      </c>
      <c r="G76" s="128">
        <v>337</v>
      </c>
      <c r="H76" s="128" t="s">
        <v>43</v>
      </c>
      <c r="I76" s="128" t="s">
        <v>454</v>
      </c>
      <c r="J76" s="128" t="s">
        <v>384</v>
      </c>
      <c r="K76" s="128" t="s">
        <v>385</v>
      </c>
      <c r="L76" s="128" t="s">
        <v>259</v>
      </c>
      <c r="M76" s="128" t="s">
        <v>46</v>
      </c>
      <c r="N76" s="128" t="s">
        <v>47</v>
      </c>
      <c r="O76" s="129">
        <v>23377</v>
      </c>
      <c r="P76" s="128"/>
      <c r="Q76" s="128"/>
      <c r="R76" s="128">
        <v>330</v>
      </c>
      <c r="S76" s="128" t="s">
        <v>48</v>
      </c>
    </row>
    <row r="77" spans="1:19" x14ac:dyDescent="0.25">
      <c r="A77" s="128">
        <v>6300</v>
      </c>
      <c r="B77" s="128" t="s">
        <v>39</v>
      </c>
      <c r="C77" s="128" t="s">
        <v>40</v>
      </c>
      <c r="D77" s="128" t="s">
        <v>40</v>
      </c>
      <c r="E77" s="128" t="s">
        <v>462</v>
      </c>
      <c r="F77" s="128" t="s">
        <v>463</v>
      </c>
      <c r="G77" s="128">
        <v>63</v>
      </c>
      <c r="H77" s="128" t="s">
        <v>7</v>
      </c>
      <c r="I77" s="128" t="s">
        <v>464</v>
      </c>
      <c r="J77" s="128" t="s">
        <v>384</v>
      </c>
      <c r="K77" s="128" t="s">
        <v>385</v>
      </c>
      <c r="L77" s="128" t="s">
        <v>259</v>
      </c>
      <c r="M77" s="128" t="s">
        <v>57</v>
      </c>
      <c r="N77" s="128" t="s">
        <v>58</v>
      </c>
      <c r="O77" s="129">
        <v>22282</v>
      </c>
      <c r="P77" s="128"/>
      <c r="Q77" s="128"/>
      <c r="R77" s="128">
        <v>65</v>
      </c>
      <c r="S77" s="128" t="s">
        <v>48</v>
      </c>
    </row>
    <row r="78" spans="1:19" x14ac:dyDescent="0.25">
      <c r="A78" s="128">
        <v>6400</v>
      </c>
      <c r="B78" s="128" t="s">
        <v>39</v>
      </c>
      <c r="C78" s="128" t="s">
        <v>40</v>
      </c>
      <c r="D78" s="128" t="s">
        <v>40</v>
      </c>
      <c r="E78" s="128" t="s">
        <v>494</v>
      </c>
      <c r="F78" s="128" t="s">
        <v>495</v>
      </c>
      <c r="G78" s="128">
        <v>81.5</v>
      </c>
      <c r="H78" s="128" t="s">
        <v>7</v>
      </c>
      <c r="I78" s="128" t="s">
        <v>464</v>
      </c>
      <c r="J78" s="128" t="s">
        <v>384</v>
      </c>
      <c r="K78" s="128" t="s">
        <v>385</v>
      </c>
      <c r="L78" s="128" t="s">
        <v>259</v>
      </c>
      <c r="M78" s="128" t="s">
        <v>57</v>
      </c>
      <c r="N78" s="128" t="s">
        <v>58</v>
      </c>
      <c r="O78" s="129">
        <v>23377</v>
      </c>
      <c r="P78" s="128"/>
      <c r="Q78" s="128"/>
      <c r="R78" s="128">
        <v>71</v>
      </c>
      <c r="S78" s="128" t="s">
        <v>48</v>
      </c>
    </row>
    <row r="79" spans="1:19" x14ac:dyDescent="0.25">
      <c r="A79" s="128">
        <v>101200</v>
      </c>
      <c r="B79" s="128" t="s">
        <v>39</v>
      </c>
      <c r="C79" s="128" t="s">
        <v>40</v>
      </c>
      <c r="D79" s="128" t="s">
        <v>40</v>
      </c>
      <c r="E79" s="128" t="s">
        <v>2977</v>
      </c>
      <c r="F79" s="128" t="s">
        <v>2978</v>
      </c>
      <c r="G79" s="128">
        <v>48</v>
      </c>
      <c r="H79" s="128" t="s">
        <v>7</v>
      </c>
      <c r="I79" s="128" t="s">
        <v>2979</v>
      </c>
      <c r="J79" s="128" t="s">
        <v>1055</v>
      </c>
      <c r="K79" s="128" t="s">
        <v>2179</v>
      </c>
      <c r="L79" s="128" t="s">
        <v>1056</v>
      </c>
      <c r="M79" s="128" t="s">
        <v>57</v>
      </c>
      <c r="N79" s="128" t="s">
        <v>58</v>
      </c>
      <c r="O79" s="129">
        <v>40344</v>
      </c>
      <c r="P79" s="128" t="s">
        <v>2980</v>
      </c>
      <c r="Q79" s="128"/>
      <c r="R79" s="128">
        <v>48</v>
      </c>
      <c r="S79" s="128" t="s">
        <v>48</v>
      </c>
    </row>
    <row r="80" spans="1:19" ht="43.5" x14ac:dyDescent="0.25">
      <c r="A80" s="128">
        <v>103900</v>
      </c>
      <c r="B80" s="128" t="s">
        <v>39</v>
      </c>
      <c r="C80" s="128" t="s">
        <v>40</v>
      </c>
      <c r="D80" s="128" t="s">
        <v>40</v>
      </c>
      <c r="E80" s="128" t="s">
        <v>3128</v>
      </c>
      <c r="F80" s="128" t="s">
        <v>994</v>
      </c>
      <c r="G80" s="128">
        <v>102</v>
      </c>
      <c r="H80" s="128" t="s">
        <v>7</v>
      </c>
      <c r="I80" s="128" t="s">
        <v>3129</v>
      </c>
      <c r="J80" s="128" t="s">
        <v>800</v>
      </c>
      <c r="K80" s="128" t="s">
        <v>800</v>
      </c>
      <c r="L80" s="128" t="s">
        <v>800</v>
      </c>
      <c r="M80" s="128" t="s">
        <v>57</v>
      </c>
      <c r="N80" s="128" t="s">
        <v>58</v>
      </c>
      <c r="O80" s="129">
        <v>40997</v>
      </c>
      <c r="P80" s="128" t="s">
        <v>3130</v>
      </c>
      <c r="Q80" s="128"/>
      <c r="R80" s="128">
        <v>102</v>
      </c>
      <c r="S80" s="128" t="s">
        <v>48</v>
      </c>
    </row>
    <row r="81" spans="1:19" x14ac:dyDescent="0.25">
      <c r="A81" s="128">
        <v>104400</v>
      </c>
      <c r="B81" s="128" t="s">
        <v>39</v>
      </c>
      <c r="C81" s="128" t="s">
        <v>49</v>
      </c>
      <c r="D81" s="128" t="s">
        <v>40</v>
      </c>
      <c r="E81" s="128" t="s">
        <v>993</v>
      </c>
      <c r="F81" s="128" t="s">
        <v>994</v>
      </c>
      <c r="G81" s="128">
        <v>7.5</v>
      </c>
      <c r="H81" s="128" t="s">
        <v>7</v>
      </c>
      <c r="I81" s="128" t="s">
        <v>995</v>
      </c>
      <c r="J81" s="128" t="s">
        <v>800</v>
      </c>
      <c r="K81" s="128" t="s">
        <v>800</v>
      </c>
      <c r="L81" s="128" t="s">
        <v>800</v>
      </c>
      <c r="M81" s="128" t="s">
        <v>57</v>
      </c>
      <c r="N81" s="128" t="s">
        <v>58</v>
      </c>
      <c r="O81" s="129">
        <v>30651</v>
      </c>
      <c r="P81" s="128"/>
      <c r="Q81" s="128"/>
      <c r="R81" s="128">
        <v>7.5</v>
      </c>
      <c r="S81" s="128" t="s">
        <v>48</v>
      </c>
    </row>
    <row r="82" spans="1:19" x14ac:dyDescent="0.25">
      <c r="A82" s="128">
        <v>6900</v>
      </c>
      <c r="B82" s="128" t="s">
        <v>39</v>
      </c>
      <c r="C82" s="128" t="s">
        <v>49</v>
      </c>
      <c r="D82" s="128" t="s">
        <v>40</v>
      </c>
      <c r="E82" s="128" t="s">
        <v>1800</v>
      </c>
      <c r="F82" s="128" t="s">
        <v>1801</v>
      </c>
      <c r="G82" s="128">
        <v>9.99</v>
      </c>
      <c r="H82" s="128" t="s">
        <v>7</v>
      </c>
      <c r="I82" s="128" t="s">
        <v>1802</v>
      </c>
      <c r="J82" s="128" t="s">
        <v>807</v>
      </c>
      <c r="K82" s="128" t="s">
        <v>385</v>
      </c>
      <c r="L82" s="128" t="s">
        <v>915</v>
      </c>
      <c r="M82" s="128" t="s">
        <v>57</v>
      </c>
      <c r="N82" s="128" t="s">
        <v>58</v>
      </c>
      <c r="O82" s="129">
        <v>32509</v>
      </c>
      <c r="P82" s="128"/>
      <c r="Q82" s="128"/>
      <c r="R82" s="128">
        <v>17.100000000000001</v>
      </c>
      <c r="S82" s="128" t="s">
        <v>48</v>
      </c>
    </row>
    <row r="83" spans="1:19" x14ac:dyDescent="0.25">
      <c r="A83" s="128">
        <v>7300</v>
      </c>
      <c r="B83" s="128" t="s">
        <v>39</v>
      </c>
      <c r="C83" s="128" t="s">
        <v>40</v>
      </c>
      <c r="D83" s="128" t="s">
        <v>40</v>
      </c>
      <c r="E83" s="128" t="s">
        <v>474</v>
      </c>
      <c r="F83" s="128" t="s">
        <v>475</v>
      </c>
      <c r="G83" s="128">
        <v>18.5</v>
      </c>
      <c r="H83" s="128" t="s">
        <v>43</v>
      </c>
      <c r="I83" s="128" t="s">
        <v>6</v>
      </c>
      <c r="J83" s="128" t="s">
        <v>44</v>
      </c>
      <c r="K83" s="128" t="s">
        <v>44</v>
      </c>
      <c r="L83" s="128" t="s">
        <v>45</v>
      </c>
      <c r="M83" s="128" t="s">
        <v>46</v>
      </c>
      <c r="N83" s="128" t="s">
        <v>47</v>
      </c>
      <c r="O83" s="129">
        <v>23012</v>
      </c>
      <c r="P83" s="128"/>
      <c r="Q83" s="128" t="s">
        <v>476</v>
      </c>
      <c r="R83" s="128">
        <v>18.5</v>
      </c>
      <c r="S83" s="128" t="s">
        <v>48</v>
      </c>
    </row>
    <row r="84" spans="1:19" x14ac:dyDescent="0.25">
      <c r="A84" s="128">
        <v>7400</v>
      </c>
      <c r="B84" s="128" t="s">
        <v>39</v>
      </c>
      <c r="C84" s="128" t="s">
        <v>40</v>
      </c>
      <c r="D84" s="128" t="s">
        <v>40</v>
      </c>
      <c r="E84" s="128" t="s">
        <v>101</v>
      </c>
      <c r="F84" s="128" t="s">
        <v>102</v>
      </c>
      <c r="G84" s="128">
        <v>7</v>
      </c>
      <c r="H84" s="128" t="s">
        <v>43</v>
      </c>
      <c r="I84" s="128" t="s">
        <v>6</v>
      </c>
      <c r="J84" s="128" t="s">
        <v>44</v>
      </c>
      <c r="K84" s="128" t="s">
        <v>44</v>
      </c>
      <c r="L84" s="128" t="s">
        <v>45</v>
      </c>
      <c r="M84" s="128" t="s">
        <v>46</v>
      </c>
      <c r="N84" s="128" t="s">
        <v>47</v>
      </c>
      <c r="O84" s="129">
        <v>2923</v>
      </c>
      <c r="P84" s="128"/>
      <c r="Q84" s="128"/>
      <c r="R84" s="128">
        <v>7</v>
      </c>
      <c r="S84" s="128" t="s">
        <v>48</v>
      </c>
    </row>
    <row r="85" spans="1:19" x14ac:dyDescent="0.25">
      <c r="A85" s="128">
        <v>90900</v>
      </c>
      <c r="B85" s="128" t="s">
        <v>39</v>
      </c>
      <c r="C85" s="128" t="s">
        <v>40</v>
      </c>
      <c r="D85" s="128" t="s">
        <v>40</v>
      </c>
      <c r="E85" s="128" t="s">
        <v>2752</v>
      </c>
      <c r="F85" s="128" t="s">
        <v>2753</v>
      </c>
      <c r="G85" s="128">
        <v>18.600000000000001</v>
      </c>
      <c r="H85" s="128" t="s">
        <v>43</v>
      </c>
      <c r="I85" s="128" t="s">
        <v>2754</v>
      </c>
      <c r="J85" s="128" t="s">
        <v>800</v>
      </c>
      <c r="K85" s="128" t="s">
        <v>800</v>
      </c>
      <c r="L85" s="128" t="s">
        <v>800</v>
      </c>
      <c r="M85" s="128" t="s">
        <v>46</v>
      </c>
      <c r="N85" s="128" t="s">
        <v>47</v>
      </c>
      <c r="O85" s="129">
        <v>38473</v>
      </c>
      <c r="P85" s="128" t="s">
        <v>2755</v>
      </c>
      <c r="Q85" s="128"/>
      <c r="R85" s="128">
        <v>18</v>
      </c>
      <c r="S85" s="128" t="s">
        <v>48</v>
      </c>
    </row>
    <row r="86" spans="1:19" x14ac:dyDescent="0.25">
      <c r="A86" s="128">
        <v>7800</v>
      </c>
      <c r="B86" s="128" t="s">
        <v>39</v>
      </c>
      <c r="C86" s="128" t="s">
        <v>40</v>
      </c>
      <c r="D86" s="128" t="s">
        <v>40</v>
      </c>
      <c r="E86" s="128" t="s">
        <v>1159</v>
      </c>
      <c r="F86" s="128" t="s">
        <v>1160</v>
      </c>
      <c r="G86" s="128">
        <v>1150</v>
      </c>
      <c r="H86" s="128" t="s">
        <v>43</v>
      </c>
      <c r="I86" s="128" t="s">
        <v>6</v>
      </c>
      <c r="J86" s="128" t="s">
        <v>891</v>
      </c>
      <c r="K86" s="128" t="s">
        <v>385</v>
      </c>
      <c r="L86" s="128" t="s">
        <v>892</v>
      </c>
      <c r="M86" s="128" t="s">
        <v>212</v>
      </c>
      <c r="N86" s="128" t="s">
        <v>213</v>
      </c>
      <c r="O86" s="129">
        <v>31048</v>
      </c>
      <c r="P86" s="128"/>
      <c r="Q86" s="128"/>
      <c r="R86" s="128">
        <v>1150</v>
      </c>
      <c r="S86" s="128" t="s">
        <v>48</v>
      </c>
    </row>
    <row r="87" spans="1:19" x14ac:dyDescent="0.25">
      <c r="A87" s="128">
        <v>7900</v>
      </c>
      <c r="B87" s="128" t="s">
        <v>39</v>
      </c>
      <c r="C87" s="128" t="s">
        <v>40</v>
      </c>
      <c r="D87" s="128" t="s">
        <v>40</v>
      </c>
      <c r="E87" s="128" t="s">
        <v>1306</v>
      </c>
      <c r="F87" s="128" t="s">
        <v>1307</v>
      </c>
      <c r="G87" s="128">
        <v>1150</v>
      </c>
      <c r="H87" s="128" t="s">
        <v>43</v>
      </c>
      <c r="I87" s="128" t="s">
        <v>6</v>
      </c>
      <c r="J87" s="128" t="s">
        <v>891</v>
      </c>
      <c r="K87" s="128" t="s">
        <v>385</v>
      </c>
      <c r="L87" s="128" t="s">
        <v>892</v>
      </c>
      <c r="M87" s="128" t="s">
        <v>212</v>
      </c>
      <c r="N87" s="128" t="s">
        <v>213</v>
      </c>
      <c r="O87" s="129">
        <v>31413</v>
      </c>
      <c r="P87" s="128"/>
      <c r="Q87" s="128"/>
      <c r="R87" s="128">
        <v>1150</v>
      </c>
      <c r="S87" s="128" t="s">
        <v>48</v>
      </c>
    </row>
    <row r="88" spans="1:19" x14ac:dyDescent="0.25">
      <c r="A88" s="128">
        <v>96600</v>
      </c>
      <c r="B88" s="128" t="s">
        <v>39</v>
      </c>
      <c r="C88" s="128" t="s">
        <v>40</v>
      </c>
      <c r="D88" s="128" t="s">
        <v>40</v>
      </c>
      <c r="E88" s="128" t="s">
        <v>2911</v>
      </c>
      <c r="F88" s="128" t="s">
        <v>2912</v>
      </c>
      <c r="G88" s="128">
        <v>45</v>
      </c>
      <c r="H88" s="128" t="s">
        <v>7</v>
      </c>
      <c r="I88" s="128" t="s">
        <v>2913</v>
      </c>
      <c r="J88" s="128" t="s">
        <v>800</v>
      </c>
      <c r="K88" s="128" t="s">
        <v>800</v>
      </c>
      <c r="L88" s="128" t="s">
        <v>800</v>
      </c>
      <c r="M88" s="128" t="s">
        <v>57</v>
      </c>
      <c r="N88" s="128" t="s">
        <v>58</v>
      </c>
      <c r="O88" s="129">
        <v>39556</v>
      </c>
      <c r="P88" s="128"/>
      <c r="Q88" s="128"/>
      <c r="R88" s="128">
        <v>45</v>
      </c>
      <c r="S88" s="128" t="s">
        <v>48</v>
      </c>
    </row>
    <row r="89" spans="1:19" x14ac:dyDescent="0.25">
      <c r="A89" s="128">
        <v>8100</v>
      </c>
      <c r="B89" s="128" t="s">
        <v>39</v>
      </c>
      <c r="C89" s="128" t="s">
        <v>49</v>
      </c>
      <c r="D89" s="128" t="s">
        <v>40</v>
      </c>
      <c r="E89" s="128" t="s">
        <v>2422</v>
      </c>
      <c r="F89" s="128" t="s">
        <v>2423</v>
      </c>
      <c r="G89" s="128">
        <v>12</v>
      </c>
      <c r="H89" s="128" t="s">
        <v>43</v>
      </c>
      <c r="I89" s="128" t="s">
        <v>2424</v>
      </c>
      <c r="J89" s="128" t="s">
        <v>384</v>
      </c>
      <c r="K89" s="128" t="s">
        <v>385</v>
      </c>
      <c r="L89" s="128" t="s">
        <v>259</v>
      </c>
      <c r="M89" s="128" t="s">
        <v>46</v>
      </c>
      <c r="N89" s="128" t="s">
        <v>47</v>
      </c>
      <c r="O89" s="129">
        <v>37077</v>
      </c>
      <c r="P89" s="128"/>
      <c r="Q89" s="128"/>
      <c r="R89" s="128">
        <v>12</v>
      </c>
      <c r="S89" s="128" t="s">
        <v>48</v>
      </c>
    </row>
    <row r="90" spans="1:19" x14ac:dyDescent="0.25">
      <c r="A90" s="128">
        <v>8300</v>
      </c>
      <c r="B90" s="128" t="s">
        <v>39</v>
      </c>
      <c r="C90" s="128" t="s">
        <v>40</v>
      </c>
      <c r="D90" s="128" t="s">
        <v>40</v>
      </c>
      <c r="E90" s="128" t="s">
        <v>409</v>
      </c>
      <c r="F90" s="128" t="s">
        <v>410</v>
      </c>
      <c r="G90" s="128">
        <v>72</v>
      </c>
      <c r="H90" s="128" t="s">
        <v>43</v>
      </c>
      <c r="I90" s="128" t="s">
        <v>408</v>
      </c>
      <c r="J90" s="128" t="s">
        <v>44</v>
      </c>
      <c r="K90" s="128" t="s">
        <v>44</v>
      </c>
      <c r="L90" s="128" t="s">
        <v>45</v>
      </c>
      <c r="M90" s="128" t="s">
        <v>46</v>
      </c>
      <c r="N90" s="128" t="s">
        <v>47</v>
      </c>
      <c r="O90" s="129">
        <v>20821</v>
      </c>
      <c r="P90" s="128"/>
      <c r="Q90" s="128" t="s">
        <v>331</v>
      </c>
      <c r="R90" s="128">
        <v>72</v>
      </c>
      <c r="S90" s="128" t="s">
        <v>48</v>
      </c>
    </row>
    <row r="91" spans="1:19" x14ac:dyDescent="0.25">
      <c r="A91" s="128">
        <v>8700</v>
      </c>
      <c r="B91" s="128" t="s">
        <v>39</v>
      </c>
      <c r="C91" s="128" t="s">
        <v>40</v>
      </c>
      <c r="D91" s="128" t="s">
        <v>40</v>
      </c>
      <c r="E91" s="128" t="s">
        <v>511</v>
      </c>
      <c r="F91" s="128" t="s">
        <v>512</v>
      </c>
      <c r="G91" s="128">
        <v>50</v>
      </c>
      <c r="H91" s="128" t="s">
        <v>43</v>
      </c>
      <c r="I91" s="128" t="s">
        <v>6</v>
      </c>
      <c r="J91" s="128" t="s">
        <v>44</v>
      </c>
      <c r="K91" s="128" t="s">
        <v>44</v>
      </c>
      <c r="L91" s="128" t="s">
        <v>45</v>
      </c>
      <c r="M91" s="128" t="s">
        <v>46</v>
      </c>
      <c r="N91" s="128" t="s">
        <v>47</v>
      </c>
      <c r="O91" s="129">
        <v>23743</v>
      </c>
      <c r="P91" s="128"/>
      <c r="Q91" s="128" t="s">
        <v>148</v>
      </c>
      <c r="R91" s="128">
        <v>50</v>
      </c>
      <c r="S91" s="128" t="s">
        <v>48</v>
      </c>
    </row>
    <row r="92" spans="1:19" x14ac:dyDescent="0.25">
      <c r="A92" s="128">
        <v>8800</v>
      </c>
      <c r="B92" s="128" t="s">
        <v>39</v>
      </c>
      <c r="C92" s="128" t="s">
        <v>40</v>
      </c>
      <c r="D92" s="128" t="s">
        <v>40</v>
      </c>
      <c r="E92" s="128" t="s">
        <v>335</v>
      </c>
      <c r="F92" s="128" t="s">
        <v>336</v>
      </c>
      <c r="G92" s="128">
        <v>22</v>
      </c>
      <c r="H92" s="128" t="s">
        <v>43</v>
      </c>
      <c r="I92" s="128" t="s">
        <v>6</v>
      </c>
      <c r="J92" s="128" t="s">
        <v>44</v>
      </c>
      <c r="K92" s="128" t="s">
        <v>44</v>
      </c>
      <c r="L92" s="128" t="s">
        <v>45</v>
      </c>
      <c r="M92" s="128" t="s">
        <v>46</v>
      </c>
      <c r="N92" s="128" t="s">
        <v>47</v>
      </c>
      <c r="O92" s="129">
        <v>15707</v>
      </c>
      <c r="P92" s="128"/>
      <c r="Q92" s="128" t="s">
        <v>148</v>
      </c>
      <c r="R92" s="128">
        <v>22</v>
      </c>
      <c r="S92" s="128" t="s">
        <v>48</v>
      </c>
    </row>
    <row r="93" spans="1:19" x14ac:dyDescent="0.25">
      <c r="A93" s="128">
        <v>8900</v>
      </c>
      <c r="B93" s="128" t="s">
        <v>39</v>
      </c>
      <c r="C93" s="128" t="s">
        <v>40</v>
      </c>
      <c r="D93" s="128" t="s">
        <v>40</v>
      </c>
      <c r="E93" s="128" t="s">
        <v>513</v>
      </c>
      <c r="F93" s="128" t="s">
        <v>514</v>
      </c>
      <c r="G93" s="128">
        <v>26</v>
      </c>
      <c r="H93" s="128" t="s">
        <v>43</v>
      </c>
      <c r="I93" s="128" t="s">
        <v>510</v>
      </c>
      <c r="J93" s="128" t="s">
        <v>44</v>
      </c>
      <c r="K93" s="128" t="s">
        <v>44</v>
      </c>
      <c r="L93" s="128" t="s">
        <v>45</v>
      </c>
      <c r="M93" s="128" t="s">
        <v>46</v>
      </c>
      <c r="N93" s="128" t="s">
        <v>47</v>
      </c>
      <c r="O93" s="129">
        <v>23743</v>
      </c>
      <c r="P93" s="128"/>
      <c r="Q93" s="128" t="s">
        <v>148</v>
      </c>
      <c r="R93" s="128">
        <v>26</v>
      </c>
      <c r="S93" s="128" t="s">
        <v>48</v>
      </c>
    </row>
    <row r="94" spans="1:19" x14ac:dyDescent="0.25">
      <c r="A94" s="128">
        <v>2920</v>
      </c>
      <c r="B94" s="128" t="s">
        <v>39</v>
      </c>
      <c r="C94" s="128" t="s">
        <v>40</v>
      </c>
      <c r="D94" s="128" t="s">
        <v>40</v>
      </c>
      <c r="E94" s="128" t="s">
        <v>1483</v>
      </c>
      <c r="F94" s="128" t="s">
        <v>1484</v>
      </c>
      <c r="G94" s="128">
        <v>200</v>
      </c>
      <c r="H94" s="128" t="s">
        <v>7</v>
      </c>
      <c r="I94" s="128" t="s">
        <v>7</v>
      </c>
      <c r="J94" s="128" t="s">
        <v>44</v>
      </c>
      <c r="K94" s="128" t="s">
        <v>561</v>
      </c>
      <c r="L94" s="128" t="s">
        <v>45</v>
      </c>
      <c r="M94" s="128" t="s">
        <v>57</v>
      </c>
      <c r="N94" s="128" t="s">
        <v>58</v>
      </c>
      <c r="O94" s="129">
        <v>31778</v>
      </c>
      <c r="P94" s="128"/>
      <c r="Q94" s="128"/>
      <c r="R94" s="128">
        <v>199</v>
      </c>
      <c r="S94" s="128" t="s">
        <v>48</v>
      </c>
    </row>
    <row r="95" spans="1:19" ht="29.25" x14ac:dyDescent="0.25">
      <c r="A95" s="128">
        <v>91900</v>
      </c>
      <c r="B95" s="128" t="s">
        <v>39</v>
      </c>
      <c r="C95" s="128" t="s">
        <v>40</v>
      </c>
      <c r="D95" s="128" t="s">
        <v>40</v>
      </c>
      <c r="E95" s="128" t="s">
        <v>2763</v>
      </c>
      <c r="F95" s="128" t="s">
        <v>2764</v>
      </c>
      <c r="G95" s="128">
        <v>11</v>
      </c>
      <c r="H95" s="128" t="s">
        <v>43</v>
      </c>
      <c r="I95" s="128" t="s">
        <v>2765</v>
      </c>
      <c r="J95" s="128" t="s">
        <v>44</v>
      </c>
      <c r="K95" s="128" t="s">
        <v>44</v>
      </c>
      <c r="L95" s="128" t="s">
        <v>45</v>
      </c>
      <c r="M95" s="128" t="s">
        <v>46</v>
      </c>
      <c r="N95" s="128" t="s">
        <v>47</v>
      </c>
      <c r="O95" s="129">
        <v>38493</v>
      </c>
      <c r="P95" s="128"/>
      <c r="Q95" s="128" t="s">
        <v>2766</v>
      </c>
      <c r="R95" s="128">
        <v>10.5</v>
      </c>
      <c r="S95" s="128" t="s">
        <v>48</v>
      </c>
    </row>
    <row r="96" spans="1:19" ht="29.25" x14ac:dyDescent="0.25">
      <c r="A96" s="128">
        <v>92000</v>
      </c>
      <c r="B96" s="128" t="s">
        <v>39</v>
      </c>
      <c r="C96" s="128" t="s">
        <v>40</v>
      </c>
      <c r="D96" s="128" t="s">
        <v>40</v>
      </c>
      <c r="E96" s="128" t="s">
        <v>2767</v>
      </c>
      <c r="F96" s="128" t="s">
        <v>2768</v>
      </c>
      <c r="G96" s="128">
        <v>11</v>
      </c>
      <c r="H96" s="128" t="s">
        <v>43</v>
      </c>
      <c r="I96" s="128" t="s">
        <v>2765</v>
      </c>
      <c r="J96" s="128" t="s">
        <v>44</v>
      </c>
      <c r="K96" s="128" t="s">
        <v>44</v>
      </c>
      <c r="L96" s="128" t="s">
        <v>45</v>
      </c>
      <c r="M96" s="128" t="s">
        <v>46</v>
      </c>
      <c r="N96" s="128" t="s">
        <v>47</v>
      </c>
      <c r="O96" s="129">
        <v>38493</v>
      </c>
      <c r="P96" s="128"/>
      <c r="Q96" s="128" t="s">
        <v>2766</v>
      </c>
      <c r="R96" s="128">
        <v>10.5</v>
      </c>
      <c r="S96" s="128" t="s">
        <v>48</v>
      </c>
    </row>
    <row r="97" spans="1:19" ht="29.25" x14ac:dyDescent="0.25">
      <c r="A97" s="128">
        <v>11100</v>
      </c>
      <c r="B97" s="128" t="s">
        <v>39</v>
      </c>
      <c r="C97" s="128" t="s">
        <v>40</v>
      </c>
      <c r="D97" s="128" t="s">
        <v>40</v>
      </c>
      <c r="E97" s="128" t="s">
        <v>2198</v>
      </c>
      <c r="F97" s="128" t="s">
        <v>2199</v>
      </c>
      <c r="G97" s="128">
        <v>24</v>
      </c>
      <c r="H97" s="128" t="s">
        <v>7</v>
      </c>
      <c r="I97" s="128" t="s">
        <v>776</v>
      </c>
      <c r="J97" s="128" t="s">
        <v>44</v>
      </c>
      <c r="K97" s="128" t="s">
        <v>44</v>
      </c>
      <c r="L97" s="128" t="s">
        <v>45</v>
      </c>
      <c r="M97" s="128" t="s">
        <v>57</v>
      </c>
      <c r="N97" s="128" t="s">
        <v>58</v>
      </c>
      <c r="O97" s="129">
        <v>34335</v>
      </c>
      <c r="P97" s="128" t="s">
        <v>2200</v>
      </c>
      <c r="Q97" s="128"/>
      <c r="R97" s="128">
        <v>24</v>
      </c>
      <c r="S97" s="128" t="s">
        <v>48</v>
      </c>
    </row>
    <row r="98" spans="1:19" ht="29.25" x14ac:dyDescent="0.25">
      <c r="A98" s="128">
        <v>10800</v>
      </c>
      <c r="B98" s="128" t="s">
        <v>39</v>
      </c>
      <c r="C98" s="128" t="s">
        <v>40</v>
      </c>
      <c r="D98" s="128" t="s">
        <v>40</v>
      </c>
      <c r="E98" s="128" t="s">
        <v>3189</v>
      </c>
      <c r="F98" s="128" t="s">
        <v>3190</v>
      </c>
      <c r="G98" s="128">
        <v>320</v>
      </c>
      <c r="H98" s="128" t="s">
        <v>7</v>
      </c>
      <c r="I98" s="128" t="s">
        <v>3191</v>
      </c>
      <c r="J98" s="128" t="s">
        <v>384</v>
      </c>
      <c r="K98" s="128" t="s">
        <v>385</v>
      </c>
      <c r="L98" s="128" t="s">
        <v>259</v>
      </c>
      <c r="M98" s="128" t="s">
        <v>57</v>
      </c>
      <c r="N98" s="128" t="s">
        <v>58</v>
      </c>
      <c r="O98" s="128"/>
      <c r="P98" s="128" t="s">
        <v>3192</v>
      </c>
      <c r="Q98" s="128"/>
      <c r="R98" s="128">
        <v>333</v>
      </c>
      <c r="S98" s="128" t="s">
        <v>48</v>
      </c>
    </row>
    <row r="99" spans="1:19" ht="29.25" x14ac:dyDescent="0.25">
      <c r="A99" s="128">
        <v>10900</v>
      </c>
      <c r="B99" s="128" t="s">
        <v>39</v>
      </c>
      <c r="C99" s="128" t="s">
        <v>40</v>
      </c>
      <c r="D99" s="128" t="s">
        <v>40</v>
      </c>
      <c r="E99" s="128" t="s">
        <v>3193</v>
      </c>
      <c r="F99" s="128" t="s">
        <v>3194</v>
      </c>
      <c r="G99" s="128">
        <v>320</v>
      </c>
      <c r="H99" s="128" t="s">
        <v>7</v>
      </c>
      <c r="I99" s="128" t="s">
        <v>3191</v>
      </c>
      <c r="J99" s="128" t="s">
        <v>384</v>
      </c>
      <c r="K99" s="128" t="s">
        <v>385</v>
      </c>
      <c r="L99" s="128" t="s">
        <v>259</v>
      </c>
      <c r="M99" s="128" t="s">
        <v>57</v>
      </c>
      <c r="N99" s="128" t="s">
        <v>58</v>
      </c>
      <c r="O99" s="128"/>
      <c r="P99" s="128" t="s">
        <v>3195</v>
      </c>
      <c r="Q99" s="128"/>
      <c r="R99" s="128">
        <v>333</v>
      </c>
      <c r="S99" s="128" t="s">
        <v>48</v>
      </c>
    </row>
    <row r="100" spans="1:19" x14ac:dyDescent="0.25">
      <c r="A100" s="128">
        <v>20200</v>
      </c>
      <c r="B100" s="128" t="s">
        <v>39</v>
      </c>
      <c r="C100" s="128" t="s">
        <v>49</v>
      </c>
      <c r="D100" s="128" t="s">
        <v>40</v>
      </c>
      <c r="E100" s="128" t="s">
        <v>2139</v>
      </c>
      <c r="F100" s="128" t="s">
        <v>2140</v>
      </c>
      <c r="G100" s="128">
        <v>20</v>
      </c>
      <c r="H100" s="128" t="s">
        <v>43</v>
      </c>
      <c r="I100" s="128" t="s">
        <v>2141</v>
      </c>
      <c r="J100" s="128" t="s">
        <v>384</v>
      </c>
      <c r="K100" s="128" t="s">
        <v>385</v>
      </c>
      <c r="L100" s="128" t="s">
        <v>2142</v>
      </c>
      <c r="M100" s="128" t="s">
        <v>46</v>
      </c>
      <c r="N100" s="128" t="s">
        <v>178</v>
      </c>
      <c r="O100" s="129">
        <v>33604</v>
      </c>
      <c r="P100" s="128"/>
      <c r="Q100" s="128"/>
      <c r="R100" s="128">
        <v>20</v>
      </c>
      <c r="S100" s="128" t="s">
        <v>48</v>
      </c>
    </row>
    <row r="101" spans="1:19" x14ac:dyDescent="0.25">
      <c r="A101" s="128">
        <v>9000</v>
      </c>
      <c r="B101" s="128" t="s">
        <v>39</v>
      </c>
      <c r="C101" s="128" t="s">
        <v>40</v>
      </c>
      <c r="D101" s="128" t="s">
        <v>40</v>
      </c>
      <c r="E101" s="128" t="s">
        <v>2537</v>
      </c>
      <c r="F101" s="128" t="s">
        <v>2538</v>
      </c>
      <c r="G101" s="128">
        <v>45.42</v>
      </c>
      <c r="H101" s="128" t="s">
        <v>162</v>
      </c>
      <c r="I101" s="128" t="s">
        <v>2539</v>
      </c>
      <c r="J101" s="128" t="s">
        <v>314</v>
      </c>
      <c r="K101" s="128" t="s">
        <v>599</v>
      </c>
      <c r="L101" s="128" t="s">
        <v>259</v>
      </c>
      <c r="M101" s="128" t="s">
        <v>57</v>
      </c>
      <c r="N101" s="128" t="s">
        <v>163</v>
      </c>
      <c r="O101" s="129">
        <v>37405</v>
      </c>
      <c r="P101" s="128"/>
      <c r="Q101" s="128"/>
      <c r="R101" s="128">
        <v>47.3</v>
      </c>
      <c r="S101" s="128" t="s">
        <v>48</v>
      </c>
    </row>
    <row r="102" spans="1:19" x14ac:dyDescent="0.25">
      <c r="A102" s="128">
        <v>99100</v>
      </c>
      <c r="B102" s="128" t="s">
        <v>39</v>
      </c>
      <c r="C102" s="128" t="s">
        <v>40</v>
      </c>
      <c r="D102" s="128" t="s">
        <v>40</v>
      </c>
      <c r="E102" s="128" t="s">
        <v>2981</v>
      </c>
      <c r="F102" s="128" t="s">
        <v>2982</v>
      </c>
      <c r="G102" s="128">
        <v>48.1</v>
      </c>
      <c r="H102" s="128" t="s">
        <v>162</v>
      </c>
      <c r="I102" s="128" t="s">
        <v>2983</v>
      </c>
      <c r="J102" s="128" t="s">
        <v>314</v>
      </c>
      <c r="K102" s="128" t="s">
        <v>599</v>
      </c>
      <c r="L102" s="128" t="s">
        <v>259</v>
      </c>
      <c r="M102" s="128" t="s">
        <v>57</v>
      </c>
      <c r="N102" s="128" t="s">
        <v>163</v>
      </c>
      <c r="O102" s="129">
        <v>40345</v>
      </c>
      <c r="P102" s="128"/>
      <c r="Q102" s="128"/>
      <c r="R102" s="128">
        <v>49.9</v>
      </c>
      <c r="S102" s="128" t="s">
        <v>48</v>
      </c>
    </row>
    <row r="103" spans="1:19" x14ac:dyDescent="0.25">
      <c r="A103" s="128">
        <v>9100</v>
      </c>
      <c r="B103" s="128" t="s">
        <v>39</v>
      </c>
      <c r="C103" s="128" t="s">
        <v>40</v>
      </c>
      <c r="D103" s="128" t="s">
        <v>40</v>
      </c>
      <c r="E103" s="128" t="s">
        <v>596</v>
      </c>
      <c r="F103" s="128" t="s">
        <v>597</v>
      </c>
      <c r="G103" s="128">
        <v>16.36</v>
      </c>
      <c r="H103" s="128" t="s">
        <v>162</v>
      </c>
      <c r="I103" s="128" t="s">
        <v>598</v>
      </c>
      <c r="J103" s="128" t="s">
        <v>314</v>
      </c>
      <c r="K103" s="128" t="s">
        <v>599</v>
      </c>
      <c r="L103" s="128" t="s">
        <v>259</v>
      </c>
      <c r="M103" s="128" t="s">
        <v>57</v>
      </c>
      <c r="N103" s="128" t="s">
        <v>163</v>
      </c>
      <c r="O103" s="129">
        <v>24838</v>
      </c>
      <c r="P103" s="128"/>
      <c r="Q103" s="128"/>
      <c r="R103" s="128">
        <v>15</v>
      </c>
      <c r="S103" s="128" t="s">
        <v>48</v>
      </c>
    </row>
    <row r="104" spans="1:19" x14ac:dyDescent="0.25">
      <c r="A104" s="128">
        <v>96500</v>
      </c>
      <c r="B104" s="128" t="s">
        <v>39</v>
      </c>
      <c r="C104" s="128" t="s">
        <v>40</v>
      </c>
      <c r="D104" s="128" t="s">
        <v>40</v>
      </c>
      <c r="E104" s="128" t="s">
        <v>2917</v>
      </c>
      <c r="F104" s="128" t="s">
        <v>2918</v>
      </c>
      <c r="G104" s="128">
        <v>9.8000000000000007</v>
      </c>
      <c r="H104" s="128" t="s">
        <v>43</v>
      </c>
      <c r="I104" s="128" t="s">
        <v>2916</v>
      </c>
      <c r="J104" s="128" t="s">
        <v>807</v>
      </c>
      <c r="K104" s="128" t="s">
        <v>385</v>
      </c>
      <c r="L104" s="128" t="s">
        <v>915</v>
      </c>
      <c r="M104" s="128" t="s">
        <v>46</v>
      </c>
      <c r="N104" s="128" t="s">
        <v>47</v>
      </c>
      <c r="O104" s="129">
        <v>39684</v>
      </c>
      <c r="P104" s="128"/>
      <c r="Q104" s="128"/>
      <c r="R104" s="128">
        <v>12.5</v>
      </c>
      <c r="S104" s="128" t="s">
        <v>48</v>
      </c>
    </row>
    <row r="105" spans="1:19" x14ac:dyDescent="0.25">
      <c r="A105" s="128">
        <v>9400</v>
      </c>
      <c r="B105" s="128" t="s">
        <v>39</v>
      </c>
      <c r="C105" s="128" t="s">
        <v>40</v>
      </c>
      <c r="D105" s="128" t="s">
        <v>40</v>
      </c>
      <c r="E105" s="128" t="s">
        <v>496</v>
      </c>
      <c r="F105" s="128" t="s">
        <v>497</v>
      </c>
      <c r="G105" s="128">
        <v>335</v>
      </c>
      <c r="H105" s="128" t="s">
        <v>7</v>
      </c>
      <c r="I105" s="128" t="s">
        <v>498</v>
      </c>
      <c r="J105" s="128" t="s">
        <v>384</v>
      </c>
      <c r="K105" s="128" t="s">
        <v>385</v>
      </c>
      <c r="L105" s="128" t="s">
        <v>259</v>
      </c>
      <c r="M105" s="128" t="s">
        <v>57</v>
      </c>
      <c r="N105" s="128" t="s">
        <v>58</v>
      </c>
      <c r="O105" s="129">
        <v>23377</v>
      </c>
      <c r="P105" s="128"/>
      <c r="Q105" s="128"/>
      <c r="R105" s="128">
        <v>335</v>
      </c>
      <c r="S105" s="128" t="s">
        <v>48</v>
      </c>
    </row>
    <row r="106" spans="1:19" x14ac:dyDescent="0.25">
      <c r="A106" s="128">
        <v>9500</v>
      </c>
      <c r="B106" s="128" t="s">
        <v>39</v>
      </c>
      <c r="C106" s="128" t="s">
        <v>40</v>
      </c>
      <c r="D106" s="128" t="s">
        <v>40</v>
      </c>
      <c r="E106" s="128" t="s">
        <v>515</v>
      </c>
      <c r="F106" s="128" t="s">
        <v>516</v>
      </c>
      <c r="G106" s="128">
        <v>335</v>
      </c>
      <c r="H106" s="128" t="s">
        <v>7</v>
      </c>
      <c r="I106" s="128" t="s">
        <v>498</v>
      </c>
      <c r="J106" s="128" t="s">
        <v>384</v>
      </c>
      <c r="K106" s="128" t="s">
        <v>385</v>
      </c>
      <c r="L106" s="128" t="s">
        <v>259</v>
      </c>
      <c r="M106" s="128" t="s">
        <v>57</v>
      </c>
      <c r="N106" s="128" t="s">
        <v>58</v>
      </c>
      <c r="O106" s="129">
        <v>23743</v>
      </c>
      <c r="P106" s="128"/>
      <c r="Q106" s="128"/>
      <c r="R106" s="128">
        <v>335</v>
      </c>
      <c r="S106" s="128" t="s">
        <v>48</v>
      </c>
    </row>
    <row r="107" spans="1:19" ht="29.25" x14ac:dyDescent="0.25">
      <c r="A107" s="128">
        <v>9700</v>
      </c>
      <c r="B107" s="128" t="s">
        <v>39</v>
      </c>
      <c r="C107" s="128" t="s">
        <v>40</v>
      </c>
      <c r="D107" s="128" t="s">
        <v>40</v>
      </c>
      <c r="E107" s="128" t="s">
        <v>3196</v>
      </c>
      <c r="F107" s="128" t="s">
        <v>3197</v>
      </c>
      <c r="G107" s="128">
        <v>54</v>
      </c>
      <c r="H107" s="128" t="s">
        <v>7</v>
      </c>
      <c r="I107" s="128" t="s">
        <v>464</v>
      </c>
      <c r="J107" s="128" t="s">
        <v>314</v>
      </c>
      <c r="K107" s="128" t="s">
        <v>599</v>
      </c>
      <c r="L107" s="128" t="s">
        <v>259</v>
      </c>
      <c r="M107" s="128" t="s">
        <v>57</v>
      </c>
      <c r="N107" s="128" t="s">
        <v>58</v>
      </c>
      <c r="O107" s="128"/>
      <c r="P107" s="128" t="s">
        <v>3198</v>
      </c>
      <c r="Q107" s="128"/>
      <c r="R107" s="128">
        <v>56</v>
      </c>
      <c r="S107" s="128" t="s">
        <v>48</v>
      </c>
    </row>
    <row r="108" spans="1:19" x14ac:dyDescent="0.25">
      <c r="A108" s="128">
        <v>9800</v>
      </c>
      <c r="B108" s="128" t="s">
        <v>39</v>
      </c>
      <c r="C108" s="128" t="s">
        <v>40</v>
      </c>
      <c r="D108" s="128" t="s">
        <v>40</v>
      </c>
      <c r="E108" s="128" t="s">
        <v>600</v>
      </c>
      <c r="F108" s="128" t="s">
        <v>601</v>
      </c>
      <c r="G108" s="128">
        <v>14.5</v>
      </c>
      <c r="H108" s="128" t="s">
        <v>162</v>
      </c>
      <c r="I108" s="128" t="s">
        <v>383</v>
      </c>
      <c r="J108" s="128" t="s">
        <v>314</v>
      </c>
      <c r="K108" s="128" t="s">
        <v>599</v>
      </c>
      <c r="L108" s="128" t="s">
        <v>259</v>
      </c>
      <c r="M108" s="128" t="s">
        <v>57</v>
      </c>
      <c r="N108" s="128" t="s">
        <v>163</v>
      </c>
      <c r="O108" s="129">
        <v>24838</v>
      </c>
      <c r="P108" s="128"/>
      <c r="Q108" s="128"/>
      <c r="R108" s="128">
        <v>18</v>
      </c>
      <c r="S108" s="128" t="s">
        <v>48</v>
      </c>
    </row>
    <row r="109" spans="1:19" x14ac:dyDescent="0.25">
      <c r="A109" s="128">
        <v>9900</v>
      </c>
      <c r="B109" s="128" t="s">
        <v>39</v>
      </c>
      <c r="C109" s="128" t="s">
        <v>40</v>
      </c>
      <c r="D109" s="128" t="s">
        <v>40</v>
      </c>
      <c r="E109" s="128" t="s">
        <v>381</v>
      </c>
      <c r="F109" s="128" t="s">
        <v>382</v>
      </c>
      <c r="G109" s="128">
        <v>106</v>
      </c>
      <c r="H109" s="128" t="s">
        <v>162</v>
      </c>
      <c r="I109" s="128" t="s">
        <v>383</v>
      </c>
      <c r="J109" s="128" t="s">
        <v>384</v>
      </c>
      <c r="K109" s="128" t="s">
        <v>385</v>
      </c>
      <c r="L109" s="128" t="s">
        <v>259</v>
      </c>
      <c r="M109" s="128" t="s">
        <v>57</v>
      </c>
      <c r="N109" s="128" t="s">
        <v>163</v>
      </c>
      <c r="O109" s="129">
        <v>19725</v>
      </c>
      <c r="P109" s="128"/>
      <c r="Q109" s="128"/>
      <c r="R109" s="128">
        <v>106.25</v>
      </c>
      <c r="S109" s="128" t="s">
        <v>48</v>
      </c>
    </row>
    <row r="110" spans="1:19" x14ac:dyDescent="0.25">
      <c r="A110" s="128">
        <v>10000</v>
      </c>
      <c r="B110" s="128" t="s">
        <v>39</v>
      </c>
      <c r="C110" s="128" t="s">
        <v>40</v>
      </c>
      <c r="D110" s="128" t="s">
        <v>40</v>
      </c>
      <c r="E110" s="128" t="s">
        <v>402</v>
      </c>
      <c r="F110" s="128" t="s">
        <v>403</v>
      </c>
      <c r="G110" s="128">
        <v>104</v>
      </c>
      <c r="H110" s="128" t="s">
        <v>162</v>
      </c>
      <c r="I110" s="128" t="s">
        <v>383</v>
      </c>
      <c r="J110" s="128" t="s">
        <v>384</v>
      </c>
      <c r="K110" s="128" t="s">
        <v>385</v>
      </c>
      <c r="L110" s="128" t="s">
        <v>259</v>
      </c>
      <c r="M110" s="128" t="s">
        <v>57</v>
      </c>
      <c r="N110" s="128" t="s">
        <v>163</v>
      </c>
      <c r="O110" s="129">
        <v>20455</v>
      </c>
      <c r="P110" s="128"/>
      <c r="Q110" s="128"/>
      <c r="R110" s="128">
        <v>110.25</v>
      </c>
      <c r="S110" s="128" t="s">
        <v>48</v>
      </c>
    </row>
    <row r="111" spans="1:19" x14ac:dyDescent="0.25">
      <c r="A111" s="128">
        <v>10100</v>
      </c>
      <c r="B111" s="128" t="s">
        <v>39</v>
      </c>
      <c r="C111" s="128" t="s">
        <v>40</v>
      </c>
      <c r="D111" s="128" t="s">
        <v>40</v>
      </c>
      <c r="E111" s="128" t="s">
        <v>425</v>
      </c>
      <c r="F111" s="128" t="s">
        <v>426</v>
      </c>
      <c r="G111" s="128">
        <v>110</v>
      </c>
      <c r="H111" s="128" t="s">
        <v>162</v>
      </c>
      <c r="I111" s="128" t="s">
        <v>383</v>
      </c>
      <c r="J111" s="128" t="s">
        <v>384</v>
      </c>
      <c r="K111" s="128" t="s">
        <v>385</v>
      </c>
      <c r="L111" s="128" t="s">
        <v>259</v>
      </c>
      <c r="M111" s="128" t="s">
        <v>57</v>
      </c>
      <c r="N111" s="128" t="s">
        <v>163</v>
      </c>
      <c r="O111" s="129">
        <v>21186</v>
      </c>
      <c r="P111" s="128"/>
      <c r="Q111" s="128"/>
      <c r="R111" s="128">
        <v>110.25</v>
      </c>
      <c r="S111" s="128" t="s">
        <v>48</v>
      </c>
    </row>
    <row r="112" spans="1:19" x14ac:dyDescent="0.25">
      <c r="A112" s="128">
        <v>10200</v>
      </c>
      <c r="B112" s="128" t="s">
        <v>39</v>
      </c>
      <c r="C112" s="128" t="s">
        <v>40</v>
      </c>
      <c r="D112" s="128" t="s">
        <v>40</v>
      </c>
      <c r="E112" s="128" t="s">
        <v>693</v>
      </c>
      <c r="F112" s="128" t="s">
        <v>694</v>
      </c>
      <c r="G112" s="128">
        <v>300</v>
      </c>
      <c r="H112" s="128" t="s">
        <v>162</v>
      </c>
      <c r="I112" s="128" t="s">
        <v>383</v>
      </c>
      <c r="J112" s="128" t="s">
        <v>384</v>
      </c>
      <c r="K112" s="128" t="s">
        <v>385</v>
      </c>
      <c r="L112" s="128" t="s">
        <v>259</v>
      </c>
      <c r="M112" s="128" t="s">
        <v>57</v>
      </c>
      <c r="N112" s="128" t="s">
        <v>163</v>
      </c>
      <c r="O112" s="129">
        <v>26665</v>
      </c>
      <c r="P112" s="128"/>
      <c r="Q112" s="128"/>
      <c r="R112" s="128">
        <v>306</v>
      </c>
      <c r="S112" s="128" t="s">
        <v>48</v>
      </c>
    </row>
    <row r="113" spans="1:19" x14ac:dyDescent="0.25">
      <c r="A113" s="128">
        <v>10300</v>
      </c>
      <c r="B113" s="128" t="s">
        <v>39</v>
      </c>
      <c r="C113" s="128" t="s">
        <v>40</v>
      </c>
      <c r="D113" s="128" t="s">
        <v>40</v>
      </c>
      <c r="E113" s="128" t="s">
        <v>740</v>
      </c>
      <c r="F113" s="128" t="s">
        <v>741</v>
      </c>
      <c r="G113" s="128">
        <v>330</v>
      </c>
      <c r="H113" s="128" t="s">
        <v>162</v>
      </c>
      <c r="I113" s="128" t="s">
        <v>383</v>
      </c>
      <c r="J113" s="128" t="s">
        <v>384</v>
      </c>
      <c r="K113" s="128" t="s">
        <v>385</v>
      </c>
      <c r="L113" s="128" t="s">
        <v>259</v>
      </c>
      <c r="M113" s="128" t="s">
        <v>57</v>
      </c>
      <c r="N113" s="128" t="s">
        <v>163</v>
      </c>
      <c r="O113" s="129">
        <v>28491</v>
      </c>
      <c r="P113" s="128"/>
      <c r="Q113" s="128"/>
      <c r="R113" s="128">
        <v>345.6</v>
      </c>
      <c r="S113" s="128" t="s">
        <v>48</v>
      </c>
    </row>
    <row r="114" spans="1:19" x14ac:dyDescent="0.25">
      <c r="A114" s="128">
        <v>10400</v>
      </c>
      <c r="B114" s="128" t="s">
        <v>39</v>
      </c>
      <c r="C114" s="128" t="s">
        <v>40</v>
      </c>
      <c r="D114" s="128" t="s">
        <v>40</v>
      </c>
      <c r="E114" s="128" t="s">
        <v>2509</v>
      </c>
      <c r="F114" s="128" t="s">
        <v>2510</v>
      </c>
      <c r="G114" s="128">
        <v>48.04</v>
      </c>
      <c r="H114" s="128" t="s">
        <v>162</v>
      </c>
      <c r="I114" s="128" t="s">
        <v>2511</v>
      </c>
      <c r="J114" s="128" t="s">
        <v>314</v>
      </c>
      <c r="K114" s="128" t="s">
        <v>599</v>
      </c>
      <c r="L114" s="128" t="s">
        <v>259</v>
      </c>
      <c r="M114" s="128" t="s">
        <v>57</v>
      </c>
      <c r="N114" s="128" t="s">
        <v>163</v>
      </c>
      <c r="O114" s="129">
        <v>37187</v>
      </c>
      <c r="P114" s="128"/>
      <c r="Q114" s="128"/>
      <c r="R114" s="128">
        <v>46.9</v>
      </c>
      <c r="S114" s="128" t="s">
        <v>48</v>
      </c>
    </row>
    <row r="115" spans="1:19" x14ac:dyDescent="0.25">
      <c r="A115" s="128">
        <v>11200</v>
      </c>
      <c r="B115" s="128" t="s">
        <v>39</v>
      </c>
      <c r="C115" s="128" t="s">
        <v>40</v>
      </c>
      <c r="D115" s="128" t="s">
        <v>40</v>
      </c>
      <c r="E115" s="128" t="s">
        <v>545</v>
      </c>
      <c r="F115" s="128" t="s">
        <v>546</v>
      </c>
      <c r="G115" s="128">
        <v>94.5</v>
      </c>
      <c r="H115" s="128" t="s">
        <v>43</v>
      </c>
      <c r="I115" s="128" t="s">
        <v>547</v>
      </c>
      <c r="J115" s="128" t="s">
        <v>44</v>
      </c>
      <c r="K115" s="128" t="s">
        <v>44</v>
      </c>
      <c r="L115" s="128" t="s">
        <v>45</v>
      </c>
      <c r="M115" s="128" t="s">
        <v>46</v>
      </c>
      <c r="N115" s="128" t="s">
        <v>47</v>
      </c>
      <c r="O115" s="129">
        <v>24473</v>
      </c>
      <c r="P115" s="128"/>
      <c r="Q115" s="128" t="s">
        <v>548</v>
      </c>
      <c r="R115" s="128">
        <v>94.5</v>
      </c>
      <c r="S115" s="128" t="s">
        <v>48</v>
      </c>
    </row>
    <row r="116" spans="1:19" ht="29.25" x14ac:dyDescent="0.25">
      <c r="A116" s="128">
        <v>81800</v>
      </c>
      <c r="B116" s="128" t="s">
        <v>39</v>
      </c>
      <c r="C116" s="128" t="s">
        <v>40</v>
      </c>
      <c r="D116" s="128" t="s">
        <v>40</v>
      </c>
      <c r="E116" s="128" t="s">
        <v>2604</v>
      </c>
      <c r="F116" s="128" t="s">
        <v>2605</v>
      </c>
      <c r="G116" s="128">
        <v>46.3</v>
      </c>
      <c r="H116" s="128" t="s">
        <v>43</v>
      </c>
      <c r="I116" s="128" t="s">
        <v>2606</v>
      </c>
      <c r="J116" s="128" t="s">
        <v>314</v>
      </c>
      <c r="K116" s="128" t="s">
        <v>599</v>
      </c>
      <c r="L116" s="128" t="s">
        <v>259</v>
      </c>
      <c r="M116" s="128" t="s">
        <v>46</v>
      </c>
      <c r="N116" s="128" t="s">
        <v>47</v>
      </c>
      <c r="O116" s="129">
        <v>37613</v>
      </c>
      <c r="P116" s="128"/>
      <c r="Q116" s="128"/>
      <c r="R116" s="128">
        <v>49.9</v>
      </c>
      <c r="S116" s="128" t="s">
        <v>48</v>
      </c>
    </row>
    <row r="117" spans="1:19" x14ac:dyDescent="0.25">
      <c r="A117" s="128">
        <v>98100</v>
      </c>
      <c r="B117" s="128" t="s">
        <v>39</v>
      </c>
      <c r="C117" s="128" t="s">
        <v>40</v>
      </c>
      <c r="D117" s="128" t="s">
        <v>40</v>
      </c>
      <c r="E117" s="128" t="s">
        <v>2945</v>
      </c>
      <c r="F117" s="128" t="s">
        <v>2946</v>
      </c>
      <c r="G117" s="128">
        <v>2</v>
      </c>
      <c r="H117" s="128" t="s">
        <v>7</v>
      </c>
      <c r="I117" s="128" t="s">
        <v>2947</v>
      </c>
      <c r="J117" s="128" t="s">
        <v>1055</v>
      </c>
      <c r="K117" s="128" t="s">
        <v>2179</v>
      </c>
      <c r="L117" s="128" t="s">
        <v>1056</v>
      </c>
      <c r="M117" s="128" t="s">
        <v>57</v>
      </c>
      <c r="N117" s="128" t="s">
        <v>58</v>
      </c>
      <c r="O117" s="129">
        <v>39994</v>
      </c>
      <c r="P117" s="128"/>
      <c r="Q117" s="128"/>
      <c r="R117" s="128">
        <v>2</v>
      </c>
      <c r="S117" s="128" t="s">
        <v>48</v>
      </c>
    </row>
    <row r="118" spans="1:19" ht="57.75" x14ac:dyDescent="0.25">
      <c r="A118" s="128">
        <v>58701</v>
      </c>
      <c r="B118" s="128" t="s">
        <v>39</v>
      </c>
      <c r="C118" s="128" t="s">
        <v>40</v>
      </c>
      <c r="D118" s="128" t="s">
        <v>40</v>
      </c>
      <c r="E118" s="128" t="s">
        <v>785</v>
      </c>
      <c r="F118" s="128" t="s">
        <v>786</v>
      </c>
      <c r="G118" s="128">
        <v>9.1</v>
      </c>
      <c r="H118" s="128" t="s">
        <v>7</v>
      </c>
      <c r="I118" s="128" t="s">
        <v>787</v>
      </c>
      <c r="J118" s="128" t="s">
        <v>44</v>
      </c>
      <c r="K118" s="128" t="s">
        <v>44</v>
      </c>
      <c r="L118" s="128" t="s">
        <v>45</v>
      </c>
      <c r="M118" s="128" t="s">
        <v>57</v>
      </c>
      <c r="N118" s="128" t="s">
        <v>58</v>
      </c>
      <c r="O118" s="129">
        <v>29587</v>
      </c>
      <c r="P118" s="128" t="s">
        <v>777</v>
      </c>
      <c r="Q118" s="128"/>
      <c r="R118" s="128">
        <v>9.1</v>
      </c>
      <c r="S118" s="128" t="s">
        <v>48</v>
      </c>
    </row>
    <row r="119" spans="1:19" ht="29.25" x14ac:dyDescent="0.25">
      <c r="A119" s="128">
        <v>100600</v>
      </c>
      <c r="B119" s="128" t="s">
        <v>39</v>
      </c>
      <c r="C119" s="128" t="s">
        <v>40</v>
      </c>
      <c r="D119" s="128" t="s">
        <v>40</v>
      </c>
      <c r="E119" s="128" t="s">
        <v>3020</v>
      </c>
      <c r="F119" s="128" t="s">
        <v>3021</v>
      </c>
      <c r="G119" s="128">
        <v>36.799999999999997</v>
      </c>
      <c r="H119" s="128" t="s">
        <v>43</v>
      </c>
      <c r="I119" s="128" t="s">
        <v>3022</v>
      </c>
      <c r="J119" s="128" t="s">
        <v>800</v>
      </c>
      <c r="K119" s="128" t="s">
        <v>800</v>
      </c>
      <c r="L119" s="128" t="s">
        <v>800</v>
      </c>
      <c r="M119" s="128" t="s">
        <v>46</v>
      </c>
      <c r="N119" s="128" t="s">
        <v>47</v>
      </c>
      <c r="O119" s="129">
        <v>40568</v>
      </c>
      <c r="P119" s="128"/>
      <c r="Q119" s="128"/>
      <c r="R119" s="128">
        <v>36.799999999999997</v>
      </c>
      <c r="S119" s="128" t="s">
        <v>48</v>
      </c>
    </row>
    <row r="120" spans="1:19" ht="29.25" x14ac:dyDescent="0.25">
      <c r="A120" s="128">
        <v>102900</v>
      </c>
      <c r="B120" s="128" t="s">
        <v>39</v>
      </c>
      <c r="C120" s="128" t="s">
        <v>40</v>
      </c>
      <c r="D120" s="128" t="s">
        <v>40</v>
      </c>
      <c r="E120" s="128" t="s">
        <v>3091</v>
      </c>
      <c r="F120" s="128" t="s">
        <v>3092</v>
      </c>
      <c r="G120" s="128">
        <v>15</v>
      </c>
      <c r="H120" s="128" t="s">
        <v>43</v>
      </c>
      <c r="I120" s="128" t="s">
        <v>3070</v>
      </c>
      <c r="J120" s="128" t="s">
        <v>1055</v>
      </c>
      <c r="K120" s="128" t="s">
        <v>2179</v>
      </c>
      <c r="L120" s="128" t="s">
        <v>1056</v>
      </c>
      <c r="M120" s="128" t="s">
        <v>46</v>
      </c>
      <c r="N120" s="128" t="s">
        <v>1455</v>
      </c>
      <c r="O120" s="129">
        <v>40823</v>
      </c>
      <c r="P120" s="128" t="s">
        <v>3093</v>
      </c>
      <c r="Q120" s="128"/>
      <c r="R120" s="128">
        <v>15</v>
      </c>
      <c r="S120" s="128" t="s">
        <v>48</v>
      </c>
    </row>
    <row r="121" spans="1:19" x14ac:dyDescent="0.25">
      <c r="A121" s="128">
        <v>11400</v>
      </c>
      <c r="B121" s="128" t="s">
        <v>39</v>
      </c>
      <c r="C121" s="128" t="s">
        <v>40</v>
      </c>
      <c r="D121" s="128" t="s">
        <v>40</v>
      </c>
      <c r="E121" s="128" t="s">
        <v>477</v>
      </c>
      <c r="F121" s="128" t="s">
        <v>478</v>
      </c>
      <c r="G121" s="128">
        <v>39</v>
      </c>
      <c r="H121" s="128" t="s">
        <v>43</v>
      </c>
      <c r="I121" s="128" t="s">
        <v>479</v>
      </c>
      <c r="J121" s="128" t="s">
        <v>44</v>
      </c>
      <c r="K121" s="128" t="s">
        <v>44</v>
      </c>
      <c r="L121" s="128" t="s">
        <v>45</v>
      </c>
      <c r="M121" s="128" t="s">
        <v>46</v>
      </c>
      <c r="N121" s="128" t="s">
        <v>47</v>
      </c>
      <c r="O121" s="129">
        <v>23012</v>
      </c>
      <c r="P121" s="128"/>
      <c r="Q121" s="128" t="s">
        <v>480</v>
      </c>
      <c r="R121" s="128">
        <v>39</v>
      </c>
      <c r="S121" s="128" t="s">
        <v>48</v>
      </c>
    </row>
    <row r="122" spans="1:19" x14ac:dyDescent="0.25">
      <c r="A122" s="128">
        <v>11500</v>
      </c>
      <c r="B122" s="128" t="s">
        <v>39</v>
      </c>
      <c r="C122" s="128" t="s">
        <v>40</v>
      </c>
      <c r="D122" s="128" t="s">
        <v>40</v>
      </c>
      <c r="E122" s="128" t="s">
        <v>529</v>
      </c>
      <c r="F122" s="128" t="s">
        <v>530</v>
      </c>
      <c r="G122" s="128">
        <v>18</v>
      </c>
      <c r="H122" s="128" t="s">
        <v>43</v>
      </c>
      <c r="I122" s="128" t="s">
        <v>531</v>
      </c>
      <c r="J122" s="128" t="s">
        <v>44</v>
      </c>
      <c r="K122" s="128" t="s">
        <v>44</v>
      </c>
      <c r="L122" s="128" t="s">
        <v>45</v>
      </c>
      <c r="M122" s="128" t="s">
        <v>46</v>
      </c>
      <c r="N122" s="128" t="s">
        <v>47</v>
      </c>
      <c r="O122" s="129">
        <v>24108</v>
      </c>
      <c r="P122" s="128"/>
      <c r="Q122" s="128" t="s">
        <v>532</v>
      </c>
      <c r="R122" s="128">
        <v>18</v>
      </c>
      <c r="S122" s="128" t="s">
        <v>48</v>
      </c>
    </row>
    <row r="123" spans="1:19" x14ac:dyDescent="0.25">
      <c r="A123" s="128">
        <v>97000</v>
      </c>
      <c r="B123" s="128" t="s">
        <v>39</v>
      </c>
      <c r="C123" s="128" t="s">
        <v>40</v>
      </c>
      <c r="D123" s="128" t="s">
        <v>40</v>
      </c>
      <c r="E123" s="128" t="s">
        <v>2921</v>
      </c>
      <c r="F123" s="128" t="s">
        <v>2922</v>
      </c>
      <c r="G123" s="128">
        <v>1.5</v>
      </c>
      <c r="H123" s="128" t="s">
        <v>43</v>
      </c>
      <c r="I123" s="128" t="s">
        <v>2923</v>
      </c>
      <c r="J123" s="128" t="s">
        <v>807</v>
      </c>
      <c r="K123" s="128" t="s">
        <v>315</v>
      </c>
      <c r="L123" s="128" t="s">
        <v>915</v>
      </c>
      <c r="M123" s="128" t="s">
        <v>46</v>
      </c>
      <c r="N123" s="128" t="s">
        <v>47</v>
      </c>
      <c r="O123" s="129">
        <v>39821</v>
      </c>
      <c r="P123" s="128"/>
      <c r="Q123" s="128"/>
      <c r="R123" s="128">
        <v>1.6</v>
      </c>
      <c r="S123" s="128" t="s">
        <v>48</v>
      </c>
    </row>
    <row r="124" spans="1:19" ht="29.25" x14ac:dyDescent="0.25">
      <c r="A124" s="128">
        <v>97500</v>
      </c>
      <c r="B124" s="128" t="s">
        <v>39</v>
      </c>
      <c r="C124" s="128" t="s">
        <v>40</v>
      </c>
      <c r="D124" s="128" t="s">
        <v>40</v>
      </c>
      <c r="E124" s="128" t="s">
        <v>2939</v>
      </c>
      <c r="F124" s="128" t="s">
        <v>2940</v>
      </c>
      <c r="G124" s="128">
        <v>6.5</v>
      </c>
      <c r="H124" s="128" t="s">
        <v>7</v>
      </c>
      <c r="I124" s="128" t="s">
        <v>2941</v>
      </c>
      <c r="J124" s="128" t="s">
        <v>800</v>
      </c>
      <c r="K124" s="128" t="s">
        <v>800</v>
      </c>
      <c r="L124" s="128" t="s">
        <v>800</v>
      </c>
      <c r="M124" s="128" t="s">
        <v>57</v>
      </c>
      <c r="N124" s="128" t="s">
        <v>58</v>
      </c>
      <c r="O124" s="129">
        <v>39966</v>
      </c>
      <c r="P124" s="128"/>
      <c r="Q124" s="128"/>
      <c r="R124" s="128">
        <v>6</v>
      </c>
      <c r="S124" s="128" t="s">
        <v>48</v>
      </c>
    </row>
    <row r="125" spans="1:19" ht="29.25" x14ac:dyDescent="0.25">
      <c r="A125" s="128">
        <v>81900</v>
      </c>
      <c r="B125" s="128" t="s">
        <v>39</v>
      </c>
      <c r="C125" s="128" t="s">
        <v>40</v>
      </c>
      <c r="D125" s="128" t="s">
        <v>40</v>
      </c>
      <c r="E125" s="128" t="s">
        <v>2610</v>
      </c>
      <c r="F125" s="128" t="s">
        <v>2611</v>
      </c>
      <c r="G125" s="128">
        <v>48</v>
      </c>
      <c r="H125" s="128" t="s">
        <v>43</v>
      </c>
      <c r="I125" s="128" t="s">
        <v>2612</v>
      </c>
      <c r="J125" s="128" t="s">
        <v>314</v>
      </c>
      <c r="K125" s="128" t="s">
        <v>599</v>
      </c>
      <c r="L125" s="128" t="s">
        <v>259</v>
      </c>
      <c r="M125" s="128" t="s">
        <v>46</v>
      </c>
      <c r="N125" s="128" t="s">
        <v>47</v>
      </c>
      <c r="O125" s="129">
        <v>37627</v>
      </c>
      <c r="P125" s="128"/>
      <c r="Q125" s="128"/>
      <c r="R125" s="128">
        <v>49.9</v>
      </c>
      <c r="S125" s="128" t="s">
        <v>48</v>
      </c>
    </row>
    <row r="126" spans="1:19" x14ac:dyDescent="0.25">
      <c r="A126" s="128">
        <v>96900</v>
      </c>
      <c r="B126" s="128" t="s">
        <v>39</v>
      </c>
      <c r="C126" s="128" t="s">
        <v>40</v>
      </c>
      <c r="D126" s="128" t="s">
        <v>40</v>
      </c>
      <c r="E126" s="128" t="s">
        <v>2919</v>
      </c>
      <c r="F126" s="128" t="s">
        <v>2920</v>
      </c>
      <c r="G126" s="128">
        <v>590</v>
      </c>
      <c r="H126" s="128" t="s">
        <v>43</v>
      </c>
      <c r="I126" s="128" t="s">
        <v>6</v>
      </c>
      <c r="J126" s="128" t="s">
        <v>384</v>
      </c>
      <c r="K126" s="128" t="s">
        <v>724</v>
      </c>
      <c r="L126" s="128" t="s">
        <v>259</v>
      </c>
      <c r="M126" s="128" t="s">
        <v>46</v>
      </c>
      <c r="N126" s="128" t="s">
        <v>47</v>
      </c>
      <c r="O126" s="129">
        <v>39817</v>
      </c>
      <c r="P126" s="128"/>
      <c r="Q126" s="128"/>
      <c r="R126" s="128">
        <v>619</v>
      </c>
      <c r="S126" s="128" t="s">
        <v>48</v>
      </c>
    </row>
    <row r="127" spans="1:19" x14ac:dyDescent="0.25">
      <c r="A127" s="128">
        <v>12300</v>
      </c>
      <c r="B127" s="128" t="s">
        <v>39</v>
      </c>
      <c r="C127" s="128" t="s">
        <v>40</v>
      </c>
      <c r="D127" s="128" t="s">
        <v>40</v>
      </c>
      <c r="E127" s="128" t="s">
        <v>877</v>
      </c>
      <c r="F127" s="128" t="s">
        <v>878</v>
      </c>
      <c r="G127" s="128">
        <v>38.85</v>
      </c>
      <c r="H127" s="128" t="s">
        <v>43</v>
      </c>
      <c r="I127" s="128" t="s">
        <v>879</v>
      </c>
      <c r="J127" s="128" t="s">
        <v>663</v>
      </c>
      <c r="K127" s="128" t="s">
        <v>385</v>
      </c>
      <c r="L127" s="128" t="s">
        <v>663</v>
      </c>
      <c r="M127" s="128" t="s">
        <v>46</v>
      </c>
      <c r="N127" s="128" t="s">
        <v>47</v>
      </c>
      <c r="O127" s="129">
        <v>30317</v>
      </c>
      <c r="P127" s="128"/>
      <c r="Q127" s="128"/>
      <c r="R127" s="128">
        <v>55</v>
      </c>
      <c r="S127" s="128" t="s">
        <v>48</v>
      </c>
    </row>
    <row r="128" spans="1:19" x14ac:dyDescent="0.25">
      <c r="A128" s="128">
        <v>12400</v>
      </c>
      <c r="B128" s="128" t="s">
        <v>39</v>
      </c>
      <c r="C128" s="128" t="s">
        <v>40</v>
      </c>
      <c r="D128" s="128" t="s">
        <v>40</v>
      </c>
      <c r="E128" s="128" t="s">
        <v>880</v>
      </c>
      <c r="F128" s="128" t="s">
        <v>881</v>
      </c>
      <c r="G128" s="128">
        <v>34</v>
      </c>
      <c r="H128" s="128" t="s">
        <v>43</v>
      </c>
      <c r="I128" s="128" t="s">
        <v>879</v>
      </c>
      <c r="J128" s="128" t="s">
        <v>663</v>
      </c>
      <c r="K128" s="128" t="s">
        <v>385</v>
      </c>
      <c r="L128" s="128" t="s">
        <v>663</v>
      </c>
      <c r="M128" s="128" t="s">
        <v>46</v>
      </c>
      <c r="N128" s="128" t="s">
        <v>47</v>
      </c>
      <c r="O128" s="129">
        <v>30317</v>
      </c>
      <c r="P128" s="128"/>
      <c r="Q128" s="128"/>
      <c r="R128" s="128">
        <v>55</v>
      </c>
      <c r="S128" s="128" t="s">
        <v>48</v>
      </c>
    </row>
    <row r="129" spans="1:19" x14ac:dyDescent="0.25">
      <c r="A129" s="128">
        <v>12500</v>
      </c>
      <c r="B129" s="128" t="s">
        <v>39</v>
      </c>
      <c r="C129" s="128" t="s">
        <v>40</v>
      </c>
      <c r="D129" s="128" t="s">
        <v>40</v>
      </c>
      <c r="E129" s="128" t="s">
        <v>1161</v>
      </c>
      <c r="F129" s="128" t="s">
        <v>1162</v>
      </c>
      <c r="G129" s="128">
        <v>42.42</v>
      </c>
      <c r="H129" s="128" t="s">
        <v>43</v>
      </c>
      <c r="I129" s="128" t="s">
        <v>879</v>
      </c>
      <c r="J129" s="128" t="s">
        <v>663</v>
      </c>
      <c r="K129" s="128" t="s">
        <v>385</v>
      </c>
      <c r="L129" s="128" t="s">
        <v>663</v>
      </c>
      <c r="M129" s="128" t="s">
        <v>46</v>
      </c>
      <c r="N129" s="128" t="s">
        <v>47</v>
      </c>
      <c r="O129" s="129">
        <v>31048</v>
      </c>
      <c r="P129" s="128"/>
      <c r="Q129" s="128"/>
      <c r="R129" s="128">
        <v>55</v>
      </c>
      <c r="S129" s="128" t="s">
        <v>48</v>
      </c>
    </row>
    <row r="130" spans="1:19" x14ac:dyDescent="0.25">
      <c r="A130" s="128">
        <v>12600</v>
      </c>
      <c r="B130" s="128" t="s">
        <v>39</v>
      </c>
      <c r="C130" s="128" t="s">
        <v>40</v>
      </c>
      <c r="D130" s="128" t="s">
        <v>40</v>
      </c>
      <c r="E130" s="128" t="s">
        <v>1308</v>
      </c>
      <c r="F130" s="128" t="s">
        <v>1309</v>
      </c>
      <c r="G130" s="128">
        <v>52.73</v>
      </c>
      <c r="H130" s="128" t="s">
        <v>43</v>
      </c>
      <c r="I130" s="128" t="s">
        <v>879</v>
      </c>
      <c r="J130" s="128" t="s">
        <v>663</v>
      </c>
      <c r="K130" s="128" t="s">
        <v>385</v>
      </c>
      <c r="L130" s="128" t="s">
        <v>663</v>
      </c>
      <c r="M130" s="128" t="s">
        <v>46</v>
      </c>
      <c r="N130" s="128" t="s">
        <v>47</v>
      </c>
      <c r="O130" s="129">
        <v>31413</v>
      </c>
      <c r="P130" s="128"/>
      <c r="Q130" s="128"/>
      <c r="R130" s="128">
        <v>55</v>
      </c>
      <c r="S130" s="128" t="s">
        <v>48</v>
      </c>
    </row>
    <row r="131" spans="1:19" x14ac:dyDescent="0.25">
      <c r="A131" s="128">
        <v>12700</v>
      </c>
      <c r="B131" s="128" t="s">
        <v>39</v>
      </c>
      <c r="C131" s="128" t="s">
        <v>40</v>
      </c>
      <c r="D131" s="128" t="s">
        <v>40</v>
      </c>
      <c r="E131" s="128" t="s">
        <v>700</v>
      </c>
      <c r="F131" s="128" t="s">
        <v>701</v>
      </c>
      <c r="G131" s="128">
        <v>74.400000000000006</v>
      </c>
      <c r="H131" s="128" t="s">
        <v>43</v>
      </c>
      <c r="I131" s="128" t="s">
        <v>662</v>
      </c>
      <c r="J131" s="128" t="s">
        <v>663</v>
      </c>
      <c r="K131" s="128" t="s">
        <v>385</v>
      </c>
      <c r="L131" s="128" t="s">
        <v>663</v>
      </c>
      <c r="M131" s="128" t="s">
        <v>46</v>
      </c>
      <c r="N131" s="128" t="s">
        <v>47</v>
      </c>
      <c r="O131" s="129">
        <v>27395</v>
      </c>
      <c r="P131" s="128"/>
      <c r="Q131" s="128"/>
      <c r="R131" s="128">
        <v>110</v>
      </c>
      <c r="S131" s="128" t="s">
        <v>48</v>
      </c>
    </row>
    <row r="132" spans="1:19" x14ac:dyDescent="0.25">
      <c r="A132" s="128">
        <v>12800</v>
      </c>
      <c r="B132" s="128" t="s">
        <v>39</v>
      </c>
      <c r="C132" s="128" t="s">
        <v>40</v>
      </c>
      <c r="D132" s="128" t="s">
        <v>40</v>
      </c>
      <c r="E132" s="128" t="s">
        <v>757</v>
      </c>
      <c r="F132" s="128" t="s">
        <v>758</v>
      </c>
      <c r="G132" s="128">
        <v>57</v>
      </c>
      <c r="H132" s="128" t="s">
        <v>43</v>
      </c>
      <c r="I132" s="128" t="s">
        <v>662</v>
      </c>
      <c r="J132" s="128" t="s">
        <v>663</v>
      </c>
      <c r="K132" s="128" t="s">
        <v>385</v>
      </c>
      <c r="L132" s="128" t="s">
        <v>663</v>
      </c>
      <c r="M132" s="128" t="s">
        <v>46</v>
      </c>
      <c r="N132" s="128" t="s">
        <v>47</v>
      </c>
      <c r="O132" s="129">
        <v>28856</v>
      </c>
      <c r="P132" s="128"/>
      <c r="Q132" s="128"/>
      <c r="R132" s="128">
        <v>66</v>
      </c>
      <c r="S132" s="128" t="s">
        <v>48</v>
      </c>
    </row>
    <row r="133" spans="1:19" x14ac:dyDescent="0.25">
      <c r="A133" s="128">
        <v>12900</v>
      </c>
      <c r="B133" s="128" t="s">
        <v>39</v>
      </c>
      <c r="C133" s="128" t="s">
        <v>49</v>
      </c>
      <c r="D133" s="128" t="s">
        <v>40</v>
      </c>
      <c r="E133" s="128" t="s">
        <v>770</v>
      </c>
      <c r="F133" s="128" t="s">
        <v>771</v>
      </c>
      <c r="G133" s="128">
        <v>95</v>
      </c>
      <c r="H133" s="128" t="s">
        <v>43</v>
      </c>
      <c r="I133" s="128" t="s">
        <v>662</v>
      </c>
      <c r="J133" s="128" t="s">
        <v>663</v>
      </c>
      <c r="K133" s="128" t="s">
        <v>385</v>
      </c>
      <c r="L133" s="128" t="s">
        <v>663</v>
      </c>
      <c r="M133" s="128" t="s">
        <v>46</v>
      </c>
      <c r="N133" s="128" t="s">
        <v>47</v>
      </c>
      <c r="O133" s="129">
        <v>29221</v>
      </c>
      <c r="P133" s="128"/>
      <c r="Q133" s="128"/>
      <c r="R133" s="128">
        <v>102</v>
      </c>
      <c r="S133" s="128" t="s">
        <v>48</v>
      </c>
    </row>
    <row r="134" spans="1:19" x14ac:dyDescent="0.25">
      <c r="A134" s="128">
        <v>13000</v>
      </c>
      <c r="B134" s="128" t="s">
        <v>39</v>
      </c>
      <c r="C134" s="128" t="s">
        <v>49</v>
      </c>
      <c r="D134" s="128" t="s">
        <v>40</v>
      </c>
      <c r="E134" s="128" t="s">
        <v>772</v>
      </c>
      <c r="F134" s="128" t="s">
        <v>773</v>
      </c>
      <c r="G134" s="128">
        <v>70</v>
      </c>
      <c r="H134" s="128" t="s">
        <v>43</v>
      </c>
      <c r="I134" s="128" t="s">
        <v>662</v>
      </c>
      <c r="J134" s="128" t="s">
        <v>663</v>
      </c>
      <c r="K134" s="128" t="s">
        <v>385</v>
      </c>
      <c r="L134" s="128" t="s">
        <v>663</v>
      </c>
      <c r="M134" s="128" t="s">
        <v>46</v>
      </c>
      <c r="N134" s="128" t="s">
        <v>47</v>
      </c>
      <c r="O134" s="129">
        <v>29221</v>
      </c>
      <c r="P134" s="128"/>
      <c r="Q134" s="128"/>
      <c r="R134" s="128">
        <v>114</v>
      </c>
      <c r="S134" s="128" t="s">
        <v>48</v>
      </c>
    </row>
    <row r="135" spans="1:19" x14ac:dyDescent="0.25">
      <c r="A135" s="128">
        <v>13100</v>
      </c>
      <c r="B135" s="128" t="s">
        <v>39</v>
      </c>
      <c r="C135" s="128" t="s">
        <v>49</v>
      </c>
      <c r="D135" s="128" t="s">
        <v>40</v>
      </c>
      <c r="E135" s="128" t="s">
        <v>1163</v>
      </c>
      <c r="F135" s="128" t="s">
        <v>1164</v>
      </c>
      <c r="G135" s="128">
        <v>85</v>
      </c>
      <c r="H135" s="128" t="s">
        <v>43</v>
      </c>
      <c r="I135" s="128" t="s">
        <v>662</v>
      </c>
      <c r="J135" s="128" t="s">
        <v>663</v>
      </c>
      <c r="K135" s="128" t="s">
        <v>385</v>
      </c>
      <c r="L135" s="128" t="s">
        <v>663</v>
      </c>
      <c r="M135" s="128" t="s">
        <v>46</v>
      </c>
      <c r="N135" s="128" t="s">
        <v>47</v>
      </c>
      <c r="O135" s="129">
        <v>31048</v>
      </c>
      <c r="P135" s="128"/>
      <c r="Q135" s="128"/>
      <c r="R135" s="128">
        <v>119</v>
      </c>
      <c r="S135" s="128" t="s">
        <v>48</v>
      </c>
    </row>
    <row r="136" spans="1:19" x14ac:dyDescent="0.25">
      <c r="A136" s="128">
        <v>13200</v>
      </c>
      <c r="B136" s="128" t="s">
        <v>39</v>
      </c>
      <c r="C136" s="128" t="s">
        <v>40</v>
      </c>
      <c r="D136" s="128" t="s">
        <v>40</v>
      </c>
      <c r="E136" s="128" t="s">
        <v>814</v>
      </c>
      <c r="F136" s="128" t="s">
        <v>815</v>
      </c>
      <c r="G136" s="128">
        <v>60</v>
      </c>
      <c r="H136" s="128" t="s">
        <v>43</v>
      </c>
      <c r="I136" s="128" t="s">
        <v>662</v>
      </c>
      <c r="J136" s="128" t="s">
        <v>663</v>
      </c>
      <c r="K136" s="128" t="s">
        <v>385</v>
      </c>
      <c r="L136" s="128" t="s">
        <v>663</v>
      </c>
      <c r="M136" s="128" t="s">
        <v>46</v>
      </c>
      <c r="N136" s="128" t="s">
        <v>47</v>
      </c>
      <c r="O136" s="129">
        <v>29952</v>
      </c>
      <c r="P136" s="128"/>
      <c r="Q136" s="128"/>
      <c r="R136" s="128">
        <v>65</v>
      </c>
      <c r="S136" s="128" t="s">
        <v>48</v>
      </c>
    </row>
    <row r="137" spans="1:19" x14ac:dyDescent="0.25">
      <c r="A137" s="128">
        <v>13300</v>
      </c>
      <c r="B137" s="128" t="s">
        <v>39</v>
      </c>
      <c r="C137" s="128" t="s">
        <v>40</v>
      </c>
      <c r="D137" s="128" t="s">
        <v>40</v>
      </c>
      <c r="E137" s="128" t="s">
        <v>882</v>
      </c>
      <c r="F137" s="128" t="s">
        <v>883</v>
      </c>
      <c r="G137" s="128">
        <v>72</v>
      </c>
      <c r="H137" s="128" t="s">
        <v>43</v>
      </c>
      <c r="I137" s="128" t="s">
        <v>662</v>
      </c>
      <c r="J137" s="128" t="s">
        <v>663</v>
      </c>
      <c r="K137" s="128" t="s">
        <v>385</v>
      </c>
      <c r="L137" s="128" t="s">
        <v>663</v>
      </c>
      <c r="M137" s="128" t="s">
        <v>46</v>
      </c>
      <c r="N137" s="128" t="s">
        <v>47</v>
      </c>
      <c r="O137" s="129">
        <v>30317</v>
      </c>
      <c r="P137" s="128"/>
      <c r="Q137" s="128"/>
      <c r="R137" s="128">
        <v>119</v>
      </c>
      <c r="S137" s="128" t="s">
        <v>48</v>
      </c>
    </row>
    <row r="138" spans="1:19" x14ac:dyDescent="0.25">
      <c r="A138" s="128">
        <v>13400</v>
      </c>
      <c r="B138" s="128" t="s">
        <v>39</v>
      </c>
      <c r="C138" s="128" t="s">
        <v>40</v>
      </c>
      <c r="D138" s="128" t="s">
        <v>40</v>
      </c>
      <c r="E138" s="128" t="s">
        <v>1165</v>
      </c>
      <c r="F138" s="128" t="s">
        <v>1166</v>
      </c>
      <c r="G138" s="128">
        <v>62</v>
      </c>
      <c r="H138" s="128" t="s">
        <v>43</v>
      </c>
      <c r="I138" s="128" t="s">
        <v>662</v>
      </c>
      <c r="J138" s="128" t="s">
        <v>663</v>
      </c>
      <c r="K138" s="128" t="s">
        <v>385</v>
      </c>
      <c r="L138" s="128" t="s">
        <v>663</v>
      </c>
      <c r="M138" s="128" t="s">
        <v>46</v>
      </c>
      <c r="N138" s="128" t="s">
        <v>47</v>
      </c>
      <c r="O138" s="129">
        <v>31048</v>
      </c>
      <c r="P138" s="128"/>
      <c r="Q138" s="128"/>
      <c r="R138" s="128">
        <v>119</v>
      </c>
      <c r="S138" s="128" t="s">
        <v>48</v>
      </c>
    </row>
    <row r="139" spans="1:19" x14ac:dyDescent="0.25">
      <c r="A139" s="128">
        <v>13700</v>
      </c>
      <c r="B139" s="128" t="s">
        <v>39</v>
      </c>
      <c r="C139" s="128" t="s">
        <v>40</v>
      </c>
      <c r="D139" s="128" t="s">
        <v>40</v>
      </c>
      <c r="E139" s="128" t="s">
        <v>1502</v>
      </c>
      <c r="F139" s="128" t="s">
        <v>1503</v>
      </c>
      <c r="G139" s="128">
        <v>24.75</v>
      </c>
      <c r="H139" s="128" t="s">
        <v>43</v>
      </c>
      <c r="I139" s="128" t="s">
        <v>792</v>
      </c>
      <c r="J139" s="128" t="s">
        <v>314</v>
      </c>
      <c r="K139" s="128" t="s">
        <v>599</v>
      </c>
      <c r="L139" s="128" t="s">
        <v>259</v>
      </c>
      <c r="M139" s="128" t="s">
        <v>46</v>
      </c>
      <c r="N139" s="128" t="s">
        <v>793</v>
      </c>
      <c r="O139" s="129">
        <v>31778</v>
      </c>
      <c r="P139" s="128"/>
      <c r="Q139" s="128"/>
      <c r="R139" s="128">
        <v>24.75</v>
      </c>
      <c r="S139" s="128" t="s">
        <v>48</v>
      </c>
    </row>
    <row r="140" spans="1:19" x14ac:dyDescent="0.25">
      <c r="A140" s="128">
        <v>13800</v>
      </c>
      <c r="B140" s="128" t="s">
        <v>39</v>
      </c>
      <c r="C140" s="128" t="s">
        <v>40</v>
      </c>
      <c r="D140" s="128" t="s">
        <v>40</v>
      </c>
      <c r="E140" s="128" t="s">
        <v>1310</v>
      </c>
      <c r="F140" s="128" t="s">
        <v>1311</v>
      </c>
      <c r="G140" s="128">
        <v>24.75</v>
      </c>
      <c r="H140" s="128" t="s">
        <v>43</v>
      </c>
      <c r="I140" s="128" t="s">
        <v>792</v>
      </c>
      <c r="J140" s="128" t="s">
        <v>314</v>
      </c>
      <c r="K140" s="128" t="s">
        <v>599</v>
      </c>
      <c r="L140" s="128" t="s">
        <v>259</v>
      </c>
      <c r="M140" s="128" t="s">
        <v>46</v>
      </c>
      <c r="N140" s="128" t="s">
        <v>793</v>
      </c>
      <c r="O140" s="129">
        <v>31413</v>
      </c>
      <c r="P140" s="128"/>
      <c r="Q140" s="128"/>
      <c r="R140" s="128">
        <v>24.75</v>
      </c>
      <c r="S140" s="128" t="s">
        <v>48</v>
      </c>
    </row>
    <row r="141" spans="1:19" x14ac:dyDescent="0.25">
      <c r="A141" s="128">
        <v>13900</v>
      </c>
      <c r="B141" s="128" t="s">
        <v>39</v>
      </c>
      <c r="C141" s="128" t="s">
        <v>40</v>
      </c>
      <c r="D141" s="128" t="s">
        <v>40</v>
      </c>
      <c r="E141" s="128" t="s">
        <v>2530</v>
      </c>
      <c r="F141" s="128" t="s">
        <v>2531</v>
      </c>
      <c r="G141" s="128">
        <v>46.2</v>
      </c>
      <c r="H141" s="128" t="s">
        <v>43</v>
      </c>
      <c r="I141" s="128" t="s">
        <v>662</v>
      </c>
      <c r="J141" s="128" t="s">
        <v>314</v>
      </c>
      <c r="K141" s="128" t="s">
        <v>599</v>
      </c>
      <c r="L141" s="128" t="s">
        <v>259</v>
      </c>
      <c r="M141" s="128" t="s">
        <v>46</v>
      </c>
      <c r="N141" s="128" t="s">
        <v>47</v>
      </c>
      <c r="O141" s="129">
        <v>37315</v>
      </c>
      <c r="P141" s="128"/>
      <c r="Q141" s="128"/>
      <c r="R141" s="128">
        <v>49.9</v>
      </c>
      <c r="S141" s="128" t="s">
        <v>48</v>
      </c>
    </row>
    <row r="142" spans="1:19" x14ac:dyDescent="0.25">
      <c r="A142" s="128">
        <v>14100</v>
      </c>
      <c r="B142" s="128" t="s">
        <v>39</v>
      </c>
      <c r="C142" s="128" t="s">
        <v>40</v>
      </c>
      <c r="D142" s="128" t="s">
        <v>40</v>
      </c>
      <c r="E142" s="128" t="s">
        <v>706</v>
      </c>
      <c r="F142" s="128" t="s">
        <v>707</v>
      </c>
      <c r="G142" s="128">
        <v>22.3</v>
      </c>
      <c r="H142" s="128" t="s">
        <v>7</v>
      </c>
      <c r="I142" s="128" t="s">
        <v>708</v>
      </c>
      <c r="J142" s="128" t="s">
        <v>314</v>
      </c>
      <c r="K142" s="128" t="s">
        <v>599</v>
      </c>
      <c r="L142" s="128" t="s">
        <v>259</v>
      </c>
      <c r="M142" s="128" t="s">
        <v>57</v>
      </c>
      <c r="N142" s="128" t="s">
        <v>505</v>
      </c>
      <c r="O142" s="129">
        <v>27760</v>
      </c>
      <c r="P142" s="128"/>
      <c r="Q142" s="128"/>
      <c r="R142" s="128">
        <v>30.58</v>
      </c>
      <c r="S142" s="128" t="s">
        <v>48</v>
      </c>
    </row>
    <row r="143" spans="1:19" x14ac:dyDescent="0.25">
      <c r="A143" s="128">
        <v>14200</v>
      </c>
      <c r="B143" s="128" t="s">
        <v>39</v>
      </c>
      <c r="C143" s="128" t="s">
        <v>40</v>
      </c>
      <c r="D143" s="128" t="s">
        <v>40</v>
      </c>
      <c r="E143" s="128" t="s">
        <v>709</v>
      </c>
      <c r="F143" s="128" t="s">
        <v>710</v>
      </c>
      <c r="G143" s="128">
        <v>22.3</v>
      </c>
      <c r="H143" s="128" t="s">
        <v>7</v>
      </c>
      <c r="I143" s="128" t="s">
        <v>708</v>
      </c>
      <c r="J143" s="128" t="s">
        <v>314</v>
      </c>
      <c r="K143" s="128" t="s">
        <v>599</v>
      </c>
      <c r="L143" s="128" t="s">
        <v>259</v>
      </c>
      <c r="M143" s="128" t="s">
        <v>57</v>
      </c>
      <c r="N143" s="128" t="s">
        <v>505</v>
      </c>
      <c r="O143" s="129">
        <v>27760</v>
      </c>
      <c r="P143" s="128"/>
      <c r="Q143" s="128"/>
      <c r="R143" s="128">
        <v>30.58</v>
      </c>
      <c r="S143" s="128" t="s">
        <v>48</v>
      </c>
    </row>
    <row r="144" spans="1:19" x14ac:dyDescent="0.25">
      <c r="A144" s="128">
        <v>89000</v>
      </c>
      <c r="B144" s="128" t="s">
        <v>39</v>
      </c>
      <c r="C144" s="128" t="s">
        <v>40</v>
      </c>
      <c r="D144" s="128" t="s">
        <v>40</v>
      </c>
      <c r="E144" s="128" t="s">
        <v>2714</v>
      </c>
      <c r="F144" s="128" t="s">
        <v>2715</v>
      </c>
      <c r="G144" s="128">
        <v>44.83</v>
      </c>
      <c r="H144" s="128" t="s">
        <v>7</v>
      </c>
      <c r="I144" s="128" t="s">
        <v>708</v>
      </c>
      <c r="J144" s="128" t="s">
        <v>314</v>
      </c>
      <c r="K144" s="128" t="s">
        <v>599</v>
      </c>
      <c r="L144" s="128" t="s">
        <v>259</v>
      </c>
      <c r="M144" s="128" t="s">
        <v>57</v>
      </c>
      <c r="N144" s="128" t="s">
        <v>505</v>
      </c>
      <c r="O144" s="129">
        <v>37994</v>
      </c>
      <c r="P144" s="128"/>
      <c r="Q144" s="128"/>
      <c r="R144" s="128">
        <v>47.3</v>
      </c>
      <c r="S144" s="128" t="s">
        <v>48</v>
      </c>
    </row>
    <row r="145" spans="1:19" x14ac:dyDescent="0.25">
      <c r="A145" s="128">
        <v>89300</v>
      </c>
      <c r="B145" s="128" t="s">
        <v>39</v>
      </c>
      <c r="C145" s="128" t="s">
        <v>40</v>
      </c>
      <c r="D145" s="128" t="s">
        <v>40</v>
      </c>
      <c r="E145" s="128" t="s">
        <v>2716</v>
      </c>
      <c r="F145" s="128" t="s">
        <v>2717</v>
      </c>
      <c r="G145" s="128">
        <v>42.42</v>
      </c>
      <c r="H145" s="128" t="s">
        <v>7</v>
      </c>
      <c r="I145" s="128" t="s">
        <v>708</v>
      </c>
      <c r="J145" s="128" t="s">
        <v>314</v>
      </c>
      <c r="K145" s="128" t="s">
        <v>599</v>
      </c>
      <c r="L145" s="128" t="s">
        <v>259</v>
      </c>
      <c r="M145" s="128" t="s">
        <v>57</v>
      </c>
      <c r="N145" s="128" t="s">
        <v>505</v>
      </c>
      <c r="O145" s="129">
        <v>37994</v>
      </c>
      <c r="P145" s="128"/>
      <c r="Q145" s="128"/>
      <c r="R145" s="128">
        <v>47.3</v>
      </c>
      <c r="S145" s="128" t="s">
        <v>48</v>
      </c>
    </row>
    <row r="146" spans="1:19" ht="57.75" x14ac:dyDescent="0.25">
      <c r="A146" s="128">
        <v>104100</v>
      </c>
      <c r="B146" s="128" t="s">
        <v>39</v>
      </c>
      <c r="C146" s="128" t="s">
        <v>40</v>
      </c>
      <c r="D146" s="128" t="s">
        <v>40</v>
      </c>
      <c r="E146" s="128" t="s">
        <v>3131</v>
      </c>
      <c r="F146" s="128" t="s">
        <v>3132</v>
      </c>
      <c r="G146" s="128">
        <v>1.25</v>
      </c>
      <c r="H146" s="128" t="s">
        <v>7</v>
      </c>
      <c r="I146" s="128" t="s">
        <v>3133</v>
      </c>
      <c r="J146" s="128" t="s">
        <v>1055</v>
      </c>
      <c r="K146" s="128" t="s">
        <v>2179</v>
      </c>
      <c r="L146" s="128" t="s">
        <v>1056</v>
      </c>
      <c r="M146" s="128" t="s">
        <v>57</v>
      </c>
      <c r="N146" s="128" t="s">
        <v>58</v>
      </c>
      <c r="O146" s="129">
        <v>41001</v>
      </c>
      <c r="P146" s="128" t="s">
        <v>3134</v>
      </c>
      <c r="Q146" s="128"/>
      <c r="R146" s="128">
        <v>1.4</v>
      </c>
      <c r="S146" s="128" t="s">
        <v>48</v>
      </c>
    </row>
    <row r="147" spans="1:19" ht="57.75" x14ac:dyDescent="0.25">
      <c r="A147" s="128">
        <v>103800</v>
      </c>
      <c r="B147" s="128" t="s">
        <v>39</v>
      </c>
      <c r="C147" s="128" t="s">
        <v>40</v>
      </c>
      <c r="D147" s="128" t="s">
        <v>40</v>
      </c>
      <c r="E147" s="128" t="s">
        <v>3125</v>
      </c>
      <c r="F147" s="128" t="s">
        <v>3126</v>
      </c>
      <c r="G147" s="128">
        <v>1.1599999999999999</v>
      </c>
      <c r="H147" s="128" t="s">
        <v>7</v>
      </c>
      <c r="I147" s="128" t="s">
        <v>2533</v>
      </c>
      <c r="J147" s="128" t="s">
        <v>1055</v>
      </c>
      <c r="K147" s="128" t="s">
        <v>2179</v>
      </c>
      <c r="L147" s="128" t="s">
        <v>1056</v>
      </c>
      <c r="M147" s="128" t="s">
        <v>57</v>
      </c>
      <c r="N147" s="128" t="s">
        <v>58</v>
      </c>
      <c r="O147" s="129">
        <v>40949</v>
      </c>
      <c r="P147" s="128" t="s">
        <v>3127</v>
      </c>
      <c r="Q147" s="128"/>
      <c r="R147" s="128">
        <v>1.17</v>
      </c>
      <c r="S147" s="128" t="s">
        <v>48</v>
      </c>
    </row>
    <row r="148" spans="1:19" x14ac:dyDescent="0.25">
      <c r="A148" s="128">
        <v>95400</v>
      </c>
      <c r="B148" s="128" t="s">
        <v>39</v>
      </c>
      <c r="C148" s="128" t="s">
        <v>40</v>
      </c>
      <c r="D148" s="128" t="s">
        <v>40</v>
      </c>
      <c r="E148" s="128" t="s">
        <v>2899</v>
      </c>
      <c r="F148" s="128" t="s">
        <v>2900</v>
      </c>
      <c r="G148" s="128">
        <v>46</v>
      </c>
      <c r="H148" s="128" t="s">
        <v>7</v>
      </c>
      <c r="I148" s="128" t="s">
        <v>7</v>
      </c>
      <c r="J148" s="128" t="s">
        <v>314</v>
      </c>
      <c r="K148" s="128" t="s">
        <v>599</v>
      </c>
      <c r="L148" s="128" t="s">
        <v>259</v>
      </c>
      <c r="M148" s="128" t="s">
        <v>57</v>
      </c>
      <c r="N148" s="128" t="s">
        <v>58</v>
      </c>
      <c r="O148" s="129">
        <v>39345</v>
      </c>
      <c r="P148" s="128"/>
      <c r="Q148" s="128"/>
      <c r="R148" s="128">
        <v>49</v>
      </c>
      <c r="S148" s="128" t="s">
        <v>48</v>
      </c>
    </row>
    <row r="149" spans="1:19" x14ac:dyDescent="0.25">
      <c r="A149" s="128">
        <v>14300</v>
      </c>
      <c r="B149" s="128" t="s">
        <v>39</v>
      </c>
      <c r="C149" s="128" t="s">
        <v>40</v>
      </c>
      <c r="D149" s="128" t="s">
        <v>40</v>
      </c>
      <c r="E149" s="128" t="s">
        <v>2166</v>
      </c>
      <c r="F149" s="128" t="s">
        <v>2167</v>
      </c>
      <c r="G149" s="128">
        <v>20</v>
      </c>
      <c r="H149" s="128" t="s">
        <v>43</v>
      </c>
      <c r="I149" s="128" t="s">
        <v>6</v>
      </c>
      <c r="J149" s="128" t="s">
        <v>44</v>
      </c>
      <c r="K149" s="128" t="s">
        <v>44</v>
      </c>
      <c r="L149" s="128" t="s">
        <v>45</v>
      </c>
      <c r="M149" s="128" t="s">
        <v>46</v>
      </c>
      <c r="N149" s="128" t="s">
        <v>47</v>
      </c>
      <c r="O149" s="129">
        <v>33970</v>
      </c>
      <c r="P149" s="128"/>
      <c r="Q149" s="128" t="s">
        <v>194</v>
      </c>
      <c r="R149" s="128">
        <v>20</v>
      </c>
      <c r="S149" s="128" t="s">
        <v>48</v>
      </c>
    </row>
    <row r="150" spans="1:19" x14ac:dyDescent="0.25">
      <c r="A150" s="128">
        <v>15000</v>
      </c>
      <c r="B150" s="128" t="s">
        <v>39</v>
      </c>
      <c r="C150" s="128" t="s">
        <v>40</v>
      </c>
      <c r="D150" s="128" t="s">
        <v>40</v>
      </c>
      <c r="E150" s="128" t="s">
        <v>205</v>
      </c>
      <c r="F150" s="128" t="s">
        <v>206</v>
      </c>
      <c r="G150" s="128">
        <v>8.5</v>
      </c>
      <c r="H150" s="128" t="s">
        <v>43</v>
      </c>
      <c r="I150" s="128" t="s">
        <v>6</v>
      </c>
      <c r="J150" s="128" t="s">
        <v>44</v>
      </c>
      <c r="K150" s="128" t="s">
        <v>44</v>
      </c>
      <c r="L150" s="128" t="s">
        <v>45</v>
      </c>
      <c r="M150" s="128" t="s">
        <v>46</v>
      </c>
      <c r="N150" s="128" t="s">
        <v>47</v>
      </c>
      <c r="O150" s="129">
        <v>7672</v>
      </c>
      <c r="P150" s="128"/>
      <c r="Q150" s="128" t="s">
        <v>207</v>
      </c>
      <c r="R150" s="128">
        <v>8.5</v>
      </c>
      <c r="S150" s="128" t="s">
        <v>48</v>
      </c>
    </row>
    <row r="151" spans="1:19" x14ac:dyDescent="0.25">
      <c r="A151" s="128">
        <v>15100</v>
      </c>
      <c r="B151" s="128" t="s">
        <v>39</v>
      </c>
      <c r="C151" s="128" t="s">
        <v>40</v>
      </c>
      <c r="D151" s="128" t="s">
        <v>40</v>
      </c>
      <c r="E151" s="128" t="s">
        <v>208</v>
      </c>
      <c r="F151" s="128" t="s">
        <v>209</v>
      </c>
      <c r="G151" s="128">
        <v>8.5</v>
      </c>
      <c r="H151" s="128" t="s">
        <v>43</v>
      </c>
      <c r="I151" s="128" t="s">
        <v>6</v>
      </c>
      <c r="J151" s="128" t="s">
        <v>44</v>
      </c>
      <c r="K151" s="128" t="s">
        <v>44</v>
      </c>
      <c r="L151" s="128" t="s">
        <v>45</v>
      </c>
      <c r="M151" s="128" t="s">
        <v>46</v>
      </c>
      <c r="N151" s="128" t="s">
        <v>47</v>
      </c>
      <c r="O151" s="129">
        <v>7672</v>
      </c>
      <c r="P151" s="128"/>
      <c r="Q151" s="128" t="s">
        <v>207</v>
      </c>
      <c r="R151" s="128">
        <v>8.5</v>
      </c>
      <c r="S151" s="128" t="s">
        <v>48</v>
      </c>
    </row>
    <row r="152" spans="1:19" x14ac:dyDescent="0.25">
      <c r="A152" s="128">
        <v>84500</v>
      </c>
      <c r="B152" s="128" t="s">
        <v>39</v>
      </c>
      <c r="C152" s="128" t="s">
        <v>40</v>
      </c>
      <c r="D152" s="128" t="s">
        <v>40</v>
      </c>
      <c r="E152" s="128" t="s">
        <v>2708</v>
      </c>
      <c r="F152" s="128" t="s">
        <v>2709</v>
      </c>
      <c r="G152" s="128">
        <v>162</v>
      </c>
      <c r="H152" s="128" t="s">
        <v>43</v>
      </c>
      <c r="I152" s="128" t="s">
        <v>2710</v>
      </c>
      <c r="J152" s="128" t="s">
        <v>800</v>
      </c>
      <c r="K152" s="128" t="s">
        <v>800</v>
      </c>
      <c r="L152" s="128" t="s">
        <v>800</v>
      </c>
      <c r="M152" s="128" t="s">
        <v>46</v>
      </c>
      <c r="N152" s="128" t="s">
        <v>47</v>
      </c>
      <c r="O152" s="129">
        <v>37978</v>
      </c>
      <c r="P152" s="128"/>
      <c r="Q152" s="128"/>
      <c r="R152" s="128">
        <v>162</v>
      </c>
      <c r="S152" s="128" t="s">
        <v>48</v>
      </c>
    </row>
    <row r="153" spans="1:19" x14ac:dyDescent="0.25">
      <c r="A153" s="128">
        <v>14600</v>
      </c>
      <c r="B153" s="128" t="s">
        <v>39</v>
      </c>
      <c r="C153" s="128" t="s">
        <v>40</v>
      </c>
      <c r="D153" s="128" t="s">
        <v>40</v>
      </c>
      <c r="E153" s="128" t="s">
        <v>164</v>
      </c>
      <c r="F153" s="128" t="s">
        <v>165</v>
      </c>
      <c r="G153" s="128">
        <v>13.5</v>
      </c>
      <c r="H153" s="128" t="s">
        <v>43</v>
      </c>
      <c r="I153" s="128" t="s">
        <v>6</v>
      </c>
      <c r="J153" s="128" t="s">
        <v>44</v>
      </c>
      <c r="K153" s="128" t="s">
        <v>44</v>
      </c>
      <c r="L153" s="128" t="s">
        <v>45</v>
      </c>
      <c r="M153" s="128" t="s">
        <v>46</v>
      </c>
      <c r="N153" s="128" t="s">
        <v>47</v>
      </c>
      <c r="O153" s="129">
        <v>5845</v>
      </c>
      <c r="P153" s="128"/>
      <c r="Q153" s="128" t="s">
        <v>148</v>
      </c>
      <c r="R153" s="128">
        <v>13.5</v>
      </c>
      <c r="S153" s="128" t="s">
        <v>48</v>
      </c>
    </row>
    <row r="154" spans="1:19" x14ac:dyDescent="0.25">
      <c r="A154" s="128">
        <v>100100</v>
      </c>
      <c r="B154" s="128" t="s">
        <v>39</v>
      </c>
      <c r="C154" s="128" t="s">
        <v>40</v>
      </c>
      <c r="D154" s="128" t="s">
        <v>40</v>
      </c>
      <c r="E154" s="128" t="s">
        <v>3006</v>
      </c>
      <c r="F154" s="128" t="s">
        <v>3007</v>
      </c>
      <c r="G154" s="128">
        <v>102</v>
      </c>
      <c r="H154" s="128" t="s">
        <v>43</v>
      </c>
      <c r="I154" s="128" t="s">
        <v>3008</v>
      </c>
      <c r="J154" s="128" t="s">
        <v>800</v>
      </c>
      <c r="K154" s="128" t="s">
        <v>800</v>
      </c>
      <c r="L154" s="128" t="s">
        <v>800</v>
      </c>
      <c r="M154" s="128" t="s">
        <v>46</v>
      </c>
      <c r="N154" s="128" t="s">
        <v>47</v>
      </c>
      <c r="O154" s="129">
        <v>40501</v>
      </c>
      <c r="P154" s="128"/>
      <c r="Q154" s="128"/>
      <c r="R154" s="128">
        <v>101.2</v>
      </c>
      <c r="S154" s="128" t="s">
        <v>48</v>
      </c>
    </row>
    <row r="155" spans="1:19" x14ac:dyDescent="0.25">
      <c r="A155" s="128">
        <v>15300</v>
      </c>
      <c r="B155" s="128" t="s">
        <v>39</v>
      </c>
      <c r="C155" s="128" t="s">
        <v>40</v>
      </c>
      <c r="D155" s="128" t="s">
        <v>40</v>
      </c>
      <c r="E155" s="128" t="s">
        <v>1011</v>
      </c>
      <c r="F155" s="128" t="s">
        <v>1012</v>
      </c>
      <c r="G155" s="128">
        <v>407</v>
      </c>
      <c r="H155" s="128" t="s">
        <v>43</v>
      </c>
      <c r="I155" s="128" t="s">
        <v>6</v>
      </c>
      <c r="J155" s="128" t="s">
        <v>44</v>
      </c>
      <c r="K155" s="128" t="s">
        <v>561</v>
      </c>
      <c r="L155" s="128" t="s">
        <v>45</v>
      </c>
      <c r="M155" s="128" t="s">
        <v>46</v>
      </c>
      <c r="N155" s="128" t="s">
        <v>47</v>
      </c>
      <c r="O155" s="129">
        <v>30682</v>
      </c>
      <c r="P155" s="128"/>
      <c r="Q155" s="128" t="s">
        <v>262</v>
      </c>
      <c r="R155" s="128">
        <v>407</v>
      </c>
      <c r="S155" s="128" t="s">
        <v>48</v>
      </c>
    </row>
    <row r="156" spans="1:19" x14ac:dyDescent="0.25">
      <c r="A156" s="128">
        <v>15400</v>
      </c>
      <c r="B156" s="128" t="s">
        <v>39</v>
      </c>
      <c r="C156" s="128" t="s">
        <v>40</v>
      </c>
      <c r="D156" s="128" t="s">
        <v>40</v>
      </c>
      <c r="E156" s="128" t="s">
        <v>1013</v>
      </c>
      <c r="F156" s="128" t="s">
        <v>1014</v>
      </c>
      <c r="G156" s="128">
        <v>407</v>
      </c>
      <c r="H156" s="128" t="s">
        <v>43</v>
      </c>
      <c r="I156" s="128" t="s">
        <v>6</v>
      </c>
      <c r="J156" s="128" t="s">
        <v>44</v>
      </c>
      <c r="K156" s="128" t="s">
        <v>561</v>
      </c>
      <c r="L156" s="128" t="s">
        <v>45</v>
      </c>
      <c r="M156" s="128" t="s">
        <v>46</v>
      </c>
      <c r="N156" s="128" t="s">
        <v>47</v>
      </c>
      <c r="O156" s="129">
        <v>30682</v>
      </c>
      <c r="P156" s="128"/>
      <c r="Q156" s="128" t="s">
        <v>262</v>
      </c>
      <c r="R156" s="128">
        <v>407</v>
      </c>
      <c r="S156" s="128" t="s">
        <v>48</v>
      </c>
    </row>
    <row r="157" spans="1:19" x14ac:dyDescent="0.25">
      <c r="A157" s="128">
        <v>15500</v>
      </c>
      <c r="B157" s="128" t="s">
        <v>39</v>
      </c>
      <c r="C157" s="128" t="s">
        <v>40</v>
      </c>
      <c r="D157" s="128" t="s">
        <v>40</v>
      </c>
      <c r="E157" s="128" t="s">
        <v>1015</v>
      </c>
      <c r="F157" s="128" t="s">
        <v>1016</v>
      </c>
      <c r="G157" s="128">
        <v>404</v>
      </c>
      <c r="H157" s="128" t="s">
        <v>43</v>
      </c>
      <c r="I157" s="128" t="s">
        <v>6</v>
      </c>
      <c r="J157" s="128" t="s">
        <v>44</v>
      </c>
      <c r="K157" s="128" t="s">
        <v>561</v>
      </c>
      <c r="L157" s="128" t="s">
        <v>45</v>
      </c>
      <c r="M157" s="128" t="s">
        <v>46</v>
      </c>
      <c r="N157" s="128" t="s">
        <v>47</v>
      </c>
      <c r="O157" s="129">
        <v>30682</v>
      </c>
      <c r="P157" s="128"/>
      <c r="Q157" s="128" t="s">
        <v>262</v>
      </c>
      <c r="R157" s="128">
        <v>404</v>
      </c>
      <c r="S157" s="128" t="s">
        <v>48</v>
      </c>
    </row>
    <row r="158" spans="1:19" x14ac:dyDescent="0.25">
      <c r="A158" s="128">
        <v>15600</v>
      </c>
      <c r="B158" s="128" t="s">
        <v>39</v>
      </c>
      <c r="C158" s="128" t="s">
        <v>40</v>
      </c>
      <c r="D158" s="128" t="s">
        <v>40</v>
      </c>
      <c r="E158" s="128" t="s">
        <v>2566</v>
      </c>
      <c r="F158" s="128" t="s">
        <v>2567</v>
      </c>
      <c r="G158" s="128">
        <v>49.98</v>
      </c>
      <c r="H158" s="128" t="s">
        <v>43</v>
      </c>
      <c r="I158" s="128" t="s">
        <v>2338</v>
      </c>
      <c r="J158" s="128" t="s">
        <v>314</v>
      </c>
      <c r="K158" s="128" t="s">
        <v>599</v>
      </c>
      <c r="L158" s="128" t="s">
        <v>259</v>
      </c>
      <c r="M158" s="128" t="s">
        <v>46</v>
      </c>
      <c r="N158" s="128" t="s">
        <v>47</v>
      </c>
      <c r="O158" s="129">
        <v>37438</v>
      </c>
      <c r="P158" s="128"/>
      <c r="Q158" s="128"/>
      <c r="R158" s="128">
        <v>49</v>
      </c>
      <c r="S158" s="128" t="s">
        <v>48</v>
      </c>
    </row>
    <row r="159" spans="1:19" x14ac:dyDescent="0.25">
      <c r="A159" s="128">
        <v>15700</v>
      </c>
      <c r="B159" s="128" t="s">
        <v>39</v>
      </c>
      <c r="C159" s="128" t="s">
        <v>40</v>
      </c>
      <c r="D159" s="128" t="s">
        <v>40</v>
      </c>
      <c r="E159" s="128" t="s">
        <v>2568</v>
      </c>
      <c r="F159" s="128" t="s">
        <v>2569</v>
      </c>
      <c r="G159" s="128">
        <v>49.42</v>
      </c>
      <c r="H159" s="128" t="s">
        <v>43</v>
      </c>
      <c r="I159" s="128" t="s">
        <v>2338</v>
      </c>
      <c r="J159" s="128" t="s">
        <v>314</v>
      </c>
      <c r="K159" s="128" t="s">
        <v>599</v>
      </c>
      <c r="L159" s="128" t="s">
        <v>259</v>
      </c>
      <c r="M159" s="128" t="s">
        <v>46</v>
      </c>
      <c r="N159" s="128" t="s">
        <v>47</v>
      </c>
      <c r="O159" s="129">
        <v>37438</v>
      </c>
      <c r="P159" s="128"/>
      <c r="Q159" s="128"/>
      <c r="R159" s="128">
        <v>49</v>
      </c>
      <c r="S159" s="128" t="s">
        <v>48</v>
      </c>
    </row>
    <row r="160" spans="1:19" x14ac:dyDescent="0.25">
      <c r="A160" s="128">
        <v>77500</v>
      </c>
      <c r="B160" s="128" t="s">
        <v>39</v>
      </c>
      <c r="C160" s="128" t="s">
        <v>40</v>
      </c>
      <c r="D160" s="128" t="s">
        <v>40</v>
      </c>
      <c r="E160" s="128" t="s">
        <v>1803</v>
      </c>
      <c r="F160" s="128" t="s">
        <v>1804</v>
      </c>
      <c r="G160" s="128">
        <v>0.5</v>
      </c>
      <c r="H160" s="128" t="s">
        <v>43</v>
      </c>
      <c r="I160" s="128" t="s">
        <v>792</v>
      </c>
      <c r="J160" s="128" t="s">
        <v>44</v>
      </c>
      <c r="K160" s="128" t="s">
        <v>44</v>
      </c>
      <c r="L160" s="128" t="s">
        <v>45</v>
      </c>
      <c r="M160" s="128" t="s">
        <v>46</v>
      </c>
      <c r="N160" s="128" t="s">
        <v>47</v>
      </c>
      <c r="O160" s="129">
        <v>32509</v>
      </c>
      <c r="P160" s="128"/>
      <c r="Q160" s="128"/>
      <c r="R160" s="128">
        <v>0.5</v>
      </c>
      <c r="S160" s="128" t="s">
        <v>48</v>
      </c>
    </row>
    <row r="161" spans="1:19" ht="29.25" x14ac:dyDescent="0.25">
      <c r="A161" s="128">
        <v>99600</v>
      </c>
      <c r="B161" s="128" t="s">
        <v>39</v>
      </c>
      <c r="C161" s="128" t="s">
        <v>40</v>
      </c>
      <c r="D161" s="128" t="s">
        <v>40</v>
      </c>
      <c r="E161" s="128" t="s">
        <v>2997</v>
      </c>
      <c r="F161" s="128" t="s">
        <v>2998</v>
      </c>
      <c r="G161" s="128">
        <v>48.81</v>
      </c>
      <c r="H161" s="128" t="s">
        <v>43</v>
      </c>
      <c r="I161" s="128" t="s">
        <v>6</v>
      </c>
      <c r="J161" s="128" t="s">
        <v>384</v>
      </c>
      <c r="K161" s="128" t="s">
        <v>315</v>
      </c>
      <c r="L161" s="128" t="s">
        <v>259</v>
      </c>
      <c r="M161" s="128" t="s">
        <v>46</v>
      </c>
      <c r="N161" s="128" t="s">
        <v>47</v>
      </c>
      <c r="O161" s="129">
        <v>40450</v>
      </c>
      <c r="P161" s="128"/>
      <c r="Q161" s="128"/>
      <c r="R161" s="128">
        <v>48.81</v>
      </c>
      <c r="S161" s="128" t="s">
        <v>48</v>
      </c>
    </row>
    <row r="162" spans="1:19" ht="29.25" x14ac:dyDescent="0.25">
      <c r="A162" s="128">
        <v>99700</v>
      </c>
      <c r="B162" s="128" t="s">
        <v>39</v>
      </c>
      <c r="C162" s="128" t="s">
        <v>40</v>
      </c>
      <c r="D162" s="128" t="s">
        <v>40</v>
      </c>
      <c r="E162" s="128" t="s">
        <v>2999</v>
      </c>
      <c r="F162" s="128" t="s">
        <v>3000</v>
      </c>
      <c r="G162" s="128">
        <v>48.81</v>
      </c>
      <c r="H162" s="128" t="s">
        <v>43</v>
      </c>
      <c r="I162" s="128" t="s">
        <v>6</v>
      </c>
      <c r="J162" s="128" t="s">
        <v>384</v>
      </c>
      <c r="K162" s="128" t="s">
        <v>315</v>
      </c>
      <c r="L162" s="128" t="s">
        <v>259</v>
      </c>
      <c r="M162" s="128" t="s">
        <v>46</v>
      </c>
      <c r="N162" s="128" t="s">
        <v>47</v>
      </c>
      <c r="O162" s="129">
        <v>40450</v>
      </c>
      <c r="P162" s="128"/>
      <c r="Q162" s="128"/>
      <c r="R162" s="128">
        <v>48.81</v>
      </c>
      <c r="S162" s="128" t="s">
        <v>48</v>
      </c>
    </row>
    <row r="163" spans="1:19" ht="29.25" x14ac:dyDescent="0.25">
      <c r="A163" s="128">
        <v>99500</v>
      </c>
      <c r="B163" s="128" t="s">
        <v>39</v>
      </c>
      <c r="C163" s="128" t="s">
        <v>40</v>
      </c>
      <c r="D163" s="128" t="s">
        <v>40</v>
      </c>
      <c r="E163" s="128" t="s">
        <v>3001</v>
      </c>
      <c r="F163" s="128" t="s">
        <v>3002</v>
      </c>
      <c r="G163" s="128">
        <v>65.08</v>
      </c>
      <c r="H163" s="128" t="s">
        <v>43</v>
      </c>
      <c r="I163" s="128" t="s">
        <v>6</v>
      </c>
      <c r="J163" s="128" t="s">
        <v>384</v>
      </c>
      <c r="K163" s="128" t="s">
        <v>315</v>
      </c>
      <c r="L163" s="128" t="s">
        <v>259</v>
      </c>
      <c r="M163" s="128" t="s">
        <v>46</v>
      </c>
      <c r="N163" s="128" t="s">
        <v>47</v>
      </c>
      <c r="O163" s="129">
        <v>40450</v>
      </c>
      <c r="P163" s="128"/>
      <c r="Q163" s="128"/>
      <c r="R163" s="128">
        <v>65.08</v>
      </c>
      <c r="S163" s="128" t="s">
        <v>48</v>
      </c>
    </row>
    <row r="164" spans="1:19" x14ac:dyDescent="0.25">
      <c r="A164" s="128">
        <v>16500</v>
      </c>
      <c r="B164" s="128" t="s">
        <v>39</v>
      </c>
      <c r="C164" s="128" t="s">
        <v>40</v>
      </c>
      <c r="D164" s="128" t="s">
        <v>40</v>
      </c>
      <c r="E164" s="128" t="s">
        <v>3211</v>
      </c>
      <c r="F164" s="128" t="s">
        <v>3212</v>
      </c>
      <c r="G164" s="128">
        <v>225.75</v>
      </c>
      <c r="H164" s="128" t="s">
        <v>7</v>
      </c>
      <c r="I164" s="128" t="s">
        <v>388</v>
      </c>
      <c r="J164" s="128" t="s">
        <v>384</v>
      </c>
      <c r="K164" s="128" t="s">
        <v>385</v>
      </c>
      <c r="L164" s="128" t="s">
        <v>259</v>
      </c>
      <c r="M164" s="128" t="s">
        <v>57</v>
      </c>
      <c r="N164" s="128" t="s">
        <v>58</v>
      </c>
      <c r="O164" s="128"/>
      <c r="P164" s="128"/>
      <c r="Q164" s="128"/>
      <c r="R164" s="128">
        <v>226</v>
      </c>
      <c r="S164" s="128" t="s">
        <v>48</v>
      </c>
    </row>
    <row r="165" spans="1:19" x14ac:dyDescent="0.25">
      <c r="A165" s="128">
        <v>16600</v>
      </c>
      <c r="B165" s="128" t="s">
        <v>39</v>
      </c>
      <c r="C165" s="128" t="s">
        <v>40</v>
      </c>
      <c r="D165" s="128" t="s">
        <v>40</v>
      </c>
      <c r="E165" s="128" t="s">
        <v>3213</v>
      </c>
      <c r="F165" s="128" t="s">
        <v>3214</v>
      </c>
      <c r="G165" s="128">
        <v>225.8</v>
      </c>
      <c r="H165" s="128" t="s">
        <v>7</v>
      </c>
      <c r="I165" s="128" t="s">
        <v>388</v>
      </c>
      <c r="J165" s="128" t="s">
        <v>384</v>
      </c>
      <c r="K165" s="128" t="s">
        <v>385</v>
      </c>
      <c r="L165" s="128" t="s">
        <v>259</v>
      </c>
      <c r="M165" s="128" t="s">
        <v>57</v>
      </c>
      <c r="N165" s="128" t="s">
        <v>58</v>
      </c>
      <c r="O165" s="128"/>
      <c r="P165" s="128"/>
      <c r="Q165" s="128"/>
      <c r="R165" s="128">
        <v>226</v>
      </c>
      <c r="S165" s="128" t="s">
        <v>48</v>
      </c>
    </row>
    <row r="166" spans="1:19" x14ac:dyDescent="0.25">
      <c r="A166" s="128">
        <v>16700</v>
      </c>
      <c r="B166" s="128" t="s">
        <v>39</v>
      </c>
      <c r="C166" s="128" t="s">
        <v>40</v>
      </c>
      <c r="D166" s="128" t="s">
        <v>40</v>
      </c>
      <c r="E166" s="128" t="s">
        <v>2589</v>
      </c>
      <c r="F166" s="128" t="s">
        <v>2590</v>
      </c>
      <c r="G166" s="128">
        <v>225</v>
      </c>
      <c r="H166" s="128" t="s">
        <v>7</v>
      </c>
      <c r="I166" s="128" t="s">
        <v>388</v>
      </c>
      <c r="J166" s="128" t="s">
        <v>384</v>
      </c>
      <c r="K166" s="128" t="s">
        <v>385</v>
      </c>
      <c r="L166" s="128" t="s">
        <v>259</v>
      </c>
      <c r="M166" s="128" t="s">
        <v>57</v>
      </c>
      <c r="N166" s="128" t="s">
        <v>58</v>
      </c>
      <c r="O166" s="129">
        <v>37468</v>
      </c>
      <c r="P166" s="128" t="s">
        <v>2591</v>
      </c>
      <c r="Q166" s="128"/>
      <c r="R166" s="128">
        <v>225</v>
      </c>
      <c r="S166" s="128" t="s">
        <v>48</v>
      </c>
    </row>
    <row r="167" spans="1:19" x14ac:dyDescent="0.25">
      <c r="A167" s="128">
        <v>16800</v>
      </c>
      <c r="B167" s="128" t="s">
        <v>39</v>
      </c>
      <c r="C167" s="128" t="s">
        <v>40</v>
      </c>
      <c r="D167" s="128" t="s">
        <v>40</v>
      </c>
      <c r="E167" s="128" t="s">
        <v>2703</v>
      </c>
      <c r="F167" s="128" t="s">
        <v>2704</v>
      </c>
      <c r="G167" s="128">
        <v>215</v>
      </c>
      <c r="H167" s="128" t="s">
        <v>7</v>
      </c>
      <c r="I167" s="128" t="s">
        <v>388</v>
      </c>
      <c r="J167" s="128" t="s">
        <v>384</v>
      </c>
      <c r="K167" s="128" t="s">
        <v>385</v>
      </c>
      <c r="L167" s="128" t="s">
        <v>259</v>
      </c>
      <c r="M167" s="128" t="s">
        <v>57</v>
      </c>
      <c r="N167" s="128" t="s">
        <v>58</v>
      </c>
      <c r="O167" s="129">
        <v>37840</v>
      </c>
      <c r="P167" s="128" t="s">
        <v>2591</v>
      </c>
      <c r="Q167" s="128"/>
      <c r="R167" s="128">
        <v>225</v>
      </c>
      <c r="S167" s="128" t="s">
        <v>48</v>
      </c>
    </row>
    <row r="168" spans="1:19" x14ac:dyDescent="0.25">
      <c r="A168" s="128">
        <v>17300</v>
      </c>
      <c r="B168" s="128" t="s">
        <v>39</v>
      </c>
      <c r="C168" s="128" t="s">
        <v>40</v>
      </c>
      <c r="D168" s="128" t="s">
        <v>40</v>
      </c>
      <c r="E168" s="128" t="s">
        <v>759</v>
      </c>
      <c r="F168" s="128" t="s">
        <v>760</v>
      </c>
      <c r="G168" s="128">
        <v>8</v>
      </c>
      <c r="H168" s="128" t="s">
        <v>43</v>
      </c>
      <c r="I168" s="128" t="s">
        <v>6</v>
      </c>
      <c r="J168" s="128" t="s">
        <v>44</v>
      </c>
      <c r="K168" s="128" t="s">
        <v>44</v>
      </c>
      <c r="L168" s="128" t="s">
        <v>45</v>
      </c>
      <c r="M168" s="128" t="s">
        <v>46</v>
      </c>
      <c r="N168" s="128" t="s">
        <v>47</v>
      </c>
      <c r="O168" s="129">
        <v>28856</v>
      </c>
      <c r="P168" s="128"/>
      <c r="Q168" s="128" t="s">
        <v>756</v>
      </c>
      <c r="R168" s="128">
        <v>8</v>
      </c>
      <c r="S168" s="128" t="s">
        <v>48</v>
      </c>
    </row>
    <row r="169" spans="1:19" x14ac:dyDescent="0.25">
      <c r="A169" s="128">
        <v>17000</v>
      </c>
      <c r="B169" s="128" t="s">
        <v>39</v>
      </c>
      <c r="C169" s="128" t="s">
        <v>40</v>
      </c>
      <c r="D169" s="128" t="s">
        <v>40</v>
      </c>
      <c r="E169" s="128" t="s">
        <v>2503</v>
      </c>
      <c r="F169" s="128" t="s">
        <v>2504</v>
      </c>
      <c r="G169" s="128">
        <v>44</v>
      </c>
      <c r="H169" s="128" t="s">
        <v>7</v>
      </c>
      <c r="I169" s="128" t="s">
        <v>2493</v>
      </c>
      <c r="J169" s="128" t="s">
        <v>314</v>
      </c>
      <c r="K169" s="128" t="s">
        <v>599</v>
      </c>
      <c r="L169" s="128" t="s">
        <v>259</v>
      </c>
      <c r="M169" s="128" t="s">
        <v>57</v>
      </c>
      <c r="N169" s="128" t="s">
        <v>58</v>
      </c>
      <c r="O169" s="129">
        <v>37153</v>
      </c>
      <c r="P169" s="128"/>
      <c r="Q169" s="128"/>
      <c r="R169" s="128">
        <v>45</v>
      </c>
      <c r="S169" s="128" t="s">
        <v>48</v>
      </c>
    </row>
    <row r="170" spans="1:19" x14ac:dyDescent="0.25">
      <c r="A170" s="128">
        <v>17100</v>
      </c>
      <c r="B170" s="128" t="s">
        <v>39</v>
      </c>
      <c r="C170" s="128" t="s">
        <v>40</v>
      </c>
      <c r="D170" s="128" t="s">
        <v>40</v>
      </c>
      <c r="E170" s="128" t="s">
        <v>2505</v>
      </c>
      <c r="F170" s="128" t="s">
        <v>2506</v>
      </c>
      <c r="G170" s="128">
        <v>44.53</v>
      </c>
      <c r="H170" s="128" t="s">
        <v>7</v>
      </c>
      <c r="I170" s="128" t="s">
        <v>2493</v>
      </c>
      <c r="J170" s="128" t="s">
        <v>314</v>
      </c>
      <c r="K170" s="128" t="s">
        <v>599</v>
      </c>
      <c r="L170" s="128" t="s">
        <v>259</v>
      </c>
      <c r="M170" s="128" t="s">
        <v>57</v>
      </c>
      <c r="N170" s="128" t="s">
        <v>58</v>
      </c>
      <c r="O170" s="129">
        <v>37153</v>
      </c>
      <c r="P170" s="128"/>
      <c r="Q170" s="128"/>
      <c r="R170" s="128">
        <v>45</v>
      </c>
      <c r="S170" s="128" t="s">
        <v>48</v>
      </c>
    </row>
    <row r="171" spans="1:19" x14ac:dyDescent="0.25">
      <c r="A171" s="128">
        <v>17200</v>
      </c>
      <c r="B171" s="128" t="s">
        <v>39</v>
      </c>
      <c r="C171" s="128" t="s">
        <v>40</v>
      </c>
      <c r="D171" s="128" t="s">
        <v>40</v>
      </c>
      <c r="E171" s="128" t="s">
        <v>2507</v>
      </c>
      <c r="F171" s="128" t="s">
        <v>2508</v>
      </c>
      <c r="G171" s="128">
        <v>43.69</v>
      </c>
      <c r="H171" s="128" t="s">
        <v>7</v>
      </c>
      <c r="I171" s="128" t="s">
        <v>2493</v>
      </c>
      <c r="J171" s="128" t="s">
        <v>314</v>
      </c>
      <c r="K171" s="128" t="s">
        <v>599</v>
      </c>
      <c r="L171" s="128" t="s">
        <v>259</v>
      </c>
      <c r="M171" s="128" t="s">
        <v>57</v>
      </c>
      <c r="N171" s="128" t="s">
        <v>58</v>
      </c>
      <c r="O171" s="129">
        <v>37153</v>
      </c>
      <c r="P171" s="128"/>
      <c r="Q171" s="128"/>
      <c r="R171" s="128">
        <v>45</v>
      </c>
      <c r="S171" s="128" t="s">
        <v>48</v>
      </c>
    </row>
    <row r="172" spans="1:19" ht="72" x14ac:dyDescent="0.25">
      <c r="A172" s="128">
        <v>104200</v>
      </c>
      <c r="B172" s="128" t="s">
        <v>39</v>
      </c>
      <c r="C172" s="128" t="s">
        <v>40</v>
      </c>
      <c r="D172" s="128" t="s">
        <v>40</v>
      </c>
      <c r="E172" s="128" t="s">
        <v>3139</v>
      </c>
      <c r="F172" s="128" t="s">
        <v>3140</v>
      </c>
      <c r="G172" s="128">
        <v>1.5</v>
      </c>
      <c r="H172" s="128" t="s">
        <v>7</v>
      </c>
      <c r="I172" s="128" t="s">
        <v>3141</v>
      </c>
      <c r="J172" s="128" t="s">
        <v>1055</v>
      </c>
      <c r="K172" s="128" t="s">
        <v>2179</v>
      </c>
      <c r="L172" s="128" t="s">
        <v>1056</v>
      </c>
      <c r="M172" s="128" t="s">
        <v>57</v>
      </c>
      <c r="N172" s="128" t="s">
        <v>58</v>
      </c>
      <c r="O172" s="129">
        <v>41002</v>
      </c>
      <c r="P172" s="128" t="s">
        <v>3142</v>
      </c>
      <c r="Q172" s="128"/>
      <c r="R172" s="128">
        <v>1.75</v>
      </c>
      <c r="S172" s="128" t="s">
        <v>48</v>
      </c>
    </row>
    <row r="173" spans="1:19" ht="29.25" x14ac:dyDescent="0.25">
      <c r="A173" s="128">
        <v>99000</v>
      </c>
      <c r="B173" s="128" t="s">
        <v>39</v>
      </c>
      <c r="C173" s="128" t="s">
        <v>40</v>
      </c>
      <c r="D173" s="128" t="s">
        <v>40</v>
      </c>
      <c r="E173" s="128" t="s">
        <v>2971</v>
      </c>
      <c r="F173" s="128" t="s">
        <v>2972</v>
      </c>
      <c r="G173" s="128">
        <v>366.32</v>
      </c>
      <c r="H173" s="128" t="s">
        <v>7</v>
      </c>
      <c r="I173" s="128" t="s">
        <v>2973</v>
      </c>
      <c r="J173" s="128" t="s">
        <v>384</v>
      </c>
      <c r="K173" s="128" t="s">
        <v>724</v>
      </c>
      <c r="L173" s="128" t="s">
        <v>259</v>
      </c>
      <c r="M173" s="128" t="s">
        <v>57</v>
      </c>
      <c r="N173" s="128" t="s">
        <v>58</v>
      </c>
      <c r="O173" s="129">
        <v>40337</v>
      </c>
      <c r="P173" s="128"/>
      <c r="Q173" s="128"/>
      <c r="R173" s="128">
        <v>405</v>
      </c>
      <c r="S173" s="128" t="s">
        <v>48</v>
      </c>
    </row>
    <row r="174" spans="1:19" ht="29.25" x14ac:dyDescent="0.25">
      <c r="A174" s="128">
        <v>97600</v>
      </c>
      <c r="B174" s="128" t="s">
        <v>39</v>
      </c>
      <c r="C174" s="128" t="s">
        <v>40</v>
      </c>
      <c r="D174" s="128" t="s">
        <v>40</v>
      </c>
      <c r="E174" s="128" t="s">
        <v>2942</v>
      </c>
      <c r="F174" s="128" t="s">
        <v>2943</v>
      </c>
      <c r="G174" s="128">
        <v>376.2</v>
      </c>
      <c r="H174" s="128" t="s">
        <v>7</v>
      </c>
      <c r="I174" s="128" t="s">
        <v>2944</v>
      </c>
      <c r="J174" s="128" t="s">
        <v>384</v>
      </c>
      <c r="K174" s="128" t="s">
        <v>724</v>
      </c>
      <c r="L174" s="128" t="s">
        <v>259</v>
      </c>
      <c r="M174" s="128" t="s">
        <v>57</v>
      </c>
      <c r="N174" s="128" t="s">
        <v>58</v>
      </c>
      <c r="O174" s="129">
        <v>39993</v>
      </c>
      <c r="P174" s="128"/>
      <c r="Q174" s="128"/>
      <c r="R174" s="128">
        <v>405</v>
      </c>
      <c r="S174" s="128" t="s">
        <v>48</v>
      </c>
    </row>
    <row r="175" spans="1:19" x14ac:dyDescent="0.25">
      <c r="A175" s="128">
        <v>17400</v>
      </c>
      <c r="B175" s="128" t="s">
        <v>39</v>
      </c>
      <c r="C175" s="128" t="s">
        <v>40</v>
      </c>
      <c r="D175" s="128" t="s">
        <v>40</v>
      </c>
      <c r="E175" s="128" t="s">
        <v>533</v>
      </c>
      <c r="F175" s="128" t="s">
        <v>534</v>
      </c>
      <c r="G175" s="128">
        <v>85</v>
      </c>
      <c r="H175" s="128" t="s">
        <v>43</v>
      </c>
      <c r="I175" s="128" t="s">
        <v>6</v>
      </c>
      <c r="J175" s="128" t="s">
        <v>44</v>
      </c>
      <c r="K175" s="128" t="s">
        <v>44</v>
      </c>
      <c r="L175" s="128" t="s">
        <v>45</v>
      </c>
      <c r="M175" s="128" t="s">
        <v>46</v>
      </c>
      <c r="N175" s="128" t="s">
        <v>47</v>
      </c>
      <c r="O175" s="129">
        <v>24108</v>
      </c>
      <c r="P175" s="128"/>
      <c r="Q175" s="128" t="s">
        <v>207</v>
      </c>
      <c r="R175" s="128">
        <v>85</v>
      </c>
      <c r="S175" s="128" t="s">
        <v>48</v>
      </c>
    </row>
    <row r="176" spans="1:19" x14ac:dyDescent="0.25">
      <c r="A176" s="128">
        <v>17500</v>
      </c>
      <c r="B176" s="128" t="s">
        <v>39</v>
      </c>
      <c r="C176" s="128" t="s">
        <v>40</v>
      </c>
      <c r="D176" s="128" t="s">
        <v>40</v>
      </c>
      <c r="E176" s="128" t="s">
        <v>517</v>
      </c>
      <c r="F176" s="128" t="s">
        <v>518</v>
      </c>
      <c r="G176" s="128">
        <v>84.1</v>
      </c>
      <c r="H176" s="128" t="s">
        <v>43</v>
      </c>
      <c r="I176" s="128" t="s">
        <v>6</v>
      </c>
      <c r="J176" s="128" t="s">
        <v>44</v>
      </c>
      <c r="K176" s="128" t="s">
        <v>44</v>
      </c>
      <c r="L176" s="128" t="s">
        <v>45</v>
      </c>
      <c r="M176" s="128" t="s">
        <v>46</v>
      </c>
      <c r="N176" s="128" t="s">
        <v>47</v>
      </c>
      <c r="O176" s="129">
        <v>23743</v>
      </c>
      <c r="P176" s="128"/>
      <c r="Q176" s="128" t="s">
        <v>207</v>
      </c>
      <c r="R176" s="128">
        <v>84.1</v>
      </c>
      <c r="S176" s="128" t="s">
        <v>48</v>
      </c>
    </row>
    <row r="177" spans="1:19" ht="29.25" x14ac:dyDescent="0.25">
      <c r="A177" s="128">
        <v>97800</v>
      </c>
      <c r="B177" s="128" t="s">
        <v>39</v>
      </c>
      <c r="C177" s="128" t="s">
        <v>40</v>
      </c>
      <c r="D177" s="128" t="s">
        <v>40</v>
      </c>
      <c r="E177" s="128" t="s">
        <v>2948</v>
      </c>
      <c r="F177" s="128" t="s">
        <v>2949</v>
      </c>
      <c r="G177" s="128">
        <v>3.56</v>
      </c>
      <c r="H177" s="128" t="s">
        <v>43</v>
      </c>
      <c r="I177" s="128" t="s">
        <v>2950</v>
      </c>
      <c r="J177" s="128" t="s">
        <v>807</v>
      </c>
      <c r="K177" s="128" t="s">
        <v>315</v>
      </c>
      <c r="L177" s="128" t="s">
        <v>915</v>
      </c>
      <c r="M177" s="128" t="s">
        <v>46</v>
      </c>
      <c r="N177" s="128" t="s">
        <v>2741</v>
      </c>
      <c r="O177" s="129">
        <v>40026</v>
      </c>
      <c r="P177" s="128"/>
      <c r="Q177" s="128"/>
      <c r="R177" s="128">
        <v>3.8</v>
      </c>
      <c r="S177" s="128" t="s">
        <v>48</v>
      </c>
    </row>
    <row r="178" spans="1:19" x14ac:dyDescent="0.25">
      <c r="A178" s="128">
        <v>18700</v>
      </c>
      <c r="B178" s="128" t="s">
        <v>39</v>
      </c>
      <c r="C178" s="128" t="s">
        <v>40</v>
      </c>
      <c r="D178" s="128" t="s">
        <v>40</v>
      </c>
      <c r="E178" s="128" t="s">
        <v>210</v>
      </c>
      <c r="F178" s="128" t="s">
        <v>211</v>
      </c>
      <c r="G178" s="128">
        <v>11.5</v>
      </c>
      <c r="H178" s="128" t="s">
        <v>43</v>
      </c>
      <c r="I178" s="128" t="s">
        <v>6</v>
      </c>
      <c r="J178" s="128" t="s">
        <v>44</v>
      </c>
      <c r="K178" s="128" t="s">
        <v>44</v>
      </c>
      <c r="L178" s="128" t="s">
        <v>45</v>
      </c>
      <c r="M178" s="128" t="s">
        <v>212</v>
      </c>
      <c r="N178" s="128" t="s">
        <v>213</v>
      </c>
      <c r="O178" s="129">
        <v>7672</v>
      </c>
      <c r="P178" s="128"/>
      <c r="Q178" s="128"/>
      <c r="R178" s="128">
        <v>11.5</v>
      </c>
      <c r="S178" s="128" t="s">
        <v>48</v>
      </c>
    </row>
    <row r="179" spans="1:19" ht="43.5" x14ac:dyDescent="0.25">
      <c r="A179" s="128">
        <v>52901</v>
      </c>
      <c r="B179" s="128" t="s">
        <v>39</v>
      </c>
      <c r="C179" s="128" t="s">
        <v>49</v>
      </c>
      <c r="D179" s="128" t="s">
        <v>40</v>
      </c>
      <c r="E179" s="128" t="s">
        <v>1234</v>
      </c>
      <c r="F179" s="128" t="s">
        <v>1235</v>
      </c>
      <c r="G179" s="128">
        <v>78</v>
      </c>
      <c r="H179" s="128" t="s">
        <v>7</v>
      </c>
      <c r="I179" s="128" t="s">
        <v>1236</v>
      </c>
      <c r="J179" s="128" t="s">
        <v>713</v>
      </c>
      <c r="K179" s="128" t="s">
        <v>599</v>
      </c>
      <c r="L179" s="128" t="s">
        <v>259</v>
      </c>
      <c r="M179" s="128" t="s">
        <v>57</v>
      </c>
      <c r="N179" s="128" t="s">
        <v>58</v>
      </c>
      <c r="O179" s="129">
        <v>31168</v>
      </c>
      <c r="P179" s="128" t="s">
        <v>1237</v>
      </c>
      <c r="Q179" s="128"/>
      <c r="R179" s="128">
        <v>70</v>
      </c>
      <c r="S179" s="128" t="s">
        <v>48</v>
      </c>
    </row>
    <row r="180" spans="1:19" ht="43.5" x14ac:dyDescent="0.25">
      <c r="A180" s="128">
        <v>52902</v>
      </c>
      <c r="B180" s="128" t="s">
        <v>39</v>
      </c>
      <c r="C180" s="128" t="s">
        <v>49</v>
      </c>
      <c r="D180" s="128" t="s">
        <v>40</v>
      </c>
      <c r="E180" s="128" t="s">
        <v>1238</v>
      </c>
      <c r="F180" s="128" t="s">
        <v>1239</v>
      </c>
      <c r="G180" s="128">
        <v>78</v>
      </c>
      <c r="H180" s="128" t="s">
        <v>7</v>
      </c>
      <c r="I180" s="128" t="s">
        <v>1236</v>
      </c>
      <c r="J180" s="128" t="s">
        <v>713</v>
      </c>
      <c r="K180" s="128" t="s">
        <v>599</v>
      </c>
      <c r="L180" s="128" t="s">
        <v>259</v>
      </c>
      <c r="M180" s="128" t="s">
        <v>57</v>
      </c>
      <c r="N180" s="128" t="s">
        <v>58</v>
      </c>
      <c r="O180" s="129">
        <v>31168</v>
      </c>
      <c r="P180" s="128" t="s">
        <v>1237</v>
      </c>
      <c r="Q180" s="128"/>
      <c r="R180" s="128">
        <v>70</v>
      </c>
      <c r="S180" s="128" t="s">
        <v>48</v>
      </c>
    </row>
    <row r="181" spans="1:19" ht="43.5" x14ac:dyDescent="0.25">
      <c r="A181" s="128">
        <v>52903</v>
      </c>
      <c r="B181" s="128" t="s">
        <v>39</v>
      </c>
      <c r="C181" s="128" t="s">
        <v>49</v>
      </c>
      <c r="D181" s="128" t="s">
        <v>40</v>
      </c>
      <c r="E181" s="128" t="s">
        <v>1240</v>
      </c>
      <c r="F181" s="128" t="s">
        <v>1241</v>
      </c>
      <c r="G181" s="128">
        <v>80</v>
      </c>
      <c r="H181" s="128" t="s">
        <v>7</v>
      </c>
      <c r="I181" s="128" t="s">
        <v>1236</v>
      </c>
      <c r="J181" s="128" t="s">
        <v>713</v>
      </c>
      <c r="K181" s="128" t="s">
        <v>599</v>
      </c>
      <c r="L181" s="128" t="s">
        <v>259</v>
      </c>
      <c r="M181" s="128" t="s">
        <v>57</v>
      </c>
      <c r="N181" s="128" t="s">
        <v>58</v>
      </c>
      <c r="O181" s="129">
        <v>31168</v>
      </c>
      <c r="P181" s="128" t="s">
        <v>1237</v>
      </c>
      <c r="Q181" s="128"/>
      <c r="R181" s="128">
        <v>70</v>
      </c>
      <c r="S181" s="128" t="s">
        <v>48</v>
      </c>
    </row>
    <row r="182" spans="1:19" ht="43.5" x14ac:dyDescent="0.25">
      <c r="A182" s="128">
        <v>52904</v>
      </c>
      <c r="B182" s="128" t="s">
        <v>39</v>
      </c>
      <c r="C182" s="128" t="s">
        <v>49</v>
      </c>
      <c r="D182" s="128" t="s">
        <v>40</v>
      </c>
      <c r="E182" s="128" t="s">
        <v>1242</v>
      </c>
      <c r="F182" s="128" t="s">
        <v>1243</v>
      </c>
      <c r="G182" s="128">
        <v>80</v>
      </c>
      <c r="H182" s="128" t="s">
        <v>7</v>
      </c>
      <c r="I182" s="128" t="s">
        <v>1236</v>
      </c>
      <c r="J182" s="128" t="s">
        <v>713</v>
      </c>
      <c r="K182" s="128" t="s">
        <v>599</v>
      </c>
      <c r="L182" s="128" t="s">
        <v>259</v>
      </c>
      <c r="M182" s="128" t="s">
        <v>57</v>
      </c>
      <c r="N182" s="128" t="s">
        <v>58</v>
      </c>
      <c r="O182" s="129">
        <v>31168</v>
      </c>
      <c r="P182" s="128" t="s">
        <v>1237</v>
      </c>
      <c r="Q182" s="128"/>
      <c r="R182" s="128">
        <v>70</v>
      </c>
      <c r="S182" s="128" t="s">
        <v>48</v>
      </c>
    </row>
    <row r="183" spans="1:19" x14ac:dyDescent="0.25">
      <c r="A183" s="128">
        <v>19000</v>
      </c>
      <c r="B183" s="128" t="s">
        <v>39</v>
      </c>
      <c r="C183" s="128" t="s">
        <v>40</v>
      </c>
      <c r="D183" s="128" t="s">
        <v>40</v>
      </c>
      <c r="E183" s="128" t="s">
        <v>71</v>
      </c>
      <c r="F183" s="128" t="s">
        <v>72</v>
      </c>
      <c r="G183" s="128">
        <v>3.2</v>
      </c>
      <c r="H183" s="128" t="s">
        <v>43</v>
      </c>
      <c r="I183" s="128" t="s">
        <v>6</v>
      </c>
      <c r="J183" s="128" t="s">
        <v>44</v>
      </c>
      <c r="K183" s="128" t="s">
        <v>44</v>
      </c>
      <c r="L183" s="128" t="s">
        <v>45</v>
      </c>
      <c r="M183" s="128" t="s">
        <v>46</v>
      </c>
      <c r="N183" s="128" t="s">
        <v>47</v>
      </c>
      <c r="O183" s="129">
        <v>1462</v>
      </c>
      <c r="P183" s="128"/>
      <c r="Q183" s="128"/>
      <c r="R183" s="128">
        <v>3.2</v>
      </c>
      <c r="S183" s="128" t="s">
        <v>48</v>
      </c>
    </row>
    <row r="184" spans="1:19" ht="57.75" x14ac:dyDescent="0.25">
      <c r="A184" s="128">
        <v>91100</v>
      </c>
      <c r="B184" s="128" t="s">
        <v>39</v>
      </c>
      <c r="C184" s="128" t="s">
        <v>40</v>
      </c>
      <c r="D184" s="128" t="s">
        <v>40</v>
      </c>
      <c r="E184" s="128" t="s">
        <v>3215</v>
      </c>
      <c r="F184" s="128" t="s">
        <v>3216</v>
      </c>
      <c r="G184" s="128">
        <v>5</v>
      </c>
      <c r="H184" s="128" t="s">
        <v>43</v>
      </c>
      <c r="I184" s="128" t="s">
        <v>3217</v>
      </c>
      <c r="J184" s="128" t="s">
        <v>384</v>
      </c>
      <c r="K184" s="128" t="s">
        <v>385</v>
      </c>
      <c r="L184" s="128" t="s">
        <v>259</v>
      </c>
      <c r="M184" s="128" t="s">
        <v>212</v>
      </c>
      <c r="N184" s="128" t="s">
        <v>213</v>
      </c>
      <c r="O184" s="128"/>
      <c r="P184" s="128" t="s">
        <v>3218</v>
      </c>
      <c r="Q184" s="128"/>
      <c r="R184" s="128">
        <v>5.9</v>
      </c>
      <c r="S184" s="128" t="s">
        <v>48</v>
      </c>
    </row>
    <row r="185" spans="1:19" x14ac:dyDescent="0.25">
      <c r="A185" s="128">
        <v>92600</v>
      </c>
      <c r="B185" s="128" t="s">
        <v>39</v>
      </c>
      <c r="C185" s="128" t="s">
        <v>40</v>
      </c>
      <c r="D185" s="128" t="s">
        <v>40</v>
      </c>
      <c r="E185" s="128" t="s">
        <v>2824</v>
      </c>
      <c r="F185" s="128" t="s">
        <v>2825</v>
      </c>
      <c r="G185" s="128">
        <v>50</v>
      </c>
      <c r="H185" s="128" t="s">
        <v>162</v>
      </c>
      <c r="I185" s="128" t="s">
        <v>2826</v>
      </c>
      <c r="J185" s="128" t="s">
        <v>800</v>
      </c>
      <c r="K185" s="128" t="s">
        <v>800</v>
      </c>
      <c r="L185" s="128" t="s">
        <v>800</v>
      </c>
      <c r="M185" s="128" t="s">
        <v>57</v>
      </c>
      <c r="N185" s="128" t="s">
        <v>163</v>
      </c>
      <c r="O185" s="129">
        <v>38707</v>
      </c>
      <c r="P185" s="128"/>
      <c r="Q185" s="128"/>
      <c r="R185" s="128">
        <v>50</v>
      </c>
      <c r="S185" s="128" t="s">
        <v>48</v>
      </c>
    </row>
    <row r="186" spans="1:19" ht="43.5" x14ac:dyDescent="0.25">
      <c r="A186" s="128">
        <v>17800</v>
      </c>
      <c r="B186" s="128" t="s">
        <v>39</v>
      </c>
      <c r="C186" s="128" t="s">
        <v>40</v>
      </c>
      <c r="D186" s="128" t="s">
        <v>40</v>
      </c>
      <c r="E186" s="128" t="s">
        <v>280</v>
      </c>
      <c r="F186" s="128" t="s">
        <v>281</v>
      </c>
      <c r="G186" s="128">
        <v>2.25</v>
      </c>
      <c r="H186" s="128" t="s">
        <v>7</v>
      </c>
      <c r="I186" s="128" t="s">
        <v>7</v>
      </c>
      <c r="J186" s="128" t="s">
        <v>44</v>
      </c>
      <c r="K186" s="128" t="s">
        <v>44</v>
      </c>
      <c r="L186" s="128" t="s">
        <v>45</v>
      </c>
      <c r="M186" s="128" t="s">
        <v>57</v>
      </c>
      <c r="N186" s="128" t="s">
        <v>58</v>
      </c>
      <c r="O186" s="129">
        <v>10594</v>
      </c>
      <c r="P186" s="128" t="s">
        <v>59</v>
      </c>
      <c r="Q186" s="128"/>
      <c r="R186" s="128">
        <v>2.25</v>
      </c>
      <c r="S186" s="128" t="s">
        <v>48</v>
      </c>
    </row>
    <row r="187" spans="1:19" x14ac:dyDescent="0.25">
      <c r="A187" s="128">
        <v>17900</v>
      </c>
      <c r="B187" s="128" t="s">
        <v>39</v>
      </c>
      <c r="C187" s="128" t="s">
        <v>40</v>
      </c>
      <c r="D187" s="128" t="s">
        <v>40</v>
      </c>
      <c r="E187" s="128" t="s">
        <v>683</v>
      </c>
      <c r="F187" s="128" t="s">
        <v>684</v>
      </c>
      <c r="G187" s="128">
        <v>16.670000000000002</v>
      </c>
      <c r="H187" s="128" t="s">
        <v>162</v>
      </c>
      <c r="I187" s="128" t="s">
        <v>498</v>
      </c>
      <c r="J187" s="128" t="s">
        <v>314</v>
      </c>
      <c r="K187" s="128" t="s">
        <v>599</v>
      </c>
      <c r="L187" s="128" t="s">
        <v>259</v>
      </c>
      <c r="M187" s="128" t="s">
        <v>57</v>
      </c>
      <c r="N187" s="128" t="s">
        <v>163</v>
      </c>
      <c r="O187" s="129">
        <v>26299</v>
      </c>
      <c r="P187" s="128"/>
      <c r="Q187" s="128"/>
      <c r="R187" s="128">
        <v>16</v>
      </c>
      <c r="S187" s="128" t="s">
        <v>48</v>
      </c>
    </row>
    <row r="188" spans="1:19" x14ac:dyDescent="0.25">
      <c r="A188" s="128">
        <v>18200</v>
      </c>
      <c r="B188" s="128" t="s">
        <v>39</v>
      </c>
      <c r="C188" s="128" t="s">
        <v>40</v>
      </c>
      <c r="D188" s="128" t="s">
        <v>40</v>
      </c>
      <c r="E188" s="128" t="s">
        <v>481</v>
      </c>
      <c r="F188" s="128" t="s">
        <v>482</v>
      </c>
      <c r="G188" s="128">
        <v>11</v>
      </c>
      <c r="H188" s="128" t="s">
        <v>43</v>
      </c>
      <c r="I188" s="128" t="s">
        <v>479</v>
      </c>
      <c r="J188" s="128" t="s">
        <v>44</v>
      </c>
      <c r="K188" s="128" t="s">
        <v>44</v>
      </c>
      <c r="L188" s="128" t="s">
        <v>45</v>
      </c>
      <c r="M188" s="128" t="s">
        <v>46</v>
      </c>
      <c r="N188" s="128" t="s">
        <v>47</v>
      </c>
      <c r="O188" s="129">
        <v>23012</v>
      </c>
      <c r="P188" s="128"/>
      <c r="Q188" s="128" t="s">
        <v>480</v>
      </c>
      <c r="R188" s="128">
        <v>11</v>
      </c>
      <c r="S188" s="128" t="s">
        <v>48</v>
      </c>
    </row>
    <row r="189" spans="1:19" x14ac:dyDescent="0.25">
      <c r="A189" s="128">
        <v>18300</v>
      </c>
      <c r="B189" s="128" t="s">
        <v>39</v>
      </c>
      <c r="C189" s="128" t="s">
        <v>40</v>
      </c>
      <c r="D189" s="128" t="s">
        <v>40</v>
      </c>
      <c r="E189" s="128" t="s">
        <v>182</v>
      </c>
      <c r="F189" s="128" t="s">
        <v>183</v>
      </c>
      <c r="G189" s="128">
        <v>13</v>
      </c>
      <c r="H189" s="128" t="s">
        <v>43</v>
      </c>
      <c r="I189" s="128" t="s">
        <v>6</v>
      </c>
      <c r="J189" s="128" t="s">
        <v>44</v>
      </c>
      <c r="K189" s="128" t="s">
        <v>44</v>
      </c>
      <c r="L189" s="128" t="s">
        <v>45</v>
      </c>
      <c r="M189" s="128" t="s">
        <v>46</v>
      </c>
      <c r="N189" s="128" t="s">
        <v>47</v>
      </c>
      <c r="O189" s="129">
        <v>7306</v>
      </c>
      <c r="P189" s="128"/>
      <c r="Q189" s="128" t="s">
        <v>117</v>
      </c>
      <c r="R189" s="128">
        <v>13</v>
      </c>
      <c r="S189" s="128" t="s">
        <v>48</v>
      </c>
    </row>
    <row r="190" spans="1:19" x14ac:dyDescent="0.25">
      <c r="A190" s="128">
        <v>18400</v>
      </c>
      <c r="B190" s="128" t="s">
        <v>39</v>
      </c>
      <c r="C190" s="128" t="s">
        <v>40</v>
      </c>
      <c r="D190" s="128" t="s">
        <v>40</v>
      </c>
      <c r="E190" s="128" t="s">
        <v>184</v>
      </c>
      <c r="F190" s="128" t="s">
        <v>185</v>
      </c>
      <c r="G190" s="128">
        <v>12.8</v>
      </c>
      <c r="H190" s="128" t="s">
        <v>43</v>
      </c>
      <c r="I190" s="128" t="s">
        <v>6</v>
      </c>
      <c r="J190" s="128" t="s">
        <v>44</v>
      </c>
      <c r="K190" s="128" t="s">
        <v>44</v>
      </c>
      <c r="L190" s="128" t="s">
        <v>45</v>
      </c>
      <c r="M190" s="128" t="s">
        <v>46</v>
      </c>
      <c r="N190" s="128" t="s">
        <v>47</v>
      </c>
      <c r="O190" s="129">
        <v>7306</v>
      </c>
      <c r="P190" s="128"/>
      <c r="Q190" s="128" t="s">
        <v>117</v>
      </c>
      <c r="R190" s="128">
        <v>12.8</v>
      </c>
      <c r="S190" s="128" t="s">
        <v>48</v>
      </c>
    </row>
    <row r="191" spans="1:19" x14ac:dyDescent="0.25">
      <c r="A191" s="128">
        <v>18500</v>
      </c>
      <c r="B191" s="128" t="s">
        <v>39</v>
      </c>
      <c r="C191" s="128" t="s">
        <v>40</v>
      </c>
      <c r="D191" s="128" t="s">
        <v>40</v>
      </c>
      <c r="E191" s="128" t="s">
        <v>186</v>
      </c>
      <c r="F191" s="128" t="s">
        <v>187</v>
      </c>
      <c r="G191" s="128">
        <v>12.8</v>
      </c>
      <c r="H191" s="128" t="s">
        <v>43</v>
      </c>
      <c r="I191" s="128" t="s">
        <v>6</v>
      </c>
      <c r="J191" s="128" t="s">
        <v>44</v>
      </c>
      <c r="K191" s="128" t="s">
        <v>44</v>
      </c>
      <c r="L191" s="128" t="s">
        <v>45</v>
      </c>
      <c r="M191" s="128" t="s">
        <v>46</v>
      </c>
      <c r="N191" s="128" t="s">
        <v>47</v>
      </c>
      <c r="O191" s="129">
        <v>7306</v>
      </c>
      <c r="P191" s="128"/>
      <c r="Q191" s="128" t="s">
        <v>117</v>
      </c>
      <c r="R191" s="128">
        <v>12.8</v>
      </c>
      <c r="S191" s="128" t="s">
        <v>48</v>
      </c>
    </row>
    <row r="192" spans="1:19" x14ac:dyDescent="0.25">
      <c r="A192" s="128">
        <v>18600</v>
      </c>
      <c r="B192" s="128" t="s">
        <v>39</v>
      </c>
      <c r="C192" s="128" t="s">
        <v>40</v>
      </c>
      <c r="D192" s="128" t="s">
        <v>40</v>
      </c>
      <c r="E192" s="128" t="s">
        <v>884</v>
      </c>
      <c r="F192" s="128" t="s">
        <v>885</v>
      </c>
      <c r="G192" s="128">
        <v>153.9</v>
      </c>
      <c r="H192" s="128" t="s">
        <v>43</v>
      </c>
      <c r="I192" s="128" t="s">
        <v>6</v>
      </c>
      <c r="J192" s="128" t="s">
        <v>44</v>
      </c>
      <c r="K192" s="128" t="s">
        <v>44</v>
      </c>
      <c r="L192" s="128" t="s">
        <v>45</v>
      </c>
      <c r="M192" s="128" t="s">
        <v>46</v>
      </c>
      <c r="N192" s="128" t="s">
        <v>47</v>
      </c>
      <c r="O192" s="129">
        <v>30317</v>
      </c>
      <c r="P192" s="128"/>
      <c r="Q192" s="128" t="s">
        <v>117</v>
      </c>
      <c r="R192" s="128">
        <v>153.9</v>
      </c>
      <c r="S192" s="128" t="s">
        <v>48</v>
      </c>
    </row>
    <row r="193" spans="1:19" x14ac:dyDescent="0.25">
      <c r="A193" s="128">
        <v>19100</v>
      </c>
      <c r="B193" s="128" t="s">
        <v>39</v>
      </c>
      <c r="C193" s="128" t="s">
        <v>40</v>
      </c>
      <c r="D193" s="128" t="s">
        <v>40</v>
      </c>
      <c r="E193" s="128" t="s">
        <v>2522</v>
      </c>
      <c r="F193" s="128" t="s">
        <v>2523</v>
      </c>
      <c r="G193" s="128">
        <v>44.6</v>
      </c>
      <c r="H193" s="128" t="s">
        <v>43</v>
      </c>
      <c r="I193" s="128" t="s">
        <v>662</v>
      </c>
      <c r="J193" s="128" t="s">
        <v>314</v>
      </c>
      <c r="K193" s="128" t="s">
        <v>599</v>
      </c>
      <c r="L193" s="128" t="s">
        <v>259</v>
      </c>
      <c r="M193" s="128" t="s">
        <v>46</v>
      </c>
      <c r="N193" s="128" t="s">
        <v>47</v>
      </c>
      <c r="O193" s="129">
        <v>37270</v>
      </c>
      <c r="P193" s="128"/>
      <c r="Q193" s="128"/>
      <c r="R193" s="128">
        <v>49.9</v>
      </c>
      <c r="S193" s="128" t="s">
        <v>48</v>
      </c>
    </row>
    <row r="194" spans="1:19" x14ac:dyDescent="0.25">
      <c r="A194" s="128">
        <v>19200</v>
      </c>
      <c r="B194" s="128" t="s">
        <v>39</v>
      </c>
      <c r="C194" s="128" t="s">
        <v>40</v>
      </c>
      <c r="D194" s="128" t="s">
        <v>40</v>
      </c>
      <c r="E194" s="128" t="s">
        <v>469</v>
      </c>
      <c r="F194" s="128" t="s">
        <v>470</v>
      </c>
      <c r="G194" s="128">
        <v>51.2</v>
      </c>
      <c r="H194" s="128" t="s">
        <v>43</v>
      </c>
      <c r="I194" s="128" t="s">
        <v>6</v>
      </c>
      <c r="J194" s="128" t="s">
        <v>44</v>
      </c>
      <c r="K194" s="128" t="s">
        <v>44</v>
      </c>
      <c r="L194" s="128" t="s">
        <v>45</v>
      </c>
      <c r="M194" s="128" t="s">
        <v>46</v>
      </c>
      <c r="N194" s="128" t="s">
        <v>47</v>
      </c>
      <c r="O194" s="129">
        <v>22647</v>
      </c>
      <c r="P194" s="128"/>
      <c r="Q194" s="128" t="s">
        <v>262</v>
      </c>
      <c r="R194" s="128">
        <v>51.2</v>
      </c>
      <c r="S194" s="128" t="s">
        <v>48</v>
      </c>
    </row>
    <row r="195" spans="1:19" ht="29.25" x14ac:dyDescent="0.25">
      <c r="A195" s="128">
        <v>82000</v>
      </c>
      <c r="B195" s="128" t="s">
        <v>39</v>
      </c>
      <c r="C195" s="128" t="s">
        <v>40</v>
      </c>
      <c r="D195" s="128" t="s">
        <v>40</v>
      </c>
      <c r="E195" s="128" t="s">
        <v>2616</v>
      </c>
      <c r="F195" s="128" t="s">
        <v>2617</v>
      </c>
      <c r="G195" s="128">
        <v>259.8</v>
      </c>
      <c r="H195" s="128" t="s">
        <v>43</v>
      </c>
      <c r="I195" s="128" t="s">
        <v>2618</v>
      </c>
      <c r="J195" s="128" t="s">
        <v>384</v>
      </c>
      <c r="K195" s="128" t="s">
        <v>724</v>
      </c>
      <c r="L195" s="128" t="s">
        <v>259</v>
      </c>
      <c r="M195" s="128" t="s">
        <v>212</v>
      </c>
      <c r="N195" s="128" t="s">
        <v>213</v>
      </c>
      <c r="O195" s="129">
        <v>37631</v>
      </c>
      <c r="P195" s="128"/>
      <c r="Q195" s="128"/>
      <c r="R195" s="128">
        <v>255.6</v>
      </c>
      <c r="S195" s="128" t="s">
        <v>48</v>
      </c>
    </row>
    <row r="196" spans="1:19" ht="29.25" x14ac:dyDescent="0.25">
      <c r="A196" s="128">
        <v>82400</v>
      </c>
      <c r="B196" s="128" t="s">
        <v>39</v>
      </c>
      <c r="C196" s="128" t="s">
        <v>40</v>
      </c>
      <c r="D196" s="128" t="s">
        <v>40</v>
      </c>
      <c r="E196" s="128" t="s">
        <v>2621</v>
      </c>
      <c r="F196" s="128" t="s">
        <v>2622</v>
      </c>
      <c r="G196" s="128">
        <v>260.2</v>
      </c>
      <c r="H196" s="128" t="s">
        <v>43</v>
      </c>
      <c r="I196" s="128" t="s">
        <v>2618</v>
      </c>
      <c r="J196" s="128" t="s">
        <v>384</v>
      </c>
      <c r="K196" s="128" t="s">
        <v>724</v>
      </c>
      <c r="L196" s="128" t="s">
        <v>259</v>
      </c>
      <c r="M196" s="128" t="s">
        <v>212</v>
      </c>
      <c r="N196" s="128" t="s">
        <v>213</v>
      </c>
      <c r="O196" s="129">
        <v>37685</v>
      </c>
      <c r="P196" s="128"/>
      <c r="Q196" s="128"/>
      <c r="R196" s="128">
        <v>255.6</v>
      </c>
      <c r="S196" s="128" t="s">
        <v>48</v>
      </c>
    </row>
    <row r="197" spans="1:19" ht="29.25" x14ac:dyDescent="0.25">
      <c r="A197" s="128">
        <v>82100</v>
      </c>
      <c r="B197" s="128" t="s">
        <v>39</v>
      </c>
      <c r="C197" s="128" t="s">
        <v>40</v>
      </c>
      <c r="D197" s="128" t="s">
        <v>40</v>
      </c>
      <c r="E197" s="128" t="s">
        <v>2619</v>
      </c>
      <c r="F197" s="128" t="s">
        <v>2620</v>
      </c>
      <c r="G197" s="128">
        <v>256.14999999999998</v>
      </c>
      <c r="H197" s="128" t="s">
        <v>43</v>
      </c>
      <c r="I197" s="128" t="s">
        <v>2618</v>
      </c>
      <c r="J197" s="128" t="s">
        <v>384</v>
      </c>
      <c r="K197" s="128" t="s">
        <v>724</v>
      </c>
      <c r="L197" s="128" t="s">
        <v>259</v>
      </c>
      <c r="M197" s="128" t="s">
        <v>212</v>
      </c>
      <c r="N197" s="128" t="s">
        <v>213</v>
      </c>
      <c r="O197" s="129">
        <v>37634</v>
      </c>
      <c r="P197" s="128"/>
      <c r="Q197" s="128"/>
      <c r="R197" s="128">
        <v>255.6</v>
      </c>
      <c r="S197" s="128" t="s">
        <v>48</v>
      </c>
    </row>
    <row r="198" spans="1:19" ht="29.25" x14ac:dyDescent="0.25">
      <c r="A198" s="128">
        <v>82500</v>
      </c>
      <c r="B198" s="128" t="s">
        <v>39</v>
      </c>
      <c r="C198" s="128" t="s">
        <v>40</v>
      </c>
      <c r="D198" s="128" t="s">
        <v>40</v>
      </c>
      <c r="E198" s="128" t="s">
        <v>2623</v>
      </c>
      <c r="F198" s="128" t="s">
        <v>2624</v>
      </c>
      <c r="G198" s="128">
        <v>259.54000000000002</v>
      </c>
      <c r="H198" s="128" t="s">
        <v>43</v>
      </c>
      <c r="I198" s="128" t="s">
        <v>2618</v>
      </c>
      <c r="J198" s="128" t="s">
        <v>384</v>
      </c>
      <c r="K198" s="128" t="s">
        <v>724</v>
      </c>
      <c r="L198" s="128" t="s">
        <v>259</v>
      </c>
      <c r="M198" s="128" t="s">
        <v>212</v>
      </c>
      <c r="N198" s="128" t="s">
        <v>213</v>
      </c>
      <c r="O198" s="129">
        <v>37685</v>
      </c>
      <c r="P198" s="128"/>
      <c r="Q198" s="128"/>
      <c r="R198" s="128">
        <v>255.6</v>
      </c>
      <c r="S198" s="128" t="s">
        <v>48</v>
      </c>
    </row>
    <row r="199" spans="1:19" ht="57.75" x14ac:dyDescent="0.25">
      <c r="A199" s="128">
        <v>58703</v>
      </c>
      <c r="B199" s="128" t="s">
        <v>39</v>
      </c>
      <c r="C199" s="128" t="s">
        <v>40</v>
      </c>
      <c r="D199" s="128" t="s">
        <v>40</v>
      </c>
      <c r="E199" s="128" t="s">
        <v>774</v>
      </c>
      <c r="F199" s="128" t="s">
        <v>775</v>
      </c>
      <c r="G199" s="128">
        <v>5</v>
      </c>
      <c r="H199" s="128" t="s">
        <v>7</v>
      </c>
      <c r="I199" s="128" t="s">
        <v>776</v>
      </c>
      <c r="J199" s="128" t="s">
        <v>44</v>
      </c>
      <c r="K199" s="128" t="s">
        <v>44</v>
      </c>
      <c r="L199" s="128" t="s">
        <v>45</v>
      </c>
      <c r="M199" s="128" t="s">
        <v>57</v>
      </c>
      <c r="N199" s="128" t="s">
        <v>58</v>
      </c>
      <c r="O199" s="129">
        <v>29221</v>
      </c>
      <c r="P199" s="128" t="s">
        <v>777</v>
      </c>
      <c r="Q199" s="128"/>
      <c r="R199" s="128">
        <v>4.9000000000000004</v>
      </c>
      <c r="S199" s="128" t="s">
        <v>48</v>
      </c>
    </row>
    <row r="200" spans="1:19" ht="29.25" x14ac:dyDescent="0.25">
      <c r="A200" s="128">
        <v>82200</v>
      </c>
      <c r="B200" s="128" t="s">
        <v>39</v>
      </c>
      <c r="C200" s="128" t="s">
        <v>40</v>
      </c>
      <c r="D200" s="128" t="s">
        <v>40</v>
      </c>
      <c r="E200" s="128" t="s">
        <v>2613</v>
      </c>
      <c r="F200" s="128" t="s">
        <v>2614</v>
      </c>
      <c r="G200" s="128">
        <v>48</v>
      </c>
      <c r="H200" s="128" t="s">
        <v>43</v>
      </c>
      <c r="I200" s="128" t="s">
        <v>2615</v>
      </c>
      <c r="J200" s="128" t="s">
        <v>314</v>
      </c>
      <c r="K200" s="128" t="s">
        <v>599</v>
      </c>
      <c r="L200" s="128" t="s">
        <v>259</v>
      </c>
      <c r="M200" s="128" t="s">
        <v>46</v>
      </c>
      <c r="N200" s="128" t="s">
        <v>47</v>
      </c>
      <c r="O200" s="129">
        <v>37627</v>
      </c>
      <c r="P200" s="128"/>
      <c r="Q200" s="128"/>
      <c r="R200" s="128">
        <v>49.9</v>
      </c>
      <c r="S200" s="128" t="s">
        <v>48</v>
      </c>
    </row>
    <row r="201" spans="1:19" x14ac:dyDescent="0.25">
      <c r="A201" s="128">
        <v>19500</v>
      </c>
      <c r="B201" s="128" t="s">
        <v>39</v>
      </c>
      <c r="C201" s="128" t="s">
        <v>40</v>
      </c>
      <c r="D201" s="128" t="s">
        <v>40</v>
      </c>
      <c r="E201" s="128" t="s">
        <v>82</v>
      </c>
      <c r="F201" s="128" t="s">
        <v>83</v>
      </c>
      <c r="G201" s="128">
        <v>2</v>
      </c>
      <c r="H201" s="128" t="s">
        <v>43</v>
      </c>
      <c r="I201" s="128" t="s">
        <v>6</v>
      </c>
      <c r="J201" s="128" t="s">
        <v>44</v>
      </c>
      <c r="K201" s="128" t="s">
        <v>44</v>
      </c>
      <c r="L201" s="128" t="s">
        <v>45</v>
      </c>
      <c r="M201" s="128" t="s">
        <v>46</v>
      </c>
      <c r="N201" s="128" t="s">
        <v>47</v>
      </c>
      <c r="O201" s="129">
        <v>2193</v>
      </c>
      <c r="P201" s="128"/>
      <c r="Q201" s="128" t="s">
        <v>84</v>
      </c>
      <c r="R201" s="128">
        <v>2</v>
      </c>
      <c r="S201" s="128" t="s">
        <v>48</v>
      </c>
    </row>
    <row r="202" spans="1:19" ht="43.5" x14ac:dyDescent="0.25">
      <c r="A202" s="128">
        <v>19600</v>
      </c>
      <c r="B202" s="128" t="s">
        <v>39</v>
      </c>
      <c r="C202" s="128" t="s">
        <v>49</v>
      </c>
      <c r="D202" s="128" t="s">
        <v>40</v>
      </c>
      <c r="E202" s="128" t="s">
        <v>1167</v>
      </c>
      <c r="F202" s="128" t="s">
        <v>1168</v>
      </c>
      <c r="G202" s="128">
        <v>2.1</v>
      </c>
      <c r="H202" s="128" t="s">
        <v>43</v>
      </c>
      <c r="I202" s="128" t="s">
        <v>1169</v>
      </c>
      <c r="J202" s="128" t="s">
        <v>807</v>
      </c>
      <c r="K202" s="128" t="s">
        <v>315</v>
      </c>
      <c r="L202" s="128" t="s">
        <v>915</v>
      </c>
      <c r="M202" s="128" t="s">
        <v>46</v>
      </c>
      <c r="N202" s="128" t="s">
        <v>47</v>
      </c>
      <c r="O202" s="129">
        <v>31048</v>
      </c>
      <c r="P202" s="128" t="s">
        <v>1170</v>
      </c>
      <c r="Q202" s="128"/>
      <c r="R202" s="128">
        <v>1.6</v>
      </c>
      <c r="S202" s="128" t="s">
        <v>48</v>
      </c>
    </row>
    <row r="203" spans="1:19" ht="57.75" x14ac:dyDescent="0.25">
      <c r="A203" s="128">
        <v>102300</v>
      </c>
      <c r="B203" s="128" t="s">
        <v>39</v>
      </c>
      <c r="C203" s="128" t="s">
        <v>40</v>
      </c>
      <c r="D203" s="128" t="s">
        <v>40</v>
      </c>
      <c r="E203" s="128" t="s">
        <v>3065</v>
      </c>
      <c r="F203" s="128" t="s">
        <v>3066</v>
      </c>
      <c r="G203" s="128">
        <v>20</v>
      </c>
      <c r="H203" s="128" t="s">
        <v>162</v>
      </c>
      <c r="I203" s="128" t="s">
        <v>2876</v>
      </c>
      <c r="J203" s="128" t="s">
        <v>44</v>
      </c>
      <c r="K203" s="128" t="s">
        <v>44</v>
      </c>
      <c r="L203" s="128" t="s">
        <v>45</v>
      </c>
      <c r="M203" s="128" t="s">
        <v>57</v>
      </c>
      <c r="N203" s="128" t="s">
        <v>163</v>
      </c>
      <c r="O203" s="129">
        <v>40794</v>
      </c>
      <c r="P203" s="128" t="s">
        <v>3067</v>
      </c>
      <c r="Q203" s="128"/>
      <c r="R203" s="128">
        <v>20</v>
      </c>
      <c r="S203" s="128" t="s">
        <v>48</v>
      </c>
    </row>
    <row r="204" spans="1:19" x14ac:dyDescent="0.25">
      <c r="A204" s="128">
        <v>94400</v>
      </c>
      <c r="B204" s="128" t="s">
        <v>39</v>
      </c>
      <c r="C204" s="128" t="s">
        <v>40</v>
      </c>
      <c r="D204" s="128" t="s">
        <v>40</v>
      </c>
      <c r="E204" s="128" t="s">
        <v>2880</v>
      </c>
      <c r="F204" s="128" t="s">
        <v>2881</v>
      </c>
      <c r="G204" s="128">
        <v>3.5</v>
      </c>
      <c r="H204" s="128" t="s">
        <v>43</v>
      </c>
      <c r="I204" s="128" t="s">
        <v>879</v>
      </c>
      <c r="J204" s="128" t="s">
        <v>44</v>
      </c>
      <c r="K204" s="128" t="s">
        <v>44</v>
      </c>
      <c r="L204" s="128" t="s">
        <v>45</v>
      </c>
      <c r="M204" s="128" t="s">
        <v>46</v>
      </c>
      <c r="N204" s="128" t="s">
        <v>47</v>
      </c>
      <c r="O204" s="129">
        <v>39265</v>
      </c>
      <c r="P204" s="128" t="s">
        <v>2882</v>
      </c>
      <c r="Q204" s="128" t="s">
        <v>112</v>
      </c>
      <c r="R204" s="128">
        <v>3.5</v>
      </c>
      <c r="S204" s="128" t="s">
        <v>48</v>
      </c>
    </row>
    <row r="205" spans="1:19" x14ac:dyDescent="0.25">
      <c r="A205" s="128">
        <v>19300</v>
      </c>
      <c r="B205" s="128" t="s">
        <v>39</v>
      </c>
      <c r="C205" s="128" t="s">
        <v>40</v>
      </c>
      <c r="D205" s="128" t="s">
        <v>40</v>
      </c>
      <c r="E205" s="128" t="s">
        <v>2491</v>
      </c>
      <c r="F205" s="128" t="s">
        <v>2492</v>
      </c>
      <c r="G205" s="128">
        <v>46.1</v>
      </c>
      <c r="H205" s="128" t="s">
        <v>162</v>
      </c>
      <c r="I205" s="128" t="s">
        <v>2493</v>
      </c>
      <c r="J205" s="128" t="s">
        <v>314</v>
      </c>
      <c r="K205" s="128" t="s">
        <v>599</v>
      </c>
      <c r="L205" s="128" t="s">
        <v>259</v>
      </c>
      <c r="M205" s="128" t="s">
        <v>57</v>
      </c>
      <c r="N205" s="128" t="s">
        <v>163</v>
      </c>
      <c r="O205" s="129">
        <v>37147</v>
      </c>
      <c r="P205" s="128"/>
      <c r="Q205" s="128"/>
      <c r="R205" s="128">
        <v>45</v>
      </c>
      <c r="S205" s="128" t="s">
        <v>48</v>
      </c>
    </row>
    <row r="206" spans="1:19" x14ac:dyDescent="0.25">
      <c r="A206" s="128">
        <v>19400</v>
      </c>
      <c r="B206" s="128" t="s">
        <v>39</v>
      </c>
      <c r="C206" s="128" t="s">
        <v>40</v>
      </c>
      <c r="D206" s="128" t="s">
        <v>40</v>
      </c>
      <c r="E206" s="128" t="s">
        <v>2494</v>
      </c>
      <c r="F206" s="128" t="s">
        <v>2495</v>
      </c>
      <c r="G206" s="128">
        <v>47.98</v>
      </c>
      <c r="H206" s="128" t="s">
        <v>162</v>
      </c>
      <c r="I206" s="128" t="s">
        <v>2493</v>
      </c>
      <c r="J206" s="128" t="s">
        <v>314</v>
      </c>
      <c r="K206" s="128" t="s">
        <v>599</v>
      </c>
      <c r="L206" s="128" t="s">
        <v>259</v>
      </c>
      <c r="M206" s="128" t="s">
        <v>57</v>
      </c>
      <c r="N206" s="128" t="s">
        <v>163</v>
      </c>
      <c r="O206" s="129">
        <v>37147</v>
      </c>
      <c r="P206" s="128"/>
      <c r="Q206" s="128"/>
      <c r="R206" s="128">
        <v>45</v>
      </c>
      <c r="S206" s="128" t="s">
        <v>48</v>
      </c>
    </row>
    <row r="207" spans="1:19" x14ac:dyDescent="0.25">
      <c r="A207" s="128">
        <v>19700</v>
      </c>
      <c r="B207" s="128" t="s">
        <v>39</v>
      </c>
      <c r="C207" s="128" t="s">
        <v>40</v>
      </c>
      <c r="D207" s="128" t="s">
        <v>40</v>
      </c>
      <c r="E207" s="128" t="s">
        <v>1312</v>
      </c>
      <c r="F207" s="128" t="s">
        <v>1313</v>
      </c>
      <c r="G207" s="128">
        <v>25.3</v>
      </c>
      <c r="H207" s="128" t="s">
        <v>43</v>
      </c>
      <c r="I207" s="128" t="s">
        <v>879</v>
      </c>
      <c r="J207" s="128" t="s">
        <v>314</v>
      </c>
      <c r="K207" s="128" t="s">
        <v>599</v>
      </c>
      <c r="L207" s="128" t="s">
        <v>259</v>
      </c>
      <c r="M207" s="128" t="s">
        <v>46</v>
      </c>
      <c r="N207" s="128" t="s">
        <v>47</v>
      </c>
      <c r="O207" s="129">
        <v>31413</v>
      </c>
      <c r="P207" s="128"/>
      <c r="Q207" s="128"/>
      <c r="R207" s="128">
        <v>25.4</v>
      </c>
      <c r="S207" s="128" t="s">
        <v>48</v>
      </c>
    </row>
    <row r="208" spans="1:19" x14ac:dyDescent="0.25">
      <c r="A208" s="128">
        <v>19800</v>
      </c>
      <c r="B208" s="128" t="s">
        <v>39</v>
      </c>
      <c r="C208" s="128" t="s">
        <v>40</v>
      </c>
      <c r="D208" s="128" t="s">
        <v>40</v>
      </c>
      <c r="E208" s="128" t="s">
        <v>2241</v>
      </c>
      <c r="F208" s="128" t="s">
        <v>2242</v>
      </c>
      <c r="G208" s="128">
        <v>49.9</v>
      </c>
      <c r="H208" s="128" t="s">
        <v>43</v>
      </c>
      <c r="I208" s="128" t="s">
        <v>879</v>
      </c>
      <c r="J208" s="128" t="s">
        <v>314</v>
      </c>
      <c r="K208" s="128" t="s">
        <v>599</v>
      </c>
      <c r="L208" s="128" t="s">
        <v>259</v>
      </c>
      <c r="M208" s="128" t="s">
        <v>46</v>
      </c>
      <c r="N208" s="128" t="s">
        <v>47</v>
      </c>
      <c r="O208" s="129">
        <v>35065</v>
      </c>
      <c r="P208" s="128"/>
      <c r="Q208" s="128"/>
      <c r="R208" s="128">
        <v>51.2</v>
      </c>
      <c r="S208" s="128" t="s">
        <v>48</v>
      </c>
    </row>
    <row r="209" spans="1:19" x14ac:dyDescent="0.25">
      <c r="A209" s="128">
        <v>95000</v>
      </c>
      <c r="B209" s="128" t="s">
        <v>39</v>
      </c>
      <c r="C209" s="128" t="s">
        <v>40</v>
      </c>
      <c r="D209" s="128" t="s">
        <v>40</v>
      </c>
      <c r="E209" s="128" t="s">
        <v>2883</v>
      </c>
      <c r="F209" s="128" t="s">
        <v>2884</v>
      </c>
      <c r="G209" s="128">
        <v>65</v>
      </c>
      <c r="H209" s="128" t="s">
        <v>7</v>
      </c>
      <c r="I209" s="128" t="s">
        <v>2885</v>
      </c>
      <c r="J209" s="128" t="s">
        <v>314</v>
      </c>
      <c r="K209" s="128" t="s">
        <v>599</v>
      </c>
      <c r="L209" s="128" t="s">
        <v>259</v>
      </c>
      <c r="M209" s="128" t="s">
        <v>57</v>
      </c>
      <c r="N209" s="128" t="s">
        <v>58</v>
      </c>
      <c r="O209" s="129">
        <v>39295</v>
      </c>
      <c r="P209" s="128"/>
      <c r="Q209" s="128"/>
      <c r="R209" s="128">
        <v>70</v>
      </c>
      <c r="S209" s="128" t="s">
        <v>48</v>
      </c>
    </row>
    <row r="210" spans="1:19" x14ac:dyDescent="0.25">
      <c r="A210" s="128">
        <v>95100</v>
      </c>
      <c r="B210" s="128" t="s">
        <v>39</v>
      </c>
      <c r="C210" s="128" t="s">
        <v>40</v>
      </c>
      <c r="D210" s="128" t="s">
        <v>40</v>
      </c>
      <c r="E210" s="128" t="s">
        <v>2886</v>
      </c>
      <c r="F210" s="128" t="s">
        <v>2887</v>
      </c>
      <c r="G210" s="128">
        <v>65</v>
      </c>
      <c r="H210" s="128" t="s">
        <v>7</v>
      </c>
      <c r="I210" s="128" t="s">
        <v>2885</v>
      </c>
      <c r="J210" s="128" t="s">
        <v>314</v>
      </c>
      <c r="K210" s="128" t="s">
        <v>599</v>
      </c>
      <c r="L210" s="128" t="s">
        <v>259</v>
      </c>
      <c r="M210" s="128" t="s">
        <v>57</v>
      </c>
      <c r="N210" s="128" t="s">
        <v>58</v>
      </c>
      <c r="O210" s="129">
        <v>39295</v>
      </c>
      <c r="P210" s="128"/>
      <c r="Q210" s="128"/>
      <c r="R210" s="128">
        <v>70</v>
      </c>
      <c r="S210" s="128" t="s">
        <v>48</v>
      </c>
    </row>
    <row r="211" spans="1:19" x14ac:dyDescent="0.25">
      <c r="A211" s="128">
        <v>95200</v>
      </c>
      <c r="B211" s="128" t="s">
        <v>39</v>
      </c>
      <c r="C211" s="128" t="s">
        <v>40</v>
      </c>
      <c r="D211" s="128" t="s">
        <v>40</v>
      </c>
      <c r="E211" s="128" t="s">
        <v>2888</v>
      </c>
      <c r="F211" s="128" t="s">
        <v>2889</v>
      </c>
      <c r="G211" s="128">
        <v>65</v>
      </c>
      <c r="H211" s="128" t="s">
        <v>7</v>
      </c>
      <c r="I211" s="128" t="s">
        <v>2885</v>
      </c>
      <c r="J211" s="128" t="s">
        <v>314</v>
      </c>
      <c r="K211" s="128" t="s">
        <v>599</v>
      </c>
      <c r="L211" s="128" t="s">
        <v>259</v>
      </c>
      <c r="M211" s="128" t="s">
        <v>57</v>
      </c>
      <c r="N211" s="128" t="s">
        <v>58</v>
      </c>
      <c r="O211" s="129">
        <v>39295</v>
      </c>
      <c r="P211" s="128"/>
      <c r="Q211" s="128"/>
      <c r="R211" s="128">
        <v>70</v>
      </c>
      <c r="S211" s="128" t="s">
        <v>48</v>
      </c>
    </row>
    <row r="212" spans="1:19" x14ac:dyDescent="0.25">
      <c r="A212" s="128">
        <v>95300</v>
      </c>
      <c r="B212" s="128" t="s">
        <v>39</v>
      </c>
      <c r="C212" s="128" t="s">
        <v>40</v>
      </c>
      <c r="D212" s="128" t="s">
        <v>40</v>
      </c>
      <c r="E212" s="128" t="s">
        <v>2890</v>
      </c>
      <c r="F212" s="128" t="s">
        <v>2891</v>
      </c>
      <c r="G212" s="128">
        <v>65</v>
      </c>
      <c r="H212" s="128" t="s">
        <v>7</v>
      </c>
      <c r="I212" s="128" t="s">
        <v>2885</v>
      </c>
      <c r="J212" s="128" t="s">
        <v>314</v>
      </c>
      <c r="K212" s="128" t="s">
        <v>599</v>
      </c>
      <c r="L212" s="128" t="s">
        <v>259</v>
      </c>
      <c r="M212" s="128" t="s">
        <v>57</v>
      </c>
      <c r="N212" s="128" t="s">
        <v>58</v>
      </c>
      <c r="O212" s="129">
        <v>39295</v>
      </c>
      <c r="P212" s="128"/>
      <c r="Q212" s="128"/>
      <c r="R212" s="128">
        <v>70</v>
      </c>
      <c r="S212" s="128" t="s">
        <v>48</v>
      </c>
    </row>
    <row r="213" spans="1:19" ht="43.5" x14ac:dyDescent="0.25">
      <c r="A213" s="128">
        <v>98700</v>
      </c>
      <c r="B213" s="128" t="s">
        <v>39</v>
      </c>
      <c r="C213" s="128" t="s">
        <v>40</v>
      </c>
      <c r="D213" s="128" t="s">
        <v>40</v>
      </c>
      <c r="E213" s="128" t="s">
        <v>1884</v>
      </c>
      <c r="F213" s="128" t="s">
        <v>1885</v>
      </c>
      <c r="G213" s="128">
        <v>1.7</v>
      </c>
      <c r="H213" s="128" t="s">
        <v>43</v>
      </c>
      <c r="I213" s="128" t="s">
        <v>1886</v>
      </c>
      <c r="J213" s="128" t="s">
        <v>44</v>
      </c>
      <c r="K213" s="128" t="s">
        <v>44</v>
      </c>
      <c r="L213" s="128" t="s">
        <v>45</v>
      </c>
      <c r="M213" s="128" t="s">
        <v>46</v>
      </c>
      <c r="N213" s="128" t="s">
        <v>47</v>
      </c>
      <c r="O213" s="129">
        <v>32674</v>
      </c>
      <c r="P213" s="128" t="s">
        <v>1887</v>
      </c>
      <c r="Q213" s="128"/>
      <c r="R213" s="128">
        <v>1.7</v>
      </c>
      <c r="S213" s="128" t="s">
        <v>48</v>
      </c>
    </row>
    <row r="214" spans="1:19" ht="29.25" x14ac:dyDescent="0.25">
      <c r="A214" s="128">
        <v>57200</v>
      </c>
      <c r="B214" s="128" t="s">
        <v>39</v>
      </c>
      <c r="C214" s="128" t="s">
        <v>49</v>
      </c>
      <c r="D214" s="128" t="s">
        <v>40</v>
      </c>
      <c r="E214" s="128" t="s">
        <v>2266</v>
      </c>
      <c r="F214" s="128" t="s">
        <v>2267</v>
      </c>
      <c r="G214" s="128">
        <v>4</v>
      </c>
      <c r="H214" s="128" t="s">
        <v>7</v>
      </c>
      <c r="I214" s="128">
        <v>1106</v>
      </c>
      <c r="J214" s="128" t="s">
        <v>807</v>
      </c>
      <c r="K214" s="128"/>
      <c r="L214" s="128" t="s">
        <v>915</v>
      </c>
      <c r="M214" s="128" t="s">
        <v>57</v>
      </c>
      <c r="N214" s="128" t="s">
        <v>58</v>
      </c>
      <c r="O214" s="129">
        <v>35431</v>
      </c>
      <c r="P214" s="128" t="s">
        <v>2268</v>
      </c>
      <c r="Q214" s="128"/>
      <c r="R214" s="128">
        <v>4.03</v>
      </c>
      <c r="S214" s="128" t="s">
        <v>48</v>
      </c>
    </row>
    <row r="215" spans="1:19" x14ac:dyDescent="0.25">
      <c r="A215" s="128">
        <v>92100</v>
      </c>
      <c r="B215" s="128" t="s">
        <v>39</v>
      </c>
      <c r="C215" s="128" t="s">
        <v>40</v>
      </c>
      <c r="D215" s="128" t="s">
        <v>40</v>
      </c>
      <c r="E215" s="128" t="s">
        <v>2787</v>
      </c>
      <c r="F215" s="128" t="s">
        <v>2788</v>
      </c>
      <c r="G215" s="128">
        <v>48</v>
      </c>
      <c r="H215" s="128" t="s">
        <v>162</v>
      </c>
      <c r="I215" s="128" t="s">
        <v>2789</v>
      </c>
      <c r="J215" s="128" t="s">
        <v>314</v>
      </c>
      <c r="K215" s="128" t="s">
        <v>314</v>
      </c>
      <c r="L215" s="128" t="s">
        <v>259</v>
      </c>
      <c r="M215" s="128" t="s">
        <v>57</v>
      </c>
      <c r="N215" s="128" t="s">
        <v>163</v>
      </c>
      <c r="O215" s="129">
        <v>38560</v>
      </c>
      <c r="P215" s="128"/>
      <c r="Q215" s="128"/>
      <c r="R215" s="128">
        <v>46.7</v>
      </c>
      <c r="S215" s="128" t="s">
        <v>48</v>
      </c>
    </row>
    <row r="216" spans="1:19" ht="29.25" x14ac:dyDescent="0.25">
      <c r="A216" s="128">
        <v>57300</v>
      </c>
      <c r="B216" s="128" t="s">
        <v>39</v>
      </c>
      <c r="C216" s="128" t="s">
        <v>49</v>
      </c>
      <c r="D216" s="128" t="s">
        <v>40</v>
      </c>
      <c r="E216" s="128" t="s">
        <v>2656</v>
      </c>
      <c r="F216" s="128" t="s">
        <v>2657</v>
      </c>
      <c r="G216" s="128">
        <v>5</v>
      </c>
      <c r="H216" s="128" t="s">
        <v>162</v>
      </c>
      <c r="I216" s="128" t="s">
        <v>2658</v>
      </c>
      <c r="J216" s="128" t="s">
        <v>807</v>
      </c>
      <c r="K216" s="128" t="s">
        <v>315</v>
      </c>
      <c r="L216" s="128" t="s">
        <v>915</v>
      </c>
      <c r="M216" s="128" t="s">
        <v>57</v>
      </c>
      <c r="N216" s="128" t="s">
        <v>163</v>
      </c>
      <c r="O216" s="129">
        <v>37762</v>
      </c>
      <c r="P216" s="128" t="s">
        <v>2427</v>
      </c>
      <c r="Q216" s="128"/>
      <c r="R216" s="128">
        <v>6.5</v>
      </c>
      <c r="S216" s="128" t="s">
        <v>48</v>
      </c>
    </row>
    <row r="217" spans="1:19" ht="29.25" x14ac:dyDescent="0.25">
      <c r="A217" s="128">
        <v>68004</v>
      </c>
      <c r="B217" s="128" t="s">
        <v>39</v>
      </c>
      <c r="C217" s="128" t="s">
        <v>49</v>
      </c>
      <c r="D217" s="128" t="s">
        <v>40</v>
      </c>
      <c r="E217" s="128" t="s">
        <v>2296</v>
      </c>
      <c r="F217" s="128" t="s">
        <v>2297</v>
      </c>
      <c r="G217" s="128">
        <v>6.1</v>
      </c>
      <c r="H217" s="128" t="s">
        <v>7</v>
      </c>
      <c r="I217" s="128" t="s">
        <v>2298</v>
      </c>
      <c r="J217" s="128" t="s">
        <v>807</v>
      </c>
      <c r="K217" s="128" t="s">
        <v>2299</v>
      </c>
      <c r="L217" s="128" t="s">
        <v>915</v>
      </c>
      <c r="M217" s="128" t="s">
        <v>57</v>
      </c>
      <c r="N217" s="128" t="s">
        <v>58</v>
      </c>
      <c r="O217" s="129">
        <v>36165</v>
      </c>
      <c r="P217" s="128" t="s">
        <v>2300</v>
      </c>
      <c r="Q217" s="128"/>
      <c r="R217" s="128">
        <v>6.1</v>
      </c>
      <c r="S217" s="128" t="s">
        <v>48</v>
      </c>
    </row>
    <row r="218" spans="1:19" ht="43.5" x14ac:dyDescent="0.25">
      <c r="A218" s="128">
        <v>64504</v>
      </c>
      <c r="B218" s="128" t="s">
        <v>39</v>
      </c>
      <c r="C218" s="128" t="s">
        <v>49</v>
      </c>
      <c r="D218" s="128" t="s">
        <v>40</v>
      </c>
      <c r="E218" s="128" t="s">
        <v>2273</v>
      </c>
      <c r="F218" s="128" t="s">
        <v>2274</v>
      </c>
      <c r="G218" s="128">
        <v>1.6</v>
      </c>
      <c r="H218" s="128" t="s">
        <v>7</v>
      </c>
      <c r="I218" s="128" t="s">
        <v>2275</v>
      </c>
      <c r="J218" s="128" t="s">
        <v>807</v>
      </c>
      <c r="K218" s="128" t="s">
        <v>315</v>
      </c>
      <c r="L218" s="128" t="s">
        <v>915</v>
      </c>
      <c r="M218" s="128" t="s">
        <v>57</v>
      </c>
      <c r="N218" s="128" t="s">
        <v>58</v>
      </c>
      <c r="O218" s="129">
        <v>35923</v>
      </c>
      <c r="P218" s="128" t="s">
        <v>2276</v>
      </c>
      <c r="Q218" s="128"/>
      <c r="R218" s="128">
        <v>1.63</v>
      </c>
      <c r="S218" s="128" t="s">
        <v>48</v>
      </c>
    </row>
    <row r="219" spans="1:19" ht="57.75" x14ac:dyDescent="0.25">
      <c r="A219" s="128">
        <v>74001</v>
      </c>
      <c r="B219" s="128" t="s">
        <v>39</v>
      </c>
      <c r="C219" s="128" t="s">
        <v>49</v>
      </c>
      <c r="D219" s="128" t="s">
        <v>40</v>
      </c>
      <c r="E219" s="128" t="s">
        <v>2258</v>
      </c>
      <c r="F219" s="128" t="s">
        <v>2259</v>
      </c>
      <c r="G219" s="128">
        <v>4.5</v>
      </c>
      <c r="H219" s="128" t="s">
        <v>7</v>
      </c>
      <c r="I219" s="128" t="s">
        <v>2260</v>
      </c>
      <c r="J219" s="128" t="s">
        <v>807</v>
      </c>
      <c r="K219" s="128" t="s">
        <v>599</v>
      </c>
      <c r="L219" s="128" t="s">
        <v>915</v>
      </c>
      <c r="M219" s="128" t="s">
        <v>57</v>
      </c>
      <c r="N219" s="128" t="s">
        <v>58</v>
      </c>
      <c r="O219" s="129">
        <v>35343</v>
      </c>
      <c r="P219" s="128" t="s">
        <v>2261</v>
      </c>
      <c r="Q219" s="128"/>
      <c r="R219" s="128">
        <v>4.9000000000000004</v>
      </c>
      <c r="S219" s="128" t="s">
        <v>48</v>
      </c>
    </row>
    <row r="220" spans="1:19" ht="57.75" x14ac:dyDescent="0.25">
      <c r="A220" s="128">
        <v>74002</v>
      </c>
      <c r="B220" s="128" t="s">
        <v>39</v>
      </c>
      <c r="C220" s="128" t="s">
        <v>49</v>
      </c>
      <c r="D220" s="128" t="s">
        <v>40</v>
      </c>
      <c r="E220" s="128" t="s">
        <v>2262</v>
      </c>
      <c r="F220" s="128" t="s">
        <v>2263</v>
      </c>
      <c r="G220" s="128">
        <v>5.7</v>
      </c>
      <c r="H220" s="128" t="s">
        <v>7</v>
      </c>
      <c r="I220" s="128" t="s">
        <v>2264</v>
      </c>
      <c r="J220" s="128" t="s">
        <v>807</v>
      </c>
      <c r="K220" s="128" t="s">
        <v>385</v>
      </c>
      <c r="L220" s="128" t="s">
        <v>915</v>
      </c>
      <c r="M220" s="128" t="s">
        <v>57</v>
      </c>
      <c r="N220" s="128" t="s">
        <v>58</v>
      </c>
      <c r="O220" s="129">
        <v>35343</v>
      </c>
      <c r="P220" s="128" t="s">
        <v>2265</v>
      </c>
      <c r="Q220" s="128"/>
      <c r="R220" s="128">
        <v>6.5</v>
      </c>
      <c r="S220" s="128" t="s">
        <v>48</v>
      </c>
    </row>
    <row r="221" spans="1:19" ht="29.25" x14ac:dyDescent="0.25">
      <c r="A221" s="128">
        <v>96300</v>
      </c>
      <c r="B221" s="128" t="s">
        <v>39</v>
      </c>
      <c r="C221" s="128" t="s">
        <v>40</v>
      </c>
      <c r="D221" s="128" t="s">
        <v>40</v>
      </c>
      <c r="E221" s="128" t="s">
        <v>2865</v>
      </c>
      <c r="F221" s="128" t="s">
        <v>2866</v>
      </c>
      <c r="G221" s="128">
        <v>35.5</v>
      </c>
      <c r="H221" s="128" t="s">
        <v>162</v>
      </c>
      <c r="I221" s="128" t="s">
        <v>2867</v>
      </c>
      <c r="J221" s="128" t="s">
        <v>314</v>
      </c>
      <c r="K221" s="128" t="s">
        <v>599</v>
      </c>
      <c r="L221" s="128" t="s">
        <v>259</v>
      </c>
      <c r="M221" s="128" t="s">
        <v>57</v>
      </c>
      <c r="N221" s="128" t="s">
        <v>163</v>
      </c>
      <c r="O221" s="129">
        <v>38876</v>
      </c>
      <c r="P221" s="128" t="s">
        <v>2868</v>
      </c>
      <c r="Q221" s="128"/>
      <c r="R221" s="128">
        <v>44.02</v>
      </c>
      <c r="S221" s="128" t="s">
        <v>48</v>
      </c>
    </row>
    <row r="222" spans="1:19" ht="29.25" x14ac:dyDescent="0.25">
      <c r="A222" s="128">
        <v>40704</v>
      </c>
      <c r="B222" s="128" t="s">
        <v>39</v>
      </c>
      <c r="C222" s="128" t="s">
        <v>40</v>
      </c>
      <c r="D222" s="128" t="s">
        <v>40</v>
      </c>
      <c r="E222" s="128" t="s">
        <v>1504</v>
      </c>
      <c r="F222" s="128" t="s">
        <v>1505</v>
      </c>
      <c r="G222" s="128">
        <v>2.85</v>
      </c>
      <c r="H222" s="128" t="s">
        <v>7</v>
      </c>
      <c r="I222" s="128" t="s">
        <v>765</v>
      </c>
      <c r="J222" s="128" t="s">
        <v>44</v>
      </c>
      <c r="K222" s="128" t="s">
        <v>44</v>
      </c>
      <c r="L222" s="128" t="s">
        <v>45</v>
      </c>
      <c r="M222" s="128" t="s">
        <v>57</v>
      </c>
      <c r="N222" s="128" t="s">
        <v>58</v>
      </c>
      <c r="O222" s="129">
        <v>31778</v>
      </c>
      <c r="P222" s="128"/>
      <c r="Q222" s="128"/>
      <c r="R222" s="128">
        <v>2.85</v>
      </c>
      <c r="S222" s="128" t="s">
        <v>48</v>
      </c>
    </row>
    <row r="223" spans="1:19" ht="29.25" x14ac:dyDescent="0.25">
      <c r="A223" s="128">
        <v>61603</v>
      </c>
      <c r="B223" s="128" t="s">
        <v>39</v>
      </c>
      <c r="C223" s="128" t="s">
        <v>40</v>
      </c>
      <c r="D223" s="128" t="s">
        <v>40</v>
      </c>
      <c r="E223" s="128" t="s">
        <v>763</v>
      </c>
      <c r="F223" s="128" t="s">
        <v>764</v>
      </c>
      <c r="G223" s="128">
        <v>3.13</v>
      </c>
      <c r="H223" s="128" t="s">
        <v>7</v>
      </c>
      <c r="I223" s="128" t="s">
        <v>765</v>
      </c>
      <c r="J223" s="128" t="s">
        <v>44</v>
      </c>
      <c r="K223" s="128" t="s">
        <v>44</v>
      </c>
      <c r="L223" s="128" t="s">
        <v>45</v>
      </c>
      <c r="M223" s="128" t="s">
        <v>57</v>
      </c>
      <c r="N223" s="128" t="s">
        <v>58</v>
      </c>
      <c r="O223" s="129">
        <v>28907</v>
      </c>
      <c r="P223" s="128"/>
      <c r="Q223" s="128"/>
      <c r="R223" s="128">
        <v>3.13</v>
      </c>
      <c r="S223" s="128" t="s">
        <v>48</v>
      </c>
    </row>
    <row r="224" spans="1:19" ht="29.25" x14ac:dyDescent="0.25">
      <c r="A224" s="128">
        <v>73204</v>
      </c>
      <c r="B224" s="128" t="s">
        <v>39</v>
      </c>
      <c r="C224" s="128" t="s">
        <v>40</v>
      </c>
      <c r="D224" s="128" t="s">
        <v>40</v>
      </c>
      <c r="E224" s="128" t="s">
        <v>886</v>
      </c>
      <c r="F224" s="128" t="s">
        <v>887</v>
      </c>
      <c r="G224" s="128">
        <v>7.94</v>
      </c>
      <c r="H224" s="128" t="s">
        <v>7</v>
      </c>
      <c r="I224" s="128" t="s">
        <v>765</v>
      </c>
      <c r="J224" s="128" t="s">
        <v>44</v>
      </c>
      <c r="K224" s="128" t="s">
        <v>44</v>
      </c>
      <c r="L224" s="128" t="s">
        <v>45</v>
      </c>
      <c r="M224" s="128" t="s">
        <v>57</v>
      </c>
      <c r="N224" s="128" t="s">
        <v>58</v>
      </c>
      <c r="O224" s="129">
        <v>30317</v>
      </c>
      <c r="P224" s="128"/>
      <c r="Q224" s="128"/>
      <c r="R224" s="128">
        <v>7.94</v>
      </c>
      <c r="S224" s="128" t="s">
        <v>48</v>
      </c>
    </row>
    <row r="225" spans="1:19" ht="29.25" x14ac:dyDescent="0.25">
      <c r="A225" s="128">
        <v>73205</v>
      </c>
      <c r="B225" s="128" t="s">
        <v>39</v>
      </c>
      <c r="C225" s="128" t="s">
        <v>40</v>
      </c>
      <c r="D225" s="128" t="s">
        <v>40</v>
      </c>
      <c r="E225" s="128" t="s">
        <v>1171</v>
      </c>
      <c r="F225" s="128" t="s">
        <v>1172</v>
      </c>
      <c r="G225" s="128">
        <v>5.9</v>
      </c>
      <c r="H225" s="128" t="s">
        <v>7</v>
      </c>
      <c r="I225" s="128" t="s">
        <v>765</v>
      </c>
      <c r="J225" s="128" t="s">
        <v>44</v>
      </c>
      <c r="K225" s="128" t="s">
        <v>44</v>
      </c>
      <c r="L225" s="128" t="s">
        <v>45</v>
      </c>
      <c r="M225" s="128" t="s">
        <v>57</v>
      </c>
      <c r="N225" s="128" t="s">
        <v>58</v>
      </c>
      <c r="O225" s="129">
        <v>31048</v>
      </c>
      <c r="P225" s="128"/>
      <c r="Q225" s="128"/>
      <c r="R225" s="128">
        <v>5.9</v>
      </c>
      <c r="S225" s="128" t="s">
        <v>48</v>
      </c>
    </row>
    <row r="226" spans="1:19" ht="29.25" x14ac:dyDescent="0.25">
      <c r="A226" s="128">
        <v>56504</v>
      </c>
      <c r="B226" s="128" t="s">
        <v>39</v>
      </c>
      <c r="C226" s="128" t="s">
        <v>40</v>
      </c>
      <c r="D226" s="128" t="s">
        <v>40</v>
      </c>
      <c r="E226" s="128" t="s">
        <v>1017</v>
      </c>
      <c r="F226" s="128" t="s">
        <v>1018</v>
      </c>
      <c r="G226" s="128">
        <v>1.91</v>
      </c>
      <c r="H226" s="128" t="s">
        <v>7</v>
      </c>
      <c r="I226" s="128" t="s">
        <v>765</v>
      </c>
      <c r="J226" s="128" t="s">
        <v>44</v>
      </c>
      <c r="K226" s="128" t="s">
        <v>44</v>
      </c>
      <c r="L226" s="128" t="s">
        <v>45</v>
      </c>
      <c r="M226" s="128" t="s">
        <v>57</v>
      </c>
      <c r="N226" s="128" t="s">
        <v>58</v>
      </c>
      <c r="O226" s="129">
        <v>30682</v>
      </c>
      <c r="P226" s="128"/>
      <c r="Q226" s="128"/>
      <c r="R226" s="128">
        <v>1.91</v>
      </c>
      <c r="S226" s="128" t="s">
        <v>48</v>
      </c>
    </row>
    <row r="227" spans="1:19" ht="29.25" x14ac:dyDescent="0.25">
      <c r="A227" s="128">
        <v>40705</v>
      </c>
      <c r="B227" s="128" t="s">
        <v>39</v>
      </c>
      <c r="C227" s="128" t="s">
        <v>40</v>
      </c>
      <c r="D227" s="128" t="s">
        <v>40</v>
      </c>
      <c r="E227" s="128" t="s">
        <v>1506</v>
      </c>
      <c r="F227" s="128" t="s">
        <v>1507</v>
      </c>
      <c r="G227" s="128">
        <v>2.85</v>
      </c>
      <c r="H227" s="128" t="s">
        <v>7</v>
      </c>
      <c r="I227" s="128" t="s">
        <v>765</v>
      </c>
      <c r="J227" s="128" t="s">
        <v>44</v>
      </c>
      <c r="K227" s="128" t="s">
        <v>44</v>
      </c>
      <c r="L227" s="128" t="s">
        <v>45</v>
      </c>
      <c r="M227" s="128" t="s">
        <v>57</v>
      </c>
      <c r="N227" s="128" t="s">
        <v>58</v>
      </c>
      <c r="O227" s="129">
        <v>31778</v>
      </c>
      <c r="P227" s="128"/>
      <c r="Q227" s="128"/>
      <c r="R227" s="128">
        <v>2.85</v>
      </c>
      <c r="S227" s="128" t="s">
        <v>48</v>
      </c>
    </row>
    <row r="228" spans="1:19" ht="29.25" x14ac:dyDescent="0.25">
      <c r="A228" s="128">
        <v>61604</v>
      </c>
      <c r="B228" s="128" t="s">
        <v>39</v>
      </c>
      <c r="C228" s="128" t="s">
        <v>40</v>
      </c>
      <c r="D228" s="128" t="s">
        <v>40</v>
      </c>
      <c r="E228" s="128" t="s">
        <v>1173</v>
      </c>
      <c r="F228" s="128" t="s">
        <v>1174</v>
      </c>
      <c r="G228" s="128">
        <v>4.0999999999999996</v>
      </c>
      <c r="H228" s="128" t="s">
        <v>7</v>
      </c>
      <c r="I228" s="128" t="s">
        <v>765</v>
      </c>
      <c r="J228" s="128" t="s">
        <v>44</v>
      </c>
      <c r="K228" s="128" t="s">
        <v>44</v>
      </c>
      <c r="L228" s="128" t="s">
        <v>45</v>
      </c>
      <c r="M228" s="128" t="s">
        <v>57</v>
      </c>
      <c r="N228" s="128" t="s">
        <v>58</v>
      </c>
      <c r="O228" s="129">
        <v>31048</v>
      </c>
      <c r="P228" s="128"/>
      <c r="Q228" s="128"/>
      <c r="R228" s="128">
        <v>4.0999999999999996</v>
      </c>
      <c r="S228" s="128" t="s">
        <v>48</v>
      </c>
    </row>
    <row r="229" spans="1:19" ht="43.5" x14ac:dyDescent="0.25">
      <c r="A229" s="128">
        <v>58800</v>
      </c>
      <c r="B229" s="128" t="s">
        <v>39</v>
      </c>
      <c r="C229" s="128" t="s">
        <v>49</v>
      </c>
      <c r="D229" s="128" t="s">
        <v>40</v>
      </c>
      <c r="E229" s="128" t="s">
        <v>816</v>
      </c>
      <c r="F229" s="128" t="s">
        <v>817</v>
      </c>
      <c r="G229" s="128">
        <v>10.119999999999999</v>
      </c>
      <c r="H229" s="128" t="s">
        <v>7</v>
      </c>
      <c r="I229" s="128"/>
      <c r="J229" s="128" t="s">
        <v>44</v>
      </c>
      <c r="K229" s="128" t="s">
        <v>44</v>
      </c>
      <c r="L229" s="128" t="s">
        <v>45</v>
      </c>
      <c r="M229" s="128" t="s">
        <v>57</v>
      </c>
      <c r="N229" s="128" t="s">
        <v>58</v>
      </c>
      <c r="O229" s="129">
        <v>29952</v>
      </c>
      <c r="P229" s="128" t="s">
        <v>818</v>
      </c>
      <c r="Q229" s="128"/>
      <c r="R229" s="128">
        <v>10.14</v>
      </c>
      <c r="S229" s="128" t="s">
        <v>48</v>
      </c>
    </row>
    <row r="230" spans="1:19" ht="29.25" x14ac:dyDescent="0.25">
      <c r="A230" s="128">
        <v>20400</v>
      </c>
      <c r="B230" s="128" t="s">
        <v>39</v>
      </c>
      <c r="C230" s="128" t="s">
        <v>40</v>
      </c>
      <c r="D230" s="128" t="s">
        <v>40</v>
      </c>
      <c r="E230" s="128" t="s">
        <v>2359</v>
      </c>
      <c r="F230" s="128" t="s">
        <v>2360</v>
      </c>
      <c r="G230" s="128">
        <v>24</v>
      </c>
      <c r="H230" s="128" t="s">
        <v>43</v>
      </c>
      <c r="I230" s="128" t="s">
        <v>2361</v>
      </c>
      <c r="J230" s="128" t="s">
        <v>807</v>
      </c>
      <c r="K230" s="128" t="s">
        <v>385</v>
      </c>
      <c r="L230" s="128" t="s">
        <v>1899</v>
      </c>
      <c r="M230" s="128" t="s">
        <v>46</v>
      </c>
      <c r="N230" s="128" t="s">
        <v>47</v>
      </c>
      <c r="O230" s="129">
        <v>37027</v>
      </c>
      <c r="P230" s="128"/>
      <c r="Q230" s="128"/>
      <c r="R230" s="128">
        <v>28.5</v>
      </c>
      <c r="S230" s="128" t="s">
        <v>48</v>
      </c>
    </row>
    <row r="231" spans="1:19" ht="29.25" x14ac:dyDescent="0.25">
      <c r="A231" s="128">
        <v>20500</v>
      </c>
      <c r="B231" s="128" t="s">
        <v>39</v>
      </c>
      <c r="C231" s="128" t="s">
        <v>40</v>
      </c>
      <c r="D231" s="128" t="s">
        <v>40</v>
      </c>
      <c r="E231" s="128" t="s">
        <v>3233</v>
      </c>
      <c r="F231" s="128" t="s">
        <v>3234</v>
      </c>
      <c r="G231" s="128">
        <v>1.25</v>
      </c>
      <c r="H231" s="128" t="s">
        <v>7</v>
      </c>
      <c r="I231" s="128" t="s">
        <v>7</v>
      </c>
      <c r="J231" s="128" t="s">
        <v>44</v>
      </c>
      <c r="K231" s="128" t="s">
        <v>44</v>
      </c>
      <c r="L231" s="128" t="s">
        <v>45</v>
      </c>
      <c r="M231" s="128" t="s">
        <v>57</v>
      </c>
      <c r="N231" s="128" t="s">
        <v>58</v>
      </c>
      <c r="O231" s="128"/>
      <c r="P231" s="128"/>
      <c r="Q231" s="128"/>
      <c r="R231" s="128">
        <v>1.25</v>
      </c>
      <c r="S231" s="128" t="s">
        <v>48</v>
      </c>
    </row>
    <row r="232" spans="1:19" x14ac:dyDescent="0.25">
      <c r="A232" s="128">
        <v>20600</v>
      </c>
      <c r="B232" s="128" t="s">
        <v>39</v>
      </c>
      <c r="C232" s="128" t="s">
        <v>40</v>
      </c>
      <c r="D232" s="128" t="s">
        <v>40</v>
      </c>
      <c r="E232" s="128" t="s">
        <v>443</v>
      </c>
      <c r="F232" s="128" t="s">
        <v>444</v>
      </c>
      <c r="G232" s="128">
        <v>215</v>
      </c>
      <c r="H232" s="128" t="s">
        <v>7</v>
      </c>
      <c r="I232" s="128" t="s">
        <v>445</v>
      </c>
      <c r="J232" s="128" t="s">
        <v>384</v>
      </c>
      <c r="K232" s="128" t="s">
        <v>385</v>
      </c>
      <c r="L232" s="128" t="s">
        <v>259</v>
      </c>
      <c r="M232" s="128" t="s">
        <v>57</v>
      </c>
      <c r="N232" s="128" t="s">
        <v>58</v>
      </c>
      <c r="O232" s="129">
        <v>21551</v>
      </c>
      <c r="P232" s="128"/>
      <c r="Q232" s="128"/>
      <c r="R232" s="128">
        <v>215</v>
      </c>
      <c r="S232" s="128" t="s">
        <v>48</v>
      </c>
    </row>
    <row r="233" spans="1:19" x14ac:dyDescent="0.25">
      <c r="A233" s="128">
        <v>20700</v>
      </c>
      <c r="B233" s="128" t="s">
        <v>39</v>
      </c>
      <c r="C233" s="128" t="s">
        <v>40</v>
      </c>
      <c r="D233" s="128" t="s">
        <v>40</v>
      </c>
      <c r="E233" s="128" t="s">
        <v>446</v>
      </c>
      <c r="F233" s="128" t="s">
        <v>447</v>
      </c>
      <c r="G233" s="128">
        <v>215.29</v>
      </c>
      <c r="H233" s="128" t="s">
        <v>7</v>
      </c>
      <c r="I233" s="128" t="s">
        <v>445</v>
      </c>
      <c r="J233" s="128" t="s">
        <v>384</v>
      </c>
      <c r="K233" s="128" t="s">
        <v>385</v>
      </c>
      <c r="L233" s="128" t="s">
        <v>259</v>
      </c>
      <c r="M233" s="128" t="s">
        <v>57</v>
      </c>
      <c r="N233" s="128" t="s">
        <v>58</v>
      </c>
      <c r="O233" s="129">
        <v>21551</v>
      </c>
      <c r="P233" s="128"/>
      <c r="Q233" s="128"/>
      <c r="R233" s="128">
        <v>215</v>
      </c>
      <c r="S233" s="128" t="s">
        <v>48</v>
      </c>
    </row>
    <row r="234" spans="1:19" ht="29.25" x14ac:dyDescent="0.25">
      <c r="A234" s="128">
        <v>20800</v>
      </c>
      <c r="B234" s="128" t="s">
        <v>39</v>
      </c>
      <c r="C234" s="128" t="s">
        <v>40</v>
      </c>
      <c r="D234" s="128" t="s">
        <v>40</v>
      </c>
      <c r="E234" s="128" t="s">
        <v>3235</v>
      </c>
      <c r="F234" s="128" t="s">
        <v>3236</v>
      </c>
      <c r="G234" s="128">
        <v>130</v>
      </c>
      <c r="H234" s="128" t="s">
        <v>7</v>
      </c>
      <c r="I234" s="128" t="s">
        <v>445</v>
      </c>
      <c r="J234" s="128" t="s">
        <v>314</v>
      </c>
      <c r="K234" s="128" t="s">
        <v>599</v>
      </c>
      <c r="L234" s="128" t="s">
        <v>259</v>
      </c>
      <c r="M234" s="128" t="s">
        <v>57</v>
      </c>
      <c r="N234" s="128" t="s">
        <v>58</v>
      </c>
      <c r="O234" s="128"/>
      <c r="P234" s="128" t="s">
        <v>3237</v>
      </c>
      <c r="Q234" s="128"/>
      <c r="R234" s="128">
        <v>130</v>
      </c>
      <c r="S234" s="128" t="s">
        <v>48</v>
      </c>
    </row>
    <row r="235" spans="1:19" ht="29.25" x14ac:dyDescent="0.25">
      <c r="A235" s="128">
        <v>96000</v>
      </c>
      <c r="B235" s="128" t="s">
        <v>39</v>
      </c>
      <c r="C235" s="128" t="s">
        <v>40</v>
      </c>
      <c r="D235" s="128" t="s">
        <v>40</v>
      </c>
      <c r="E235" s="128" t="s">
        <v>2892</v>
      </c>
      <c r="F235" s="128" t="s">
        <v>2893</v>
      </c>
      <c r="G235" s="128">
        <v>3.03</v>
      </c>
      <c r="H235" s="128" t="s">
        <v>43</v>
      </c>
      <c r="I235" s="128" t="s">
        <v>2894</v>
      </c>
      <c r="J235" s="128" t="s">
        <v>807</v>
      </c>
      <c r="K235" s="128" t="s">
        <v>2299</v>
      </c>
      <c r="L235" s="128" t="s">
        <v>915</v>
      </c>
      <c r="M235" s="128" t="s">
        <v>46</v>
      </c>
      <c r="N235" s="128" t="s">
        <v>47</v>
      </c>
      <c r="O235" s="129">
        <v>39326</v>
      </c>
      <c r="P235" s="128"/>
      <c r="Q235" s="128"/>
      <c r="R235" s="128">
        <v>2.6</v>
      </c>
      <c r="S235" s="128" t="s">
        <v>48</v>
      </c>
    </row>
    <row r="236" spans="1:19" x14ac:dyDescent="0.25">
      <c r="A236" s="128">
        <v>21000</v>
      </c>
      <c r="B236" s="128" t="s">
        <v>39</v>
      </c>
      <c r="C236" s="128" t="s">
        <v>40</v>
      </c>
      <c r="D236" s="128" t="s">
        <v>40</v>
      </c>
      <c r="E236" s="128" t="s">
        <v>549</v>
      </c>
      <c r="F236" s="128" t="s">
        <v>550</v>
      </c>
      <c r="G236" s="128">
        <v>10</v>
      </c>
      <c r="H236" s="128" t="s">
        <v>43</v>
      </c>
      <c r="I236" s="128" t="s">
        <v>547</v>
      </c>
      <c r="J236" s="128" t="s">
        <v>44</v>
      </c>
      <c r="K236" s="128" t="s">
        <v>44</v>
      </c>
      <c r="L236" s="128" t="s">
        <v>45</v>
      </c>
      <c r="M236" s="128" t="s">
        <v>46</v>
      </c>
      <c r="N236" s="128" t="s">
        <v>47</v>
      </c>
      <c r="O236" s="129">
        <v>24473</v>
      </c>
      <c r="P236" s="128"/>
      <c r="Q236" s="128" t="s">
        <v>548</v>
      </c>
      <c r="R236" s="128">
        <v>10</v>
      </c>
      <c r="S236" s="128" t="s">
        <v>48</v>
      </c>
    </row>
    <row r="237" spans="1:19" x14ac:dyDescent="0.25">
      <c r="A237" s="128">
        <v>21100</v>
      </c>
      <c r="B237" s="128" t="s">
        <v>39</v>
      </c>
      <c r="C237" s="128" t="s">
        <v>40</v>
      </c>
      <c r="D237" s="128" t="s">
        <v>40</v>
      </c>
      <c r="E237" s="128" t="s">
        <v>288</v>
      </c>
      <c r="F237" s="128" t="s">
        <v>289</v>
      </c>
      <c r="G237" s="128">
        <v>3.5</v>
      </c>
      <c r="H237" s="128" t="s">
        <v>43</v>
      </c>
      <c r="I237" s="128" t="s">
        <v>6</v>
      </c>
      <c r="J237" s="128" t="s">
        <v>44</v>
      </c>
      <c r="K237" s="128" t="s">
        <v>44</v>
      </c>
      <c r="L237" s="128" t="s">
        <v>45</v>
      </c>
      <c r="M237" s="128" t="s">
        <v>46</v>
      </c>
      <c r="N237" s="128" t="s">
        <v>47</v>
      </c>
      <c r="O237" s="129">
        <v>10959</v>
      </c>
      <c r="P237" s="128"/>
      <c r="Q237" s="128"/>
      <c r="R237" s="128">
        <v>3.5</v>
      </c>
      <c r="S237" s="128" t="s">
        <v>48</v>
      </c>
    </row>
    <row r="238" spans="1:19" x14ac:dyDescent="0.25">
      <c r="A238" s="128">
        <v>97700</v>
      </c>
      <c r="B238" s="128" t="s">
        <v>39</v>
      </c>
      <c r="C238" s="128" t="s">
        <v>40</v>
      </c>
      <c r="D238" s="128" t="s">
        <v>40</v>
      </c>
      <c r="E238" s="128" t="s">
        <v>2951</v>
      </c>
      <c r="F238" s="128" t="s">
        <v>2952</v>
      </c>
      <c r="G238" s="128">
        <v>47.9</v>
      </c>
      <c r="H238" s="128" t="s">
        <v>162</v>
      </c>
      <c r="I238" s="128" t="s">
        <v>8</v>
      </c>
      <c r="J238" s="128" t="s">
        <v>314</v>
      </c>
      <c r="K238" s="128" t="s">
        <v>599</v>
      </c>
      <c r="L238" s="128" t="s">
        <v>259</v>
      </c>
      <c r="M238" s="128" t="s">
        <v>57</v>
      </c>
      <c r="N238" s="128" t="s">
        <v>163</v>
      </c>
      <c r="O238" s="129">
        <v>40032</v>
      </c>
      <c r="P238" s="128"/>
      <c r="Q238" s="128"/>
      <c r="R238" s="128">
        <v>49.5</v>
      </c>
      <c r="S238" s="128" t="s">
        <v>48</v>
      </c>
    </row>
    <row r="239" spans="1:19" ht="43.5" x14ac:dyDescent="0.25">
      <c r="A239" s="128">
        <v>103700</v>
      </c>
      <c r="B239" s="128" t="s">
        <v>39</v>
      </c>
      <c r="C239" s="128" t="s">
        <v>40</v>
      </c>
      <c r="D239" s="128" t="s">
        <v>40</v>
      </c>
      <c r="E239" s="128" t="s">
        <v>3117</v>
      </c>
      <c r="F239" s="128" t="s">
        <v>3118</v>
      </c>
      <c r="G239" s="128">
        <v>78.2</v>
      </c>
      <c r="H239" s="128" t="s">
        <v>43</v>
      </c>
      <c r="I239" s="128" t="s">
        <v>3119</v>
      </c>
      <c r="J239" s="128" t="s">
        <v>800</v>
      </c>
      <c r="K239" s="128" t="s">
        <v>800</v>
      </c>
      <c r="L239" s="128" t="s">
        <v>800</v>
      </c>
      <c r="M239" s="128" t="s">
        <v>46</v>
      </c>
      <c r="N239" s="128" t="s">
        <v>1455</v>
      </c>
      <c r="O239" s="129">
        <v>40940</v>
      </c>
      <c r="P239" s="128" t="s">
        <v>3120</v>
      </c>
      <c r="Q239" s="128"/>
      <c r="R239" s="128">
        <v>78.2</v>
      </c>
      <c r="S239" s="128" t="s">
        <v>48</v>
      </c>
    </row>
    <row r="240" spans="1:19" x14ac:dyDescent="0.25">
      <c r="A240" s="128">
        <v>22300</v>
      </c>
      <c r="B240" s="128" t="s">
        <v>39</v>
      </c>
      <c r="C240" s="128" t="s">
        <v>40</v>
      </c>
      <c r="D240" s="128" t="s">
        <v>40</v>
      </c>
      <c r="E240" s="128" t="s">
        <v>471</v>
      </c>
      <c r="F240" s="128" t="s">
        <v>472</v>
      </c>
      <c r="G240" s="128">
        <v>325</v>
      </c>
      <c r="H240" s="128" t="s">
        <v>43</v>
      </c>
      <c r="I240" s="128" t="s">
        <v>473</v>
      </c>
      <c r="J240" s="128" t="s">
        <v>384</v>
      </c>
      <c r="K240" s="128" t="s">
        <v>385</v>
      </c>
      <c r="L240" s="128" t="s">
        <v>259</v>
      </c>
      <c r="M240" s="128" t="s">
        <v>212</v>
      </c>
      <c r="N240" s="128" t="s">
        <v>213</v>
      </c>
      <c r="O240" s="129">
        <v>22981</v>
      </c>
      <c r="P240" s="128"/>
      <c r="Q240" s="128"/>
      <c r="R240" s="128">
        <v>300</v>
      </c>
      <c r="S240" s="128" t="s">
        <v>48</v>
      </c>
    </row>
    <row r="241" spans="1:19" x14ac:dyDescent="0.25">
      <c r="A241" s="128">
        <v>22400</v>
      </c>
      <c r="B241" s="128" t="s">
        <v>39</v>
      </c>
      <c r="C241" s="128" t="s">
        <v>40</v>
      </c>
      <c r="D241" s="128" t="s">
        <v>40</v>
      </c>
      <c r="E241" s="128" t="s">
        <v>483</v>
      </c>
      <c r="F241" s="128" t="s">
        <v>484</v>
      </c>
      <c r="G241" s="128">
        <v>325</v>
      </c>
      <c r="H241" s="128" t="s">
        <v>43</v>
      </c>
      <c r="I241" s="128" t="s">
        <v>473</v>
      </c>
      <c r="J241" s="128" t="s">
        <v>384</v>
      </c>
      <c r="K241" s="128" t="s">
        <v>385</v>
      </c>
      <c r="L241" s="128" t="s">
        <v>259</v>
      </c>
      <c r="M241" s="128" t="s">
        <v>212</v>
      </c>
      <c r="N241" s="128" t="s">
        <v>213</v>
      </c>
      <c r="O241" s="129">
        <v>23012</v>
      </c>
      <c r="P241" s="128"/>
      <c r="Q241" s="128"/>
      <c r="R241" s="128">
        <v>300</v>
      </c>
      <c r="S241" s="128" t="s">
        <v>48</v>
      </c>
    </row>
    <row r="242" spans="1:19" x14ac:dyDescent="0.25">
      <c r="A242" s="128">
        <v>22500</v>
      </c>
      <c r="B242" s="128" t="s">
        <v>39</v>
      </c>
      <c r="C242" s="128" t="s">
        <v>40</v>
      </c>
      <c r="D242" s="128" t="s">
        <v>40</v>
      </c>
      <c r="E242" s="128" t="s">
        <v>551</v>
      </c>
      <c r="F242" s="128" t="s">
        <v>552</v>
      </c>
      <c r="G242" s="128">
        <v>754.33</v>
      </c>
      <c r="H242" s="128" t="s">
        <v>43</v>
      </c>
      <c r="I242" s="128" t="s">
        <v>553</v>
      </c>
      <c r="J242" s="128" t="s">
        <v>384</v>
      </c>
      <c r="K242" s="128" t="s">
        <v>385</v>
      </c>
      <c r="L242" s="128" t="s">
        <v>259</v>
      </c>
      <c r="M242" s="128" t="s">
        <v>46</v>
      </c>
      <c r="N242" s="128" t="s">
        <v>47</v>
      </c>
      <c r="O242" s="129">
        <v>24473</v>
      </c>
      <c r="P242" s="128"/>
      <c r="Q242" s="128"/>
      <c r="R242" s="128">
        <v>702</v>
      </c>
      <c r="S242" s="128" t="s">
        <v>48</v>
      </c>
    </row>
    <row r="243" spans="1:19" x14ac:dyDescent="0.25">
      <c r="A243" s="128">
        <v>22600</v>
      </c>
      <c r="B243" s="128" t="s">
        <v>39</v>
      </c>
      <c r="C243" s="128" t="s">
        <v>40</v>
      </c>
      <c r="D243" s="128" t="s">
        <v>40</v>
      </c>
      <c r="E243" s="128" t="s">
        <v>624</v>
      </c>
      <c r="F243" s="128" t="s">
        <v>625</v>
      </c>
      <c r="G243" s="128">
        <v>755.7</v>
      </c>
      <c r="H243" s="128" t="s">
        <v>43</v>
      </c>
      <c r="I243" s="128" t="s">
        <v>553</v>
      </c>
      <c r="J243" s="128" t="s">
        <v>384</v>
      </c>
      <c r="K243" s="128" t="s">
        <v>385</v>
      </c>
      <c r="L243" s="128" t="s">
        <v>259</v>
      </c>
      <c r="M243" s="128" t="s">
        <v>46</v>
      </c>
      <c r="N243" s="128" t="s">
        <v>47</v>
      </c>
      <c r="O243" s="129">
        <v>24838</v>
      </c>
      <c r="P243" s="128"/>
      <c r="Q243" s="128"/>
      <c r="R243" s="128">
        <v>702</v>
      </c>
      <c r="S243" s="128" t="s">
        <v>48</v>
      </c>
    </row>
    <row r="244" spans="1:19" x14ac:dyDescent="0.25">
      <c r="A244" s="128">
        <v>22900</v>
      </c>
      <c r="B244" s="128" t="s">
        <v>39</v>
      </c>
      <c r="C244" s="128" t="s">
        <v>40</v>
      </c>
      <c r="D244" s="128" t="s">
        <v>40</v>
      </c>
      <c r="E244" s="128" t="s">
        <v>2345</v>
      </c>
      <c r="F244" s="128" t="s">
        <v>2346</v>
      </c>
      <c r="G244" s="128">
        <v>44.4</v>
      </c>
      <c r="H244" s="128" t="s">
        <v>7</v>
      </c>
      <c r="I244" s="128" t="s">
        <v>2347</v>
      </c>
      <c r="J244" s="128" t="s">
        <v>800</v>
      </c>
      <c r="K244" s="128" t="s">
        <v>800</v>
      </c>
      <c r="L244" s="128" t="s">
        <v>800</v>
      </c>
      <c r="M244" s="128" t="s">
        <v>57</v>
      </c>
      <c r="N244" s="128" t="s">
        <v>58</v>
      </c>
      <c r="O244" s="129">
        <v>36974</v>
      </c>
      <c r="P244" s="128"/>
      <c r="Q244" s="128"/>
      <c r="R244" s="128">
        <v>44.4</v>
      </c>
      <c r="S244" s="128" t="s">
        <v>48</v>
      </c>
    </row>
    <row r="245" spans="1:19" x14ac:dyDescent="0.25">
      <c r="A245" s="128">
        <v>23000</v>
      </c>
      <c r="B245" s="128" t="s">
        <v>39</v>
      </c>
      <c r="C245" s="128" t="s">
        <v>40</v>
      </c>
      <c r="D245" s="128" t="s">
        <v>40</v>
      </c>
      <c r="E245" s="128" t="s">
        <v>2500</v>
      </c>
      <c r="F245" s="128" t="s">
        <v>2501</v>
      </c>
      <c r="G245" s="128">
        <v>22.2</v>
      </c>
      <c r="H245" s="128" t="s">
        <v>7</v>
      </c>
      <c r="I245" s="128" t="s">
        <v>2502</v>
      </c>
      <c r="J245" s="128" t="s">
        <v>800</v>
      </c>
      <c r="K245" s="128" t="s">
        <v>800</v>
      </c>
      <c r="L245" s="128" t="s">
        <v>800</v>
      </c>
      <c r="M245" s="128" t="s">
        <v>57</v>
      </c>
      <c r="N245" s="128" t="s">
        <v>58</v>
      </c>
      <c r="O245" s="129">
        <v>37151</v>
      </c>
      <c r="P245" s="128"/>
      <c r="Q245" s="128"/>
      <c r="R245" s="128">
        <v>22.2</v>
      </c>
      <c r="S245" s="128" t="s">
        <v>48</v>
      </c>
    </row>
    <row r="246" spans="1:19" ht="29.25" x14ac:dyDescent="0.25">
      <c r="A246" s="128">
        <v>89100</v>
      </c>
      <c r="B246" s="128" t="s">
        <v>39</v>
      </c>
      <c r="C246" s="128" t="s">
        <v>40</v>
      </c>
      <c r="D246" s="128" t="s">
        <v>40</v>
      </c>
      <c r="E246" s="128" t="s">
        <v>2705</v>
      </c>
      <c r="F246" s="128" t="s">
        <v>2706</v>
      </c>
      <c r="G246" s="128">
        <v>22.44</v>
      </c>
      <c r="H246" s="128" t="s">
        <v>7</v>
      </c>
      <c r="I246" s="128" t="s">
        <v>2707</v>
      </c>
      <c r="J246" s="128" t="s">
        <v>800</v>
      </c>
      <c r="K246" s="128" t="s">
        <v>800</v>
      </c>
      <c r="L246" s="128" t="s">
        <v>800</v>
      </c>
      <c r="M246" s="128" t="s">
        <v>57</v>
      </c>
      <c r="N246" s="128" t="s">
        <v>58</v>
      </c>
      <c r="O246" s="129">
        <v>37970</v>
      </c>
      <c r="P246" s="128"/>
      <c r="Q246" s="128"/>
      <c r="R246" s="128">
        <v>22.44</v>
      </c>
      <c r="S246" s="128" t="s">
        <v>48</v>
      </c>
    </row>
    <row r="247" spans="1:19" ht="29.25" x14ac:dyDescent="0.25">
      <c r="A247" s="128">
        <v>104600</v>
      </c>
      <c r="B247" s="128" t="s">
        <v>39</v>
      </c>
      <c r="C247" s="128" t="s">
        <v>40</v>
      </c>
      <c r="D247" s="128" t="s">
        <v>40</v>
      </c>
      <c r="E247" s="128" t="s">
        <v>3995</v>
      </c>
      <c r="F247" s="128" t="s">
        <v>3996</v>
      </c>
      <c r="G247" s="128">
        <v>49</v>
      </c>
      <c r="H247" s="128" t="s">
        <v>7</v>
      </c>
      <c r="I247" s="128" t="s">
        <v>3997</v>
      </c>
      <c r="J247" s="128" t="s">
        <v>800</v>
      </c>
      <c r="K247" s="128" t="s">
        <v>800</v>
      </c>
      <c r="L247" s="128" t="s">
        <v>800</v>
      </c>
      <c r="M247" s="128" t="s">
        <v>57</v>
      </c>
      <c r="N247" s="128" t="s">
        <v>58</v>
      </c>
      <c r="O247" s="129">
        <v>40962</v>
      </c>
      <c r="P247" s="128"/>
      <c r="Q247" s="128"/>
      <c r="R247" s="128">
        <v>49</v>
      </c>
      <c r="S247" s="128" t="s">
        <v>48</v>
      </c>
    </row>
    <row r="248" spans="1:19" x14ac:dyDescent="0.25">
      <c r="A248" s="128">
        <v>23200</v>
      </c>
      <c r="B248" s="128" t="s">
        <v>39</v>
      </c>
      <c r="C248" s="128" t="s">
        <v>40</v>
      </c>
      <c r="D248" s="128" t="s">
        <v>40</v>
      </c>
      <c r="E248" s="128" t="s">
        <v>653</v>
      </c>
      <c r="F248" s="128" t="s">
        <v>654</v>
      </c>
      <c r="G248" s="128">
        <v>55</v>
      </c>
      <c r="H248" s="128" t="s">
        <v>43</v>
      </c>
      <c r="I248" s="128" t="s">
        <v>655</v>
      </c>
      <c r="J248" s="128" t="s">
        <v>44</v>
      </c>
      <c r="K248" s="128" t="s">
        <v>44</v>
      </c>
      <c r="L248" s="128" t="s">
        <v>45</v>
      </c>
      <c r="M248" s="128" t="s">
        <v>46</v>
      </c>
      <c r="N248" s="128" t="s">
        <v>47</v>
      </c>
      <c r="O248" s="129">
        <v>25204</v>
      </c>
      <c r="P248" s="128"/>
      <c r="Q248" s="128" t="s">
        <v>630</v>
      </c>
      <c r="R248" s="128">
        <v>55</v>
      </c>
      <c r="S248" s="128" t="s">
        <v>48</v>
      </c>
    </row>
    <row r="249" spans="1:19" ht="43.5" x14ac:dyDescent="0.25">
      <c r="A249" s="128">
        <v>60000</v>
      </c>
      <c r="B249" s="128" t="s">
        <v>39</v>
      </c>
      <c r="C249" s="128" t="s">
        <v>49</v>
      </c>
      <c r="D249" s="128" t="s">
        <v>40</v>
      </c>
      <c r="E249" s="128" t="s">
        <v>2282</v>
      </c>
      <c r="F249" s="128" t="s">
        <v>2283</v>
      </c>
      <c r="G249" s="128">
        <v>2</v>
      </c>
      <c r="H249" s="128" t="s">
        <v>162</v>
      </c>
      <c r="I249" s="128" t="s">
        <v>2284</v>
      </c>
      <c r="J249" s="128" t="s">
        <v>807</v>
      </c>
      <c r="K249" s="128" t="s">
        <v>315</v>
      </c>
      <c r="L249" s="128" t="s">
        <v>915</v>
      </c>
      <c r="M249" s="128" t="s">
        <v>57</v>
      </c>
      <c r="N249" s="128" t="s">
        <v>163</v>
      </c>
      <c r="O249" s="129">
        <v>36161</v>
      </c>
      <c r="P249" s="128" t="s">
        <v>2285</v>
      </c>
      <c r="Q249" s="128"/>
      <c r="R249" s="128">
        <v>3.8</v>
      </c>
      <c r="S249" s="128" t="s">
        <v>48</v>
      </c>
    </row>
    <row r="250" spans="1:19" x14ac:dyDescent="0.25">
      <c r="A250" s="128">
        <v>23300</v>
      </c>
      <c r="B250" s="128" t="s">
        <v>39</v>
      </c>
      <c r="C250" s="128" t="s">
        <v>40</v>
      </c>
      <c r="D250" s="128" t="s">
        <v>40</v>
      </c>
      <c r="E250" s="128" t="s">
        <v>332</v>
      </c>
      <c r="F250" s="128" t="s">
        <v>333</v>
      </c>
      <c r="G250" s="128">
        <v>12</v>
      </c>
      <c r="H250" s="128" t="s">
        <v>43</v>
      </c>
      <c r="I250" s="128" t="s">
        <v>6</v>
      </c>
      <c r="J250" s="128" t="s">
        <v>44</v>
      </c>
      <c r="K250" s="128" t="s">
        <v>44</v>
      </c>
      <c r="L250" s="128" t="s">
        <v>45</v>
      </c>
      <c r="M250" s="128" t="s">
        <v>46</v>
      </c>
      <c r="N250" s="128" t="s">
        <v>47</v>
      </c>
      <c r="O250" s="129">
        <v>15342</v>
      </c>
      <c r="P250" s="128"/>
      <c r="Q250" s="128" t="s">
        <v>148</v>
      </c>
      <c r="R250" s="128">
        <v>12</v>
      </c>
      <c r="S250" s="128" t="s">
        <v>48</v>
      </c>
    </row>
    <row r="251" spans="1:19" x14ac:dyDescent="0.25">
      <c r="A251" s="128">
        <v>23400</v>
      </c>
      <c r="B251" s="128" t="s">
        <v>39</v>
      </c>
      <c r="C251" s="128" t="s">
        <v>40</v>
      </c>
      <c r="D251" s="128" t="s">
        <v>40</v>
      </c>
      <c r="E251" s="128" t="s">
        <v>1314</v>
      </c>
      <c r="F251" s="128" t="s">
        <v>1315</v>
      </c>
      <c r="G251" s="128">
        <v>12</v>
      </c>
      <c r="H251" s="128" t="s">
        <v>43</v>
      </c>
      <c r="I251" s="128" t="s">
        <v>6</v>
      </c>
      <c r="J251" s="128" t="s">
        <v>44</v>
      </c>
      <c r="K251" s="128" t="s">
        <v>44</v>
      </c>
      <c r="L251" s="128" t="s">
        <v>45</v>
      </c>
      <c r="M251" s="128" t="s">
        <v>46</v>
      </c>
      <c r="N251" s="128" t="s">
        <v>47</v>
      </c>
      <c r="O251" s="129">
        <v>31413</v>
      </c>
      <c r="P251" s="128"/>
      <c r="Q251" s="128" t="s">
        <v>148</v>
      </c>
      <c r="R251" s="128">
        <v>12</v>
      </c>
      <c r="S251" s="128" t="s">
        <v>48</v>
      </c>
    </row>
    <row r="252" spans="1:19" ht="57.75" x14ac:dyDescent="0.25">
      <c r="A252" s="128">
        <v>104300</v>
      </c>
      <c r="B252" s="128" t="s">
        <v>39</v>
      </c>
      <c r="C252" s="128" t="s">
        <v>40</v>
      </c>
      <c r="D252" s="128" t="s">
        <v>40</v>
      </c>
      <c r="E252" s="128" t="s">
        <v>3135</v>
      </c>
      <c r="F252" s="128" t="s">
        <v>3136</v>
      </c>
      <c r="G252" s="128">
        <v>2.4</v>
      </c>
      <c r="H252" s="128" t="s">
        <v>7</v>
      </c>
      <c r="I252" s="128" t="s">
        <v>3137</v>
      </c>
      <c r="J252" s="128" t="s">
        <v>1055</v>
      </c>
      <c r="K252" s="128" t="s">
        <v>2179</v>
      </c>
      <c r="L252" s="128" t="s">
        <v>1056</v>
      </c>
      <c r="M252" s="128" t="s">
        <v>57</v>
      </c>
      <c r="N252" s="128" t="s">
        <v>58</v>
      </c>
      <c r="O252" s="129">
        <v>41001</v>
      </c>
      <c r="P252" s="128" t="s">
        <v>3138</v>
      </c>
      <c r="Q252" s="128"/>
      <c r="R252" s="128">
        <v>2.5</v>
      </c>
      <c r="S252" s="128" t="s">
        <v>48</v>
      </c>
    </row>
    <row r="253" spans="1:19" x14ac:dyDescent="0.25">
      <c r="A253" s="128">
        <v>23500</v>
      </c>
      <c r="B253" s="128" t="s">
        <v>39</v>
      </c>
      <c r="C253" s="128" t="s">
        <v>40</v>
      </c>
      <c r="D253" s="128" t="s">
        <v>40</v>
      </c>
      <c r="E253" s="128" t="s">
        <v>1175</v>
      </c>
      <c r="F253" s="128" t="s">
        <v>1176</v>
      </c>
      <c r="G253" s="128">
        <v>1.3</v>
      </c>
      <c r="H253" s="128" t="s">
        <v>43</v>
      </c>
      <c r="I253" s="128" t="s">
        <v>6</v>
      </c>
      <c r="J253" s="128" t="s">
        <v>44</v>
      </c>
      <c r="K253" s="128" t="s">
        <v>44</v>
      </c>
      <c r="L253" s="128" t="s">
        <v>45</v>
      </c>
      <c r="M253" s="128" t="s">
        <v>46</v>
      </c>
      <c r="N253" s="128" t="s">
        <v>47</v>
      </c>
      <c r="O253" s="129">
        <v>31048</v>
      </c>
      <c r="P253" s="128"/>
      <c r="Q253" s="128" t="s">
        <v>1177</v>
      </c>
      <c r="R253" s="128">
        <v>1.3</v>
      </c>
      <c r="S253" s="128" t="s">
        <v>48</v>
      </c>
    </row>
    <row r="254" spans="1:19" x14ac:dyDescent="0.25">
      <c r="A254" s="128">
        <v>91000</v>
      </c>
      <c r="B254" s="128" t="s">
        <v>39</v>
      </c>
      <c r="C254" s="128" t="s">
        <v>40</v>
      </c>
      <c r="D254" s="128" t="s">
        <v>40</v>
      </c>
      <c r="E254" s="128" t="s">
        <v>2748</v>
      </c>
      <c r="F254" s="128" t="s">
        <v>2749</v>
      </c>
      <c r="G254" s="128">
        <v>60</v>
      </c>
      <c r="H254" s="128" t="s">
        <v>7</v>
      </c>
      <c r="I254" s="128" t="s">
        <v>2750</v>
      </c>
      <c r="J254" s="128" t="s">
        <v>800</v>
      </c>
      <c r="K254" s="128" t="s">
        <v>800</v>
      </c>
      <c r="L254" s="128" t="s">
        <v>800</v>
      </c>
      <c r="M254" s="128" t="s">
        <v>57</v>
      </c>
      <c r="N254" s="128" t="s">
        <v>58</v>
      </c>
      <c r="O254" s="129">
        <v>38442</v>
      </c>
      <c r="P254" s="128" t="s">
        <v>2751</v>
      </c>
      <c r="Q254" s="128"/>
      <c r="R254" s="128">
        <v>60</v>
      </c>
      <c r="S254" s="128" t="s">
        <v>48</v>
      </c>
    </row>
    <row r="255" spans="1:19" ht="86.25" x14ac:dyDescent="0.25">
      <c r="A255" s="128">
        <v>23600</v>
      </c>
      <c r="B255" s="128" t="s">
        <v>39</v>
      </c>
      <c r="C255" s="128" t="s">
        <v>40</v>
      </c>
      <c r="D255" s="128" t="s">
        <v>40</v>
      </c>
      <c r="E255" s="128" t="s">
        <v>744</v>
      </c>
      <c r="F255" s="128" t="s">
        <v>745</v>
      </c>
      <c r="G255" s="128">
        <v>55</v>
      </c>
      <c r="H255" s="128" t="s">
        <v>43</v>
      </c>
      <c r="I255" s="128" t="s">
        <v>746</v>
      </c>
      <c r="J255" s="128" t="s">
        <v>314</v>
      </c>
      <c r="K255" s="128" t="s">
        <v>599</v>
      </c>
      <c r="L255" s="128" t="s">
        <v>316</v>
      </c>
      <c r="M255" s="128" t="s">
        <v>46</v>
      </c>
      <c r="N255" s="128" t="s">
        <v>47</v>
      </c>
      <c r="O255" s="129">
        <v>28491</v>
      </c>
      <c r="P255" s="128" t="s">
        <v>747</v>
      </c>
      <c r="Q255" s="128"/>
      <c r="R255" s="128">
        <v>74.5</v>
      </c>
      <c r="S255" s="128" t="s">
        <v>48</v>
      </c>
    </row>
    <row r="256" spans="1:19" ht="114.75" x14ac:dyDescent="0.25">
      <c r="A256" s="128">
        <v>23700</v>
      </c>
      <c r="B256" s="128" t="s">
        <v>39</v>
      </c>
      <c r="C256" s="128" t="s">
        <v>40</v>
      </c>
      <c r="D256" s="128" t="s">
        <v>40</v>
      </c>
      <c r="E256" s="128" t="s">
        <v>748</v>
      </c>
      <c r="F256" s="128" t="s">
        <v>749</v>
      </c>
      <c r="G256" s="128">
        <v>55</v>
      </c>
      <c r="H256" s="128" t="s">
        <v>43</v>
      </c>
      <c r="I256" s="128" t="s">
        <v>746</v>
      </c>
      <c r="J256" s="128" t="s">
        <v>314</v>
      </c>
      <c r="K256" s="128" t="s">
        <v>599</v>
      </c>
      <c r="L256" s="128" t="s">
        <v>316</v>
      </c>
      <c r="M256" s="128" t="s">
        <v>46</v>
      </c>
      <c r="N256" s="128" t="s">
        <v>47</v>
      </c>
      <c r="O256" s="129">
        <v>28491</v>
      </c>
      <c r="P256" s="128" t="s">
        <v>750</v>
      </c>
      <c r="Q256" s="128"/>
      <c r="R256" s="128">
        <v>74.5</v>
      </c>
      <c r="S256" s="128" t="s">
        <v>48</v>
      </c>
    </row>
    <row r="257" spans="1:19" ht="114.75" x14ac:dyDescent="0.25">
      <c r="A257" s="128">
        <v>23800</v>
      </c>
      <c r="B257" s="128" t="s">
        <v>39</v>
      </c>
      <c r="C257" s="128" t="s">
        <v>40</v>
      </c>
      <c r="D257" s="128" t="s">
        <v>40</v>
      </c>
      <c r="E257" s="128" t="s">
        <v>751</v>
      </c>
      <c r="F257" s="128" t="s">
        <v>752</v>
      </c>
      <c r="G257" s="128">
        <v>55</v>
      </c>
      <c r="H257" s="128" t="s">
        <v>43</v>
      </c>
      <c r="I257" s="128" t="s">
        <v>746</v>
      </c>
      <c r="J257" s="128" t="s">
        <v>314</v>
      </c>
      <c r="K257" s="128" t="s">
        <v>599</v>
      </c>
      <c r="L257" s="128" t="s">
        <v>316</v>
      </c>
      <c r="M257" s="128" t="s">
        <v>46</v>
      </c>
      <c r="N257" s="128" t="s">
        <v>47</v>
      </c>
      <c r="O257" s="129">
        <v>28491</v>
      </c>
      <c r="P257" s="128" t="s">
        <v>753</v>
      </c>
      <c r="Q257" s="128"/>
      <c r="R257" s="128">
        <v>74.5</v>
      </c>
      <c r="S257" s="128" t="s">
        <v>48</v>
      </c>
    </row>
    <row r="258" spans="1:19" x14ac:dyDescent="0.25">
      <c r="A258" s="128">
        <v>96200</v>
      </c>
      <c r="B258" s="128" t="s">
        <v>39</v>
      </c>
      <c r="C258" s="128" t="s">
        <v>49</v>
      </c>
      <c r="D258" s="128" t="s">
        <v>40</v>
      </c>
      <c r="E258" s="128" t="s">
        <v>2534</v>
      </c>
      <c r="F258" s="128" t="s">
        <v>2535</v>
      </c>
      <c r="G258" s="128">
        <v>5.6</v>
      </c>
      <c r="H258" s="128" t="s">
        <v>7</v>
      </c>
      <c r="I258" s="128" t="s">
        <v>2536</v>
      </c>
      <c r="J258" s="128" t="s">
        <v>807</v>
      </c>
      <c r="K258" s="128" t="s">
        <v>315</v>
      </c>
      <c r="L258" s="128" t="s">
        <v>915</v>
      </c>
      <c r="M258" s="128" t="s">
        <v>57</v>
      </c>
      <c r="N258" s="128" t="s">
        <v>58</v>
      </c>
      <c r="O258" s="129">
        <v>37377</v>
      </c>
      <c r="P258" s="128"/>
      <c r="Q258" s="128"/>
      <c r="R258" s="128">
        <v>5.63</v>
      </c>
      <c r="S258" s="128" t="s">
        <v>48</v>
      </c>
    </row>
    <row r="259" spans="1:19" ht="29.25" x14ac:dyDescent="0.25">
      <c r="A259" s="128">
        <v>102100</v>
      </c>
      <c r="B259" s="128" t="s">
        <v>39</v>
      </c>
      <c r="C259" s="128" t="s">
        <v>40</v>
      </c>
      <c r="D259" s="128" t="s">
        <v>40</v>
      </c>
      <c r="E259" s="128" t="s">
        <v>3061</v>
      </c>
      <c r="F259" s="128" t="s">
        <v>3062</v>
      </c>
      <c r="G259" s="128">
        <v>5</v>
      </c>
      <c r="H259" s="128" t="s">
        <v>7</v>
      </c>
      <c r="I259" s="128" t="s">
        <v>3063</v>
      </c>
      <c r="J259" s="128" t="s">
        <v>1055</v>
      </c>
      <c r="K259" s="128" t="s">
        <v>2179</v>
      </c>
      <c r="L259" s="128" t="s">
        <v>1056</v>
      </c>
      <c r="M259" s="128" t="s">
        <v>57</v>
      </c>
      <c r="N259" s="128" t="s">
        <v>58</v>
      </c>
      <c r="O259" s="129">
        <v>40780</v>
      </c>
      <c r="P259" s="128" t="s">
        <v>3064</v>
      </c>
      <c r="Q259" s="128"/>
      <c r="R259" s="128">
        <v>5.5</v>
      </c>
      <c r="S259" s="128" t="s">
        <v>48</v>
      </c>
    </row>
    <row r="260" spans="1:19" x14ac:dyDescent="0.25">
      <c r="A260" s="128">
        <v>24100</v>
      </c>
      <c r="B260" s="128" t="s">
        <v>39</v>
      </c>
      <c r="C260" s="128" t="s">
        <v>40</v>
      </c>
      <c r="D260" s="128" t="s">
        <v>40</v>
      </c>
      <c r="E260" s="128" t="s">
        <v>668</v>
      </c>
      <c r="F260" s="128" t="s">
        <v>669</v>
      </c>
      <c r="G260" s="128">
        <v>741.27</v>
      </c>
      <c r="H260" s="128" t="s">
        <v>7</v>
      </c>
      <c r="I260" s="128" t="s">
        <v>670</v>
      </c>
      <c r="J260" s="128" t="s">
        <v>384</v>
      </c>
      <c r="K260" s="128" t="s">
        <v>385</v>
      </c>
      <c r="L260" s="128" t="s">
        <v>259</v>
      </c>
      <c r="M260" s="128" t="s">
        <v>57</v>
      </c>
      <c r="N260" s="128" t="s">
        <v>58</v>
      </c>
      <c r="O260" s="129">
        <v>25934</v>
      </c>
      <c r="P260" s="128"/>
      <c r="Q260" s="128"/>
      <c r="R260" s="128">
        <v>750</v>
      </c>
      <c r="S260" s="128" t="s">
        <v>48</v>
      </c>
    </row>
    <row r="261" spans="1:19" x14ac:dyDescent="0.25">
      <c r="A261" s="128">
        <v>24200</v>
      </c>
      <c r="B261" s="128" t="s">
        <v>39</v>
      </c>
      <c r="C261" s="128" t="s">
        <v>40</v>
      </c>
      <c r="D261" s="128" t="s">
        <v>40</v>
      </c>
      <c r="E261" s="128" t="s">
        <v>671</v>
      </c>
      <c r="F261" s="128" t="s">
        <v>672</v>
      </c>
      <c r="G261" s="128">
        <v>775</v>
      </c>
      <c r="H261" s="128" t="s">
        <v>7</v>
      </c>
      <c r="I261" s="128" t="s">
        <v>670</v>
      </c>
      <c r="J261" s="128" t="s">
        <v>384</v>
      </c>
      <c r="K261" s="128" t="s">
        <v>385</v>
      </c>
      <c r="L261" s="128" t="s">
        <v>259</v>
      </c>
      <c r="M261" s="128" t="s">
        <v>57</v>
      </c>
      <c r="N261" s="128" t="s">
        <v>58</v>
      </c>
      <c r="O261" s="129">
        <v>25934</v>
      </c>
      <c r="P261" s="128"/>
      <c r="Q261" s="128"/>
      <c r="R261" s="128">
        <v>750</v>
      </c>
      <c r="S261" s="128" t="s">
        <v>48</v>
      </c>
    </row>
    <row r="262" spans="1:19" x14ac:dyDescent="0.25">
      <c r="A262" s="128">
        <v>94500</v>
      </c>
      <c r="B262" s="128" t="s">
        <v>39</v>
      </c>
      <c r="C262" s="128" t="s">
        <v>40</v>
      </c>
      <c r="D262" s="128" t="s">
        <v>40</v>
      </c>
      <c r="E262" s="128" t="s">
        <v>2877</v>
      </c>
      <c r="F262" s="128" t="s">
        <v>2878</v>
      </c>
      <c r="G262" s="128">
        <v>3.75</v>
      </c>
      <c r="H262" s="128" t="s">
        <v>162</v>
      </c>
      <c r="I262" s="128" t="s">
        <v>2879</v>
      </c>
      <c r="J262" s="128" t="s">
        <v>807</v>
      </c>
      <c r="K262" s="128" t="s">
        <v>315</v>
      </c>
      <c r="L262" s="128" t="s">
        <v>915</v>
      </c>
      <c r="M262" s="128" t="s">
        <v>57</v>
      </c>
      <c r="N262" s="128" t="s">
        <v>163</v>
      </c>
      <c r="O262" s="129">
        <v>39149</v>
      </c>
      <c r="P262" s="128"/>
      <c r="Q262" s="128"/>
      <c r="R262" s="128">
        <v>3.75</v>
      </c>
      <c r="S262" s="128" t="s">
        <v>48</v>
      </c>
    </row>
    <row r="263" spans="1:19" x14ac:dyDescent="0.25">
      <c r="A263" s="128">
        <v>98000</v>
      </c>
      <c r="B263" s="128" t="s">
        <v>39</v>
      </c>
      <c r="C263" s="128" t="s">
        <v>40</v>
      </c>
      <c r="D263" s="128" t="s">
        <v>40</v>
      </c>
      <c r="E263" s="128" t="s">
        <v>2956</v>
      </c>
      <c r="F263" s="128" t="s">
        <v>2957</v>
      </c>
      <c r="G263" s="128">
        <v>603.67999999999995</v>
      </c>
      <c r="H263" s="128" t="s">
        <v>162</v>
      </c>
      <c r="I263" s="128" t="s">
        <v>2958</v>
      </c>
      <c r="J263" s="128" t="s">
        <v>384</v>
      </c>
      <c r="K263" s="128" t="s">
        <v>724</v>
      </c>
      <c r="L263" s="128" t="s">
        <v>259</v>
      </c>
      <c r="M263" s="128" t="s">
        <v>57</v>
      </c>
      <c r="N263" s="128" t="s">
        <v>163</v>
      </c>
      <c r="O263" s="129">
        <v>40089</v>
      </c>
      <c r="P263" s="128"/>
      <c r="Q263" s="128"/>
      <c r="R263" s="128">
        <v>669</v>
      </c>
      <c r="S263" s="128" t="s">
        <v>48</v>
      </c>
    </row>
    <row r="264" spans="1:19" ht="43.5" x14ac:dyDescent="0.25">
      <c r="A264" s="128">
        <v>97200</v>
      </c>
      <c r="B264" s="128" t="s">
        <v>39</v>
      </c>
      <c r="C264" s="128" t="s">
        <v>40</v>
      </c>
      <c r="D264" s="128" t="s">
        <v>40</v>
      </c>
      <c r="E264" s="128" t="s">
        <v>2927</v>
      </c>
      <c r="F264" s="128" t="s">
        <v>2928</v>
      </c>
      <c r="G264" s="128">
        <v>10.62</v>
      </c>
      <c r="H264" s="128" t="s">
        <v>43</v>
      </c>
      <c r="I264" s="128" t="s">
        <v>2929</v>
      </c>
      <c r="J264" s="128" t="s">
        <v>807</v>
      </c>
      <c r="K264" s="128" t="s">
        <v>315</v>
      </c>
      <c r="L264" s="128" t="s">
        <v>915</v>
      </c>
      <c r="M264" s="128" t="s">
        <v>46</v>
      </c>
      <c r="N264" s="128" t="s">
        <v>47</v>
      </c>
      <c r="O264" s="129">
        <v>39904</v>
      </c>
      <c r="P264" s="128" t="s">
        <v>2930</v>
      </c>
      <c r="Q264" s="128"/>
      <c r="R264" s="128">
        <v>11.4</v>
      </c>
      <c r="S264" s="128" t="s">
        <v>48</v>
      </c>
    </row>
    <row r="265" spans="1:19" x14ac:dyDescent="0.25">
      <c r="A265" s="128">
        <v>24300</v>
      </c>
      <c r="B265" s="128" t="s">
        <v>39</v>
      </c>
      <c r="C265" s="128" t="s">
        <v>40</v>
      </c>
      <c r="D265" s="128" t="s">
        <v>40</v>
      </c>
      <c r="E265" s="128" t="s">
        <v>543</v>
      </c>
      <c r="F265" s="128" t="s">
        <v>544</v>
      </c>
      <c r="G265" s="128">
        <v>6</v>
      </c>
      <c r="H265" s="128" t="s">
        <v>43</v>
      </c>
      <c r="I265" s="128" t="s">
        <v>531</v>
      </c>
      <c r="J265" s="128" t="s">
        <v>44</v>
      </c>
      <c r="K265" s="128" t="s">
        <v>44</v>
      </c>
      <c r="L265" s="128" t="s">
        <v>45</v>
      </c>
      <c r="M265" s="128" t="s">
        <v>46</v>
      </c>
      <c r="N265" s="128" t="s">
        <v>47</v>
      </c>
      <c r="O265" s="129">
        <v>24108</v>
      </c>
      <c r="P265" s="128"/>
      <c r="Q265" s="128" t="s">
        <v>532</v>
      </c>
      <c r="R265" s="128">
        <v>6</v>
      </c>
      <c r="S265" s="128" t="s">
        <v>48</v>
      </c>
    </row>
    <row r="266" spans="1:19" x14ac:dyDescent="0.25">
      <c r="A266" s="128">
        <v>24400</v>
      </c>
      <c r="B266" s="128" t="s">
        <v>39</v>
      </c>
      <c r="C266" s="128" t="s">
        <v>40</v>
      </c>
      <c r="D266" s="128" t="s">
        <v>40</v>
      </c>
      <c r="E266" s="128" t="s">
        <v>3238</v>
      </c>
      <c r="F266" s="128" t="s">
        <v>3239</v>
      </c>
      <c r="G266" s="128">
        <v>2.1</v>
      </c>
      <c r="H266" s="128" t="s">
        <v>7</v>
      </c>
      <c r="I266" s="128" t="s">
        <v>3240</v>
      </c>
      <c r="J266" s="128" t="s">
        <v>800</v>
      </c>
      <c r="K266" s="128" t="s">
        <v>800</v>
      </c>
      <c r="L266" s="128" t="s">
        <v>800</v>
      </c>
      <c r="M266" s="128" t="s">
        <v>57</v>
      </c>
      <c r="N266" s="128" t="s">
        <v>58</v>
      </c>
      <c r="O266" s="128"/>
      <c r="P266" s="128"/>
      <c r="Q266" s="128"/>
      <c r="R266" s="128">
        <v>2.1</v>
      </c>
      <c r="S266" s="128" t="s">
        <v>48</v>
      </c>
    </row>
    <row r="267" spans="1:19" x14ac:dyDescent="0.25">
      <c r="A267" s="128">
        <v>24800</v>
      </c>
      <c r="B267" s="128" t="s">
        <v>39</v>
      </c>
      <c r="C267" s="128" t="s">
        <v>40</v>
      </c>
      <c r="D267" s="128" t="s">
        <v>40</v>
      </c>
      <c r="E267" s="128" t="s">
        <v>325</v>
      </c>
      <c r="F267" s="128" t="s">
        <v>326</v>
      </c>
      <c r="G267" s="128">
        <v>2</v>
      </c>
      <c r="H267" s="128" t="s">
        <v>43</v>
      </c>
      <c r="I267" s="128" t="s">
        <v>6</v>
      </c>
      <c r="J267" s="128" t="s">
        <v>44</v>
      </c>
      <c r="K267" s="128" t="s">
        <v>44</v>
      </c>
      <c r="L267" s="128" t="s">
        <v>45</v>
      </c>
      <c r="M267" s="128" t="s">
        <v>46</v>
      </c>
      <c r="N267" s="128" t="s">
        <v>47</v>
      </c>
      <c r="O267" s="129">
        <v>14611</v>
      </c>
      <c r="P267" s="128"/>
      <c r="Q267" s="128" t="s">
        <v>327</v>
      </c>
      <c r="R267" s="128">
        <v>2</v>
      </c>
      <c r="S267" s="128" t="s">
        <v>48</v>
      </c>
    </row>
    <row r="268" spans="1:19" ht="29.25" x14ac:dyDescent="0.25">
      <c r="A268" s="128">
        <v>63600</v>
      </c>
      <c r="B268" s="128" t="s">
        <v>39</v>
      </c>
      <c r="C268" s="128" t="s">
        <v>49</v>
      </c>
      <c r="D268" s="128" t="s">
        <v>40</v>
      </c>
      <c r="E268" s="128" t="s">
        <v>2286</v>
      </c>
      <c r="F268" s="128" t="s">
        <v>2287</v>
      </c>
      <c r="G268" s="128">
        <v>6.1</v>
      </c>
      <c r="H268" s="128" t="s">
        <v>162</v>
      </c>
      <c r="I268" s="128" t="s">
        <v>2288</v>
      </c>
      <c r="J268" s="128" t="s">
        <v>807</v>
      </c>
      <c r="K268" s="128" t="s">
        <v>315</v>
      </c>
      <c r="L268" s="128" t="s">
        <v>915</v>
      </c>
      <c r="M268" s="128" t="s">
        <v>57</v>
      </c>
      <c r="N268" s="128" t="s">
        <v>163</v>
      </c>
      <c r="O268" s="129">
        <v>36161</v>
      </c>
      <c r="P268" s="128" t="s">
        <v>2289</v>
      </c>
      <c r="Q268" s="128"/>
      <c r="R268" s="128">
        <v>6.1</v>
      </c>
      <c r="S268" s="128" t="s">
        <v>48</v>
      </c>
    </row>
    <row r="269" spans="1:19" x14ac:dyDescent="0.25">
      <c r="A269" s="128">
        <v>24500</v>
      </c>
      <c r="B269" s="128" t="s">
        <v>39</v>
      </c>
      <c r="C269" s="128" t="s">
        <v>40</v>
      </c>
      <c r="D269" s="128" t="s">
        <v>40</v>
      </c>
      <c r="E269" s="128" t="s">
        <v>2520</v>
      </c>
      <c r="F269" s="128" t="s">
        <v>2521</v>
      </c>
      <c r="G269" s="128">
        <v>52.01</v>
      </c>
      <c r="H269" s="128" t="s">
        <v>43</v>
      </c>
      <c r="I269" s="128" t="s">
        <v>2511</v>
      </c>
      <c r="J269" s="128" t="s">
        <v>314</v>
      </c>
      <c r="K269" s="128" t="s">
        <v>599</v>
      </c>
      <c r="L269" s="128" t="s">
        <v>259</v>
      </c>
      <c r="M269" s="128" t="s">
        <v>46</v>
      </c>
      <c r="N269" s="128" t="s">
        <v>47</v>
      </c>
      <c r="O269" s="129">
        <v>37252</v>
      </c>
      <c r="P269" s="128"/>
      <c r="Q269" s="128"/>
      <c r="R269" s="128">
        <v>49</v>
      </c>
      <c r="S269" s="128" t="s">
        <v>48</v>
      </c>
    </row>
    <row r="270" spans="1:19" ht="29.25" x14ac:dyDescent="0.25">
      <c r="A270" s="128">
        <v>97400</v>
      </c>
      <c r="B270" s="128" t="s">
        <v>39</v>
      </c>
      <c r="C270" s="128" t="s">
        <v>40</v>
      </c>
      <c r="D270" s="128" t="s">
        <v>40</v>
      </c>
      <c r="E270" s="128" t="s">
        <v>2935</v>
      </c>
      <c r="F270" s="128" t="s">
        <v>2936</v>
      </c>
      <c r="G270" s="128">
        <v>400</v>
      </c>
      <c r="H270" s="128" t="s">
        <v>43</v>
      </c>
      <c r="I270" s="128" t="s">
        <v>2937</v>
      </c>
      <c r="J270" s="128" t="s">
        <v>314</v>
      </c>
      <c r="K270" s="128" t="s">
        <v>599</v>
      </c>
      <c r="L270" s="128" t="s">
        <v>259</v>
      </c>
      <c r="M270" s="128" t="s">
        <v>46</v>
      </c>
      <c r="N270" s="128" t="s">
        <v>47</v>
      </c>
      <c r="O270" s="129">
        <v>39961</v>
      </c>
      <c r="P270" s="128" t="s">
        <v>2938</v>
      </c>
      <c r="Q270" s="128"/>
      <c r="R270" s="128">
        <v>418.6</v>
      </c>
      <c r="S270" s="128" t="s">
        <v>48</v>
      </c>
    </row>
    <row r="271" spans="1:19" x14ac:dyDescent="0.25">
      <c r="A271" s="128">
        <v>25000</v>
      </c>
      <c r="B271" s="128" t="s">
        <v>39</v>
      </c>
      <c r="C271" s="128" t="s">
        <v>40</v>
      </c>
      <c r="D271" s="128" t="s">
        <v>40</v>
      </c>
      <c r="E271" s="128" t="s">
        <v>227</v>
      </c>
      <c r="F271" s="128" t="s">
        <v>228</v>
      </c>
      <c r="G271" s="128">
        <v>32</v>
      </c>
      <c r="H271" s="128" t="s">
        <v>43</v>
      </c>
      <c r="I271" s="128" t="s">
        <v>6</v>
      </c>
      <c r="J271" s="128" t="s">
        <v>44</v>
      </c>
      <c r="K271" s="128" t="s">
        <v>44</v>
      </c>
      <c r="L271" s="128" t="s">
        <v>45</v>
      </c>
      <c r="M271" s="128" t="s">
        <v>46</v>
      </c>
      <c r="N271" s="128" t="s">
        <v>47</v>
      </c>
      <c r="O271" s="129">
        <v>8037</v>
      </c>
      <c r="P271" s="128"/>
      <c r="Q271" s="128" t="s">
        <v>207</v>
      </c>
      <c r="R271" s="128">
        <v>32</v>
      </c>
      <c r="S271" s="128" t="s">
        <v>48</v>
      </c>
    </row>
    <row r="272" spans="1:19" x14ac:dyDescent="0.25">
      <c r="A272" s="128">
        <v>25100</v>
      </c>
      <c r="B272" s="128" t="s">
        <v>39</v>
      </c>
      <c r="C272" s="128" t="s">
        <v>40</v>
      </c>
      <c r="D272" s="128" t="s">
        <v>40</v>
      </c>
      <c r="E272" s="128" t="s">
        <v>229</v>
      </c>
      <c r="F272" s="128" t="s">
        <v>230</v>
      </c>
      <c r="G272" s="128">
        <v>32</v>
      </c>
      <c r="H272" s="128" t="s">
        <v>43</v>
      </c>
      <c r="I272" s="128" t="s">
        <v>6</v>
      </c>
      <c r="J272" s="128" t="s">
        <v>44</v>
      </c>
      <c r="K272" s="128" t="s">
        <v>44</v>
      </c>
      <c r="L272" s="128" t="s">
        <v>45</v>
      </c>
      <c r="M272" s="128" t="s">
        <v>46</v>
      </c>
      <c r="N272" s="128" t="s">
        <v>47</v>
      </c>
      <c r="O272" s="129">
        <v>8037</v>
      </c>
      <c r="P272" s="128"/>
      <c r="Q272" s="128" t="s">
        <v>207</v>
      </c>
      <c r="R272" s="128">
        <v>32</v>
      </c>
      <c r="S272" s="128" t="s">
        <v>48</v>
      </c>
    </row>
    <row r="273" spans="1:19" x14ac:dyDescent="0.25">
      <c r="A273" s="128">
        <v>25600</v>
      </c>
      <c r="B273" s="128" t="s">
        <v>39</v>
      </c>
      <c r="C273" s="128" t="s">
        <v>40</v>
      </c>
      <c r="D273" s="128" t="s">
        <v>40</v>
      </c>
      <c r="E273" s="128" t="s">
        <v>519</v>
      </c>
      <c r="F273" s="128" t="s">
        <v>520</v>
      </c>
      <c r="G273" s="128">
        <v>39</v>
      </c>
      <c r="H273" s="128" t="s">
        <v>43</v>
      </c>
      <c r="I273" s="128" t="s">
        <v>6</v>
      </c>
      <c r="J273" s="128" t="s">
        <v>44</v>
      </c>
      <c r="K273" s="128" t="s">
        <v>44</v>
      </c>
      <c r="L273" s="128" t="s">
        <v>45</v>
      </c>
      <c r="M273" s="128" t="s">
        <v>46</v>
      </c>
      <c r="N273" s="128" t="s">
        <v>47</v>
      </c>
      <c r="O273" s="129">
        <v>23743</v>
      </c>
      <c r="P273" s="128"/>
      <c r="Q273" s="128" t="s">
        <v>207</v>
      </c>
      <c r="R273" s="128">
        <v>39</v>
      </c>
      <c r="S273" s="128" t="s">
        <v>48</v>
      </c>
    </row>
    <row r="274" spans="1:19" x14ac:dyDescent="0.25">
      <c r="A274" s="128">
        <v>25700</v>
      </c>
      <c r="B274" s="128" t="s">
        <v>39</v>
      </c>
      <c r="C274" s="128" t="s">
        <v>40</v>
      </c>
      <c r="D274" s="128" t="s">
        <v>40</v>
      </c>
      <c r="E274" s="128" t="s">
        <v>521</v>
      </c>
      <c r="F274" s="128" t="s">
        <v>522</v>
      </c>
      <c r="G274" s="128">
        <v>40</v>
      </c>
      <c r="H274" s="128" t="s">
        <v>43</v>
      </c>
      <c r="I274" s="128" t="s">
        <v>6</v>
      </c>
      <c r="J274" s="128" t="s">
        <v>44</v>
      </c>
      <c r="K274" s="128" t="s">
        <v>44</v>
      </c>
      <c r="L274" s="128" t="s">
        <v>45</v>
      </c>
      <c r="M274" s="128" t="s">
        <v>46</v>
      </c>
      <c r="N274" s="128" t="s">
        <v>47</v>
      </c>
      <c r="O274" s="129">
        <v>23743</v>
      </c>
      <c r="P274" s="128"/>
      <c r="Q274" s="128" t="s">
        <v>207</v>
      </c>
      <c r="R274" s="128">
        <v>40</v>
      </c>
      <c r="S274" s="128" t="s">
        <v>48</v>
      </c>
    </row>
    <row r="275" spans="1:19" x14ac:dyDescent="0.25">
      <c r="A275" s="128">
        <v>25800</v>
      </c>
      <c r="B275" s="128" t="s">
        <v>39</v>
      </c>
      <c r="C275" s="128" t="s">
        <v>40</v>
      </c>
      <c r="D275" s="128" t="s">
        <v>40</v>
      </c>
      <c r="E275" s="128" t="s">
        <v>523</v>
      </c>
      <c r="F275" s="128" t="s">
        <v>524</v>
      </c>
      <c r="G275" s="128">
        <v>55.7</v>
      </c>
      <c r="H275" s="128" t="s">
        <v>43</v>
      </c>
      <c r="I275" s="128" t="s">
        <v>6</v>
      </c>
      <c r="J275" s="128" t="s">
        <v>44</v>
      </c>
      <c r="K275" s="128" t="s">
        <v>44</v>
      </c>
      <c r="L275" s="128" t="s">
        <v>45</v>
      </c>
      <c r="M275" s="128" t="s">
        <v>46</v>
      </c>
      <c r="N275" s="128" t="s">
        <v>47</v>
      </c>
      <c r="O275" s="129">
        <v>23743</v>
      </c>
      <c r="P275" s="128"/>
      <c r="Q275" s="128" t="s">
        <v>207</v>
      </c>
      <c r="R275" s="128">
        <v>55.7</v>
      </c>
      <c r="S275" s="128" t="s">
        <v>48</v>
      </c>
    </row>
    <row r="276" spans="1:19" x14ac:dyDescent="0.25">
      <c r="A276" s="128">
        <v>25900</v>
      </c>
      <c r="B276" s="128" t="s">
        <v>39</v>
      </c>
      <c r="C276" s="128" t="s">
        <v>40</v>
      </c>
      <c r="D276" s="128" t="s">
        <v>40</v>
      </c>
      <c r="E276" s="128" t="s">
        <v>525</v>
      </c>
      <c r="F276" s="128" t="s">
        <v>526</v>
      </c>
      <c r="G276" s="128">
        <v>54.6</v>
      </c>
      <c r="H276" s="128" t="s">
        <v>43</v>
      </c>
      <c r="I276" s="128" t="s">
        <v>6</v>
      </c>
      <c r="J276" s="128" t="s">
        <v>44</v>
      </c>
      <c r="K276" s="128" t="s">
        <v>44</v>
      </c>
      <c r="L276" s="128" t="s">
        <v>45</v>
      </c>
      <c r="M276" s="128" t="s">
        <v>46</v>
      </c>
      <c r="N276" s="128" t="s">
        <v>47</v>
      </c>
      <c r="O276" s="129">
        <v>23743</v>
      </c>
      <c r="P276" s="128"/>
      <c r="Q276" s="128" t="s">
        <v>207</v>
      </c>
      <c r="R276" s="128">
        <v>54.6</v>
      </c>
      <c r="S276" s="128" t="s">
        <v>48</v>
      </c>
    </row>
    <row r="277" spans="1:19" x14ac:dyDescent="0.25">
      <c r="A277" s="128">
        <v>26400</v>
      </c>
      <c r="B277" s="128" t="s">
        <v>39</v>
      </c>
      <c r="C277" s="128" t="s">
        <v>40</v>
      </c>
      <c r="D277" s="128" t="s">
        <v>40</v>
      </c>
      <c r="E277" s="128" t="s">
        <v>452</v>
      </c>
      <c r="F277" s="128" t="s">
        <v>453</v>
      </c>
      <c r="G277" s="128">
        <v>312</v>
      </c>
      <c r="H277" s="128" t="s">
        <v>43</v>
      </c>
      <c r="I277" s="128" t="s">
        <v>454</v>
      </c>
      <c r="J277" s="128" t="s">
        <v>384</v>
      </c>
      <c r="K277" s="128" t="s">
        <v>385</v>
      </c>
      <c r="L277" s="128" t="s">
        <v>259</v>
      </c>
      <c r="M277" s="128" t="s">
        <v>46</v>
      </c>
      <c r="N277" s="128" t="s">
        <v>47</v>
      </c>
      <c r="O277" s="129">
        <v>21916</v>
      </c>
      <c r="P277" s="128"/>
      <c r="Q277" s="128"/>
      <c r="R277" s="128">
        <v>320</v>
      </c>
      <c r="S277" s="128" t="s">
        <v>48</v>
      </c>
    </row>
    <row r="278" spans="1:19" x14ac:dyDescent="0.25">
      <c r="A278" s="128">
        <v>26500</v>
      </c>
      <c r="B278" s="128" t="s">
        <v>39</v>
      </c>
      <c r="C278" s="128" t="s">
        <v>40</v>
      </c>
      <c r="D278" s="128" t="s">
        <v>40</v>
      </c>
      <c r="E278" s="128" t="s">
        <v>465</v>
      </c>
      <c r="F278" s="128" t="s">
        <v>466</v>
      </c>
      <c r="G278" s="128">
        <v>317</v>
      </c>
      <c r="H278" s="128" t="s">
        <v>43</v>
      </c>
      <c r="I278" s="128" t="s">
        <v>454</v>
      </c>
      <c r="J278" s="128" t="s">
        <v>384</v>
      </c>
      <c r="K278" s="128" t="s">
        <v>385</v>
      </c>
      <c r="L278" s="128" t="s">
        <v>259</v>
      </c>
      <c r="M278" s="128" t="s">
        <v>46</v>
      </c>
      <c r="N278" s="128" t="s">
        <v>47</v>
      </c>
      <c r="O278" s="129">
        <v>22282</v>
      </c>
      <c r="P278" s="128"/>
      <c r="Q278" s="128"/>
      <c r="R278" s="128">
        <v>325</v>
      </c>
      <c r="S278" s="128" t="s">
        <v>48</v>
      </c>
    </row>
    <row r="279" spans="1:19" x14ac:dyDescent="0.25">
      <c r="A279" s="128">
        <v>26600</v>
      </c>
      <c r="B279" s="128" t="s">
        <v>39</v>
      </c>
      <c r="C279" s="128" t="s">
        <v>40</v>
      </c>
      <c r="D279" s="128" t="s">
        <v>40</v>
      </c>
      <c r="E279" s="128" t="s">
        <v>691</v>
      </c>
      <c r="F279" s="128" t="s">
        <v>692</v>
      </c>
      <c r="G279" s="128">
        <v>682</v>
      </c>
      <c r="H279" s="128" t="s">
        <v>43</v>
      </c>
      <c r="I279" s="128" t="s">
        <v>454</v>
      </c>
      <c r="J279" s="128" t="s">
        <v>384</v>
      </c>
      <c r="K279" s="128" t="s">
        <v>385</v>
      </c>
      <c r="L279" s="128" t="s">
        <v>259</v>
      </c>
      <c r="M279" s="128" t="s">
        <v>46</v>
      </c>
      <c r="N279" s="128" t="s">
        <v>47</v>
      </c>
      <c r="O279" s="129">
        <v>26299</v>
      </c>
      <c r="P279" s="128"/>
      <c r="Q279" s="128"/>
      <c r="R279" s="128">
        <v>712</v>
      </c>
      <c r="S279" s="128" t="s">
        <v>48</v>
      </c>
    </row>
    <row r="280" spans="1:19" x14ac:dyDescent="0.25">
      <c r="A280" s="128">
        <v>26700</v>
      </c>
      <c r="B280" s="128" t="s">
        <v>39</v>
      </c>
      <c r="C280" s="128" t="s">
        <v>40</v>
      </c>
      <c r="D280" s="128" t="s">
        <v>40</v>
      </c>
      <c r="E280" s="128" t="s">
        <v>433</v>
      </c>
      <c r="F280" s="128" t="s">
        <v>434</v>
      </c>
      <c r="G280" s="128">
        <v>69</v>
      </c>
      <c r="H280" s="128" t="s">
        <v>43</v>
      </c>
      <c r="I280" s="128" t="s">
        <v>6</v>
      </c>
      <c r="J280" s="128" t="s">
        <v>44</v>
      </c>
      <c r="K280" s="128" t="s">
        <v>44</v>
      </c>
      <c r="L280" s="128" t="s">
        <v>45</v>
      </c>
      <c r="M280" s="128" t="s">
        <v>46</v>
      </c>
      <c r="N280" s="128" t="s">
        <v>47</v>
      </c>
      <c r="O280" s="129">
        <v>21186</v>
      </c>
      <c r="P280" s="128"/>
      <c r="Q280" s="128" t="s">
        <v>194</v>
      </c>
      <c r="R280" s="128">
        <v>68</v>
      </c>
      <c r="S280" s="128" t="s">
        <v>48</v>
      </c>
    </row>
    <row r="281" spans="1:19" x14ac:dyDescent="0.25">
      <c r="A281" s="128">
        <v>26800</v>
      </c>
      <c r="B281" s="128" t="s">
        <v>39</v>
      </c>
      <c r="C281" s="128" t="s">
        <v>40</v>
      </c>
      <c r="D281" s="128" t="s">
        <v>40</v>
      </c>
      <c r="E281" s="128" t="s">
        <v>435</v>
      </c>
      <c r="F281" s="128" t="s">
        <v>436</v>
      </c>
      <c r="G281" s="128">
        <v>60</v>
      </c>
      <c r="H281" s="128" t="s">
        <v>43</v>
      </c>
      <c r="I281" s="128" t="s">
        <v>6</v>
      </c>
      <c r="J281" s="128" t="s">
        <v>44</v>
      </c>
      <c r="K281" s="128" t="s">
        <v>44</v>
      </c>
      <c r="L281" s="128" t="s">
        <v>45</v>
      </c>
      <c r="M281" s="128" t="s">
        <v>46</v>
      </c>
      <c r="N281" s="128" t="s">
        <v>47</v>
      </c>
      <c r="O281" s="129">
        <v>21186</v>
      </c>
      <c r="P281" s="128"/>
      <c r="Q281" s="128" t="s">
        <v>194</v>
      </c>
      <c r="R281" s="128">
        <v>60</v>
      </c>
      <c r="S281" s="128" t="s">
        <v>48</v>
      </c>
    </row>
    <row r="282" spans="1:19" ht="29.25" x14ac:dyDescent="0.25">
      <c r="A282" s="128">
        <v>26900</v>
      </c>
      <c r="B282" s="128" t="s">
        <v>39</v>
      </c>
      <c r="C282" s="128" t="s">
        <v>40</v>
      </c>
      <c r="D282" s="128" t="s">
        <v>40</v>
      </c>
      <c r="E282" s="128" t="s">
        <v>243</v>
      </c>
      <c r="F282" s="128" t="s">
        <v>244</v>
      </c>
      <c r="G282" s="128">
        <v>10.9</v>
      </c>
      <c r="H282" s="128" t="s">
        <v>7</v>
      </c>
      <c r="I282" s="128" t="s">
        <v>7</v>
      </c>
      <c r="J282" s="128" t="s">
        <v>44</v>
      </c>
      <c r="K282" s="128" t="s">
        <v>44</v>
      </c>
      <c r="L282" s="128" t="s">
        <v>45</v>
      </c>
      <c r="M282" s="128" t="s">
        <v>57</v>
      </c>
      <c r="N282" s="128" t="s">
        <v>58</v>
      </c>
      <c r="O282" s="129">
        <v>8767</v>
      </c>
      <c r="P282" s="128" t="s">
        <v>131</v>
      </c>
      <c r="Q282" s="128"/>
      <c r="R282" s="128">
        <v>10.9</v>
      </c>
      <c r="S282" s="128" t="s">
        <v>48</v>
      </c>
    </row>
    <row r="283" spans="1:19" ht="29.25" x14ac:dyDescent="0.25">
      <c r="A283" s="128">
        <v>96100</v>
      </c>
      <c r="B283" s="128" t="s">
        <v>39</v>
      </c>
      <c r="C283" s="128" t="s">
        <v>49</v>
      </c>
      <c r="D283" s="128" t="s">
        <v>40</v>
      </c>
      <c r="E283" s="128" t="s">
        <v>2908</v>
      </c>
      <c r="F283" s="128" t="s">
        <v>2909</v>
      </c>
      <c r="G283" s="128">
        <v>4</v>
      </c>
      <c r="H283" s="128" t="s">
        <v>7</v>
      </c>
      <c r="I283" s="128" t="s">
        <v>2910</v>
      </c>
      <c r="J283" s="128" t="s">
        <v>807</v>
      </c>
      <c r="K283" s="128" t="s">
        <v>2299</v>
      </c>
      <c r="L283" s="128" t="s">
        <v>915</v>
      </c>
      <c r="M283" s="128" t="s">
        <v>57</v>
      </c>
      <c r="N283" s="128" t="s">
        <v>58</v>
      </c>
      <c r="O283" s="129">
        <v>39423</v>
      </c>
      <c r="P283" s="128"/>
      <c r="Q283" s="128"/>
      <c r="R283" s="128">
        <v>9.27</v>
      </c>
      <c r="S283" s="128" t="s">
        <v>48</v>
      </c>
    </row>
    <row r="284" spans="1:19" x14ac:dyDescent="0.25">
      <c r="A284" s="128">
        <v>83000</v>
      </c>
      <c r="B284" s="128" t="s">
        <v>39</v>
      </c>
      <c r="C284" s="128" t="s">
        <v>40</v>
      </c>
      <c r="D284" s="128" t="s">
        <v>40</v>
      </c>
      <c r="E284" s="128" t="s">
        <v>2653</v>
      </c>
      <c r="F284" s="128" t="s">
        <v>2654</v>
      </c>
      <c r="G284" s="128">
        <v>48.7</v>
      </c>
      <c r="H284" s="128" t="s">
        <v>43</v>
      </c>
      <c r="I284" s="128" t="s">
        <v>2655</v>
      </c>
      <c r="J284" s="128" t="s">
        <v>314</v>
      </c>
      <c r="K284" s="128" t="s">
        <v>599</v>
      </c>
      <c r="L284" s="128" t="s">
        <v>259</v>
      </c>
      <c r="M284" s="128" t="s">
        <v>46</v>
      </c>
      <c r="N284" s="128" t="s">
        <v>47</v>
      </c>
      <c r="O284" s="129">
        <v>37743</v>
      </c>
      <c r="P284" s="128"/>
      <c r="Q284" s="128"/>
      <c r="R284" s="128">
        <v>49.9</v>
      </c>
      <c r="S284" s="128" t="s">
        <v>48</v>
      </c>
    </row>
    <row r="285" spans="1:19" ht="29.25" x14ac:dyDescent="0.25">
      <c r="A285" s="128">
        <v>94800</v>
      </c>
      <c r="B285" s="128" t="s">
        <v>39</v>
      </c>
      <c r="C285" s="128" t="s">
        <v>40</v>
      </c>
      <c r="D285" s="128" t="s">
        <v>40</v>
      </c>
      <c r="E285" s="128" t="s">
        <v>2874</v>
      </c>
      <c r="F285" s="128" t="s">
        <v>2875</v>
      </c>
      <c r="G285" s="128">
        <v>5.25</v>
      </c>
      <c r="H285" s="128" t="s">
        <v>162</v>
      </c>
      <c r="I285" s="128" t="s">
        <v>2876</v>
      </c>
      <c r="J285" s="128" t="s">
        <v>44</v>
      </c>
      <c r="K285" s="128" t="s">
        <v>44</v>
      </c>
      <c r="L285" s="128" t="s">
        <v>45</v>
      </c>
      <c r="M285" s="128" t="s">
        <v>57</v>
      </c>
      <c r="N285" s="128" t="s">
        <v>163</v>
      </c>
      <c r="O285" s="129">
        <v>39105</v>
      </c>
      <c r="P285" s="128"/>
      <c r="Q285" s="128"/>
      <c r="R285" s="128">
        <v>4.6500000000000004</v>
      </c>
      <c r="S285" s="128" t="s">
        <v>48</v>
      </c>
    </row>
    <row r="286" spans="1:19" x14ac:dyDescent="0.25">
      <c r="A286" s="128">
        <v>27600</v>
      </c>
      <c r="B286" s="128" t="s">
        <v>39</v>
      </c>
      <c r="C286" s="128" t="s">
        <v>40</v>
      </c>
      <c r="D286" s="128" t="s">
        <v>40</v>
      </c>
      <c r="E286" s="128" t="s">
        <v>386</v>
      </c>
      <c r="F286" s="128" t="s">
        <v>387</v>
      </c>
      <c r="G286" s="128">
        <v>178.87</v>
      </c>
      <c r="H286" s="128" t="s">
        <v>7</v>
      </c>
      <c r="I286" s="128" t="s">
        <v>388</v>
      </c>
      <c r="J286" s="128" t="s">
        <v>384</v>
      </c>
      <c r="K286" s="128" t="s">
        <v>385</v>
      </c>
      <c r="L286" s="128" t="s">
        <v>259</v>
      </c>
      <c r="M286" s="128" t="s">
        <v>57</v>
      </c>
      <c r="N286" s="128" t="s">
        <v>58</v>
      </c>
      <c r="O286" s="129">
        <v>19725</v>
      </c>
      <c r="P286" s="128"/>
      <c r="Q286" s="128"/>
      <c r="R286" s="128">
        <v>175</v>
      </c>
      <c r="S286" s="128" t="s">
        <v>48</v>
      </c>
    </row>
    <row r="287" spans="1:19" x14ac:dyDescent="0.25">
      <c r="A287" s="128">
        <v>27700</v>
      </c>
      <c r="B287" s="128" t="s">
        <v>39</v>
      </c>
      <c r="C287" s="128" t="s">
        <v>40</v>
      </c>
      <c r="D287" s="128" t="s">
        <v>40</v>
      </c>
      <c r="E287" s="128" t="s">
        <v>411</v>
      </c>
      <c r="F287" s="128" t="s">
        <v>412</v>
      </c>
      <c r="G287" s="128">
        <v>175</v>
      </c>
      <c r="H287" s="128" t="s">
        <v>7</v>
      </c>
      <c r="I287" s="128" t="s">
        <v>388</v>
      </c>
      <c r="J287" s="128" t="s">
        <v>384</v>
      </c>
      <c r="K287" s="128" t="s">
        <v>385</v>
      </c>
      <c r="L287" s="128" t="s">
        <v>259</v>
      </c>
      <c r="M287" s="128" t="s">
        <v>57</v>
      </c>
      <c r="N287" s="128" t="s">
        <v>58</v>
      </c>
      <c r="O287" s="129">
        <v>20821</v>
      </c>
      <c r="P287" s="128"/>
      <c r="Q287" s="128"/>
      <c r="R287" s="128">
        <v>175</v>
      </c>
      <c r="S287" s="128" t="s">
        <v>48</v>
      </c>
    </row>
    <row r="288" spans="1:19" x14ac:dyDescent="0.25">
      <c r="A288" s="128">
        <v>27800</v>
      </c>
      <c r="B288" s="128" t="s">
        <v>39</v>
      </c>
      <c r="C288" s="128" t="s">
        <v>40</v>
      </c>
      <c r="D288" s="128" t="s">
        <v>40</v>
      </c>
      <c r="E288" s="128" t="s">
        <v>554</v>
      </c>
      <c r="F288" s="128" t="s">
        <v>555</v>
      </c>
      <c r="G288" s="128">
        <v>505.96</v>
      </c>
      <c r="H288" s="128" t="s">
        <v>7</v>
      </c>
      <c r="I288" s="128" t="s">
        <v>388</v>
      </c>
      <c r="J288" s="128" t="s">
        <v>384</v>
      </c>
      <c r="K288" s="128" t="s">
        <v>385</v>
      </c>
      <c r="L288" s="128" t="s">
        <v>259</v>
      </c>
      <c r="M288" s="128" t="s">
        <v>57</v>
      </c>
      <c r="N288" s="128" t="s">
        <v>58</v>
      </c>
      <c r="O288" s="129">
        <v>24473</v>
      </c>
      <c r="P288" s="128"/>
      <c r="Q288" s="128"/>
      <c r="R288" s="128">
        <v>480</v>
      </c>
      <c r="S288" s="128" t="s">
        <v>48</v>
      </c>
    </row>
    <row r="289" spans="1:19" x14ac:dyDescent="0.25">
      <c r="A289" s="128">
        <v>27900</v>
      </c>
      <c r="B289" s="128" t="s">
        <v>39</v>
      </c>
      <c r="C289" s="128" t="s">
        <v>40</v>
      </c>
      <c r="D289" s="128" t="s">
        <v>40</v>
      </c>
      <c r="E289" s="128" t="s">
        <v>556</v>
      </c>
      <c r="F289" s="128" t="s">
        <v>557</v>
      </c>
      <c r="G289" s="128">
        <v>495.9</v>
      </c>
      <c r="H289" s="128" t="s">
        <v>7</v>
      </c>
      <c r="I289" s="128" t="s">
        <v>388</v>
      </c>
      <c r="J289" s="128" t="s">
        <v>384</v>
      </c>
      <c r="K289" s="128" t="s">
        <v>385</v>
      </c>
      <c r="L289" s="128" t="s">
        <v>259</v>
      </c>
      <c r="M289" s="128" t="s">
        <v>57</v>
      </c>
      <c r="N289" s="128" t="s">
        <v>58</v>
      </c>
      <c r="O289" s="129">
        <v>24473</v>
      </c>
      <c r="P289" s="128"/>
      <c r="Q289" s="128"/>
      <c r="R289" s="128">
        <v>480</v>
      </c>
      <c r="S289" s="128" t="s">
        <v>48</v>
      </c>
    </row>
    <row r="290" spans="1:19" x14ac:dyDescent="0.25">
      <c r="A290" s="128">
        <v>100800</v>
      </c>
      <c r="B290" s="128" t="s">
        <v>39</v>
      </c>
      <c r="C290" s="128" t="s">
        <v>40</v>
      </c>
      <c r="D290" s="128" t="s">
        <v>40</v>
      </c>
      <c r="E290" s="128" t="s">
        <v>3026</v>
      </c>
      <c r="F290" s="128" t="s">
        <v>3027</v>
      </c>
      <c r="G290" s="128">
        <v>1</v>
      </c>
      <c r="H290" s="128" t="s">
        <v>7</v>
      </c>
      <c r="I290" s="128" t="s">
        <v>7</v>
      </c>
      <c r="J290" s="128" t="s">
        <v>1055</v>
      </c>
      <c r="K290" s="128" t="s">
        <v>2179</v>
      </c>
      <c r="L290" s="128" t="s">
        <v>1056</v>
      </c>
      <c r="M290" s="128" t="s">
        <v>57</v>
      </c>
      <c r="N290" s="128" t="s">
        <v>58</v>
      </c>
      <c r="O290" s="129">
        <v>40603</v>
      </c>
      <c r="P290" s="128"/>
      <c r="Q290" s="128"/>
      <c r="R290" s="128">
        <v>1</v>
      </c>
      <c r="S290" s="128" t="s">
        <v>48</v>
      </c>
    </row>
    <row r="291" spans="1:19" ht="29.25" x14ac:dyDescent="0.25">
      <c r="A291" s="128">
        <v>101000</v>
      </c>
      <c r="B291" s="128" t="s">
        <v>39</v>
      </c>
      <c r="C291" s="128" t="s">
        <v>40</v>
      </c>
      <c r="D291" s="128" t="s">
        <v>40</v>
      </c>
      <c r="E291" s="128" t="s">
        <v>3034</v>
      </c>
      <c r="F291" s="128" t="s">
        <v>3035</v>
      </c>
      <c r="G291" s="128">
        <v>49</v>
      </c>
      <c r="H291" s="128" t="s">
        <v>7</v>
      </c>
      <c r="I291" s="128" t="s">
        <v>3036</v>
      </c>
      <c r="J291" s="128" t="s">
        <v>314</v>
      </c>
      <c r="K291" s="128" t="s">
        <v>599</v>
      </c>
      <c r="L291" s="128" t="s">
        <v>259</v>
      </c>
      <c r="M291" s="128" t="s">
        <v>57</v>
      </c>
      <c r="N291" s="128" t="s">
        <v>2858</v>
      </c>
      <c r="O291" s="129">
        <v>40634</v>
      </c>
      <c r="P291" s="128"/>
      <c r="Q291" s="128"/>
      <c r="R291" s="128">
        <v>49.5</v>
      </c>
      <c r="S291" s="128" t="s">
        <v>48</v>
      </c>
    </row>
    <row r="292" spans="1:19" ht="29.25" x14ac:dyDescent="0.25">
      <c r="A292" s="128">
        <v>101100</v>
      </c>
      <c r="B292" s="128" t="s">
        <v>39</v>
      </c>
      <c r="C292" s="128" t="s">
        <v>40</v>
      </c>
      <c r="D292" s="128" t="s">
        <v>40</v>
      </c>
      <c r="E292" s="128" t="s">
        <v>3037</v>
      </c>
      <c r="F292" s="128" t="s">
        <v>3038</v>
      </c>
      <c r="G292" s="128">
        <v>49</v>
      </c>
      <c r="H292" s="128" t="s">
        <v>7</v>
      </c>
      <c r="I292" s="128" t="s">
        <v>3036</v>
      </c>
      <c r="J292" s="128" t="s">
        <v>314</v>
      </c>
      <c r="K292" s="128" t="s">
        <v>599</v>
      </c>
      <c r="L292" s="128" t="s">
        <v>259</v>
      </c>
      <c r="M292" s="128" t="s">
        <v>57</v>
      </c>
      <c r="N292" s="128" t="s">
        <v>2858</v>
      </c>
      <c r="O292" s="129">
        <v>40634</v>
      </c>
      <c r="P292" s="128"/>
      <c r="Q292" s="128"/>
      <c r="R292" s="128">
        <v>49.5</v>
      </c>
      <c r="S292" s="128" t="s">
        <v>48</v>
      </c>
    </row>
    <row r="293" spans="1:19" x14ac:dyDescent="0.25">
      <c r="A293" s="128">
        <v>28000</v>
      </c>
      <c r="B293" s="128" t="s">
        <v>39</v>
      </c>
      <c r="C293" s="128" t="s">
        <v>40</v>
      </c>
      <c r="D293" s="128" t="s">
        <v>40</v>
      </c>
      <c r="E293" s="128" t="s">
        <v>371</v>
      </c>
      <c r="F293" s="128" t="s">
        <v>372</v>
      </c>
      <c r="G293" s="128">
        <v>57</v>
      </c>
      <c r="H293" s="128" t="s">
        <v>43</v>
      </c>
      <c r="I293" s="128" t="s">
        <v>6</v>
      </c>
      <c r="J293" s="128" t="s">
        <v>44</v>
      </c>
      <c r="K293" s="128" t="s">
        <v>44</v>
      </c>
      <c r="L293" s="128" t="s">
        <v>45</v>
      </c>
      <c r="M293" s="128" t="s">
        <v>46</v>
      </c>
      <c r="N293" s="128" t="s">
        <v>47</v>
      </c>
      <c r="O293" s="129">
        <v>18264</v>
      </c>
      <c r="P293" s="128"/>
      <c r="Q293" s="128" t="s">
        <v>194</v>
      </c>
      <c r="R293" s="128">
        <v>57</v>
      </c>
      <c r="S293" s="128" t="s">
        <v>48</v>
      </c>
    </row>
    <row r="294" spans="1:19" x14ac:dyDescent="0.25">
      <c r="A294" s="128">
        <v>28100</v>
      </c>
      <c r="B294" s="128" t="s">
        <v>39</v>
      </c>
      <c r="C294" s="128" t="s">
        <v>40</v>
      </c>
      <c r="D294" s="128" t="s">
        <v>40</v>
      </c>
      <c r="E294" s="128" t="s">
        <v>373</v>
      </c>
      <c r="F294" s="128" t="s">
        <v>374</v>
      </c>
      <c r="G294" s="128">
        <v>56.9</v>
      </c>
      <c r="H294" s="128" t="s">
        <v>43</v>
      </c>
      <c r="I294" s="128" t="s">
        <v>6</v>
      </c>
      <c r="J294" s="128" t="s">
        <v>44</v>
      </c>
      <c r="K294" s="128" t="s">
        <v>44</v>
      </c>
      <c r="L294" s="128" t="s">
        <v>45</v>
      </c>
      <c r="M294" s="128" t="s">
        <v>46</v>
      </c>
      <c r="N294" s="128" t="s">
        <v>47</v>
      </c>
      <c r="O294" s="129">
        <v>18264</v>
      </c>
      <c r="P294" s="128"/>
      <c r="Q294" s="128" t="s">
        <v>194</v>
      </c>
      <c r="R294" s="128">
        <v>56.9</v>
      </c>
      <c r="S294" s="128" t="s">
        <v>48</v>
      </c>
    </row>
    <row r="295" spans="1:19" x14ac:dyDescent="0.25">
      <c r="A295" s="128">
        <v>28200</v>
      </c>
      <c r="B295" s="128" t="s">
        <v>39</v>
      </c>
      <c r="C295" s="128" t="s">
        <v>40</v>
      </c>
      <c r="D295" s="128" t="s">
        <v>40</v>
      </c>
      <c r="E295" s="128" t="s">
        <v>778</v>
      </c>
      <c r="F295" s="128" t="s">
        <v>779</v>
      </c>
      <c r="G295" s="128">
        <v>13.5</v>
      </c>
      <c r="H295" s="128" t="s">
        <v>43</v>
      </c>
      <c r="I295" s="128" t="s">
        <v>510</v>
      </c>
      <c r="J295" s="128" t="s">
        <v>44</v>
      </c>
      <c r="K295" s="128" t="s">
        <v>44</v>
      </c>
      <c r="L295" s="128" t="s">
        <v>45</v>
      </c>
      <c r="M295" s="128" t="s">
        <v>46</v>
      </c>
      <c r="N295" s="128" t="s">
        <v>47</v>
      </c>
      <c r="O295" s="129">
        <v>29221</v>
      </c>
      <c r="P295" s="128"/>
      <c r="Q295" s="128"/>
      <c r="R295" s="128">
        <v>13.5</v>
      </c>
      <c r="S295" s="128" t="s">
        <v>48</v>
      </c>
    </row>
    <row r="296" spans="1:19" ht="57.75" x14ac:dyDescent="0.25">
      <c r="A296" s="128">
        <v>58704</v>
      </c>
      <c r="B296" s="128" t="s">
        <v>39</v>
      </c>
      <c r="C296" s="128" t="s">
        <v>40</v>
      </c>
      <c r="D296" s="128" t="s">
        <v>40</v>
      </c>
      <c r="E296" s="128" t="s">
        <v>788</v>
      </c>
      <c r="F296" s="128" t="s">
        <v>789</v>
      </c>
      <c r="G296" s="128">
        <v>9.9</v>
      </c>
      <c r="H296" s="128" t="s">
        <v>7</v>
      </c>
      <c r="I296" s="128" t="s">
        <v>787</v>
      </c>
      <c r="J296" s="128" t="s">
        <v>44</v>
      </c>
      <c r="K296" s="128" t="s">
        <v>44</v>
      </c>
      <c r="L296" s="128" t="s">
        <v>45</v>
      </c>
      <c r="M296" s="128" t="s">
        <v>57</v>
      </c>
      <c r="N296" s="128" t="s">
        <v>58</v>
      </c>
      <c r="O296" s="129">
        <v>29587</v>
      </c>
      <c r="P296" s="128" t="s">
        <v>777</v>
      </c>
      <c r="Q296" s="128"/>
      <c r="R296" s="128">
        <v>9.9</v>
      </c>
      <c r="S296" s="128" t="s">
        <v>48</v>
      </c>
    </row>
    <row r="297" spans="1:19" ht="29.25" x14ac:dyDescent="0.25">
      <c r="A297" s="128">
        <v>62207</v>
      </c>
      <c r="B297" s="128" t="s">
        <v>39</v>
      </c>
      <c r="C297" s="128" t="s">
        <v>49</v>
      </c>
      <c r="D297" s="128" t="s">
        <v>40</v>
      </c>
      <c r="E297" s="128" t="s">
        <v>1377</v>
      </c>
      <c r="F297" s="128" t="s">
        <v>1378</v>
      </c>
      <c r="G297" s="128">
        <v>1.05</v>
      </c>
      <c r="H297" s="128" t="s">
        <v>7</v>
      </c>
      <c r="I297" s="128" t="s">
        <v>1379</v>
      </c>
      <c r="J297" s="128" t="s">
        <v>44</v>
      </c>
      <c r="K297" s="128" t="s">
        <v>44</v>
      </c>
      <c r="L297" s="128" t="s">
        <v>45</v>
      </c>
      <c r="M297" s="128" t="s">
        <v>57</v>
      </c>
      <c r="N297" s="128" t="s">
        <v>58</v>
      </c>
      <c r="O297" s="129">
        <v>31440</v>
      </c>
      <c r="P297" s="128" t="s">
        <v>1380</v>
      </c>
      <c r="Q297" s="128"/>
      <c r="R297" s="128">
        <v>1.05</v>
      </c>
      <c r="S297" s="128" t="s">
        <v>48</v>
      </c>
    </row>
    <row r="298" spans="1:19" ht="29.25" x14ac:dyDescent="0.25">
      <c r="A298" s="128">
        <v>28700</v>
      </c>
      <c r="B298" s="128" t="s">
        <v>39</v>
      </c>
      <c r="C298" s="128" t="s">
        <v>40</v>
      </c>
      <c r="D298" s="128" t="s">
        <v>40</v>
      </c>
      <c r="E298" s="128" t="s">
        <v>1975</v>
      </c>
      <c r="F298" s="128" t="s">
        <v>1976</v>
      </c>
      <c r="G298" s="128">
        <v>48</v>
      </c>
      <c r="H298" s="128" t="s">
        <v>43</v>
      </c>
      <c r="I298" s="128" t="s">
        <v>1977</v>
      </c>
      <c r="J298" s="128" t="s">
        <v>713</v>
      </c>
      <c r="K298" s="128" t="s">
        <v>599</v>
      </c>
      <c r="L298" s="128" t="s">
        <v>259</v>
      </c>
      <c r="M298" s="128" t="s">
        <v>46</v>
      </c>
      <c r="N298" s="128" t="s">
        <v>47</v>
      </c>
      <c r="O298" s="129">
        <v>32874</v>
      </c>
      <c r="P298" s="128"/>
      <c r="Q298" s="128"/>
      <c r="R298" s="128">
        <v>48.6</v>
      </c>
      <c r="S298" s="128" t="s">
        <v>48</v>
      </c>
    </row>
    <row r="299" spans="1:19" ht="29.25" x14ac:dyDescent="0.25">
      <c r="A299" s="128">
        <v>67700</v>
      </c>
      <c r="B299" s="128" t="s">
        <v>39</v>
      </c>
      <c r="C299" s="128" t="s">
        <v>40</v>
      </c>
      <c r="D299" s="128" t="s">
        <v>40</v>
      </c>
      <c r="E299" s="128" t="s">
        <v>1893</v>
      </c>
      <c r="F299" s="128" t="s">
        <v>1894</v>
      </c>
      <c r="G299" s="128">
        <v>8.1</v>
      </c>
      <c r="H299" s="128" t="s">
        <v>43</v>
      </c>
      <c r="I299" s="128" t="s">
        <v>1895</v>
      </c>
      <c r="J299" s="128" t="s">
        <v>713</v>
      </c>
      <c r="K299" s="128" t="s">
        <v>599</v>
      </c>
      <c r="L299" s="128" t="s">
        <v>259</v>
      </c>
      <c r="M299" s="128" t="s">
        <v>212</v>
      </c>
      <c r="N299" s="128" t="s">
        <v>213</v>
      </c>
      <c r="O299" s="129">
        <v>32680</v>
      </c>
      <c r="P299" s="128"/>
      <c r="Q299" s="128"/>
      <c r="R299" s="128">
        <v>10.199999999999999</v>
      </c>
      <c r="S299" s="128" t="s">
        <v>48</v>
      </c>
    </row>
    <row r="300" spans="1:19" ht="43.5" x14ac:dyDescent="0.25">
      <c r="A300" s="128">
        <v>102700</v>
      </c>
      <c r="B300" s="128" t="s">
        <v>39</v>
      </c>
      <c r="C300" s="128" t="s">
        <v>40</v>
      </c>
      <c r="D300" s="128" t="s">
        <v>40</v>
      </c>
      <c r="E300" s="128" t="s">
        <v>3081</v>
      </c>
      <c r="F300" s="128" t="s">
        <v>3082</v>
      </c>
      <c r="G300" s="128">
        <v>1.6</v>
      </c>
      <c r="H300" s="128" t="s">
        <v>43</v>
      </c>
      <c r="I300" s="128" t="s">
        <v>3079</v>
      </c>
      <c r="J300" s="128" t="s">
        <v>384</v>
      </c>
      <c r="K300" s="128" t="s">
        <v>599</v>
      </c>
      <c r="L300" s="128" t="s">
        <v>259</v>
      </c>
      <c r="M300" s="128" t="s">
        <v>46</v>
      </c>
      <c r="N300" s="128" t="s">
        <v>1455</v>
      </c>
      <c r="O300" s="129">
        <v>40813</v>
      </c>
      <c r="P300" s="128" t="s">
        <v>3083</v>
      </c>
      <c r="Q300" s="128">
        <v>1.6</v>
      </c>
      <c r="R300" s="128"/>
      <c r="S300" s="128" t="s">
        <v>48</v>
      </c>
    </row>
    <row r="301" spans="1:19" x14ac:dyDescent="0.25">
      <c r="A301" s="128">
        <v>92900</v>
      </c>
      <c r="B301" s="128" t="s">
        <v>39</v>
      </c>
      <c r="C301" s="128" t="s">
        <v>40</v>
      </c>
      <c r="D301" s="128" t="s">
        <v>40</v>
      </c>
      <c r="E301" s="128" t="s">
        <v>2839</v>
      </c>
      <c r="F301" s="128" t="s">
        <v>2840</v>
      </c>
      <c r="G301" s="128">
        <v>150</v>
      </c>
      <c r="H301" s="128" t="s">
        <v>43</v>
      </c>
      <c r="I301" s="128" t="s">
        <v>2841</v>
      </c>
      <c r="J301" s="128" t="s">
        <v>800</v>
      </c>
      <c r="K301" s="128" t="s">
        <v>800</v>
      </c>
      <c r="L301" s="128" t="s">
        <v>800</v>
      </c>
      <c r="M301" s="128" t="s">
        <v>46</v>
      </c>
      <c r="N301" s="128" t="s">
        <v>47</v>
      </c>
      <c r="O301" s="129">
        <v>38806</v>
      </c>
      <c r="P301" s="128"/>
      <c r="Q301" s="128"/>
      <c r="R301" s="128">
        <v>150</v>
      </c>
      <c r="S301" s="128" t="s">
        <v>48</v>
      </c>
    </row>
    <row r="302" spans="1:19" ht="29.25" x14ac:dyDescent="0.25">
      <c r="A302" s="128">
        <v>29300</v>
      </c>
      <c r="B302" s="128" t="s">
        <v>39</v>
      </c>
      <c r="C302" s="128" t="s">
        <v>40</v>
      </c>
      <c r="D302" s="128" t="s">
        <v>40</v>
      </c>
      <c r="E302" s="128" t="s">
        <v>1465</v>
      </c>
      <c r="F302" s="128" t="s">
        <v>1466</v>
      </c>
      <c r="G302" s="128">
        <v>5.7</v>
      </c>
      <c r="H302" s="128" t="s">
        <v>43</v>
      </c>
      <c r="I302" s="128" t="s">
        <v>1467</v>
      </c>
      <c r="J302" s="128" t="s">
        <v>807</v>
      </c>
      <c r="K302" s="128" t="s">
        <v>385</v>
      </c>
      <c r="L302" s="128" t="s">
        <v>808</v>
      </c>
      <c r="M302" s="128" t="s">
        <v>46</v>
      </c>
      <c r="N302" s="128" t="s">
        <v>47</v>
      </c>
      <c r="O302" s="129">
        <v>31720</v>
      </c>
      <c r="P302" s="128" t="s">
        <v>1468</v>
      </c>
      <c r="Q302" s="128"/>
      <c r="R302" s="128">
        <v>5.7</v>
      </c>
      <c r="S302" s="128" t="s">
        <v>48</v>
      </c>
    </row>
    <row r="303" spans="1:19" ht="29.25" x14ac:dyDescent="0.25">
      <c r="A303" s="128">
        <v>29700</v>
      </c>
      <c r="B303" s="128" t="s">
        <v>39</v>
      </c>
      <c r="C303" s="128" t="s">
        <v>49</v>
      </c>
      <c r="D303" s="128" t="s">
        <v>40</v>
      </c>
      <c r="E303" s="128" t="s">
        <v>2362</v>
      </c>
      <c r="F303" s="128" t="s">
        <v>2363</v>
      </c>
      <c r="G303" s="128">
        <v>7.5</v>
      </c>
      <c r="H303" s="128" t="s">
        <v>43</v>
      </c>
      <c r="I303" s="128" t="s">
        <v>2364</v>
      </c>
      <c r="J303" s="128" t="s">
        <v>807</v>
      </c>
      <c r="K303" s="128" t="s">
        <v>385</v>
      </c>
      <c r="L303" s="128" t="s">
        <v>808</v>
      </c>
      <c r="M303" s="128" t="s">
        <v>46</v>
      </c>
      <c r="N303" s="128" t="s">
        <v>47</v>
      </c>
      <c r="O303" s="129">
        <v>37040</v>
      </c>
      <c r="P303" s="128"/>
      <c r="Q303" s="128"/>
      <c r="R303" s="128">
        <v>7.5</v>
      </c>
      <c r="S303" s="128" t="s">
        <v>48</v>
      </c>
    </row>
    <row r="304" spans="1:19" x14ac:dyDescent="0.25">
      <c r="A304" s="128">
        <v>29900</v>
      </c>
      <c r="B304" s="128" t="s">
        <v>39</v>
      </c>
      <c r="C304" s="128" t="s">
        <v>49</v>
      </c>
      <c r="D304" s="128" t="s">
        <v>40</v>
      </c>
      <c r="E304" s="128" t="s">
        <v>1186</v>
      </c>
      <c r="F304" s="128" t="s">
        <v>1187</v>
      </c>
      <c r="G304" s="128">
        <v>7</v>
      </c>
      <c r="H304" s="128" t="s">
        <v>7</v>
      </c>
      <c r="I304" s="128" t="s">
        <v>1188</v>
      </c>
      <c r="J304" s="128" t="s">
        <v>807</v>
      </c>
      <c r="K304" s="128" t="s">
        <v>385</v>
      </c>
      <c r="L304" s="128" t="s">
        <v>808</v>
      </c>
      <c r="M304" s="128" t="s">
        <v>57</v>
      </c>
      <c r="N304" s="128" t="s">
        <v>58</v>
      </c>
      <c r="O304" s="129">
        <v>31048</v>
      </c>
      <c r="P304" s="128"/>
      <c r="Q304" s="128"/>
      <c r="R304" s="128">
        <v>9</v>
      </c>
      <c r="S304" s="128" t="s">
        <v>48</v>
      </c>
    </row>
    <row r="305" spans="1:19" x14ac:dyDescent="0.25">
      <c r="A305" s="128">
        <v>30200</v>
      </c>
      <c r="B305" s="128" t="s">
        <v>39</v>
      </c>
      <c r="C305" s="128" t="s">
        <v>40</v>
      </c>
      <c r="D305" s="128" t="s">
        <v>40</v>
      </c>
      <c r="E305" s="128" t="s">
        <v>888</v>
      </c>
      <c r="F305" s="128" t="s">
        <v>889</v>
      </c>
      <c r="G305" s="128">
        <v>1124</v>
      </c>
      <c r="H305" s="128" t="s">
        <v>7</v>
      </c>
      <c r="I305" s="128" t="s">
        <v>890</v>
      </c>
      <c r="J305" s="128" t="s">
        <v>891</v>
      </c>
      <c r="K305" s="128" t="s">
        <v>385</v>
      </c>
      <c r="L305" s="128" t="s">
        <v>892</v>
      </c>
      <c r="M305" s="128" t="s">
        <v>57</v>
      </c>
      <c r="N305" s="128" t="s">
        <v>58</v>
      </c>
      <c r="O305" s="129">
        <v>30317</v>
      </c>
      <c r="P305" s="128"/>
      <c r="Q305" s="128"/>
      <c r="R305" s="128">
        <v>1127</v>
      </c>
      <c r="S305" s="128" t="s">
        <v>48</v>
      </c>
    </row>
    <row r="306" spans="1:19" x14ac:dyDescent="0.25">
      <c r="A306" s="128">
        <v>30300</v>
      </c>
      <c r="B306" s="128" t="s">
        <v>39</v>
      </c>
      <c r="C306" s="128" t="s">
        <v>40</v>
      </c>
      <c r="D306" s="128" t="s">
        <v>40</v>
      </c>
      <c r="E306" s="128" t="s">
        <v>1027</v>
      </c>
      <c r="F306" s="128" t="s">
        <v>1028</v>
      </c>
      <c r="G306" s="128">
        <v>1126</v>
      </c>
      <c r="H306" s="128" t="s">
        <v>7</v>
      </c>
      <c r="I306" s="128" t="s">
        <v>890</v>
      </c>
      <c r="J306" s="128" t="s">
        <v>891</v>
      </c>
      <c r="K306" s="128" t="s">
        <v>385</v>
      </c>
      <c r="L306" s="128" t="s">
        <v>892</v>
      </c>
      <c r="M306" s="128" t="s">
        <v>57</v>
      </c>
      <c r="N306" s="128" t="s">
        <v>58</v>
      </c>
      <c r="O306" s="129">
        <v>30682</v>
      </c>
      <c r="P306" s="128"/>
      <c r="Q306" s="128"/>
      <c r="R306" s="128">
        <v>1127</v>
      </c>
      <c r="S306" s="128" t="s">
        <v>48</v>
      </c>
    </row>
    <row r="307" spans="1:19" x14ac:dyDescent="0.25">
      <c r="A307" s="128">
        <v>30400</v>
      </c>
      <c r="B307" s="128" t="s">
        <v>39</v>
      </c>
      <c r="C307" s="128" t="s">
        <v>40</v>
      </c>
      <c r="D307" s="128" t="s">
        <v>40</v>
      </c>
      <c r="E307" s="128" t="s">
        <v>761</v>
      </c>
      <c r="F307" s="128" t="s">
        <v>762</v>
      </c>
      <c r="G307" s="128">
        <v>7.1</v>
      </c>
      <c r="H307" s="128" t="s">
        <v>43</v>
      </c>
      <c r="I307" s="128" t="s">
        <v>6</v>
      </c>
      <c r="J307" s="128" t="s">
        <v>44</v>
      </c>
      <c r="K307" s="128" t="s">
        <v>44</v>
      </c>
      <c r="L307" s="128" t="s">
        <v>45</v>
      </c>
      <c r="M307" s="128" t="s">
        <v>46</v>
      </c>
      <c r="N307" s="128" t="s">
        <v>47</v>
      </c>
      <c r="O307" s="129">
        <v>28856</v>
      </c>
      <c r="P307" s="128"/>
      <c r="Q307" s="128"/>
      <c r="R307" s="128">
        <v>7.1</v>
      </c>
      <c r="S307" s="128" t="s">
        <v>48</v>
      </c>
    </row>
    <row r="308" spans="1:19" ht="43.5" x14ac:dyDescent="0.25">
      <c r="A308" s="128">
        <v>102200</v>
      </c>
      <c r="B308" s="128" t="s">
        <v>39</v>
      </c>
      <c r="C308" s="128" t="s">
        <v>40</v>
      </c>
      <c r="D308" s="128" t="s">
        <v>40</v>
      </c>
      <c r="E308" s="128" t="s">
        <v>3031</v>
      </c>
      <c r="F308" s="128" t="s">
        <v>3032</v>
      </c>
      <c r="G308" s="128">
        <v>2</v>
      </c>
      <c r="H308" s="128" t="s">
        <v>7</v>
      </c>
      <c r="I308" s="128" t="s">
        <v>2947</v>
      </c>
      <c r="J308" s="128" t="s">
        <v>1055</v>
      </c>
      <c r="K308" s="128" t="s">
        <v>2179</v>
      </c>
      <c r="L308" s="128" t="s">
        <v>1056</v>
      </c>
      <c r="M308" s="128" t="s">
        <v>57</v>
      </c>
      <c r="N308" s="128" t="s">
        <v>58</v>
      </c>
      <c r="O308" s="129">
        <v>40625</v>
      </c>
      <c r="P308" s="128" t="s">
        <v>3033</v>
      </c>
      <c r="Q308" s="128"/>
      <c r="R308" s="128">
        <v>2.5</v>
      </c>
      <c r="S308" s="128" t="s">
        <v>48</v>
      </c>
    </row>
    <row r="309" spans="1:19" ht="29.25" x14ac:dyDescent="0.25">
      <c r="A309" s="128">
        <v>90600</v>
      </c>
      <c r="B309" s="128" t="s">
        <v>39</v>
      </c>
      <c r="C309" s="128" t="s">
        <v>40</v>
      </c>
      <c r="D309" s="128" t="s">
        <v>40</v>
      </c>
      <c r="E309" s="128" t="s">
        <v>2728</v>
      </c>
      <c r="F309" s="128" t="s">
        <v>2729</v>
      </c>
      <c r="G309" s="128">
        <v>2</v>
      </c>
      <c r="H309" s="128" t="s">
        <v>162</v>
      </c>
      <c r="I309" s="128" t="s">
        <v>2730</v>
      </c>
      <c r="J309" s="128" t="s">
        <v>807</v>
      </c>
      <c r="K309" s="128" t="s">
        <v>315</v>
      </c>
      <c r="L309" s="128" t="s">
        <v>915</v>
      </c>
      <c r="M309" s="128" t="s">
        <v>57</v>
      </c>
      <c r="N309" s="128" t="s">
        <v>163</v>
      </c>
      <c r="O309" s="129">
        <v>38182</v>
      </c>
      <c r="P309" s="128"/>
      <c r="Q309" s="128"/>
      <c r="R309" s="128">
        <v>3</v>
      </c>
      <c r="S309" s="128" t="s">
        <v>48</v>
      </c>
    </row>
    <row r="310" spans="1:19" x14ac:dyDescent="0.25">
      <c r="A310" s="128">
        <v>28800</v>
      </c>
      <c r="B310" s="128" t="s">
        <v>39</v>
      </c>
      <c r="C310" s="128" t="s">
        <v>40</v>
      </c>
      <c r="D310" s="128" t="s">
        <v>40</v>
      </c>
      <c r="E310" s="128" t="s">
        <v>174</v>
      </c>
      <c r="F310" s="128" t="s">
        <v>175</v>
      </c>
      <c r="G310" s="128">
        <v>3.2</v>
      </c>
      <c r="H310" s="128" t="s">
        <v>43</v>
      </c>
      <c r="I310" s="128" t="s">
        <v>43</v>
      </c>
      <c r="J310" s="128" t="s">
        <v>44</v>
      </c>
      <c r="K310" s="128" t="s">
        <v>44</v>
      </c>
      <c r="L310" s="128" t="s">
        <v>45</v>
      </c>
      <c r="M310" s="128" t="s">
        <v>46</v>
      </c>
      <c r="N310" s="128" t="s">
        <v>47</v>
      </c>
      <c r="O310" s="129">
        <v>6211</v>
      </c>
      <c r="P310" s="128"/>
      <c r="Q310" s="128"/>
      <c r="R310" s="128">
        <v>3.2</v>
      </c>
      <c r="S310" s="128" t="s">
        <v>48</v>
      </c>
    </row>
    <row r="311" spans="1:19" x14ac:dyDescent="0.25">
      <c r="A311" s="128">
        <v>28900</v>
      </c>
      <c r="B311" s="128" t="s">
        <v>39</v>
      </c>
      <c r="C311" s="128" t="s">
        <v>40</v>
      </c>
      <c r="D311" s="128" t="s">
        <v>40</v>
      </c>
      <c r="E311" s="128" t="s">
        <v>239</v>
      </c>
      <c r="F311" s="128" t="s">
        <v>240</v>
      </c>
      <c r="G311" s="128">
        <v>4.2</v>
      </c>
      <c r="H311" s="128" t="s">
        <v>43</v>
      </c>
      <c r="I311" s="128" t="s">
        <v>43</v>
      </c>
      <c r="J311" s="128" t="s">
        <v>44</v>
      </c>
      <c r="K311" s="128" t="s">
        <v>44</v>
      </c>
      <c r="L311" s="128" t="s">
        <v>45</v>
      </c>
      <c r="M311" s="128" t="s">
        <v>46</v>
      </c>
      <c r="N311" s="128" t="s">
        <v>47</v>
      </c>
      <c r="O311" s="129">
        <v>8402</v>
      </c>
      <c r="P311" s="128"/>
      <c r="Q311" s="128"/>
      <c r="R311" s="128">
        <v>4.2</v>
      </c>
      <c r="S311" s="128" t="s">
        <v>48</v>
      </c>
    </row>
    <row r="312" spans="1:19" x14ac:dyDescent="0.25">
      <c r="A312" s="128">
        <v>101500</v>
      </c>
      <c r="B312" s="128" t="s">
        <v>39</v>
      </c>
      <c r="C312" s="128" t="s">
        <v>40</v>
      </c>
      <c r="D312" s="128" t="s">
        <v>40</v>
      </c>
      <c r="E312" s="128" t="s">
        <v>3045</v>
      </c>
      <c r="F312" s="128" t="s">
        <v>3046</v>
      </c>
      <c r="G312" s="128">
        <v>1.5</v>
      </c>
      <c r="H312" s="128" t="s">
        <v>162</v>
      </c>
      <c r="I312" s="128" t="s">
        <v>3047</v>
      </c>
      <c r="J312" s="128" t="s">
        <v>807</v>
      </c>
      <c r="K312" s="128" t="s">
        <v>315</v>
      </c>
      <c r="L312" s="128" t="s">
        <v>915</v>
      </c>
      <c r="M312" s="128" t="s">
        <v>57</v>
      </c>
      <c r="N312" s="128" t="s">
        <v>163</v>
      </c>
      <c r="O312" s="129">
        <v>40683</v>
      </c>
      <c r="P312" s="128"/>
      <c r="Q312" s="128"/>
      <c r="R312" s="128">
        <v>1.6</v>
      </c>
      <c r="S312" s="128" t="s">
        <v>48</v>
      </c>
    </row>
    <row r="313" spans="1:19" x14ac:dyDescent="0.25">
      <c r="A313" s="128">
        <v>101800</v>
      </c>
      <c r="B313" s="128" t="s">
        <v>39</v>
      </c>
      <c r="C313" s="128" t="s">
        <v>40</v>
      </c>
      <c r="D313" s="128" t="s">
        <v>40</v>
      </c>
      <c r="E313" s="128" t="s">
        <v>3056</v>
      </c>
      <c r="F313" s="128" t="s">
        <v>3057</v>
      </c>
      <c r="G313" s="128">
        <v>19</v>
      </c>
      <c r="H313" s="128" t="s">
        <v>43</v>
      </c>
      <c r="I313" s="128" t="s">
        <v>3057</v>
      </c>
      <c r="J313" s="128" t="s">
        <v>1055</v>
      </c>
      <c r="K313" s="128" t="s">
        <v>2179</v>
      </c>
      <c r="L313" s="128" t="s">
        <v>1056</v>
      </c>
      <c r="M313" s="128" t="s">
        <v>46</v>
      </c>
      <c r="N313" s="128" t="s">
        <v>1455</v>
      </c>
      <c r="O313" s="129">
        <v>40760</v>
      </c>
      <c r="P313" s="128"/>
      <c r="Q313" s="128"/>
      <c r="R313" s="128">
        <v>19</v>
      </c>
      <c r="S313" s="128" t="s">
        <v>48</v>
      </c>
    </row>
    <row r="314" spans="1:19" ht="29.25" x14ac:dyDescent="0.25">
      <c r="A314" s="128">
        <v>76000</v>
      </c>
      <c r="B314" s="128" t="s">
        <v>39</v>
      </c>
      <c r="C314" s="128" t="s">
        <v>40</v>
      </c>
      <c r="D314" s="128" t="s">
        <v>40</v>
      </c>
      <c r="E314" s="128" t="s">
        <v>1288</v>
      </c>
      <c r="F314" s="128" t="s">
        <v>1289</v>
      </c>
      <c r="G314" s="128">
        <v>17.100000000000001</v>
      </c>
      <c r="H314" s="128" t="s">
        <v>43</v>
      </c>
      <c r="I314" s="128" t="s">
        <v>1290</v>
      </c>
      <c r="J314" s="128" t="s">
        <v>800</v>
      </c>
      <c r="K314" s="128" t="s">
        <v>800</v>
      </c>
      <c r="L314" s="128" t="s">
        <v>800</v>
      </c>
      <c r="M314" s="128" t="s">
        <v>46</v>
      </c>
      <c r="N314" s="128" t="s">
        <v>47</v>
      </c>
      <c r="O314" s="129">
        <v>31411</v>
      </c>
      <c r="P314" s="128" t="s">
        <v>1291</v>
      </c>
      <c r="Q314" s="128"/>
      <c r="R314" s="128">
        <v>24.1</v>
      </c>
      <c r="S314" s="128" t="s">
        <v>48</v>
      </c>
    </row>
    <row r="315" spans="1:19" x14ac:dyDescent="0.25">
      <c r="A315" s="128">
        <v>99900</v>
      </c>
      <c r="B315" s="128" t="s">
        <v>39</v>
      </c>
      <c r="C315" s="128" t="s">
        <v>40</v>
      </c>
      <c r="D315" s="128" t="s">
        <v>40</v>
      </c>
      <c r="E315" s="128" t="s">
        <v>2966</v>
      </c>
      <c r="F315" s="128" t="s">
        <v>2967</v>
      </c>
      <c r="G315" s="128">
        <v>1.6</v>
      </c>
      <c r="H315" s="128" t="s">
        <v>43</v>
      </c>
      <c r="I315" s="128" t="s">
        <v>2967</v>
      </c>
      <c r="J315" s="128" t="s">
        <v>807</v>
      </c>
      <c r="K315" s="128" t="s">
        <v>315</v>
      </c>
      <c r="L315" s="128" t="s">
        <v>915</v>
      </c>
      <c r="M315" s="128" t="s">
        <v>46</v>
      </c>
      <c r="N315" s="128" t="s">
        <v>47</v>
      </c>
      <c r="O315" s="129">
        <v>40215</v>
      </c>
      <c r="P315" s="128"/>
      <c r="Q315" s="128"/>
      <c r="R315" s="128">
        <v>1.6</v>
      </c>
      <c r="S315" s="128" t="s">
        <v>48</v>
      </c>
    </row>
    <row r="316" spans="1:19" x14ac:dyDescent="0.25">
      <c r="A316" s="128">
        <v>99800</v>
      </c>
      <c r="B316" s="128" t="s">
        <v>39</v>
      </c>
      <c r="C316" s="128" t="s">
        <v>40</v>
      </c>
      <c r="D316" s="128" t="s">
        <v>40</v>
      </c>
      <c r="E316" s="128" t="s">
        <v>2994</v>
      </c>
      <c r="F316" s="128" t="s">
        <v>2995</v>
      </c>
      <c r="G316" s="128">
        <v>1.42</v>
      </c>
      <c r="H316" s="128" t="s">
        <v>43</v>
      </c>
      <c r="I316" s="128" t="s">
        <v>2996</v>
      </c>
      <c r="J316" s="128" t="s">
        <v>807</v>
      </c>
      <c r="K316" s="128" t="s">
        <v>315</v>
      </c>
      <c r="L316" s="128" t="s">
        <v>915</v>
      </c>
      <c r="M316" s="128" t="s">
        <v>46</v>
      </c>
      <c r="N316" s="128" t="s">
        <v>178</v>
      </c>
      <c r="O316" s="129">
        <v>40448</v>
      </c>
      <c r="P316" s="128"/>
      <c r="Q316" s="128"/>
      <c r="R316" s="128">
        <v>1.48</v>
      </c>
      <c r="S316" s="128" t="s">
        <v>48</v>
      </c>
    </row>
    <row r="317" spans="1:19" ht="100.5" x14ac:dyDescent="0.25">
      <c r="A317" s="128">
        <v>103300</v>
      </c>
      <c r="B317" s="128" t="s">
        <v>39</v>
      </c>
      <c r="C317" s="128" t="s">
        <v>40</v>
      </c>
      <c r="D317" s="128" t="s">
        <v>40</v>
      </c>
      <c r="E317" s="128" t="s">
        <v>3098</v>
      </c>
      <c r="F317" s="128" t="s">
        <v>3099</v>
      </c>
      <c r="G317" s="128">
        <v>102.5</v>
      </c>
      <c r="H317" s="128" t="s">
        <v>43</v>
      </c>
      <c r="I317" s="128" t="s">
        <v>3100</v>
      </c>
      <c r="J317" s="128" t="s">
        <v>800</v>
      </c>
      <c r="K317" s="128" t="s">
        <v>800</v>
      </c>
      <c r="L317" s="128" t="s">
        <v>800</v>
      </c>
      <c r="M317" s="128" t="s">
        <v>46</v>
      </c>
      <c r="N317" s="128" t="s">
        <v>47</v>
      </c>
      <c r="O317" s="129">
        <v>40899</v>
      </c>
      <c r="P317" s="128" t="s">
        <v>3101</v>
      </c>
      <c r="Q317" s="128"/>
      <c r="R317" s="128">
        <v>100</v>
      </c>
      <c r="S317" s="128" t="s">
        <v>48</v>
      </c>
    </row>
    <row r="318" spans="1:19" x14ac:dyDescent="0.25">
      <c r="A318" s="128">
        <v>97300</v>
      </c>
      <c r="B318" s="128" t="s">
        <v>39</v>
      </c>
      <c r="C318" s="128" t="s">
        <v>40</v>
      </c>
      <c r="D318" s="128" t="s">
        <v>40</v>
      </c>
      <c r="E318" s="128" t="s">
        <v>2924</v>
      </c>
      <c r="F318" s="128" t="s">
        <v>2925</v>
      </c>
      <c r="G318" s="128">
        <v>150</v>
      </c>
      <c r="H318" s="128" t="s">
        <v>43</v>
      </c>
      <c r="I318" s="128" t="s">
        <v>2926</v>
      </c>
      <c r="J318" s="128" t="s">
        <v>800</v>
      </c>
      <c r="K318" s="128" t="s">
        <v>800</v>
      </c>
      <c r="L318" s="128" t="s">
        <v>800</v>
      </c>
      <c r="M318" s="128" t="s">
        <v>46</v>
      </c>
      <c r="N318" s="128" t="s">
        <v>47</v>
      </c>
      <c r="O318" s="129">
        <v>39840</v>
      </c>
      <c r="P318" s="128"/>
      <c r="Q318" s="128"/>
      <c r="R318" s="128">
        <v>150</v>
      </c>
      <c r="S318" s="128" t="s">
        <v>48</v>
      </c>
    </row>
    <row r="319" spans="1:19" x14ac:dyDescent="0.25">
      <c r="A319" s="128">
        <v>98500</v>
      </c>
      <c r="B319" s="128" t="s">
        <v>39</v>
      </c>
      <c r="C319" s="128" t="s">
        <v>40</v>
      </c>
      <c r="D319" s="128" t="s">
        <v>40</v>
      </c>
      <c r="E319" s="128" t="s">
        <v>3998</v>
      </c>
      <c r="F319" s="128" t="s">
        <v>3999</v>
      </c>
      <c r="G319" s="128">
        <v>7.5</v>
      </c>
      <c r="H319" s="128" t="s">
        <v>7</v>
      </c>
      <c r="I319" s="128" t="s">
        <v>4000</v>
      </c>
      <c r="J319" s="128" t="s">
        <v>1055</v>
      </c>
      <c r="K319" s="128" t="s">
        <v>385</v>
      </c>
      <c r="L319" s="128" t="s">
        <v>1056</v>
      </c>
      <c r="M319" s="128" t="s">
        <v>57</v>
      </c>
      <c r="N319" s="128" t="s">
        <v>58</v>
      </c>
      <c r="O319" s="128"/>
      <c r="P319" s="128"/>
      <c r="Q319" s="128"/>
      <c r="R319" s="128">
        <v>7.5</v>
      </c>
      <c r="S319" s="128" t="s">
        <v>48</v>
      </c>
    </row>
    <row r="320" spans="1:19" x14ac:dyDescent="0.25">
      <c r="A320" s="128">
        <v>30000</v>
      </c>
      <c r="B320" s="128" t="s">
        <v>39</v>
      </c>
      <c r="C320" s="128" t="s">
        <v>40</v>
      </c>
      <c r="D320" s="128" t="s">
        <v>40</v>
      </c>
      <c r="E320" s="128" t="s">
        <v>893</v>
      </c>
      <c r="F320" s="128" t="s">
        <v>894</v>
      </c>
      <c r="G320" s="128">
        <v>13</v>
      </c>
      <c r="H320" s="128" t="s">
        <v>43</v>
      </c>
      <c r="I320" s="128" t="s">
        <v>479</v>
      </c>
      <c r="J320" s="128" t="s">
        <v>44</v>
      </c>
      <c r="K320" s="128" t="s">
        <v>44</v>
      </c>
      <c r="L320" s="128" t="s">
        <v>45</v>
      </c>
      <c r="M320" s="128" t="s">
        <v>46</v>
      </c>
      <c r="N320" s="128" t="s">
        <v>47</v>
      </c>
      <c r="O320" s="129">
        <v>30317</v>
      </c>
      <c r="P320" s="128"/>
      <c r="Q320" s="128" t="s">
        <v>480</v>
      </c>
      <c r="R320" s="128">
        <v>13</v>
      </c>
      <c r="S320" s="128" t="s">
        <v>48</v>
      </c>
    </row>
    <row r="321" spans="1:19" x14ac:dyDescent="0.25">
      <c r="A321" s="128">
        <v>31000</v>
      </c>
      <c r="B321" s="128" t="s">
        <v>39</v>
      </c>
      <c r="C321" s="128" t="s">
        <v>40</v>
      </c>
      <c r="D321" s="128" t="s">
        <v>40</v>
      </c>
      <c r="E321" s="128" t="s">
        <v>275</v>
      </c>
      <c r="F321" s="128" t="s">
        <v>276</v>
      </c>
      <c r="G321" s="128">
        <v>6.5</v>
      </c>
      <c r="H321" s="128" t="s">
        <v>43</v>
      </c>
      <c r="I321" s="128" t="s">
        <v>6</v>
      </c>
      <c r="J321" s="128" t="s">
        <v>44</v>
      </c>
      <c r="K321" s="128" t="s">
        <v>44</v>
      </c>
      <c r="L321" s="128" t="s">
        <v>45</v>
      </c>
      <c r="M321" s="128" t="s">
        <v>46</v>
      </c>
      <c r="N321" s="128" t="s">
        <v>47</v>
      </c>
      <c r="O321" s="129">
        <v>10228</v>
      </c>
      <c r="P321" s="128"/>
      <c r="Q321" s="128" t="s">
        <v>148</v>
      </c>
      <c r="R321" s="128">
        <v>6.5</v>
      </c>
      <c r="S321" s="128" t="s">
        <v>48</v>
      </c>
    </row>
    <row r="322" spans="1:19" x14ac:dyDescent="0.25">
      <c r="A322" s="128">
        <v>31300</v>
      </c>
      <c r="B322" s="128" t="s">
        <v>39</v>
      </c>
      <c r="C322" s="128" t="s">
        <v>40</v>
      </c>
      <c r="D322" s="128" t="s">
        <v>40</v>
      </c>
      <c r="E322" s="128" t="s">
        <v>219</v>
      </c>
      <c r="F322" s="128" t="s">
        <v>220</v>
      </c>
      <c r="G322" s="128">
        <v>7</v>
      </c>
      <c r="H322" s="128" t="s">
        <v>43</v>
      </c>
      <c r="I322" s="128" t="s">
        <v>6</v>
      </c>
      <c r="J322" s="128" t="s">
        <v>44</v>
      </c>
      <c r="K322" s="128" t="s">
        <v>44</v>
      </c>
      <c r="L322" s="128" t="s">
        <v>45</v>
      </c>
      <c r="M322" s="128" t="s">
        <v>46</v>
      </c>
      <c r="N322" s="128" t="s">
        <v>47</v>
      </c>
      <c r="O322" s="129">
        <v>7672</v>
      </c>
      <c r="P322" s="128"/>
      <c r="Q322" s="128"/>
      <c r="R322" s="128">
        <v>7</v>
      </c>
      <c r="S322" s="128" t="s">
        <v>48</v>
      </c>
    </row>
    <row r="323" spans="1:19" x14ac:dyDescent="0.25">
      <c r="A323" s="128">
        <v>31400</v>
      </c>
      <c r="B323" s="128" t="s">
        <v>39</v>
      </c>
      <c r="C323" s="128" t="s">
        <v>40</v>
      </c>
      <c r="D323" s="128" t="s">
        <v>40</v>
      </c>
      <c r="E323" s="128" t="s">
        <v>486</v>
      </c>
      <c r="F323" s="128" t="s">
        <v>487</v>
      </c>
      <c r="G323" s="128">
        <v>91</v>
      </c>
      <c r="H323" s="128" t="s">
        <v>43</v>
      </c>
      <c r="I323" s="128" t="s">
        <v>6</v>
      </c>
      <c r="J323" s="128" t="s">
        <v>44</v>
      </c>
      <c r="K323" s="128" t="s">
        <v>44</v>
      </c>
      <c r="L323" s="128" t="s">
        <v>45</v>
      </c>
      <c r="M323" s="128" t="s">
        <v>46</v>
      </c>
      <c r="N323" s="128" t="s">
        <v>47</v>
      </c>
      <c r="O323" s="129">
        <v>23012</v>
      </c>
      <c r="P323" s="128"/>
      <c r="Q323" s="128" t="s">
        <v>331</v>
      </c>
      <c r="R323" s="128">
        <v>91</v>
      </c>
      <c r="S323" s="128" t="s">
        <v>48</v>
      </c>
    </row>
    <row r="324" spans="1:19" ht="43.5" x14ac:dyDescent="0.25">
      <c r="A324" s="128">
        <v>97100</v>
      </c>
      <c r="B324" s="128" t="s">
        <v>39</v>
      </c>
      <c r="C324" s="128" t="s">
        <v>40</v>
      </c>
      <c r="D324" s="128" t="s">
        <v>40</v>
      </c>
      <c r="E324" s="128" t="s">
        <v>2931</v>
      </c>
      <c r="F324" s="128" t="s">
        <v>2932</v>
      </c>
      <c r="G324" s="128">
        <v>119.91</v>
      </c>
      <c r="H324" s="128" t="s">
        <v>43</v>
      </c>
      <c r="I324" s="128" t="s">
        <v>2933</v>
      </c>
      <c r="J324" s="128" t="s">
        <v>314</v>
      </c>
      <c r="K324" s="128" t="s">
        <v>599</v>
      </c>
      <c r="L324" s="128" t="s">
        <v>259</v>
      </c>
      <c r="M324" s="128" t="s">
        <v>46</v>
      </c>
      <c r="N324" s="128" t="s">
        <v>47</v>
      </c>
      <c r="O324" s="129">
        <v>39937</v>
      </c>
      <c r="P324" s="128" t="s">
        <v>2934</v>
      </c>
      <c r="Q324" s="128"/>
      <c r="R324" s="128">
        <v>120</v>
      </c>
      <c r="S324" s="128" t="s">
        <v>48</v>
      </c>
    </row>
    <row r="325" spans="1:19" ht="29.25" x14ac:dyDescent="0.25">
      <c r="A325" s="128">
        <v>103000</v>
      </c>
      <c r="B325" s="128" t="s">
        <v>39</v>
      </c>
      <c r="C325" s="128" t="s">
        <v>40</v>
      </c>
      <c r="D325" s="128" t="s">
        <v>40</v>
      </c>
      <c r="E325" s="128" t="s">
        <v>3088</v>
      </c>
      <c r="F325" s="128" t="s">
        <v>3089</v>
      </c>
      <c r="G325" s="128">
        <v>20</v>
      </c>
      <c r="H325" s="128" t="s">
        <v>43</v>
      </c>
      <c r="I325" s="128" t="s">
        <v>3079</v>
      </c>
      <c r="J325" s="128" t="s">
        <v>1055</v>
      </c>
      <c r="K325" s="128" t="s">
        <v>2179</v>
      </c>
      <c r="L325" s="128" t="s">
        <v>1056</v>
      </c>
      <c r="M325" s="128" t="s">
        <v>46</v>
      </c>
      <c r="N325" s="128" t="s">
        <v>1455</v>
      </c>
      <c r="O325" s="129">
        <v>40820</v>
      </c>
      <c r="P325" s="128" t="s">
        <v>3090</v>
      </c>
      <c r="Q325" s="128"/>
      <c r="R325" s="128">
        <v>20</v>
      </c>
      <c r="S325" s="128" t="s">
        <v>48</v>
      </c>
    </row>
    <row r="326" spans="1:19" x14ac:dyDescent="0.25">
      <c r="A326" s="128">
        <v>101700</v>
      </c>
      <c r="B326" s="128" t="s">
        <v>39</v>
      </c>
      <c r="C326" s="128" t="s">
        <v>40</v>
      </c>
      <c r="D326" s="128" t="s">
        <v>40</v>
      </c>
      <c r="E326" s="128" t="s">
        <v>3058</v>
      </c>
      <c r="F326" s="128" t="s">
        <v>3059</v>
      </c>
      <c r="G326" s="128">
        <v>20</v>
      </c>
      <c r="H326" s="128" t="s">
        <v>43</v>
      </c>
      <c r="I326" s="128" t="s">
        <v>3060</v>
      </c>
      <c r="J326" s="128" t="s">
        <v>1055</v>
      </c>
      <c r="K326" s="128" t="s">
        <v>2179</v>
      </c>
      <c r="L326" s="128" t="s">
        <v>1056</v>
      </c>
      <c r="M326" s="128" t="s">
        <v>46</v>
      </c>
      <c r="N326" s="128" t="s">
        <v>1455</v>
      </c>
      <c r="O326" s="129">
        <v>40760</v>
      </c>
      <c r="P326" s="128"/>
      <c r="Q326" s="128"/>
      <c r="R326" s="128">
        <v>20</v>
      </c>
      <c r="S326" s="128" t="s">
        <v>48</v>
      </c>
    </row>
    <row r="327" spans="1:19" x14ac:dyDescent="0.25">
      <c r="A327" s="128">
        <v>100000</v>
      </c>
      <c r="B327" s="128" t="s">
        <v>39</v>
      </c>
      <c r="C327" s="128" t="s">
        <v>40</v>
      </c>
      <c r="D327" s="128" t="s">
        <v>40</v>
      </c>
      <c r="E327" s="128" t="s">
        <v>3003</v>
      </c>
      <c r="F327" s="128" t="s">
        <v>3004</v>
      </c>
      <c r="G327" s="128">
        <v>4.5</v>
      </c>
      <c r="H327" s="128" t="s">
        <v>43</v>
      </c>
      <c r="I327" s="128" t="s">
        <v>3005</v>
      </c>
      <c r="J327" s="128" t="s">
        <v>1055</v>
      </c>
      <c r="K327" s="128" t="s">
        <v>2179</v>
      </c>
      <c r="L327" s="128" t="s">
        <v>1056</v>
      </c>
      <c r="M327" s="128" t="s">
        <v>46</v>
      </c>
      <c r="N327" s="128" t="s">
        <v>47</v>
      </c>
      <c r="O327" s="129">
        <v>40480</v>
      </c>
      <c r="P327" s="128"/>
      <c r="Q327" s="128"/>
      <c r="R327" s="128">
        <v>4.5</v>
      </c>
      <c r="S327" s="128" t="s">
        <v>48</v>
      </c>
    </row>
    <row r="328" spans="1:19" x14ac:dyDescent="0.25">
      <c r="A328" s="128">
        <v>101400</v>
      </c>
      <c r="B328" s="128" t="s">
        <v>39</v>
      </c>
      <c r="C328" s="128" t="s">
        <v>40</v>
      </c>
      <c r="D328" s="128" t="s">
        <v>40</v>
      </c>
      <c r="E328" s="128" t="s">
        <v>3042</v>
      </c>
      <c r="F328" s="128" t="s">
        <v>3043</v>
      </c>
      <c r="G328" s="128">
        <v>1.5</v>
      </c>
      <c r="H328" s="128" t="s">
        <v>162</v>
      </c>
      <c r="I328" s="128" t="s">
        <v>3044</v>
      </c>
      <c r="J328" s="128" t="s">
        <v>807</v>
      </c>
      <c r="K328" s="128" t="s">
        <v>599</v>
      </c>
      <c r="L328" s="128" t="s">
        <v>915</v>
      </c>
      <c r="M328" s="128" t="s">
        <v>57</v>
      </c>
      <c r="N328" s="128" t="s">
        <v>163</v>
      </c>
      <c r="O328" s="129">
        <v>40682</v>
      </c>
      <c r="P328" s="128"/>
      <c r="Q328" s="128"/>
      <c r="R328" s="128">
        <v>1.9</v>
      </c>
      <c r="S328" s="128" t="s">
        <v>48</v>
      </c>
    </row>
    <row r="329" spans="1:19" x14ac:dyDescent="0.25">
      <c r="A329" s="128">
        <v>71400</v>
      </c>
      <c r="B329" s="128" t="s">
        <v>39</v>
      </c>
      <c r="C329" s="128" t="s">
        <v>49</v>
      </c>
      <c r="D329" s="128" t="s">
        <v>40</v>
      </c>
      <c r="E329" s="128" t="s">
        <v>2211</v>
      </c>
      <c r="F329" s="128" t="s">
        <v>2212</v>
      </c>
      <c r="G329" s="128">
        <v>23.6</v>
      </c>
      <c r="H329" s="128" t="s">
        <v>43</v>
      </c>
      <c r="I329" s="128" t="s">
        <v>2213</v>
      </c>
      <c r="J329" s="128" t="s">
        <v>713</v>
      </c>
      <c r="K329" s="128" t="s">
        <v>599</v>
      </c>
      <c r="L329" s="128" t="s">
        <v>259</v>
      </c>
      <c r="M329" s="128" t="s">
        <v>212</v>
      </c>
      <c r="N329" s="128" t="s">
        <v>213</v>
      </c>
      <c r="O329" s="129">
        <v>34608</v>
      </c>
      <c r="P329" s="128"/>
      <c r="Q329" s="128"/>
      <c r="R329" s="128">
        <v>11.5</v>
      </c>
      <c r="S329" s="128" t="s">
        <v>48</v>
      </c>
    </row>
    <row r="330" spans="1:19" x14ac:dyDescent="0.25">
      <c r="A330" s="128">
        <v>32300</v>
      </c>
      <c r="B330" s="128" t="s">
        <v>39</v>
      </c>
      <c r="C330" s="128" t="s">
        <v>40</v>
      </c>
      <c r="D330" s="128" t="s">
        <v>40</v>
      </c>
      <c r="E330" s="128" t="s">
        <v>1320</v>
      </c>
      <c r="F330" s="128" t="s">
        <v>1321</v>
      </c>
      <c r="G330" s="128">
        <v>1.5</v>
      </c>
      <c r="H330" s="128" t="s">
        <v>43</v>
      </c>
      <c r="I330" s="128" t="s">
        <v>6</v>
      </c>
      <c r="J330" s="128" t="s">
        <v>44</v>
      </c>
      <c r="K330" s="128" t="s">
        <v>44</v>
      </c>
      <c r="L330" s="128" t="s">
        <v>45</v>
      </c>
      <c r="M330" s="128" t="s">
        <v>46</v>
      </c>
      <c r="N330" s="128" t="s">
        <v>47</v>
      </c>
      <c r="O330" s="129">
        <v>31413</v>
      </c>
      <c r="P330" s="128"/>
      <c r="Q330" s="128"/>
      <c r="R330" s="128">
        <v>1.5</v>
      </c>
      <c r="S330" s="128" t="s">
        <v>48</v>
      </c>
    </row>
    <row r="331" spans="1:19" x14ac:dyDescent="0.25">
      <c r="A331" s="128">
        <v>83200</v>
      </c>
      <c r="B331" s="128" t="s">
        <v>39</v>
      </c>
      <c r="C331" s="128" t="s">
        <v>40</v>
      </c>
      <c r="D331" s="128" t="s">
        <v>40</v>
      </c>
      <c r="E331" s="128" t="s">
        <v>2659</v>
      </c>
      <c r="F331" s="128" t="s">
        <v>2660</v>
      </c>
      <c r="G331" s="128">
        <v>86</v>
      </c>
      <c r="H331" s="128" t="s">
        <v>43</v>
      </c>
      <c r="I331" s="128" t="s">
        <v>2661</v>
      </c>
      <c r="J331" s="128" t="s">
        <v>314</v>
      </c>
      <c r="K331" s="128" t="s">
        <v>599</v>
      </c>
      <c r="L331" s="128" t="s">
        <v>259</v>
      </c>
      <c r="M331" s="128" t="s">
        <v>46</v>
      </c>
      <c r="N331" s="128" t="s">
        <v>47</v>
      </c>
      <c r="O331" s="129">
        <v>37771</v>
      </c>
      <c r="P331" s="128"/>
      <c r="Q331" s="128"/>
      <c r="R331" s="128">
        <v>85</v>
      </c>
      <c r="S331" s="128" t="s">
        <v>48</v>
      </c>
    </row>
    <row r="332" spans="1:19" x14ac:dyDescent="0.25">
      <c r="A332" s="128">
        <v>83300</v>
      </c>
      <c r="B332" s="128" t="s">
        <v>39</v>
      </c>
      <c r="C332" s="128" t="s">
        <v>40</v>
      </c>
      <c r="D332" s="128" t="s">
        <v>40</v>
      </c>
      <c r="E332" s="128" t="s">
        <v>2662</v>
      </c>
      <c r="F332" s="128" t="s">
        <v>2663</v>
      </c>
      <c r="G332" s="128">
        <v>86</v>
      </c>
      <c r="H332" s="128" t="s">
        <v>43</v>
      </c>
      <c r="I332" s="128" t="s">
        <v>2661</v>
      </c>
      <c r="J332" s="128" t="s">
        <v>314</v>
      </c>
      <c r="K332" s="128" t="s">
        <v>599</v>
      </c>
      <c r="L332" s="128" t="s">
        <v>259</v>
      </c>
      <c r="M332" s="128" t="s">
        <v>46</v>
      </c>
      <c r="N332" s="128" t="s">
        <v>47</v>
      </c>
      <c r="O332" s="129">
        <v>37771</v>
      </c>
      <c r="P332" s="128"/>
      <c r="Q332" s="128"/>
      <c r="R332" s="128">
        <v>85</v>
      </c>
      <c r="S332" s="128" t="s">
        <v>48</v>
      </c>
    </row>
    <row r="333" spans="1:19" x14ac:dyDescent="0.25">
      <c r="A333" s="128">
        <v>32500</v>
      </c>
      <c r="B333" s="128" t="s">
        <v>39</v>
      </c>
      <c r="C333" s="128" t="s">
        <v>40</v>
      </c>
      <c r="D333" s="128" t="s">
        <v>40</v>
      </c>
      <c r="E333" s="128" t="s">
        <v>159</v>
      </c>
      <c r="F333" s="128" t="s">
        <v>160</v>
      </c>
      <c r="G333" s="128">
        <v>6.4</v>
      </c>
      <c r="H333" s="128" t="s">
        <v>7</v>
      </c>
      <c r="I333" s="128" t="s">
        <v>6</v>
      </c>
      <c r="J333" s="128" t="s">
        <v>44</v>
      </c>
      <c r="K333" s="128" t="s">
        <v>44</v>
      </c>
      <c r="L333" s="128" t="s">
        <v>45</v>
      </c>
      <c r="M333" s="128" t="s">
        <v>57</v>
      </c>
      <c r="N333" s="128" t="s">
        <v>58</v>
      </c>
      <c r="O333" s="129">
        <v>5115</v>
      </c>
      <c r="P333" s="128"/>
      <c r="Q333" s="128"/>
      <c r="R333" s="128">
        <v>6.4</v>
      </c>
      <c r="S333" s="128" t="s">
        <v>48</v>
      </c>
    </row>
    <row r="334" spans="1:19" ht="43.5" x14ac:dyDescent="0.25">
      <c r="A334" s="128">
        <v>32600</v>
      </c>
      <c r="B334" s="128" t="s">
        <v>39</v>
      </c>
      <c r="C334" s="128" t="s">
        <v>40</v>
      </c>
      <c r="D334" s="128" t="s">
        <v>40</v>
      </c>
      <c r="E334" s="128" t="s">
        <v>104</v>
      </c>
      <c r="F334" s="128" t="s">
        <v>105</v>
      </c>
      <c r="G334" s="128">
        <v>2.5</v>
      </c>
      <c r="H334" s="128" t="s">
        <v>7</v>
      </c>
      <c r="I334" s="128" t="s">
        <v>7</v>
      </c>
      <c r="J334" s="128" t="s">
        <v>44</v>
      </c>
      <c r="K334" s="128" t="s">
        <v>44</v>
      </c>
      <c r="L334" s="128" t="s">
        <v>45</v>
      </c>
      <c r="M334" s="128" t="s">
        <v>57</v>
      </c>
      <c r="N334" s="128" t="s">
        <v>58</v>
      </c>
      <c r="O334" s="129">
        <v>3289</v>
      </c>
      <c r="P334" s="128" t="s">
        <v>59</v>
      </c>
      <c r="Q334" s="128"/>
      <c r="R334" s="128">
        <v>2.52</v>
      </c>
      <c r="S334" s="128" t="s">
        <v>48</v>
      </c>
    </row>
    <row r="335" spans="1:19" ht="86.25" x14ac:dyDescent="0.25">
      <c r="A335" s="128">
        <v>103400</v>
      </c>
      <c r="B335" s="128" t="s">
        <v>39</v>
      </c>
      <c r="C335" s="128" t="s">
        <v>40</v>
      </c>
      <c r="D335" s="128" t="s">
        <v>40</v>
      </c>
      <c r="E335" s="128" t="s">
        <v>3094</v>
      </c>
      <c r="F335" s="128" t="s">
        <v>3095</v>
      </c>
      <c r="G335" s="128">
        <v>1.63</v>
      </c>
      <c r="H335" s="128" t="s">
        <v>43</v>
      </c>
      <c r="I335" s="128" t="s">
        <v>3096</v>
      </c>
      <c r="J335" s="128" t="s">
        <v>44</v>
      </c>
      <c r="K335" s="128" t="s">
        <v>44</v>
      </c>
      <c r="L335" s="128" t="s">
        <v>45</v>
      </c>
      <c r="M335" s="128" t="s">
        <v>46</v>
      </c>
      <c r="N335" s="128" t="s">
        <v>47</v>
      </c>
      <c r="O335" s="129">
        <v>40848</v>
      </c>
      <c r="P335" s="128" t="s">
        <v>3097</v>
      </c>
      <c r="Q335" s="128"/>
      <c r="R335" s="128">
        <v>1.8</v>
      </c>
      <c r="S335" s="128" t="s">
        <v>48</v>
      </c>
    </row>
    <row r="336" spans="1:19" ht="29.25" x14ac:dyDescent="0.25">
      <c r="A336" s="128">
        <v>97900</v>
      </c>
      <c r="B336" s="128" t="s">
        <v>39</v>
      </c>
      <c r="C336" s="128" t="s">
        <v>49</v>
      </c>
      <c r="D336" s="128" t="s">
        <v>40</v>
      </c>
      <c r="E336" s="128" t="s">
        <v>2953</v>
      </c>
      <c r="F336" s="128" t="s">
        <v>2954</v>
      </c>
      <c r="G336" s="128">
        <v>1.57</v>
      </c>
      <c r="H336" s="128" t="s">
        <v>7</v>
      </c>
      <c r="I336" s="128" t="s">
        <v>2955</v>
      </c>
      <c r="J336" s="128" t="s">
        <v>807</v>
      </c>
      <c r="K336" s="128" t="s">
        <v>599</v>
      </c>
      <c r="L336" s="128" t="s">
        <v>915</v>
      </c>
      <c r="M336" s="128" t="s">
        <v>57</v>
      </c>
      <c r="N336" s="128" t="s">
        <v>58</v>
      </c>
      <c r="O336" s="129">
        <v>40050</v>
      </c>
      <c r="P336" s="128"/>
      <c r="Q336" s="128"/>
      <c r="R336" s="128">
        <v>2.8</v>
      </c>
      <c r="S336" s="128" t="s">
        <v>48</v>
      </c>
    </row>
    <row r="337" spans="1:19" x14ac:dyDescent="0.25">
      <c r="A337" s="128">
        <v>32900</v>
      </c>
      <c r="B337" s="128" t="s">
        <v>39</v>
      </c>
      <c r="C337" s="128" t="s">
        <v>40</v>
      </c>
      <c r="D337" s="128" t="s">
        <v>40</v>
      </c>
      <c r="E337" s="128" t="s">
        <v>780</v>
      </c>
      <c r="F337" s="128" t="s">
        <v>781</v>
      </c>
      <c r="G337" s="128">
        <v>9.1</v>
      </c>
      <c r="H337" s="128" t="s">
        <v>43</v>
      </c>
      <c r="I337" s="128" t="s">
        <v>6</v>
      </c>
      <c r="J337" s="128" t="s">
        <v>44</v>
      </c>
      <c r="K337" s="128" t="s">
        <v>44</v>
      </c>
      <c r="L337" s="128" t="s">
        <v>45</v>
      </c>
      <c r="M337" s="128" t="s">
        <v>46</v>
      </c>
      <c r="N337" s="128" t="s">
        <v>47</v>
      </c>
      <c r="O337" s="129">
        <v>29221</v>
      </c>
      <c r="P337" s="128"/>
      <c r="Q337" s="128"/>
      <c r="R337" s="128">
        <v>9.1</v>
      </c>
      <c r="S337" s="128" t="s">
        <v>48</v>
      </c>
    </row>
    <row r="338" spans="1:19" x14ac:dyDescent="0.25">
      <c r="A338" s="128">
        <v>33000</v>
      </c>
      <c r="B338" s="128" t="s">
        <v>39</v>
      </c>
      <c r="C338" s="128" t="s">
        <v>40</v>
      </c>
      <c r="D338" s="128" t="s">
        <v>40</v>
      </c>
      <c r="E338" s="128" t="s">
        <v>794</v>
      </c>
      <c r="F338" s="128" t="s">
        <v>795</v>
      </c>
      <c r="G338" s="128">
        <v>1</v>
      </c>
      <c r="H338" s="128" t="s">
        <v>43</v>
      </c>
      <c r="I338" s="128" t="s">
        <v>6</v>
      </c>
      <c r="J338" s="128" t="s">
        <v>44</v>
      </c>
      <c r="K338" s="128" t="s">
        <v>44</v>
      </c>
      <c r="L338" s="128" t="s">
        <v>45</v>
      </c>
      <c r="M338" s="128" t="s">
        <v>46</v>
      </c>
      <c r="N338" s="128" t="s">
        <v>47</v>
      </c>
      <c r="O338" s="129">
        <v>29587</v>
      </c>
      <c r="P338" s="128"/>
      <c r="Q338" s="128"/>
      <c r="R338" s="128">
        <v>1</v>
      </c>
      <c r="S338" s="128" t="s">
        <v>48</v>
      </c>
    </row>
    <row r="339" spans="1:19" ht="29.25" x14ac:dyDescent="0.25">
      <c r="A339" s="128">
        <v>32800</v>
      </c>
      <c r="B339" s="128" t="s">
        <v>39</v>
      </c>
      <c r="C339" s="128" t="s">
        <v>40</v>
      </c>
      <c r="D339" s="128" t="s">
        <v>40</v>
      </c>
      <c r="E339" s="128" t="s">
        <v>2563</v>
      </c>
      <c r="F339" s="128" t="s">
        <v>2564</v>
      </c>
      <c r="G339" s="128">
        <v>50.61</v>
      </c>
      <c r="H339" s="128" t="s">
        <v>43</v>
      </c>
      <c r="I339" s="128" t="s">
        <v>2565</v>
      </c>
      <c r="J339" s="128" t="s">
        <v>314</v>
      </c>
      <c r="K339" s="128" t="s">
        <v>599</v>
      </c>
      <c r="L339" s="128" t="s">
        <v>259</v>
      </c>
      <c r="M339" s="128" t="s">
        <v>46</v>
      </c>
      <c r="N339" s="128" t="s">
        <v>47</v>
      </c>
      <c r="O339" s="129">
        <v>37428</v>
      </c>
      <c r="P339" s="128"/>
      <c r="Q339" s="128"/>
      <c r="R339" s="128">
        <v>48.49</v>
      </c>
      <c r="S339" s="128" t="s">
        <v>48</v>
      </c>
    </row>
    <row r="340" spans="1:19" x14ac:dyDescent="0.25">
      <c r="A340" s="128">
        <v>98300</v>
      </c>
      <c r="B340" s="128" t="s">
        <v>39</v>
      </c>
      <c r="C340" s="128" t="s">
        <v>40</v>
      </c>
      <c r="D340" s="128" t="s">
        <v>40</v>
      </c>
      <c r="E340" s="128" t="s">
        <v>2964</v>
      </c>
      <c r="F340" s="128" t="s">
        <v>2965</v>
      </c>
      <c r="G340" s="128">
        <v>2.5</v>
      </c>
      <c r="H340" s="128" t="s">
        <v>43</v>
      </c>
      <c r="I340" s="128" t="s">
        <v>6</v>
      </c>
      <c r="J340" s="128" t="s">
        <v>1055</v>
      </c>
      <c r="K340" s="128" t="s">
        <v>2179</v>
      </c>
      <c r="L340" s="128" t="s">
        <v>1056</v>
      </c>
      <c r="M340" s="128" t="s">
        <v>46</v>
      </c>
      <c r="N340" s="128" t="s">
        <v>1455</v>
      </c>
      <c r="O340" s="129">
        <v>40170</v>
      </c>
      <c r="P340" s="128"/>
      <c r="Q340" s="128"/>
      <c r="R340" s="128">
        <v>2</v>
      </c>
      <c r="S340" s="128" t="s">
        <v>48</v>
      </c>
    </row>
    <row r="341" spans="1:19" x14ac:dyDescent="0.25">
      <c r="A341" s="128">
        <v>89200</v>
      </c>
      <c r="B341" s="128" t="s">
        <v>39</v>
      </c>
      <c r="C341" s="128" t="s">
        <v>40</v>
      </c>
      <c r="D341" s="128" t="s">
        <v>40</v>
      </c>
      <c r="E341" s="128" t="s">
        <v>2711</v>
      </c>
      <c r="F341" s="128" t="s">
        <v>2712</v>
      </c>
      <c r="G341" s="128">
        <v>1.32</v>
      </c>
      <c r="H341" s="128" t="s">
        <v>7</v>
      </c>
      <c r="I341" s="128" t="s">
        <v>2713</v>
      </c>
      <c r="J341" s="128" t="s">
        <v>800</v>
      </c>
      <c r="K341" s="128" t="s">
        <v>800</v>
      </c>
      <c r="L341" s="128" t="s">
        <v>800</v>
      </c>
      <c r="M341" s="128" t="s">
        <v>57</v>
      </c>
      <c r="N341" s="128" t="s">
        <v>58</v>
      </c>
      <c r="O341" s="129">
        <v>37985</v>
      </c>
      <c r="P341" s="128"/>
      <c r="Q341" s="128"/>
      <c r="R341" s="128">
        <v>1.32</v>
      </c>
      <c r="S341" s="128" t="s">
        <v>48</v>
      </c>
    </row>
    <row r="342" spans="1:19" ht="29.25" x14ac:dyDescent="0.25">
      <c r="A342" s="128">
        <v>82600</v>
      </c>
      <c r="B342" s="128" t="s">
        <v>39</v>
      </c>
      <c r="C342" s="128" t="s">
        <v>40</v>
      </c>
      <c r="D342" s="128" t="s">
        <v>40</v>
      </c>
      <c r="E342" s="128" t="s">
        <v>2635</v>
      </c>
      <c r="F342" s="128" t="s">
        <v>2636</v>
      </c>
      <c r="G342" s="128">
        <v>46.9</v>
      </c>
      <c r="H342" s="128" t="s">
        <v>43</v>
      </c>
      <c r="I342" s="128" t="s">
        <v>2637</v>
      </c>
      <c r="J342" s="128" t="s">
        <v>314</v>
      </c>
      <c r="K342" s="128" t="s">
        <v>599</v>
      </c>
      <c r="L342" s="128" t="s">
        <v>259</v>
      </c>
      <c r="M342" s="128" t="s">
        <v>46</v>
      </c>
      <c r="N342" s="128" t="s">
        <v>47</v>
      </c>
      <c r="O342" s="129">
        <v>37702</v>
      </c>
      <c r="P342" s="128"/>
      <c r="Q342" s="128"/>
      <c r="R342" s="128">
        <v>49.9</v>
      </c>
      <c r="S342" s="128" t="s">
        <v>48</v>
      </c>
    </row>
    <row r="343" spans="1:19" ht="29.25" x14ac:dyDescent="0.25">
      <c r="A343" s="128">
        <v>75300</v>
      </c>
      <c r="B343" s="128" t="s">
        <v>39</v>
      </c>
      <c r="C343" s="128" t="s">
        <v>49</v>
      </c>
      <c r="D343" s="128" t="s">
        <v>40</v>
      </c>
      <c r="E343" s="128" t="s">
        <v>1903</v>
      </c>
      <c r="F343" s="128" t="s">
        <v>1904</v>
      </c>
      <c r="G343" s="128">
        <v>28.8</v>
      </c>
      <c r="H343" s="128" t="s">
        <v>43</v>
      </c>
      <c r="I343" s="128" t="s">
        <v>1905</v>
      </c>
      <c r="J343" s="128" t="s">
        <v>807</v>
      </c>
      <c r="K343" s="128" t="s">
        <v>385</v>
      </c>
      <c r="L343" s="128" t="s">
        <v>808</v>
      </c>
      <c r="M343" s="128" t="s">
        <v>46</v>
      </c>
      <c r="N343" s="128" t="s">
        <v>47</v>
      </c>
      <c r="O343" s="129">
        <v>32751</v>
      </c>
      <c r="P343" s="128"/>
      <c r="Q343" s="128"/>
      <c r="R343" s="128">
        <v>28</v>
      </c>
      <c r="S343" s="128" t="s">
        <v>48</v>
      </c>
    </row>
    <row r="344" spans="1:19" x14ac:dyDescent="0.25">
      <c r="A344" s="128">
        <v>33200</v>
      </c>
      <c r="B344" s="128" t="s">
        <v>39</v>
      </c>
      <c r="C344" s="128" t="s">
        <v>40</v>
      </c>
      <c r="D344" s="128" t="s">
        <v>40</v>
      </c>
      <c r="E344" s="128" t="s">
        <v>360</v>
      </c>
      <c r="F344" s="128" t="s">
        <v>361</v>
      </c>
      <c r="G344" s="128">
        <v>14</v>
      </c>
      <c r="H344" s="128" t="s">
        <v>43</v>
      </c>
      <c r="I344" s="128" t="s">
        <v>6</v>
      </c>
      <c r="J344" s="128" t="s">
        <v>44</v>
      </c>
      <c r="K344" s="128" t="s">
        <v>44</v>
      </c>
      <c r="L344" s="128" t="s">
        <v>45</v>
      </c>
      <c r="M344" s="128" t="s">
        <v>46</v>
      </c>
      <c r="N344" s="128" t="s">
        <v>47</v>
      </c>
      <c r="O344" s="129">
        <v>17533</v>
      </c>
      <c r="P344" s="128"/>
      <c r="Q344" s="128" t="s">
        <v>293</v>
      </c>
      <c r="R344" s="128">
        <v>14</v>
      </c>
      <c r="S344" s="128" t="s">
        <v>48</v>
      </c>
    </row>
    <row r="345" spans="1:19" ht="43.5" x14ac:dyDescent="0.25">
      <c r="A345" s="128">
        <v>102400</v>
      </c>
      <c r="B345" s="128" t="s">
        <v>39</v>
      </c>
      <c r="C345" s="128" t="s">
        <v>40</v>
      </c>
      <c r="D345" s="128" t="s">
        <v>40</v>
      </c>
      <c r="E345" s="128" t="s">
        <v>3068</v>
      </c>
      <c r="F345" s="128" t="s">
        <v>3069</v>
      </c>
      <c r="G345" s="128">
        <v>15</v>
      </c>
      <c r="H345" s="128" t="s">
        <v>43</v>
      </c>
      <c r="I345" s="128" t="s">
        <v>3070</v>
      </c>
      <c r="J345" s="128" t="s">
        <v>1055</v>
      </c>
      <c r="K345" s="128" t="s">
        <v>2179</v>
      </c>
      <c r="L345" s="128" t="s">
        <v>1056</v>
      </c>
      <c r="M345" s="128" t="s">
        <v>46</v>
      </c>
      <c r="N345" s="128" t="s">
        <v>1455</v>
      </c>
      <c r="O345" s="129">
        <v>40799</v>
      </c>
      <c r="P345" s="128" t="s">
        <v>3071</v>
      </c>
      <c r="Q345" s="128"/>
      <c r="R345" s="128">
        <v>15</v>
      </c>
      <c r="S345" s="128" t="s">
        <v>48</v>
      </c>
    </row>
    <row r="346" spans="1:19" ht="29.25" x14ac:dyDescent="0.25">
      <c r="A346" s="128">
        <v>33500</v>
      </c>
      <c r="B346" s="128" t="s">
        <v>39</v>
      </c>
      <c r="C346" s="128" t="s">
        <v>40</v>
      </c>
      <c r="D346" s="128" t="s">
        <v>40</v>
      </c>
      <c r="E346" s="128" t="s">
        <v>2595</v>
      </c>
      <c r="F346" s="128" t="s">
        <v>2596</v>
      </c>
      <c r="G346" s="128">
        <v>61.5</v>
      </c>
      <c r="H346" s="128" t="s">
        <v>7</v>
      </c>
      <c r="I346" s="128" t="s">
        <v>2597</v>
      </c>
      <c r="J346" s="128" t="s">
        <v>800</v>
      </c>
      <c r="K346" s="128" t="s">
        <v>800</v>
      </c>
      <c r="L346" s="128" t="s">
        <v>800</v>
      </c>
      <c r="M346" s="128" t="s">
        <v>57</v>
      </c>
      <c r="N346" s="128" t="s">
        <v>58</v>
      </c>
      <c r="O346" s="129">
        <v>37499</v>
      </c>
      <c r="P346" s="128"/>
      <c r="Q346" s="128"/>
      <c r="R346" s="128">
        <v>61.5</v>
      </c>
      <c r="S346" s="128" t="s">
        <v>48</v>
      </c>
    </row>
    <row r="347" spans="1:19" x14ac:dyDescent="0.25">
      <c r="A347" s="128">
        <v>33600</v>
      </c>
      <c r="B347" s="128" t="s">
        <v>39</v>
      </c>
      <c r="C347" s="128" t="s">
        <v>40</v>
      </c>
      <c r="D347" s="128" t="s">
        <v>40</v>
      </c>
      <c r="E347" s="128" t="s">
        <v>176</v>
      </c>
      <c r="F347" s="128" t="s">
        <v>177</v>
      </c>
      <c r="G347" s="128">
        <v>14.5</v>
      </c>
      <c r="H347" s="128" t="s">
        <v>43</v>
      </c>
      <c r="I347" s="128" t="s">
        <v>6</v>
      </c>
      <c r="J347" s="128" t="s">
        <v>44</v>
      </c>
      <c r="K347" s="128" t="s">
        <v>44</v>
      </c>
      <c r="L347" s="128" t="s">
        <v>45</v>
      </c>
      <c r="M347" s="128" t="s">
        <v>46</v>
      </c>
      <c r="N347" s="128" t="s">
        <v>178</v>
      </c>
      <c r="O347" s="129">
        <v>6211</v>
      </c>
      <c r="P347" s="128"/>
      <c r="Q347" s="128" t="s">
        <v>148</v>
      </c>
      <c r="R347" s="128">
        <v>14.5</v>
      </c>
      <c r="S347" s="128" t="s">
        <v>48</v>
      </c>
    </row>
    <row r="348" spans="1:19" x14ac:dyDescent="0.25">
      <c r="A348" s="128">
        <v>33700</v>
      </c>
      <c r="B348" s="128" t="s">
        <v>39</v>
      </c>
      <c r="C348" s="128" t="s">
        <v>40</v>
      </c>
      <c r="D348" s="128" t="s">
        <v>40</v>
      </c>
      <c r="E348" s="128" t="s">
        <v>1322</v>
      </c>
      <c r="F348" s="128" t="s">
        <v>1323</v>
      </c>
      <c r="G348" s="128">
        <v>3.2</v>
      </c>
      <c r="H348" s="128" t="s">
        <v>43</v>
      </c>
      <c r="I348" s="128" t="s">
        <v>6</v>
      </c>
      <c r="J348" s="128" t="s">
        <v>44</v>
      </c>
      <c r="K348" s="128" t="s">
        <v>44</v>
      </c>
      <c r="L348" s="128" t="s">
        <v>45</v>
      </c>
      <c r="M348" s="128" t="s">
        <v>46</v>
      </c>
      <c r="N348" s="128" t="s">
        <v>178</v>
      </c>
      <c r="O348" s="129">
        <v>31413</v>
      </c>
      <c r="P348" s="128"/>
      <c r="Q348" s="128" t="s">
        <v>148</v>
      </c>
      <c r="R348" s="128">
        <v>3.2</v>
      </c>
      <c r="S348" s="128" t="s">
        <v>48</v>
      </c>
    </row>
    <row r="349" spans="1:19" x14ac:dyDescent="0.25">
      <c r="A349" s="128">
        <v>33900</v>
      </c>
      <c r="B349" s="128" t="s">
        <v>39</v>
      </c>
      <c r="C349" s="128" t="s">
        <v>40</v>
      </c>
      <c r="D349" s="128" t="s">
        <v>40</v>
      </c>
      <c r="E349" s="128" t="s">
        <v>488</v>
      </c>
      <c r="F349" s="128" t="s">
        <v>489</v>
      </c>
      <c r="G349" s="128">
        <v>60</v>
      </c>
      <c r="H349" s="128" t="s">
        <v>43</v>
      </c>
      <c r="I349" s="128" t="s">
        <v>479</v>
      </c>
      <c r="J349" s="128" t="s">
        <v>44</v>
      </c>
      <c r="K349" s="128" t="s">
        <v>44</v>
      </c>
      <c r="L349" s="128" t="s">
        <v>45</v>
      </c>
      <c r="M349" s="128" t="s">
        <v>46</v>
      </c>
      <c r="N349" s="128" t="s">
        <v>47</v>
      </c>
      <c r="O349" s="129">
        <v>23012</v>
      </c>
      <c r="P349" s="128"/>
      <c r="Q349" s="128" t="s">
        <v>480</v>
      </c>
      <c r="R349" s="128">
        <v>60</v>
      </c>
      <c r="S349" s="128" t="s">
        <v>48</v>
      </c>
    </row>
    <row r="350" spans="1:19" ht="57.75" x14ac:dyDescent="0.25">
      <c r="A350" s="128">
        <v>58705</v>
      </c>
      <c r="B350" s="128" t="s">
        <v>39</v>
      </c>
      <c r="C350" s="128" t="s">
        <v>40</v>
      </c>
      <c r="D350" s="128" t="s">
        <v>40</v>
      </c>
      <c r="E350" s="128" t="s">
        <v>796</v>
      </c>
      <c r="F350" s="128" t="s">
        <v>797</v>
      </c>
      <c r="G350" s="128">
        <v>5.0999999999999996</v>
      </c>
      <c r="H350" s="128" t="s">
        <v>7</v>
      </c>
      <c r="I350" s="128" t="s">
        <v>787</v>
      </c>
      <c r="J350" s="128" t="s">
        <v>44</v>
      </c>
      <c r="K350" s="128" t="s">
        <v>44</v>
      </c>
      <c r="L350" s="128" t="s">
        <v>45</v>
      </c>
      <c r="M350" s="128" t="s">
        <v>57</v>
      </c>
      <c r="N350" s="128" t="s">
        <v>58</v>
      </c>
      <c r="O350" s="129">
        <v>29587</v>
      </c>
      <c r="P350" s="128" t="s">
        <v>777</v>
      </c>
      <c r="Q350" s="128"/>
      <c r="R350" s="128">
        <v>5.0999999999999996</v>
      </c>
      <c r="S350" s="128" t="s">
        <v>48</v>
      </c>
    </row>
    <row r="351" spans="1:19" x14ac:dyDescent="0.25">
      <c r="A351" s="128">
        <v>34000</v>
      </c>
      <c r="B351" s="128" t="s">
        <v>39</v>
      </c>
      <c r="C351" s="128" t="s">
        <v>40</v>
      </c>
      <c r="D351" s="128" t="s">
        <v>40</v>
      </c>
      <c r="E351" s="128" t="s">
        <v>2586</v>
      </c>
      <c r="F351" s="128" t="s">
        <v>2587</v>
      </c>
      <c r="G351" s="128">
        <v>46</v>
      </c>
      <c r="H351" s="128" t="s">
        <v>43</v>
      </c>
      <c r="I351" s="128" t="s">
        <v>2588</v>
      </c>
      <c r="J351" s="128" t="s">
        <v>314</v>
      </c>
      <c r="K351" s="128" t="s">
        <v>599</v>
      </c>
      <c r="L351" s="128" t="s">
        <v>259</v>
      </c>
      <c r="M351" s="128" t="s">
        <v>46</v>
      </c>
      <c r="N351" s="128" t="s">
        <v>47</v>
      </c>
      <c r="O351" s="129">
        <v>37463</v>
      </c>
      <c r="P351" s="128"/>
      <c r="Q351" s="128"/>
      <c r="R351" s="128">
        <v>49.9</v>
      </c>
      <c r="S351" s="128" t="s">
        <v>48</v>
      </c>
    </row>
    <row r="352" spans="1:19" x14ac:dyDescent="0.25">
      <c r="A352" s="128">
        <v>34100</v>
      </c>
      <c r="B352" s="128" t="s">
        <v>106</v>
      </c>
      <c r="C352" s="128" t="s">
        <v>49</v>
      </c>
      <c r="D352" s="128" t="s">
        <v>40</v>
      </c>
      <c r="E352" s="128" t="s">
        <v>2065</v>
      </c>
      <c r="F352" s="128" t="s">
        <v>2066</v>
      </c>
      <c r="G352" s="128">
        <v>118.32</v>
      </c>
      <c r="H352" s="128" t="s">
        <v>7</v>
      </c>
      <c r="I352" s="128">
        <v>2071</v>
      </c>
      <c r="J352" s="128" t="s">
        <v>713</v>
      </c>
      <c r="K352" s="128" t="s">
        <v>385</v>
      </c>
      <c r="L352" s="128" t="s">
        <v>956</v>
      </c>
      <c r="M352" s="128" t="s">
        <v>57</v>
      </c>
      <c r="N352" s="128" t="s">
        <v>58</v>
      </c>
      <c r="O352" s="129">
        <v>33136</v>
      </c>
      <c r="P352" s="128"/>
      <c r="Q352" s="128"/>
      <c r="R352" s="128">
        <v>96</v>
      </c>
      <c r="S352" s="128" t="s">
        <v>48</v>
      </c>
    </row>
    <row r="353" spans="1:19" x14ac:dyDescent="0.25">
      <c r="A353" s="128">
        <v>60600</v>
      </c>
      <c r="B353" s="128" t="s">
        <v>106</v>
      </c>
      <c r="C353" s="128" t="s">
        <v>49</v>
      </c>
      <c r="D353" s="128" t="s">
        <v>40</v>
      </c>
      <c r="E353" s="128" t="s">
        <v>1805</v>
      </c>
      <c r="F353" s="128" t="s">
        <v>1806</v>
      </c>
      <c r="G353" s="128">
        <v>2.58</v>
      </c>
      <c r="H353" s="128" t="s">
        <v>162</v>
      </c>
      <c r="I353" s="128">
        <v>162</v>
      </c>
      <c r="J353" s="128" t="s">
        <v>713</v>
      </c>
      <c r="K353" s="128" t="s">
        <v>385</v>
      </c>
      <c r="L353" s="128" t="s">
        <v>731</v>
      </c>
      <c r="M353" s="128" t="s">
        <v>57</v>
      </c>
      <c r="N353" s="128" t="s">
        <v>163</v>
      </c>
      <c r="O353" s="129">
        <v>32509</v>
      </c>
      <c r="P353" s="128"/>
      <c r="Q353" s="128"/>
      <c r="R353" s="128">
        <v>2.58</v>
      </c>
      <c r="S353" s="128" t="s">
        <v>48</v>
      </c>
    </row>
    <row r="354" spans="1:19" x14ac:dyDescent="0.25">
      <c r="A354" s="128">
        <v>34200</v>
      </c>
      <c r="B354" s="128" t="s">
        <v>106</v>
      </c>
      <c r="C354" s="128" t="s">
        <v>49</v>
      </c>
      <c r="D354" s="128" t="s">
        <v>40</v>
      </c>
      <c r="E354" s="128" t="s">
        <v>1727</v>
      </c>
      <c r="F354" s="128" t="s">
        <v>1728</v>
      </c>
      <c r="G354" s="128">
        <v>12.5</v>
      </c>
      <c r="H354" s="128" t="s">
        <v>43</v>
      </c>
      <c r="I354" s="128" t="s">
        <v>1729</v>
      </c>
      <c r="J354" s="128" t="s">
        <v>713</v>
      </c>
      <c r="K354" s="128"/>
      <c r="L354" s="128" t="s">
        <v>259</v>
      </c>
      <c r="M354" s="128" t="s">
        <v>46</v>
      </c>
      <c r="N354" s="128" t="s">
        <v>47</v>
      </c>
      <c r="O354" s="129">
        <v>32297</v>
      </c>
      <c r="P354" s="128"/>
      <c r="Q354" s="128"/>
      <c r="R354" s="128">
        <v>12.5</v>
      </c>
      <c r="S354" s="128" t="s">
        <v>48</v>
      </c>
    </row>
    <row r="355" spans="1:19" ht="29.25" x14ac:dyDescent="0.25">
      <c r="A355" s="128">
        <v>83400</v>
      </c>
      <c r="B355" s="128" t="s">
        <v>106</v>
      </c>
      <c r="C355" s="128" t="s">
        <v>40</v>
      </c>
      <c r="D355" s="128" t="s">
        <v>40</v>
      </c>
      <c r="E355" s="128" t="s">
        <v>2664</v>
      </c>
      <c r="F355" s="128" t="s">
        <v>2665</v>
      </c>
      <c r="G355" s="128">
        <v>43</v>
      </c>
      <c r="H355" s="128" t="s">
        <v>7</v>
      </c>
      <c r="I355" s="128" t="s">
        <v>2666</v>
      </c>
      <c r="J355" s="128" t="s">
        <v>314</v>
      </c>
      <c r="K355" s="128" t="s">
        <v>599</v>
      </c>
      <c r="L355" s="128" t="s">
        <v>259</v>
      </c>
      <c r="M355" s="128" t="s">
        <v>57</v>
      </c>
      <c r="N355" s="128" t="s">
        <v>58</v>
      </c>
      <c r="O355" s="129">
        <v>37799</v>
      </c>
      <c r="P355" s="128"/>
      <c r="Q355" s="128"/>
      <c r="R355" s="128">
        <v>43</v>
      </c>
      <c r="S355" s="128" t="s">
        <v>48</v>
      </c>
    </row>
    <row r="356" spans="1:19" ht="29.25" x14ac:dyDescent="0.25">
      <c r="A356" s="128">
        <v>34400</v>
      </c>
      <c r="B356" s="128" t="s">
        <v>106</v>
      </c>
      <c r="C356" s="128" t="s">
        <v>49</v>
      </c>
      <c r="D356" s="128" t="s">
        <v>40</v>
      </c>
      <c r="E356" s="128" t="s">
        <v>2044</v>
      </c>
      <c r="F356" s="128" t="s">
        <v>2045</v>
      </c>
      <c r="G356" s="128">
        <v>7.48</v>
      </c>
      <c r="H356" s="128" t="s">
        <v>43</v>
      </c>
      <c r="I356" s="128" t="s">
        <v>2046</v>
      </c>
      <c r="J356" s="128" t="s">
        <v>713</v>
      </c>
      <c r="K356" s="128"/>
      <c r="L356" s="128" t="s">
        <v>259</v>
      </c>
      <c r="M356" s="128" t="s">
        <v>46</v>
      </c>
      <c r="N356" s="128" t="s">
        <v>47</v>
      </c>
      <c r="O356" s="129">
        <v>32976</v>
      </c>
      <c r="P356" s="128"/>
      <c r="Q356" s="128"/>
      <c r="R356" s="128">
        <v>7.48</v>
      </c>
      <c r="S356" s="128" t="s">
        <v>48</v>
      </c>
    </row>
    <row r="357" spans="1:19" x14ac:dyDescent="0.25">
      <c r="A357" s="128">
        <v>34500</v>
      </c>
      <c r="B357" s="128" t="s">
        <v>106</v>
      </c>
      <c r="C357" s="128" t="s">
        <v>49</v>
      </c>
      <c r="D357" s="128" t="s">
        <v>40</v>
      </c>
      <c r="E357" s="128" t="s">
        <v>1227</v>
      </c>
      <c r="F357" s="128" t="s">
        <v>1228</v>
      </c>
      <c r="G357" s="128">
        <v>12.5</v>
      </c>
      <c r="H357" s="128" t="s">
        <v>43</v>
      </c>
      <c r="I357" s="128" t="s">
        <v>1229</v>
      </c>
      <c r="J357" s="128" t="s">
        <v>800</v>
      </c>
      <c r="K357" s="128" t="s">
        <v>800</v>
      </c>
      <c r="L357" s="128" t="s">
        <v>800</v>
      </c>
      <c r="M357" s="128" t="s">
        <v>46</v>
      </c>
      <c r="N357" s="128" t="s">
        <v>47</v>
      </c>
      <c r="O357" s="129">
        <v>31153</v>
      </c>
      <c r="P357" s="128"/>
      <c r="Q357" s="128"/>
      <c r="R357" s="128">
        <v>56.2</v>
      </c>
      <c r="S357" s="128" t="s">
        <v>48</v>
      </c>
    </row>
    <row r="358" spans="1:19" ht="29.25" x14ac:dyDescent="0.25">
      <c r="A358" s="128">
        <v>34700</v>
      </c>
      <c r="B358" s="128" t="s">
        <v>106</v>
      </c>
      <c r="C358" s="128" t="s">
        <v>49</v>
      </c>
      <c r="D358" s="128" t="s">
        <v>40</v>
      </c>
      <c r="E358" s="128" t="s">
        <v>1029</v>
      </c>
      <c r="F358" s="128" t="s">
        <v>1030</v>
      </c>
      <c r="G358" s="128">
        <v>11.5</v>
      </c>
      <c r="H358" s="128" t="s">
        <v>43</v>
      </c>
      <c r="I358" s="128" t="s">
        <v>1031</v>
      </c>
      <c r="J358" s="128" t="s">
        <v>800</v>
      </c>
      <c r="K358" s="128" t="s">
        <v>800</v>
      </c>
      <c r="L358" s="128" t="s">
        <v>800</v>
      </c>
      <c r="M358" s="128" t="s">
        <v>46</v>
      </c>
      <c r="N358" s="128" t="s">
        <v>47</v>
      </c>
      <c r="O358" s="129">
        <v>30682</v>
      </c>
      <c r="P358" s="128"/>
      <c r="Q358" s="128"/>
      <c r="R358" s="128">
        <v>11.5</v>
      </c>
      <c r="S358" s="128" t="s">
        <v>48</v>
      </c>
    </row>
    <row r="359" spans="1:19" ht="29.25" x14ac:dyDescent="0.25">
      <c r="A359" s="128">
        <v>35400</v>
      </c>
      <c r="B359" s="128" t="s">
        <v>106</v>
      </c>
      <c r="C359" s="128" t="s">
        <v>49</v>
      </c>
      <c r="D359" s="128" t="s">
        <v>40</v>
      </c>
      <c r="E359" s="128"/>
      <c r="F359" s="128" t="s">
        <v>1833</v>
      </c>
      <c r="G359" s="128">
        <v>7.0000000000000007E-2</v>
      </c>
      <c r="H359" s="128" t="s">
        <v>7</v>
      </c>
      <c r="I359" s="128">
        <v>2344</v>
      </c>
      <c r="J359" s="128" t="s">
        <v>713</v>
      </c>
      <c r="K359" s="128"/>
      <c r="L359" s="498"/>
      <c r="M359" s="128" t="s">
        <v>57</v>
      </c>
      <c r="N359" s="128" t="s">
        <v>58</v>
      </c>
      <c r="O359" s="129">
        <v>32531</v>
      </c>
      <c r="P359" s="128"/>
      <c r="Q359" s="128"/>
      <c r="R359" s="128">
        <v>7.0000000000000007E-2</v>
      </c>
      <c r="S359" s="128" t="s">
        <v>48</v>
      </c>
    </row>
    <row r="360" spans="1:19" ht="29.25" x14ac:dyDescent="0.25">
      <c r="A360" s="128">
        <v>35500</v>
      </c>
      <c r="B360" s="128" t="s">
        <v>106</v>
      </c>
      <c r="C360" s="128" t="s">
        <v>49</v>
      </c>
      <c r="D360" s="128" t="s">
        <v>40</v>
      </c>
      <c r="E360" s="128" t="s">
        <v>897</v>
      </c>
      <c r="F360" s="128" t="s">
        <v>898</v>
      </c>
      <c r="G360" s="128">
        <v>34.5</v>
      </c>
      <c r="H360" s="128" t="s">
        <v>43</v>
      </c>
      <c r="I360" s="128" t="s">
        <v>899</v>
      </c>
      <c r="J360" s="128" t="s">
        <v>800</v>
      </c>
      <c r="K360" s="128" t="s">
        <v>800</v>
      </c>
      <c r="L360" s="128" t="s">
        <v>800</v>
      </c>
      <c r="M360" s="128" t="s">
        <v>46</v>
      </c>
      <c r="N360" s="128" t="s">
        <v>47</v>
      </c>
      <c r="O360" s="129">
        <v>30317</v>
      </c>
      <c r="P360" s="128"/>
      <c r="Q360" s="128"/>
      <c r="R360" s="128">
        <v>34.5</v>
      </c>
      <c r="S360" s="128" t="s">
        <v>48</v>
      </c>
    </row>
    <row r="361" spans="1:19" x14ac:dyDescent="0.25">
      <c r="A361" s="128">
        <v>35700</v>
      </c>
      <c r="B361" s="128" t="s">
        <v>106</v>
      </c>
      <c r="C361" s="128" t="s">
        <v>49</v>
      </c>
      <c r="D361" s="128" t="s">
        <v>40</v>
      </c>
      <c r="E361" s="128" t="s">
        <v>366</v>
      </c>
      <c r="F361" s="128" t="s">
        <v>367</v>
      </c>
      <c r="G361" s="128">
        <v>2.5</v>
      </c>
      <c r="H361" s="128" t="s">
        <v>7</v>
      </c>
      <c r="I361" s="128" t="s">
        <v>368</v>
      </c>
      <c r="J361" s="128" t="s">
        <v>44</v>
      </c>
      <c r="K361" s="128" t="s">
        <v>44</v>
      </c>
      <c r="L361" s="128" t="s">
        <v>45</v>
      </c>
      <c r="M361" s="128" t="s">
        <v>57</v>
      </c>
      <c r="N361" s="128" t="s">
        <v>58</v>
      </c>
      <c r="O361" s="129">
        <v>17899</v>
      </c>
      <c r="P361" s="128"/>
      <c r="Q361" s="128"/>
      <c r="R361" s="128">
        <v>2.5</v>
      </c>
      <c r="S361" s="128" t="s">
        <v>48</v>
      </c>
    </row>
    <row r="362" spans="1:19" x14ac:dyDescent="0.25">
      <c r="A362" s="128">
        <v>35800</v>
      </c>
      <c r="B362" s="128" t="s">
        <v>106</v>
      </c>
      <c r="C362" s="128" t="s">
        <v>49</v>
      </c>
      <c r="D362" s="128" t="s">
        <v>40</v>
      </c>
      <c r="E362" s="128"/>
      <c r="F362" s="128" t="s">
        <v>2228</v>
      </c>
      <c r="G362" s="128">
        <v>6.1</v>
      </c>
      <c r="H362" s="128" t="s">
        <v>7</v>
      </c>
      <c r="I362" s="128">
        <v>2462</v>
      </c>
      <c r="J362" s="128" t="s">
        <v>713</v>
      </c>
      <c r="K362" s="128"/>
      <c r="L362" s="128" t="s">
        <v>259</v>
      </c>
      <c r="M362" s="128" t="s">
        <v>57</v>
      </c>
      <c r="N362" s="128" t="s">
        <v>58</v>
      </c>
      <c r="O362" s="129">
        <v>34751</v>
      </c>
      <c r="P362" s="128"/>
      <c r="Q362" s="128"/>
      <c r="R362" s="128">
        <v>6.1</v>
      </c>
      <c r="S362" s="128" t="s">
        <v>48</v>
      </c>
    </row>
    <row r="363" spans="1:19" x14ac:dyDescent="0.25">
      <c r="A363" s="128">
        <v>35900</v>
      </c>
      <c r="B363" s="128" t="s">
        <v>106</v>
      </c>
      <c r="C363" s="128" t="s">
        <v>49</v>
      </c>
      <c r="D363" s="128" t="s">
        <v>40</v>
      </c>
      <c r="E363" s="128" t="s">
        <v>2112</v>
      </c>
      <c r="F363" s="128" t="s">
        <v>2113</v>
      </c>
      <c r="G363" s="128">
        <v>55.3</v>
      </c>
      <c r="H363" s="128" t="s">
        <v>43</v>
      </c>
      <c r="I363" s="128" t="s">
        <v>2114</v>
      </c>
      <c r="J363" s="128" t="s">
        <v>713</v>
      </c>
      <c r="K363" s="128"/>
      <c r="L363" s="128" t="s">
        <v>259</v>
      </c>
      <c r="M363" s="128" t="s">
        <v>212</v>
      </c>
      <c r="N363" s="128" t="s">
        <v>213</v>
      </c>
      <c r="O363" s="129">
        <v>33329</v>
      </c>
      <c r="P363" s="128"/>
      <c r="Q363" s="128"/>
      <c r="R363" s="128">
        <v>55.3</v>
      </c>
      <c r="S363" s="128" t="s">
        <v>48</v>
      </c>
    </row>
    <row r="364" spans="1:19" ht="29.25" x14ac:dyDescent="0.25">
      <c r="A364" s="128">
        <v>36100</v>
      </c>
      <c r="B364" s="128" t="s">
        <v>106</v>
      </c>
      <c r="C364" s="128" t="s">
        <v>49</v>
      </c>
      <c r="D364" s="128" t="s">
        <v>40</v>
      </c>
      <c r="E364" s="128" t="s">
        <v>1653</v>
      </c>
      <c r="F364" s="128" t="s">
        <v>1654</v>
      </c>
      <c r="G364" s="128">
        <v>2.5</v>
      </c>
      <c r="H364" s="128" t="s">
        <v>43</v>
      </c>
      <c r="I364" s="128" t="s">
        <v>1655</v>
      </c>
      <c r="J364" s="128" t="s">
        <v>44</v>
      </c>
      <c r="K364" s="128" t="s">
        <v>44</v>
      </c>
      <c r="L364" s="128" t="s">
        <v>45</v>
      </c>
      <c r="M364" s="128" t="s">
        <v>46</v>
      </c>
      <c r="N364" s="128" t="s">
        <v>47</v>
      </c>
      <c r="O364" s="129">
        <v>32121</v>
      </c>
      <c r="P364" s="128" t="s">
        <v>1656</v>
      </c>
      <c r="Q364" s="128"/>
      <c r="R364" s="128">
        <v>2.5</v>
      </c>
      <c r="S364" s="128" t="s">
        <v>48</v>
      </c>
    </row>
    <row r="365" spans="1:19" ht="29.25" x14ac:dyDescent="0.25">
      <c r="A365" s="128">
        <v>36400</v>
      </c>
      <c r="B365" s="128" t="s">
        <v>106</v>
      </c>
      <c r="C365" s="128" t="s">
        <v>49</v>
      </c>
      <c r="D365" s="128" t="s">
        <v>40</v>
      </c>
      <c r="E365" s="128"/>
      <c r="F365" s="128" t="s">
        <v>1742</v>
      </c>
      <c r="G365" s="128">
        <v>7.0000000000000007E-2</v>
      </c>
      <c r="H365" s="128" t="s">
        <v>7</v>
      </c>
      <c r="I365" s="128">
        <v>2355</v>
      </c>
      <c r="J365" s="128" t="s">
        <v>713</v>
      </c>
      <c r="K365" s="128"/>
      <c r="L365" s="128"/>
      <c r="M365" s="128" t="s">
        <v>57</v>
      </c>
      <c r="N365" s="128" t="s">
        <v>58</v>
      </c>
      <c r="O365" s="129">
        <v>32325</v>
      </c>
      <c r="P365" s="128"/>
      <c r="Q365" s="128"/>
      <c r="R365" s="128">
        <v>7.0000000000000007E-2</v>
      </c>
      <c r="S365" s="128" t="s">
        <v>48</v>
      </c>
    </row>
    <row r="366" spans="1:19" x14ac:dyDescent="0.25">
      <c r="A366" s="128">
        <v>36500</v>
      </c>
      <c r="B366" s="128" t="s">
        <v>106</v>
      </c>
      <c r="C366" s="128" t="s">
        <v>49</v>
      </c>
      <c r="D366" s="128" t="s">
        <v>40</v>
      </c>
      <c r="E366" s="128" t="s">
        <v>2230</v>
      </c>
      <c r="F366" s="128" t="s">
        <v>2231</v>
      </c>
      <c r="G366" s="128">
        <v>55.3</v>
      </c>
      <c r="H366" s="128" t="s">
        <v>43</v>
      </c>
      <c r="I366" s="128" t="s">
        <v>2232</v>
      </c>
      <c r="J366" s="128" t="s">
        <v>713</v>
      </c>
      <c r="K366" s="128"/>
      <c r="L366" s="128" t="s">
        <v>259</v>
      </c>
      <c r="M366" s="128" t="s">
        <v>212</v>
      </c>
      <c r="N366" s="128" t="s">
        <v>213</v>
      </c>
      <c r="O366" s="129">
        <v>34792</v>
      </c>
      <c r="P366" s="128"/>
      <c r="Q366" s="128"/>
      <c r="R366" s="128">
        <v>55.3</v>
      </c>
      <c r="S366" s="128" t="s">
        <v>48</v>
      </c>
    </row>
    <row r="367" spans="1:19" x14ac:dyDescent="0.25">
      <c r="A367" s="128">
        <v>2600</v>
      </c>
      <c r="B367" s="128" t="s">
        <v>106</v>
      </c>
      <c r="C367" s="128" t="s">
        <v>49</v>
      </c>
      <c r="D367" s="128" t="s">
        <v>40</v>
      </c>
      <c r="E367" s="128" t="s">
        <v>1324</v>
      </c>
      <c r="F367" s="128" t="s">
        <v>1325</v>
      </c>
      <c r="G367" s="128">
        <v>17</v>
      </c>
      <c r="H367" s="128" t="s">
        <v>43</v>
      </c>
      <c r="I367" s="128" t="s">
        <v>1326</v>
      </c>
      <c r="J367" s="128" t="s">
        <v>713</v>
      </c>
      <c r="K367" s="128" t="s">
        <v>599</v>
      </c>
      <c r="L367" s="128" t="s">
        <v>259</v>
      </c>
      <c r="M367" s="128" t="s">
        <v>212</v>
      </c>
      <c r="N367" s="128" t="s">
        <v>213</v>
      </c>
      <c r="O367" s="129">
        <v>31413</v>
      </c>
      <c r="P367" s="128"/>
      <c r="Q367" s="128"/>
      <c r="R367" s="128">
        <v>6</v>
      </c>
      <c r="S367" s="128" t="s">
        <v>48</v>
      </c>
    </row>
    <row r="368" spans="1:19" x14ac:dyDescent="0.25">
      <c r="A368" s="128">
        <v>2700</v>
      </c>
      <c r="B368" s="128" t="s">
        <v>106</v>
      </c>
      <c r="C368" s="128" t="s">
        <v>49</v>
      </c>
      <c r="D368" s="128" t="s">
        <v>40</v>
      </c>
      <c r="E368" s="128" t="s">
        <v>1327</v>
      </c>
      <c r="F368" s="128" t="s">
        <v>1328</v>
      </c>
      <c r="G368" s="128">
        <v>38</v>
      </c>
      <c r="H368" s="128" t="s">
        <v>43</v>
      </c>
      <c r="I368" s="128" t="s">
        <v>1329</v>
      </c>
      <c r="J368" s="128" t="s">
        <v>713</v>
      </c>
      <c r="K368" s="128" t="s">
        <v>599</v>
      </c>
      <c r="L368" s="128" t="s">
        <v>259</v>
      </c>
      <c r="M368" s="128" t="s">
        <v>212</v>
      </c>
      <c r="N368" s="128" t="s">
        <v>213</v>
      </c>
      <c r="O368" s="129">
        <v>31413</v>
      </c>
      <c r="P368" s="128"/>
      <c r="Q368" s="128"/>
      <c r="R368" s="128">
        <v>37.200000000000003</v>
      </c>
      <c r="S368" s="128" t="s">
        <v>48</v>
      </c>
    </row>
    <row r="369" spans="1:19" x14ac:dyDescent="0.25">
      <c r="A369" s="128">
        <v>36700</v>
      </c>
      <c r="B369" s="128" t="s">
        <v>106</v>
      </c>
      <c r="C369" s="128" t="s">
        <v>49</v>
      </c>
      <c r="D369" s="128" t="s">
        <v>40</v>
      </c>
      <c r="E369" s="128"/>
      <c r="F369" s="128" t="s">
        <v>2192</v>
      </c>
      <c r="G369" s="128">
        <v>0.04</v>
      </c>
      <c r="H369" s="128" t="s">
        <v>7</v>
      </c>
      <c r="I369" s="128">
        <v>2458</v>
      </c>
      <c r="J369" s="128" t="s">
        <v>713</v>
      </c>
      <c r="K369" s="128"/>
      <c r="L369" s="128"/>
      <c r="M369" s="128" t="s">
        <v>57</v>
      </c>
      <c r="N369" s="128" t="s">
        <v>58</v>
      </c>
      <c r="O369" s="129">
        <v>34291</v>
      </c>
      <c r="P369" s="128"/>
      <c r="Q369" s="128"/>
      <c r="R369" s="128">
        <v>0.04</v>
      </c>
      <c r="S369" s="128" t="s">
        <v>48</v>
      </c>
    </row>
    <row r="370" spans="1:19" x14ac:dyDescent="0.25">
      <c r="A370" s="128">
        <v>36800</v>
      </c>
      <c r="B370" s="128" t="s">
        <v>106</v>
      </c>
      <c r="C370" s="128" t="s">
        <v>49</v>
      </c>
      <c r="D370" s="128" t="s">
        <v>40</v>
      </c>
      <c r="E370" s="128"/>
      <c r="F370" s="128" t="s">
        <v>2229</v>
      </c>
      <c r="G370" s="128">
        <v>0.04</v>
      </c>
      <c r="H370" s="128" t="s">
        <v>7</v>
      </c>
      <c r="I370" s="128">
        <v>2471</v>
      </c>
      <c r="J370" s="128" t="s">
        <v>713</v>
      </c>
      <c r="K370" s="128"/>
      <c r="L370" s="128"/>
      <c r="M370" s="128" t="s">
        <v>57</v>
      </c>
      <c r="N370" s="128" t="s">
        <v>58</v>
      </c>
      <c r="O370" s="129">
        <v>34759</v>
      </c>
      <c r="P370" s="128"/>
      <c r="Q370" s="128"/>
      <c r="R370" s="128">
        <v>0.09</v>
      </c>
      <c r="S370" s="128" t="s">
        <v>48</v>
      </c>
    </row>
    <row r="371" spans="1:19" ht="29.25" x14ac:dyDescent="0.25">
      <c r="A371" s="128">
        <v>36900</v>
      </c>
      <c r="B371" s="128" t="s">
        <v>106</v>
      </c>
      <c r="C371" s="128" t="s">
        <v>49</v>
      </c>
      <c r="D371" s="128" t="s">
        <v>40</v>
      </c>
      <c r="E371" s="128" t="s">
        <v>900</v>
      </c>
      <c r="F371" s="128" t="s">
        <v>901</v>
      </c>
      <c r="G371" s="128">
        <v>6.5</v>
      </c>
      <c r="H371" s="128" t="s">
        <v>43</v>
      </c>
      <c r="I371" s="128" t="s">
        <v>902</v>
      </c>
      <c r="J371" s="128" t="s">
        <v>807</v>
      </c>
      <c r="K371" s="128" t="s">
        <v>385</v>
      </c>
      <c r="L371" s="128" t="s">
        <v>808</v>
      </c>
      <c r="M371" s="128" t="s">
        <v>46</v>
      </c>
      <c r="N371" s="128" t="s">
        <v>47</v>
      </c>
      <c r="O371" s="129">
        <v>30317</v>
      </c>
      <c r="P371" s="128" t="s">
        <v>903</v>
      </c>
      <c r="Q371" s="128"/>
      <c r="R371" s="128">
        <v>8.6</v>
      </c>
      <c r="S371" s="128" t="s">
        <v>48</v>
      </c>
    </row>
    <row r="372" spans="1:19" ht="29.25" x14ac:dyDescent="0.25">
      <c r="A372" s="128">
        <v>35600</v>
      </c>
      <c r="B372" s="128" t="s">
        <v>106</v>
      </c>
      <c r="C372" s="128" t="s">
        <v>49</v>
      </c>
      <c r="D372" s="128" t="s">
        <v>40</v>
      </c>
      <c r="E372" s="128" t="s">
        <v>1244</v>
      </c>
      <c r="F372" s="128" t="s">
        <v>1245</v>
      </c>
      <c r="G372" s="128">
        <v>8</v>
      </c>
      <c r="H372" s="128" t="s">
        <v>7</v>
      </c>
      <c r="I372" s="128">
        <v>2060</v>
      </c>
      <c r="J372" s="128" t="s">
        <v>713</v>
      </c>
      <c r="K372" s="128"/>
      <c r="L372" s="128" t="s">
        <v>259</v>
      </c>
      <c r="M372" s="128" t="s">
        <v>57</v>
      </c>
      <c r="N372" s="128" t="s">
        <v>58</v>
      </c>
      <c r="O372" s="129">
        <v>31168</v>
      </c>
      <c r="P372" s="128"/>
      <c r="Q372" s="128"/>
      <c r="R372" s="128">
        <v>8</v>
      </c>
      <c r="S372" s="128" t="s">
        <v>48</v>
      </c>
    </row>
    <row r="373" spans="1:19" ht="29.25" x14ac:dyDescent="0.25">
      <c r="A373" s="128">
        <v>37300</v>
      </c>
      <c r="B373" s="128" t="s">
        <v>106</v>
      </c>
      <c r="C373" s="128" t="s">
        <v>49</v>
      </c>
      <c r="D373" s="128" t="s">
        <v>40</v>
      </c>
      <c r="E373" s="128"/>
      <c r="F373" s="128" t="s">
        <v>2021</v>
      </c>
      <c r="G373" s="128">
        <v>7.0000000000000007E-2</v>
      </c>
      <c r="H373" s="128" t="s">
        <v>7</v>
      </c>
      <c r="I373" s="128">
        <v>2386</v>
      </c>
      <c r="J373" s="128" t="s">
        <v>713</v>
      </c>
      <c r="K373" s="128"/>
      <c r="L373" s="128"/>
      <c r="M373" s="128" t="s">
        <v>57</v>
      </c>
      <c r="N373" s="128" t="s">
        <v>58</v>
      </c>
      <c r="O373" s="129">
        <v>32941</v>
      </c>
      <c r="P373" s="128"/>
      <c r="Q373" s="128"/>
      <c r="R373" s="128">
        <v>7.0000000000000007E-2</v>
      </c>
      <c r="S373" s="128" t="s">
        <v>48</v>
      </c>
    </row>
    <row r="374" spans="1:19" x14ac:dyDescent="0.25">
      <c r="A374" s="128">
        <v>37500</v>
      </c>
      <c r="B374" s="128" t="s">
        <v>106</v>
      </c>
      <c r="C374" s="128" t="s">
        <v>49</v>
      </c>
      <c r="D374" s="128" t="s">
        <v>40</v>
      </c>
      <c r="E374" s="128" t="s">
        <v>1916</v>
      </c>
      <c r="F374" s="128" t="s">
        <v>1917</v>
      </c>
      <c r="G374" s="128">
        <v>35.700000000000003</v>
      </c>
      <c r="H374" s="128" t="s">
        <v>43</v>
      </c>
      <c r="I374" s="128" t="s">
        <v>1918</v>
      </c>
      <c r="J374" s="128" t="s">
        <v>807</v>
      </c>
      <c r="K374" s="128" t="s">
        <v>385</v>
      </c>
      <c r="L374" s="128" t="s">
        <v>808</v>
      </c>
      <c r="M374" s="128" t="s">
        <v>46</v>
      </c>
      <c r="N374" s="128" t="s">
        <v>47</v>
      </c>
      <c r="O374" s="129">
        <v>32798</v>
      </c>
      <c r="P374" s="128"/>
      <c r="Q374" s="128"/>
      <c r="R374" s="128">
        <v>35.700000000000003</v>
      </c>
      <c r="S374" s="128" t="s">
        <v>48</v>
      </c>
    </row>
    <row r="375" spans="1:19" ht="29.25" x14ac:dyDescent="0.25">
      <c r="A375" s="128">
        <v>37600</v>
      </c>
      <c r="B375" s="128" t="s">
        <v>106</v>
      </c>
      <c r="C375" s="128" t="s">
        <v>49</v>
      </c>
      <c r="D375" s="128" t="s">
        <v>40</v>
      </c>
      <c r="E375" s="128" t="s">
        <v>1733</v>
      </c>
      <c r="F375" s="128" t="s">
        <v>1734</v>
      </c>
      <c r="G375" s="128">
        <v>64.7</v>
      </c>
      <c r="H375" s="128" t="s">
        <v>7</v>
      </c>
      <c r="I375" s="128">
        <v>3011</v>
      </c>
      <c r="J375" s="128" t="s">
        <v>663</v>
      </c>
      <c r="K375" s="128" t="s">
        <v>385</v>
      </c>
      <c r="L375" s="128" t="s">
        <v>663</v>
      </c>
      <c r="M375" s="128" t="s">
        <v>57</v>
      </c>
      <c r="N375" s="128" t="s">
        <v>58</v>
      </c>
      <c r="O375" s="129">
        <v>32308</v>
      </c>
      <c r="P375" s="128" t="s">
        <v>1735</v>
      </c>
      <c r="Q375" s="128"/>
      <c r="R375" s="128">
        <v>49.8</v>
      </c>
      <c r="S375" s="128" t="s">
        <v>48</v>
      </c>
    </row>
    <row r="376" spans="1:19" ht="29.25" x14ac:dyDescent="0.25">
      <c r="A376" s="128">
        <v>37700</v>
      </c>
      <c r="B376" s="128" t="s">
        <v>106</v>
      </c>
      <c r="C376" s="128" t="s">
        <v>49</v>
      </c>
      <c r="D376" s="128" t="s">
        <v>40</v>
      </c>
      <c r="E376" s="128"/>
      <c r="F376" s="128" t="s">
        <v>1624</v>
      </c>
      <c r="G376" s="128">
        <v>0.12</v>
      </c>
      <c r="H376" s="128" t="s">
        <v>7</v>
      </c>
      <c r="I376" s="128">
        <v>2149</v>
      </c>
      <c r="J376" s="128" t="s">
        <v>713</v>
      </c>
      <c r="K376" s="128"/>
      <c r="L376" s="128"/>
      <c r="M376" s="128" t="s">
        <v>57</v>
      </c>
      <c r="N376" s="128" t="s">
        <v>58</v>
      </c>
      <c r="O376" s="129">
        <v>32023</v>
      </c>
      <c r="P376" s="128"/>
      <c r="Q376" s="128"/>
      <c r="R376" s="128">
        <v>0.12</v>
      </c>
      <c r="S376" s="128" t="s">
        <v>48</v>
      </c>
    </row>
    <row r="377" spans="1:19" ht="29.25" x14ac:dyDescent="0.25">
      <c r="A377" s="128">
        <v>37900</v>
      </c>
      <c r="B377" s="128" t="s">
        <v>106</v>
      </c>
      <c r="C377" s="128" t="s">
        <v>49</v>
      </c>
      <c r="D377" s="128" t="s">
        <v>40</v>
      </c>
      <c r="E377" s="128"/>
      <c r="F377" s="128" t="s">
        <v>1599</v>
      </c>
      <c r="G377" s="128">
        <v>0.2</v>
      </c>
      <c r="H377" s="128" t="s">
        <v>7</v>
      </c>
      <c r="I377" s="128">
        <v>2235</v>
      </c>
      <c r="J377" s="128" t="s">
        <v>713</v>
      </c>
      <c r="K377" s="128"/>
      <c r="L377" s="128"/>
      <c r="M377" s="128" t="s">
        <v>57</v>
      </c>
      <c r="N377" s="128" t="s">
        <v>58</v>
      </c>
      <c r="O377" s="129">
        <v>31928</v>
      </c>
      <c r="P377" s="128"/>
      <c r="Q377" s="128"/>
      <c r="R377" s="128">
        <v>0.2</v>
      </c>
      <c r="S377" s="128" t="s">
        <v>48</v>
      </c>
    </row>
    <row r="378" spans="1:19" ht="29.25" x14ac:dyDescent="0.25">
      <c r="A378" s="128">
        <v>38500</v>
      </c>
      <c r="B378" s="128" t="s">
        <v>106</v>
      </c>
      <c r="C378" s="128" t="s">
        <v>49</v>
      </c>
      <c r="D378" s="128" t="s">
        <v>40</v>
      </c>
      <c r="E378" s="128"/>
      <c r="F378" s="128" t="s">
        <v>2144</v>
      </c>
      <c r="G378" s="128">
        <v>0.04</v>
      </c>
      <c r="H378" s="128" t="s">
        <v>7</v>
      </c>
      <c r="I378" s="128">
        <v>2442</v>
      </c>
      <c r="J378" s="128" t="s">
        <v>713</v>
      </c>
      <c r="K378" s="128"/>
      <c r="L378" s="128"/>
      <c r="M378" s="128" t="s">
        <v>57</v>
      </c>
      <c r="N378" s="128" t="s">
        <v>58</v>
      </c>
      <c r="O378" s="129">
        <v>33641</v>
      </c>
      <c r="P378" s="128"/>
      <c r="Q378" s="128"/>
      <c r="R378" s="128">
        <v>0.04</v>
      </c>
      <c r="S378" s="128" t="s">
        <v>48</v>
      </c>
    </row>
    <row r="379" spans="1:19" x14ac:dyDescent="0.25">
      <c r="A379" s="128">
        <v>38600</v>
      </c>
      <c r="B379" s="128" t="s">
        <v>106</v>
      </c>
      <c r="C379" s="128" t="s">
        <v>49</v>
      </c>
      <c r="D379" s="128" t="s">
        <v>40</v>
      </c>
      <c r="E379" s="128" t="s">
        <v>1696</v>
      </c>
      <c r="F379" s="128" t="s">
        <v>1697</v>
      </c>
      <c r="G379" s="128">
        <v>57.3</v>
      </c>
      <c r="H379" s="128" t="s">
        <v>43</v>
      </c>
      <c r="I379" s="128" t="s">
        <v>1698</v>
      </c>
      <c r="J379" s="128" t="s">
        <v>713</v>
      </c>
      <c r="K379" s="128"/>
      <c r="L379" s="128" t="s">
        <v>259</v>
      </c>
      <c r="M379" s="128" t="s">
        <v>46</v>
      </c>
      <c r="N379" s="128" t="s">
        <v>47</v>
      </c>
      <c r="O379" s="129">
        <v>32193</v>
      </c>
      <c r="P379" s="128"/>
      <c r="Q379" s="128"/>
      <c r="R379" s="128">
        <v>57.3</v>
      </c>
      <c r="S379" s="128" t="s">
        <v>48</v>
      </c>
    </row>
    <row r="380" spans="1:19" ht="29.25" x14ac:dyDescent="0.25">
      <c r="A380" s="128">
        <v>38700</v>
      </c>
      <c r="B380" s="128" t="s">
        <v>106</v>
      </c>
      <c r="C380" s="128" t="s">
        <v>49</v>
      </c>
      <c r="D380" s="128" t="s">
        <v>40</v>
      </c>
      <c r="E380" s="128" t="s">
        <v>1943</v>
      </c>
      <c r="F380" s="128" t="s">
        <v>1944</v>
      </c>
      <c r="G380" s="128">
        <v>54.71</v>
      </c>
      <c r="H380" s="128" t="s">
        <v>7</v>
      </c>
      <c r="I380" s="128">
        <v>2087</v>
      </c>
      <c r="J380" s="128" t="s">
        <v>713</v>
      </c>
      <c r="K380" s="128"/>
      <c r="L380" s="128" t="s">
        <v>259</v>
      </c>
      <c r="M380" s="128" t="s">
        <v>57</v>
      </c>
      <c r="N380" s="128" t="s">
        <v>58</v>
      </c>
      <c r="O380" s="129">
        <v>32864</v>
      </c>
      <c r="P380" s="128"/>
      <c r="Q380" s="128"/>
      <c r="R380" s="128">
        <v>48.9</v>
      </c>
      <c r="S380" s="128" t="s">
        <v>48</v>
      </c>
    </row>
    <row r="381" spans="1:19" x14ac:dyDescent="0.25">
      <c r="A381" s="128">
        <v>39100</v>
      </c>
      <c r="B381" s="128" t="s">
        <v>106</v>
      </c>
      <c r="C381" s="128" t="s">
        <v>49</v>
      </c>
      <c r="D381" s="128" t="s">
        <v>40</v>
      </c>
      <c r="E381" s="128"/>
      <c r="F381" s="128" t="s">
        <v>1293</v>
      </c>
      <c r="G381" s="128">
        <v>0.15</v>
      </c>
      <c r="H381" s="128" t="s">
        <v>7</v>
      </c>
      <c r="I381" s="128">
        <v>2182</v>
      </c>
      <c r="J381" s="128" t="s">
        <v>713</v>
      </c>
      <c r="K381" s="128"/>
      <c r="L381" s="128"/>
      <c r="M381" s="128" t="s">
        <v>57</v>
      </c>
      <c r="N381" s="128" t="s">
        <v>58</v>
      </c>
      <c r="O381" s="129">
        <v>31412</v>
      </c>
      <c r="P381" s="128"/>
      <c r="Q381" s="128"/>
      <c r="R381" s="128">
        <v>0.15</v>
      </c>
      <c r="S381" s="128" t="s">
        <v>48</v>
      </c>
    </row>
    <row r="382" spans="1:19" ht="29.25" x14ac:dyDescent="0.25">
      <c r="A382" s="128">
        <v>39200</v>
      </c>
      <c r="B382" s="128" t="s">
        <v>106</v>
      </c>
      <c r="C382" s="128" t="s">
        <v>49</v>
      </c>
      <c r="D382" s="128" t="s">
        <v>40</v>
      </c>
      <c r="E382" s="128"/>
      <c r="F382" s="128" t="s">
        <v>2191</v>
      </c>
      <c r="G382" s="128">
        <v>0.08</v>
      </c>
      <c r="H382" s="128" t="s">
        <v>7</v>
      </c>
      <c r="I382" s="128">
        <v>2446</v>
      </c>
      <c r="J382" s="128" t="s">
        <v>713</v>
      </c>
      <c r="K382" s="128"/>
      <c r="L382" s="128"/>
      <c r="M382" s="128" t="s">
        <v>57</v>
      </c>
      <c r="N382" s="128" t="s">
        <v>58</v>
      </c>
      <c r="O382" s="129">
        <v>34253</v>
      </c>
      <c r="P382" s="128"/>
      <c r="Q382" s="128"/>
      <c r="R382" s="128">
        <v>0.08</v>
      </c>
      <c r="S382" s="128" t="s">
        <v>48</v>
      </c>
    </row>
    <row r="383" spans="1:19" ht="29.25" x14ac:dyDescent="0.25">
      <c r="A383" s="128">
        <v>39300</v>
      </c>
      <c r="B383" s="128" t="s">
        <v>106</v>
      </c>
      <c r="C383" s="128" t="s">
        <v>49</v>
      </c>
      <c r="D383" s="128" t="s">
        <v>40</v>
      </c>
      <c r="E383" s="128"/>
      <c r="F383" s="128" t="s">
        <v>2038</v>
      </c>
      <c r="G383" s="128">
        <v>7.0000000000000007E-2</v>
      </c>
      <c r="H383" s="128" t="s">
        <v>7</v>
      </c>
      <c r="I383" s="128">
        <v>2358</v>
      </c>
      <c r="J383" s="128" t="s">
        <v>713</v>
      </c>
      <c r="K383" s="128"/>
      <c r="L383" s="128"/>
      <c r="M383" s="128" t="s">
        <v>57</v>
      </c>
      <c r="N383" s="128" t="s">
        <v>58</v>
      </c>
      <c r="O383" s="129">
        <v>32962</v>
      </c>
      <c r="P383" s="128"/>
      <c r="Q383" s="128"/>
      <c r="R383" s="128">
        <v>7.0000000000000007E-2</v>
      </c>
      <c r="S383" s="128" t="s">
        <v>48</v>
      </c>
    </row>
    <row r="384" spans="1:19" ht="29.25" x14ac:dyDescent="0.25">
      <c r="A384" s="128">
        <v>39500</v>
      </c>
      <c r="B384" s="128" t="s">
        <v>106</v>
      </c>
      <c r="C384" s="128" t="s">
        <v>49</v>
      </c>
      <c r="D384" s="128" t="s">
        <v>40</v>
      </c>
      <c r="E384" s="128"/>
      <c r="F384" s="128" t="s">
        <v>1444</v>
      </c>
      <c r="G384" s="128">
        <v>0.08</v>
      </c>
      <c r="H384" s="128" t="s">
        <v>7</v>
      </c>
      <c r="I384" s="128">
        <v>2219</v>
      </c>
      <c r="J384" s="128" t="s">
        <v>713</v>
      </c>
      <c r="K384" s="128"/>
      <c r="L384" s="128"/>
      <c r="M384" s="128" t="s">
        <v>57</v>
      </c>
      <c r="N384" s="128" t="s">
        <v>58</v>
      </c>
      <c r="O384" s="129">
        <v>31594</v>
      </c>
      <c r="P384" s="128"/>
      <c r="Q384" s="128"/>
      <c r="R384" s="128">
        <v>0.08</v>
      </c>
      <c r="S384" s="128" t="s">
        <v>48</v>
      </c>
    </row>
    <row r="385" spans="1:19" x14ac:dyDescent="0.25">
      <c r="A385" s="128">
        <v>39600</v>
      </c>
      <c r="B385" s="128" t="s">
        <v>106</v>
      </c>
      <c r="C385" s="128" t="s">
        <v>49</v>
      </c>
      <c r="D385" s="128" t="s">
        <v>40</v>
      </c>
      <c r="E385" s="128" t="s">
        <v>2028</v>
      </c>
      <c r="F385" s="128" t="s">
        <v>2029</v>
      </c>
      <c r="G385" s="128">
        <v>55.1</v>
      </c>
      <c r="H385" s="128" t="s">
        <v>43</v>
      </c>
      <c r="I385" s="128" t="s">
        <v>2030</v>
      </c>
      <c r="J385" s="128" t="s">
        <v>713</v>
      </c>
      <c r="K385" s="128"/>
      <c r="L385" s="128" t="s">
        <v>259</v>
      </c>
      <c r="M385" s="128" t="s">
        <v>212</v>
      </c>
      <c r="N385" s="128" t="s">
        <v>213</v>
      </c>
      <c r="O385" s="129">
        <v>32952</v>
      </c>
      <c r="P385" s="128"/>
      <c r="Q385" s="128"/>
      <c r="R385" s="128">
        <v>55.1</v>
      </c>
      <c r="S385" s="128" t="s">
        <v>48</v>
      </c>
    </row>
    <row r="386" spans="1:19" ht="29.25" x14ac:dyDescent="0.25">
      <c r="A386" s="128">
        <v>39700</v>
      </c>
      <c r="B386" s="128" t="s">
        <v>106</v>
      </c>
      <c r="C386" s="128" t="s">
        <v>49</v>
      </c>
      <c r="D386" s="128" t="s">
        <v>40</v>
      </c>
      <c r="E386" s="128"/>
      <c r="F386" s="128" t="s">
        <v>2253</v>
      </c>
      <c r="G386" s="128">
        <v>0.09</v>
      </c>
      <c r="H386" s="128" t="s">
        <v>7</v>
      </c>
      <c r="I386" s="128">
        <v>2478</v>
      </c>
      <c r="J386" s="128" t="s">
        <v>713</v>
      </c>
      <c r="K386" s="128" t="s">
        <v>599</v>
      </c>
      <c r="L386" s="128"/>
      <c r="M386" s="128" t="s">
        <v>57</v>
      </c>
      <c r="N386" s="128" t="s">
        <v>58</v>
      </c>
      <c r="O386" s="129">
        <v>35094</v>
      </c>
      <c r="P386" s="128"/>
      <c r="Q386" s="128"/>
      <c r="R386" s="128">
        <v>0.09</v>
      </c>
      <c r="S386" s="128" t="s">
        <v>48</v>
      </c>
    </row>
    <row r="387" spans="1:19" x14ac:dyDescent="0.25">
      <c r="A387" s="128">
        <v>39800</v>
      </c>
      <c r="B387" s="128" t="s">
        <v>106</v>
      </c>
      <c r="C387" s="128" t="s">
        <v>49</v>
      </c>
      <c r="D387" s="128" t="s">
        <v>40</v>
      </c>
      <c r="E387" s="128"/>
      <c r="F387" s="128" t="s">
        <v>2254</v>
      </c>
      <c r="G387" s="128">
        <v>48.2</v>
      </c>
      <c r="H387" s="128" t="s">
        <v>7</v>
      </c>
      <c r="I387" s="128">
        <v>2480</v>
      </c>
      <c r="J387" s="128" t="s">
        <v>713</v>
      </c>
      <c r="K387" s="128" t="s">
        <v>599</v>
      </c>
      <c r="L387" s="128"/>
      <c r="M387" s="128" t="s">
        <v>57</v>
      </c>
      <c r="N387" s="128" t="s">
        <v>58</v>
      </c>
      <c r="O387" s="129">
        <v>35138</v>
      </c>
      <c r="P387" s="128" t="s">
        <v>1993</v>
      </c>
      <c r="Q387" s="128"/>
      <c r="R387" s="128">
        <v>48.2</v>
      </c>
      <c r="S387" s="128" t="s">
        <v>48</v>
      </c>
    </row>
    <row r="388" spans="1:19" ht="29.25" x14ac:dyDescent="0.25">
      <c r="A388" s="128">
        <v>39900</v>
      </c>
      <c r="B388" s="128" t="s">
        <v>106</v>
      </c>
      <c r="C388" s="128" t="s">
        <v>49</v>
      </c>
      <c r="D388" s="128" t="s">
        <v>40</v>
      </c>
      <c r="E388" s="128" t="s">
        <v>2156</v>
      </c>
      <c r="F388" s="128" t="s">
        <v>2157</v>
      </c>
      <c r="G388" s="128">
        <v>113.9</v>
      </c>
      <c r="H388" s="128" t="s">
        <v>43</v>
      </c>
      <c r="I388" s="128" t="s">
        <v>2158</v>
      </c>
      <c r="J388" s="128" t="s">
        <v>713</v>
      </c>
      <c r="K388" s="128"/>
      <c r="L388" s="128" t="s">
        <v>259</v>
      </c>
      <c r="M388" s="128" t="s">
        <v>46</v>
      </c>
      <c r="N388" s="128" t="s">
        <v>47</v>
      </c>
      <c r="O388" s="129">
        <v>33847</v>
      </c>
      <c r="P388" s="128"/>
      <c r="Q388" s="128"/>
      <c r="R388" s="128">
        <v>113.9</v>
      </c>
      <c r="S388" s="128" t="s">
        <v>48</v>
      </c>
    </row>
    <row r="389" spans="1:19" x14ac:dyDescent="0.25">
      <c r="A389" s="128">
        <v>40100</v>
      </c>
      <c r="B389" s="128" t="s">
        <v>106</v>
      </c>
      <c r="C389" s="128" t="s">
        <v>49</v>
      </c>
      <c r="D389" s="128" t="s">
        <v>40</v>
      </c>
      <c r="E389" s="128" t="s">
        <v>1373</v>
      </c>
      <c r="F389" s="128" t="s">
        <v>1374</v>
      </c>
      <c r="G389" s="128">
        <v>19</v>
      </c>
      <c r="H389" s="128" t="s">
        <v>43</v>
      </c>
      <c r="I389" s="128" t="s">
        <v>1375</v>
      </c>
      <c r="J389" s="128" t="s">
        <v>713</v>
      </c>
      <c r="K389" s="128" t="s">
        <v>599</v>
      </c>
      <c r="L389" s="128" t="s">
        <v>259</v>
      </c>
      <c r="M389" s="128" t="s">
        <v>46</v>
      </c>
      <c r="N389" s="128" t="s">
        <v>47</v>
      </c>
      <c r="O389" s="129">
        <v>31429</v>
      </c>
      <c r="P389" s="128"/>
      <c r="Q389" s="128"/>
      <c r="R389" s="128">
        <v>19</v>
      </c>
      <c r="S389" s="128" t="s">
        <v>48</v>
      </c>
    </row>
    <row r="390" spans="1:19" x14ac:dyDescent="0.25">
      <c r="A390" s="128">
        <v>40300</v>
      </c>
      <c r="B390" s="128" t="s">
        <v>106</v>
      </c>
      <c r="C390" s="128" t="s">
        <v>49</v>
      </c>
      <c r="D390" s="128" t="s">
        <v>40</v>
      </c>
      <c r="E390" s="128" t="s">
        <v>852</v>
      </c>
      <c r="F390" s="128" t="s">
        <v>853</v>
      </c>
      <c r="G390" s="128">
        <v>24.3</v>
      </c>
      <c r="H390" s="128" t="s">
        <v>43</v>
      </c>
      <c r="I390" s="128" t="s">
        <v>854</v>
      </c>
      <c r="J390" s="128" t="s">
        <v>713</v>
      </c>
      <c r="K390" s="128" t="s">
        <v>599</v>
      </c>
      <c r="L390" s="128" t="s">
        <v>259</v>
      </c>
      <c r="M390" s="128" t="s">
        <v>212</v>
      </c>
      <c r="N390" s="128" t="s">
        <v>213</v>
      </c>
      <c r="O390" s="129">
        <v>30239</v>
      </c>
      <c r="P390" s="128"/>
      <c r="Q390" s="128"/>
      <c r="R390" s="128">
        <v>24.3</v>
      </c>
      <c r="S390" s="128" t="s">
        <v>48</v>
      </c>
    </row>
    <row r="391" spans="1:19" x14ac:dyDescent="0.25">
      <c r="A391" s="128">
        <v>40400</v>
      </c>
      <c r="B391" s="128" t="s">
        <v>106</v>
      </c>
      <c r="C391" s="128" t="s">
        <v>49</v>
      </c>
      <c r="D391" s="128" t="s">
        <v>40</v>
      </c>
      <c r="E391" s="128" t="s">
        <v>1730</v>
      </c>
      <c r="F391" s="128" t="s">
        <v>1731</v>
      </c>
      <c r="G391" s="128">
        <v>56.2</v>
      </c>
      <c r="H391" s="128" t="s">
        <v>43</v>
      </c>
      <c r="I391" s="128" t="s">
        <v>1732</v>
      </c>
      <c r="J391" s="128" t="s">
        <v>713</v>
      </c>
      <c r="K391" s="128" t="s">
        <v>599</v>
      </c>
      <c r="L391" s="128" t="s">
        <v>259</v>
      </c>
      <c r="M391" s="128" t="s">
        <v>212</v>
      </c>
      <c r="N391" s="128" t="s">
        <v>213</v>
      </c>
      <c r="O391" s="129">
        <v>32307</v>
      </c>
      <c r="P391" s="128"/>
      <c r="Q391" s="128"/>
      <c r="R391" s="128">
        <v>56.2</v>
      </c>
      <c r="S391" s="128" t="s">
        <v>48</v>
      </c>
    </row>
    <row r="392" spans="1:19" x14ac:dyDescent="0.25">
      <c r="A392" s="128">
        <v>40500</v>
      </c>
      <c r="B392" s="128" t="s">
        <v>106</v>
      </c>
      <c r="C392" s="128" t="s">
        <v>49</v>
      </c>
      <c r="D392" s="128" t="s">
        <v>40</v>
      </c>
      <c r="E392" s="128" t="s">
        <v>844</v>
      </c>
      <c r="F392" s="128" t="s">
        <v>845</v>
      </c>
      <c r="G392" s="128">
        <v>11.5</v>
      </c>
      <c r="H392" s="128" t="s">
        <v>43</v>
      </c>
      <c r="I392" s="128" t="s">
        <v>846</v>
      </c>
      <c r="J392" s="128" t="s">
        <v>713</v>
      </c>
      <c r="K392" s="128" t="s">
        <v>599</v>
      </c>
      <c r="L392" s="128" t="s">
        <v>259</v>
      </c>
      <c r="M392" s="128" t="s">
        <v>212</v>
      </c>
      <c r="N392" s="128" t="s">
        <v>213</v>
      </c>
      <c r="O392" s="129">
        <v>30158</v>
      </c>
      <c r="P392" s="128"/>
      <c r="Q392" s="128"/>
      <c r="R392" s="128">
        <v>11.5</v>
      </c>
      <c r="S392" s="128" t="s">
        <v>48</v>
      </c>
    </row>
    <row r="393" spans="1:19" ht="29.25" x14ac:dyDescent="0.25">
      <c r="A393" s="128">
        <v>40600</v>
      </c>
      <c r="B393" s="128" t="s">
        <v>106</v>
      </c>
      <c r="C393" s="128" t="s">
        <v>49</v>
      </c>
      <c r="D393" s="128" t="s">
        <v>40</v>
      </c>
      <c r="E393" s="128"/>
      <c r="F393" s="128" t="s">
        <v>1086</v>
      </c>
      <c r="G393" s="128">
        <v>0</v>
      </c>
      <c r="H393" s="128" t="s">
        <v>7</v>
      </c>
      <c r="I393" s="128">
        <v>2005</v>
      </c>
      <c r="J393" s="128" t="s">
        <v>713</v>
      </c>
      <c r="K393" s="128" t="s">
        <v>385</v>
      </c>
      <c r="L393" s="128"/>
      <c r="M393" s="128" t="s">
        <v>57</v>
      </c>
      <c r="N393" s="128" t="s">
        <v>58</v>
      </c>
      <c r="O393" s="129">
        <v>30831</v>
      </c>
      <c r="P393" s="128" t="s">
        <v>1087</v>
      </c>
      <c r="Q393" s="128"/>
      <c r="R393" s="128">
        <v>1.5</v>
      </c>
      <c r="S393" s="128" t="s">
        <v>48</v>
      </c>
    </row>
    <row r="394" spans="1:19" ht="29.25" x14ac:dyDescent="0.25">
      <c r="A394" s="128">
        <v>40800</v>
      </c>
      <c r="B394" s="128" t="s">
        <v>106</v>
      </c>
      <c r="C394" s="128" t="s">
        <v>49</v>
      </c>
      <c r="D394" s="128" t="s">
        <v>40</v>
      </c>
      <c r="E394" s="128" t="s">
        <v>1099</v>
      </c>
      <c r="F394" s="128" t="s">
        <v>1100</v>
      </c>
      <c r="G394" s="128">
        <v>1.25</v>
      </c>
      <c r="H394" s="128" t="s">
        <v>43</v>
      </c>
      <c r="I394" s="128" t="s">
        <v>1101</v>
      </c>
      <c r="J394" s="128" t="s">
        <v>713</v>
      </c>
      <c r="K394" s="128" t="s">
        <v>315</v>
      </c>
      <c r="L394" s="128" t="s">
        <v>259</v>
      </c>
      <c r="M394" s="128" t="s">
        <v>46</v>
      </c>
      <c r="N394" s="128" t="s">
        <v>47</v>
      </c>
      <c r="O394" s="129">
        <v>30909</v>
      </c>
      <c r="P394" s="128" t="s">
        <v>1102</v>
      </c>
      <c r="Q394" s="128"/>
      <c r="R394" s="128">
        <v>1.25</v>
      </c>
      <c r="S394" s="128" t="s">
        <v>48</v>
      </c>
    </row>
    <row r="395" spans="1:19" x14ac:dyDescent="0.25">
      <c r="A395" s="128">
        <v>40900</v>
      </c>
      <c r="B395" s="128" t="s">
        <v>106</v>
      </c>
      <c r="C395" s="128" t="s">
        <v>49</v>
      </c>
      <c r="D395" s="128" t="s">
        <v>40</v>
      </c>
      <c r="E395" s="128" t="s">
        <v>1669</v>
      </c>
      <c r="F395" s="128" t="s">
        <v>1670</v>
      </c>
      <c r="G395" s="128">
        <v>38.909999999999997</v>
      </c>
      <c r="H395" s="128" t="s">
        <v>7</v>
      </c>
      <c r="I395" s="128">
        <v>1028</v>
      </c>
      <c r="J395" s="128" t="s">
        <v>807</v>
      </c>
      <c r="K395" s="128" t="s">
        <v>385</v>
      </c>
      <c r="L395" s="128" t="s">
        <v>915</v>
      </c>
      <c r="M395" s="128" t="s">
        <v>57</v>
      </c>
      <c r="N395" s="128" t="s">
        <v>58</v>
      </c>
      <c r="O395" s="129">
        <v>32143</v>
      </c>
      <c r="P395" s="128"/>
      <c r="Q395" s="128"/>
      <c r="R395" s="128">
        <v>38.909999999999997</v>
      </c>
      <c r="S395" s="128" t="s">
        <v>48</v>
      </c>
    </row>
    <row r="396" spans="1:19" ht="29.25" x14ac:dyDescent="0.25">
      <c r="A396" s="128">
        <v>41000</v>
      </c>
      <c r="B396" s="128" t="s">
        <v>106</v>
      </c>
      <c r="C396" s="128" t="s">
        <v>49</v>
      </c>
      <c r="D396" s="128" t="s">
        <v>40</v>
      </c>
      <c r="E396" s="128"/>
      <c r="F396" s="128" t="s">
        <v>2151</v>
      </c>
      <c r="G396" s="128">
        <v>0.55000000000000004</v>
      </c>
      <c r="H396" s="128" t="s">
        <v>7</v>
      </c>
      <c r="I396" s="128">
        <v>2401</v>
      </c>
      <c r="J396" s="128" t="s">
        <v>713</v>
      </c>
      <c r="K396" s="128"/>
      <c r="L396" s="128"/>
      <c r="M396" s="128" t="s">
        <v>57</v>
      </c>
      <c r="N396" s="128" t="s">
        <v>58</v>
      </c>
      <c r="O396" s="129">
        <v>33696</v>
      </c>
      <c r="P396" s="128"/>
      <c r="Q396" s="128"/>
      <c r="R396" s="128">
        <v>0.55000000000000004</v>
      </c>
      <c r="S396" s="128" t="s">
        <v>48</v>
      </c>
    </row>
    <row r="397" spans="1:19" ht="29.25" x14ac:dyDescent="0.25">
      <c r="A397" s="128">
        <v>41200</v>
      </c>
      <c r="B397" s="128" t="s">
        <v>106</v>
      </c>
      <c r="C397" s="128" t="s">
        <v>49</v>
      </c>
      <c r="D397" s="128" t="s">
        <v>40</v>
      </c>
      <c r="E397" s="128"/>
      <c r="F397" s="128" t="s">
        <v>1722</v>
      </c>
      <c r="G397" s="128">
        <v>0.06</v>
      </c>
      <c r="H397" s="128" t="s">
        <v>7</v>
      </c>
      <c r="I397" s="128">
        <v>2273</v>
      </c>
      <c r="J397" s="128" t="s">
        <v>713</v>
      </c>
      <c r="K397" s="128"/>
      <c r="L397" s="128"/>
      <c r="M397" s="128" t="s">
        <v>57</v>
      </c>
      <c r="N397" s="128" t="s">
        <v>58</v>
      </c>
      <c r="O397" s="129">
        <v>32283</v>
      </c>
      <c r="P397" s="128"/>
      <c r="Q397" s="128"/>
      <c r="R397" s="128">
        <v>0.06</v>
      </c>
      <c r="S397" s="128" t="s">
        <v>48</v>
      </c>
    </row>
    <row r="398" spans="1:19" ht="29.25" x14ac:dyDescent="0.25">
      <c r="A398" s="128">
        <v>41300</v>
      </c>
      <c r="B398" s="128" t="s">
        <v>106</v>
      </c>
      <c r="C398" s="128" t="s">
        <v>49</v>
      </c>
      <c r="D398" s="128" t="s">
        <v>40</v>
      </c>
      <c r="E398" s="128"/>
      <c r="F398" s="128" t="s">
        <v>1518</v>
      </c>
      <c r="G398" s="128">
        <v>0.5</v>
      </c>
      <c r="H398" s="128" t="s">
        <v>7</v>
      </c>
      <c r="I398" s="128">
        <v>1068</v>
      </c>
      <c r="J398" s="128" t="s">
        <v>807</v>
      </c>
      <c r="K398" s="128"/>
      <c r="L398" s="128"/>
      <c r="M398" s="128" t="s">
        <v>57</v>
      </c>
      <c r="N398" s="128" t="s">
        <v>58</v>
      </c>
      <c r="O398" s="129">
        <v>31778</v>
      </c>
      <c r="P398" s="128"/>
      <c r="Q398" s="128"/>
      <c r="R398" s="128">
        <v>0.5</v>
      </c>
      <c r="S398" s="128" t="s">
        <v>48</v>
      </c>
    </row>
    <row r="399" spans="1:19" ht="29.25" x14ac:dyDescent="0.25">
      <c r="A399" s="128">
        <v>41400</v>
      </c>
      <c r="B399" s="128" t="s">
        <v>106</v>
      </c>
      <c r="C399" s="128" t="s">
        <v>49</v>
      </c>
      <c r="D399" s="128" t="s">
        <v>40</v>
      </c>
      <c r="E399" s="128" t="s">
        <v>2133</v>
      </c>
      <c r="F399" s="128" t="s">
        <v>2134</v>
      </c>
      <c r="G399" s="128">
        <v>52.9</v>
      </c>
      <c r="H399" s="128" t="s">
        <v>43</v>
      </c>
      <c r="I399" s="128" t="s">
        <v>2135</v>
      </c>
      <c r="J399" s="128" t="s">
        <v>713</v>
      </c>
      <c r="K399" s="128"/>
      <c r="L399" s="128" t="s">
        <v>259</v>
      </c>
      <c r="M399" s="128" t="s">
        <v>46</v>
      </c>
      <c r="N399" s="128" t="s">
        <v>47</v>
      </c>
      <c r="O399" s="129">
        <v>33528</v>
      </c>
      <c r="P399" s="128"/>
      <c r="Q399" s="128"/>
      <c r="R399" s="128">
        <v>52.9</v>
      </c>
      <c r="S399" s="128" t="s">
        <v>48</v>
      </c>
    </row>
    <row r="400" spans="1:19" x14ac:dyDescent="0.25">
      <c r="A400" s="128">
        <v>41800</v>
      </c>
      <c r="B400" s="128" t="s">
        <v>106</v>
      </c>
      <c r="C400" s="128" t="s">
        <v>49</v>
      </c>
      <c r="D400" s="128" t="s">
        <v>40</v>
      </c>
      <c r="E400" s="128" t="s">
        <v>1080</v>
      </c>
      <c r="F400" s="128" t="s">
        <v>1081</v>
      </c>
      <c r="G400" s="128">
        <v>13.8</v>
      </c>
      <c r="H400" s="128" t="s">
        <v>43</v>
      </c>
      <c r="I400" s="128" t="s">
        <v>1082</v>
      </c>
      <c r="J400" s="128" t="s">
        <v>807</v>
      </c>
      <c r="K400" s="128" t="s">
        <v>385</v>
      </c>
      <c r="L400" s="128" t="s">
        <v>808</v>
      </c>
      <c r="M400" s="128" t="s">
        <v>46</v>
      </c>
      <c r="N400" s="128" t="s">
        <v>47</v>
      </c>
      <c r="O400" s="129">
        <v>30776</v>
      </c>
      <c r="P400" s="128"/>
      <c r="Q400" s="128"/>
      <c r="R400" s="128">
        <v>13.8</v>
      </c>
      <c r="S400" s="128" t="s">
        <v>48</v>
      </c>
    </row>
    <row r="401" spans="1:19" ht="29.25" x14ac:dyDescent="0.25">
      <c r="A401" s="128">
        <v>83100</v>
      </c>
      <c r="B401" s="128" t="s">
        <v>106</v>
      </c>
      <c r="C401" s="128" t="s">
        <v>40</v>
      </c>
      <c r="D401" s="128" t="s">
        <v>40</v>
      </c>
      <c r="E401" s="128" t="s">
        <v>2638</v>
      </c>
      <c r="F401" s="128" t="s">
        <v>2639</v>
      </c>
      <c r="G401" s="128">
        <v>1.2</v>
      </c>
      <c r="H401" s="128" t="s">
        <v>7</v>
      </c>
      <c r="I401" s="128" t="s">
        <v>2640</v>
      </c>
      <c r="J401" s="128" t="s">
        <v>807</v>
      </c>
      <c r="K401" s="128" t="s">
        <v>315</v>
      </c>
      <c r="L401" s="128" t="s">
        <v>915</v>
      </c>
      <c r="M401" s="128" t="s">
        <v>57</v>
      </c>
      <c r="N401" s="128" t="s">
        <v>58</v>
      </c>
      <c r="O401" s="129">
        <v>37725</v>
      </c>
      <c r="P401" s="128"/>
      <c r="Q401" s="128"/>
      <c r="R401" s="128">
        <v>1.2</v>
      </c>
      <c r="S401" s="128" t="s">
        <v>48</v>
      </c>
    </row>
    <row r="402" spans="1:19" ht="29.25" x14ac:dyDescent="0.25">
      <c r="A402" s="128">
        <v>42100</v>
      </c>
      <c r="B402" s="128" t="s">
        <v>106</v>
      </c>
      <c r="C402" s="128" t="s">
        <v>49</v>
      </c>
      <c r="D402" s="128" t="s">
        <v>40</v>
      </c>
      <c r="E402" s="128"/>
      <c r="F402" s="128" t="s">
        <v>1652</v>
      </c>
      <c r="G402" s="128">
        <v>0.08</v>
      </c>
      <c r="H402" s="128" t="s">
        <v>7</v>
      </c>
      <c r="I402" s="128">
        <v>2326</v>
      </c>
      <c r="J402" s="128" t="s">
        <v>713</v>
      </c>
      <c r="K402" s="128"/>
      <c r="L402" s="128"/>
      <c r="M402" s="128" t="s">
        <v>57</v>
      </c>
      <c r="N402" s="128" t="s">
        <v>58</v>
      </c>
      <c r="O402" s="129">
        <v>32120</v>
      </c>
      <c r="P402" s="128"/>
      <c r="Q402" s="128"/>
      <c r="R402" s="128">
        <v>0.08</v>
      </c>
      <c r="S402" s="128" t="s">
        <v>48</v>
      </c>
    </row>
    <row r="403" spans="1:19" ht="29.25" x14ac:dyDescent="0.25">
      <c r="A403" s="128">
        <v>42200</v>
      </c>
      <c r="B403" s="128" t="s">
        <v>106</v>
      </c>
      <c r="C403" s="128" t="s">
        <v>49</v>
      </c>
      <c r="D403" s="128" t="s">
        <v>40</v>
      </c>
      <c r="E403" s="128"/>
      <c r="F403" s="128" t="s">
        <v>1603</v>
      </c>
      <c r="G403" s="128">
        <v>0.08</v>
      </c>
      <c r="H403" s="128" t="s">
        <v>7</v>
      </c>
      <c r="I403" s="128">
        <v>2268</v>
      </c>
      <c r="J403" s="128" t="s">
        <v>713</v>
      </c>
      <c r="K403" s="128"/>
      <c r="L403" s="128"/>
      <c r="M403" s="128" t="s">
        <v>57</v>
      </c>
      <c r="N403" s="128" t="s">
        <v>58</v>
      </c>
      <c r="O403" s="129">
        <v>31933</v>
      </c>
      <c r="P403" s="128"/>
      <c r="Q403" s="128"/>
      <c r="R403" s="128">
        <v>0.08</v>
      </c>
      <c r="S403" s="128" t="s">
        <v>48</v>
      </c>
    </row>
    <row r="404" spans="1:19" ht="29.25" x14ac:dyDescent="0.25">
      <c r="A404" s="128">
        <v>42500</v>
      </c>
      <c r="B404" s="128" t="s">
        <v>106</v>
      </c>
      <c r="C404" s="128" t="s">
        <v>49</v>
      </c>
      <c r="D404" s="128" t="s">
        <v>40</v>
      </c>
      <c r="E404" s="128" t="s">
        <v>1724</v>
      </c>
      <c r="F404" s="128" t="s">
        <v>1725</v>
      </c>
      <c r="G404" s="128">
        <v>50.05</v>
      </c>
      <c r="H404" s="128" t="s">
        <v>7</v>
      </c>
      <c r="I404" s="128">
        <v>2081</v>
      </c>
      <c r="J404" s="128" t="s">
        <v>713</v>
      </c>
      <c r="K404" s="128" t="s">
        <v>599</v>
      </c>
      <c r="L404" s="128" t="s">
        <v>259</v>
      </c>
      <c r="M404" s="128" t="s">
        <v>57</v>
      </c>
      <c r="N404" s="128" t="s">
        <v>58</v>
      </c>
      <c r="O404" s="129">
        <v>32284</v>
      </c>
      <c r="P404" s="128"/>
      <c r="Q404" s="128"/>
      <c r="R404" s="128">
        <v>35</v>
      </c>
      <c r="S404" s="128" t="s">
        <v>48</v>
      </c>
    </row>
    <row r="405" spans="1:19" ht="29.25" x14ac:dyDescent="0.25">
      <c r="A405" s="128">
        <v>43300</v>
      </c>
      <c r="B405" s="128" t="s">
        <v>106</v>
      </c>
      <c r="C405" s="128" t="s">
        <v>49</v>
      </c>
      <c r="D405" s="128" t="s">
        <v>40</v>
      </c>
      <c r="E405" s="128"/>
      <c r="F405" s="128" t="s">
        <v>2233</v>
      </c>
      <c r="G405" s="128">
        <v>0.12</v>
      </c>
      <c r="H405" s="128" t="s">
        <v>7</v>
      </c>
      <c r="I405" s="128">
        <v>2473</v>
      </c>
      <c r="J405" s="128" t="s">
        <v>713</v>
      </c>
      <c r="K405" s="128"/>
      <c r="L405" s="128"/>
      <c r="M405" s="128" t="s">
        <v>57</v>
      </c>
      <c r="N405" s="128" t="s">
        <v>58</v>
      </c>
      <c r="O405" s="129">
        <v>34823</v>
      </c>
      <c r="P405" s="128"/>
      <c r="Q405" s="128"/>
      <c r="R405" s="128">
        <v>0.12</v>
      </c>
      <c r="S405" s="128" t="s">
        <v>48</v>
      </c>
    </row>
    <row r="406" spans="1:19" ht="29.25" x14ac:dyDescent="0.25">
      <c r="A406" s="128">
        <v>43500</v>
      </c>
      <c r="B406" s="128" t="s">
        <v>106</v>
      </c>
      <c r="C406" s="128" t="s">
        <v>49</v>
      </c>
      <c r="D406" s="128" t="s">
        <v>40</v>
      </c>
      <c r="E406" s="128" t="s">
        <v>1745</v>
      </c>
      <c r="F406" s="128" t="s">
        <v>1746</v>
      </c>
      <c r="G406" s="128">
        <v>29.8</v>
      </c>
      <c r="H406" s="128" t="s">
        <v>7</v>
      </c>
      <c r="I406" s="128">
        <v>2180</v>
      </c>
      <c r="J406" s="128" t="s">
        <v>713</v>
      </c>
      <c r="K406" s="128" t="s">
        <v>724</v>
      </c>
      <c r="L406" s="128" t="s">
        <v>259</v>
      </c>
      <c r="M406" s="128" t="s">
        <v>57</v>
      </c>
      <c r="N406" s="128" t="s">
        <v>58</v>
      </c>
      <c r="O406" s="129">
        <v>32338</v>
      </c>
      <c r="P406" s="128"/>
      <c r="Q406" s="128"/>
      <c r="R406" s="128">
        <v>28.71</v>
      </c>
      <c r="S406" s="128" t="s">
        <v>48</v>
      </c>
    </row>
    <row r="407" spans="1:19" ht="57.75" x14ac:dyDescent="0.25">
      <c r="A407" s="128">
        <v>43600</v>
      </c>
      <c r="B407" s="128" t="s">
        <v>106</v>
      </c>
      <c r="C407" s="128" t="s">
        <v>49</v>
      </c>
      <c r="D407" s="128" t="s">
        <v>40</v>
      </c>
      <c r="E407" s="128" t="s">
        <v>2180</v>
      </c>
      <c r="F407" s="128" t="s">
        <v>2181</v>
      </c>
      <c r="G407" s="128">
        <v>7.5</v>
      </c>
      <c r="H407" s="128" t="s">
        <v>43</v>
      </c>
      <c r="I407" s="128" t="s">
        <v>2182</v>
      </c>
      <c r="J407" s="128" t="s">
        <v>807</v>
      </c>
      <c r="K407" s="128"/>
      <c r="L407" s="128" t="s">
        <v>915</v>
      </c>
      <c r="M407" s="128" t="s">
        <v>46</v>
      </c>
      <c r="N407" s="128" t="s">
        <v>47</v>
      </c>
      <c r="O407" s="129">
        <v>34089</v>
      </c>
      <c r="P407" s="128" t="s">
        <v>2183</v>
      </c>
      <c r="Q407" s="128"/>
      <c r="R407" s="128">
        <v>8</v>
      </c>
      <c r="S407" s="128" t="s">
        <v>48</v>
      </c>
    </row>
    <row r="408" spans="1:19" x14ac:dyDescent="0.25">
      <c r="A408" s="128">
        <v>43900</v>
      </c>
      <c r="B408" s="128" t="s">
        <v>106</v>
      </c>
      <c r="C408" s="128" t="s">
        <v>49</v>
      </c>
      <c r="D408" s="128" t="s">
        <v>40</v>
      </c>
      <c r="E408" s="128" t="s">
        <v>904</v>
      </c>
      <c r="F408" s="128" t="s">
        <v>905</v>
      </c>
      <c r="G408" s="128">
        <v>25</v>
      </c>
      <c r="H408" s="128" t="s">
        <v>162</v>
      </c>
      <c r="I408" s="128">
        <v>466</v>
      </c>
      <c r="J408" s="128" t="s">
        <v>713</v>
      </c>
      <c r="K408" s="128" t="s">
        <v>599</v>
      </c>
      <c r="L408" s="128" t="s">
        <v>259</v>
      </c>
      <c r="M408" s="128" t="s">
        <v>57</v>
      </c>
      <c r="N408" s="128" t="s">
        <v>163</v>
      </c>
      <c r="O408" s="129">
        <v>30317</v>
      </c>
      <c r="P408" s="128"/>
      <c r="Q408" s="128"/>
      <c r="R408" s="128">
        <v>30</v>
      </c>
      <c r="S408" s="128" t="s">
        <v>48</v>
      </c>
    </row>
    <row r="409" spans="1:19" ht="29.25" x14ac:dyDescent="0.25">
      <c r="A409" s="128">
        <v>39400</v>
      </c>
      <c r="B409" s="128" t="s">
        <v>106</v>
      </c>
      <c r="C409" s="128" t="s">
        <v>49</v>
      </c>
      <c r="D409" s="128" t="s">
        <v>40</v>
      </c>
      <c r="E409" s="128"/>
      <c r="F409" s="128" t="s">
        <v>2147</v>
      </c>
      <c r="G409" s="128">
        <v>0.08</v>
      </c>
      <c r="H409" s="128" t="s">
        <v>7</v>
      </c>
      <c r="I409" s="128">
        <v>2433</v>
      </c>
      <c r="J409" s="128" t="s">
        <v>713</v>
      </c>
      <c r="K409" s="128"/>
      <c r="L409" s="128"/>
      <c r="M409" s="128" t="s">
        <v>57</v>
      </c>
      <c r="N409" s="128" t="s">
        <v>58</v>
      </c>
      <c r="O409" s="129">
        <v>33662</v>
      </c>
      <c r="P409" s="128"/>
      <c r="Q409" s="128"/>
      <c r="R409" s="128">
        <v>0.08</v>
      </c>
      <c r="S409" s="128" t="s">
        <v>48</v>
      </c>
    </row>
    <row r="410" spans="1:19" x14ac:dyDescent="0.25">
      <c r="A410" s="128">
        <v>44100</v>
      </c>
      <c r="B410" s="128" t="s">
        <v>106</v>
      </c>
      <c r="C410" s="128" t="s">
        <v>49</v>
      </c>
      <c r="D410" s="128" t="s">
        <v>40</v>
      </c>
      <c r="E410" s="128" t="s">
        <v>1927</v>
      </c>
      <c r="F410" s="128" t="s">
        <v>1928</v>
      </c>
      <c r="G410" s="128">
        <v>36.799999999999997</v>
      </c>
      <c r="H410" s="128" t="s">
        <v>43</v>
      </c>
      <c r="I410" s="128" t="s">
        <v>1929</v>
      </c>
      <c r="J410" s="128" t="s">
        <v>713</v>
      </c>
      <c r="K410" s="128" t="s">
        <v>599</v>
      </c>
      <c r="L410" s="128" t="s">
        <v>259</v>
      </c>
      <c r="M410" s="128" t="s">
        <v>212</v>
      </c>
      <c r="N410" s="128" t="s">
        <v>213</v>
      </c>
      <c r="O410" s="129">
        <v>32842</v>
      </c>
      <c r="P410" s="128"/>
      <c r="Q410" s="128"/>
      <c r="R410" s="128">
        <v>36.799999999999997</v>
      </c>
      <c r="S410" s="128" t="s">
        <v>48</v>
      </c>
    </row>
    <row r="411" spans="1:19" ht="29.25" x14ac:dyDescent="0.25">
      <c r="A411" s="128">
        <v>65512</v>
      </c>
      <c r="B411" s="128" t="s">
        <v>106</v>
      </c>
      <c r="C411" s="128" t="s">
        <v>49</v>
      </c>
      <c r="D411" s="128" t="s">
        <v>40</v>
      </c>
      <c r="E411" s="128" t="s">
        <v>2007</v>
      </c>
      <c r="F411" s="128" t="s">
        <v>2008</v>
      </c>
      <c r="G411" s="128">
        <v>2</v>
      </c>
      <c r="H411" s="128" t="s">
        <v>43</v>
      </c>
      <c r="I411" s="128" t="s">
        <v>2009</v>
      </c>
      <c r="J411" s="128" t="s">
        <v>44</v>
      </c>
      <c r="K411" s="128" t="s">
        <v>44</v>
      </c>
      <c r="L411" s="128" t="s">
        <v>45</v>
      </c>
      <c r="M411" s="128" t="s">
        <v>46</v>
      </c>
      <c r="N411" s="128" t="s">
        <v>47</v>
      </c>
      <c r="O411" s="129">
        <v>32902</v>
      </c>
      <c r="P411" s="128" t="s">
        <v>969</v>
      </c>
      <c r="Q411" s="128"/>
      <c r="R411" s="128">
        <v>2</v>
      </c>
      <c r="S411" s="128" t="s">
        <v>48</v>
      </c>
    </row>
    <row r="412" spans="1:19" x14ac:dyDescent="0.25">
      <c r="A412" s="128">
        <v>44900</v>
      </c>
      <c r="B412" s="128" t="s">
        <v>106</v>
      </c>
      <c r="C412" s="128" t="s">
        <v>49</v>
      </c>
      <c r="D412" s="128" t="s">
        <v>40</v>
      </c>
      <c r="E412" s="128" t="s">
        <v>1852</v>
      </c>
      <c r="F412" s="128" t="s">
        <v>1853</v>
      </c>
      <c r="G412" s="128">
        <v>52.23</v>
      </c>
      <c r="H412" s="128" t="s">
        <v>43</v>
      </c>
      <c r="I412" s="128" t="s">
        <v>1854</v>
      </c>
      <c r="J412" s="128" t="s">
        <v>713</v>
      </c>
      <c r="K412" s="128" t="s">
        <v>599</v>
      </c>
      <c r="L412" s="128" t="s">
        <v>259</v>
      </c>
      <c r="M412" s="128" t="s">
        <v>212</v>
      </c>
      <c r="N412" s="128" t="s">
        <v>213</v>
      </c>
      <c r="O412" s="129">
        <v>32581</v>
      </c>
      <c r="P412" s="128"/>
      <c r="Q412" s="128"/>
      <c r="R412" s="128">
        <v>55.3</v>
      </c>
      <c r="S412" s="128" t="s">
        <v>48</v>
      </c>
    </row>
    <row r="413" spans="1:19" x14ac:dyDescent="0.25">
      <c r="A413" s="128">
        <v>45100</v>
      </c>
      <c r="B413" s="128" t="s">
        <v>106</v>
      </c>
      <c r="C413" s="128" t="s">
        <v>49</v>
      </c>
      <c r="D413" s="128" t="s">
        <v>40</v>
      </c>
      <c r="E413" s="128" t="s">
        <v>2048</v>
      </c>
      <c r="F413" s="128" t="s">
        <v>2049</v>
      </c>
      <c r="G413" s="128">
        <v>48.9</v>
      </c>
      <c r="H413" s="128" t="s">
        <v>7</v>
      </c>
      <c r="I413" s="128">
        <v>2205</v>
      </c>
      <c r="J413" s="128" t="s">
        <v>713</v>
      </c>
      <c r="K413" s="128" t="s">
        <v>599</v>
      </c>
      <c r="L413" s="128" t="s">
        <v>259</v>
      </c>
      <c r="M413" s="128" t="s">
        <v>57</v>
      </c>
      <c r="N413" s="128" t="s">
        <v>58</v>
      </c>
      <c r="O413" s="129">
        <v>32976</v>
      </c>
      <c r="P413" s="128"/>
      <c r="Q413" s="128"/>
      <c r="R413" s="128">
        <v>47.7</v>
      </c>
      <c r="S413" s="128" t="s">
        <v>48</v>
      </c>
    </row>
    <row r="414" spans="1:19" ht="29.25" x14ac:dyDescent="0.25">
      <c r="A414" s="128">
        <v>45600</v>
      </c>
      <c r="B414" s="128" t="s">
        <v>106</v>
      </c>
      <c r="C414" s="128" t="s">
        <v>49</v>
      </c>
      <c r="D414" s="128" t="s">
        <v>40</v>
      </c>
      <c r="E414" s="128"/>
      <c r="F414" s="128" t="s">
        <v>1035</v>
      </c>
      <c r="G414" s="128">
        <v>0</v>
      </c>
      <c r="H414" s="128" t="s">
        <v>162</v>
      </c>
      <c r="I414" s="128">
        <v>14</v>
      </c>
      <c r="J414" s="128" t="s">
        <v>713</v>
      </c>
      <c r="K414" s="128"/>
      <c r="L414" s="128" t="s">
        <v>259</v>
      </c>
      <c r="M414" s="128" t="s">
        <v>57</v>
      </c>
      <c r="N414" s="128" t="s">
        <v>163</v>
      </c>
      <c r="O414" s="129">
        <v>30682</v>
      </c>
      <c r="P414" s="128" t="s">
        <v>919</v>
      </c>
      <c r="Q414" s="128"/>
      <c r="R414" s="128">
        <v>1.43</v>
      </c>
      <c r="S414" s="128" t="s">
        <v>48</v>
      </c>
    </row>
    <row r="415" spans="1:19" x14ac:dyDescent="0.25">
      <c r="A415" s="128">
        <v>45700</v>
      </c>
      <c r="B415" s="128" t="s">
        <v>106</v>
      </c>
      <c r="C415" s="128" t="s">
        <v>49</v>
      </c>
      <c r="D415" s="128" t="s">
        <v>40</v>
      </c>
      <c r="E415" s="128" t="s">
        <v>1330</v>
      </c>
      <c r="F415" s="128" t="s">
        <v>1331</v>
      </c>
      <c r="G415" s="128">
        <v>0.23</v>
      </c>
      <c r="H415" s="128" t="s">
        <v>7</v>
      </c>
      <c r="I415" s="128">
        <v>2085</v>
      </c>
      <c r="J415" s="128" t="s">
        <v>713</v>
      </c>
      <c r="K415" s="128"/>
      <c r="L415" s="128"/>
      <c r="M415" s="128" t="s">
        <v>57</v>
      </c>
      <c r="N415" s="128" t="s">
        <v>58</v>
      </c>
      <c r="O415" s="129">
        <v>31413</v>
      </c>
      <c r="P415" s="128"/>
      <c r="Q415" s="128"/>
      <c r="R415" s="128">
        <v>0.2</v>
      </c>
      <c r="S415" s="128" t="s">
        <v>48</v>
      </c>
    </row>
    <row r="416" spans="1:19" x14ac:dyDescent="0.25">
      <c r="A416" s="128">
        <v>45900</v>
      </c>
      <c r="B416" s="128" t="s">
        <v>106</v>
      </c>
      <c r="C416" s="128" t="s">
        <v>49</v>
      </c>
      <c r="D416" s="128" t="s">
        <v>40</v>
      </c>
      <c r="E416" s="128" t="s">
        <v>2188</v>
      </c>
      <c r="F416" s="128" t="s">
        <v>2189</v>
      </c>
      <c r="G416" s="128">
        <v>48.2</v>
      </c>
      <c r="H416" s="128" t="s">
        <v>7</v>
      </c>
      <c r="I416" s="128">
        <v>2101</v>
      </c>
      <c r="J416" s="128" t="s">
        <v>713</v>
      </c>
      <c r="K416" s="128" t="s">
        <v>599</v>
      </c>
      <c r="L416" s="128" t="s">
        <v>259</v>
      </c>
      <c r="M416" s="128" t="s">
        <v>57</v>
      </c>
      <c r="N416" s="128" t="s">
        <v>58</v>
      </c>
      <c r="O416" s="129">
        <v>34200</v>
      </c>
      <c r="P416" s="128"/>
      <c r="Q416" s="128"/>
      <c r="R416" s="128">
        <v>49</v>
      </c>
      <c r="S416" s="128" t="s">
        <v>48</v>
      </c>
    </row>
    <row r="417" spans="1:19" x14ac:dyDescent="0.25">
      <c r="A417" s="128">
        <v>45200</v>
      </c>
      <c r="B417" s="128" t="s">
        <v>106</v>
      </c>
      <c r="C417" s="128" t="s">
        <v>49</v>
      </c>
      <c r="D417" s="128" t="s">
        <v>40</v>
      </c>
      <c r="E417" s="128" t="s">
        <v>2136</v>
      </c>
      <c r="F417" s="128" t="s">
        <v>2137</v>
      </c>
      <c r="G417" s="128">
        <v>4.5999999999999996</v>
      </c>
      <c r="H417" s="128" t="s">
        <v>43</v>
      </c>
      <c r="I417" s="128" t="s">
        <v>2138</v>
      </c>
      <c r="J417" s="128" t="s">
        <v>807</v>
      </c>
      <c r="K417" s="128"/>
      <c r="L417" s="128" t="s">
        <v>1008</v>
      </c>
      <c r="M417" s="128" t="s">
        <v>46</v>
      </c>
      <c r="N417" s="128" t="s">
        <v>47</v>
      </c>
      <c r="O417" s="129">
        <v>33532</v>
      </c>
      <c r="P417" s="128"/>
      <c r="Q417" s="128"/>
      <c r="R417" s="128">
        <v>4.5999999999999996</v>
      </c>
      <c r="S417" s="128" t="s">
        <v>48</v>
      </c>
    </row>
    <row r="418" spans="1:19" x14ac:dyDescent="0.25">
      <c r="A418" s="128">
        <v>46000</v>
      </c>
      <c r="B418" s="128" t="s">
        <v>106</v>
      </c>
      <c r="C418" s="128" t="s">
        <v>49</v>
      </c>
      <c r="D418" s="128" t="s">
        <v>40</v>
      </c>
      <c r="E418" s="128" t="s">
        <v>1456</v>
      </c>
      <c r="F418" s="128" t="s">
        <v>1457</v>
      </c>
      <c r="G418" s="128">
        <v>19.899999999999999</v>
      </c>
      <c r="H418" s="128" t="s">
        <v>43</v>
      </c>
      <c r="I418" s="128" t="s">
        <v>1458</v>
      </c>
      <c r="J418" s="128" t="s">
        <v>807</v>
      </c>
      <c r="K418" s="128" t="s">
        <v>385</v>
      </c>
      <c r="L418" s="128" t="s">
        <v>808</v>
      </c>
      <c r="M418" s="128" t="s">
        <v>46</v>
      </c>
      <c r="N418" s="128" t="s">
        <v>178</v>
      </c>
      <c r="O418" s="129">
        <v>31670</v>
      </c>
      <c r="P418" s="128"/>
      <c r="Q418" s="128"/>
      <c r="R418" s="128">
        <v>19.899999999999999</v>
      </c>
      <c r="S418" s="128" t="s">
        <v>48</v>
      </c>
    </row>
    <row r="419" spans="1:19" ht="29.25" x14ac:dyDescent="0.25">
      <c r="A419" s="128">
        <v>46400</v>
      </c>
      <c r="B419" s="128" t="s">
        <v>106</v>
      </c>
      <c r="C419" s="128" t="s">
        <v>49</v>
      </c>
      <c r="D419" s="128" t="s">
        <v>40</v>
      </c>
      <c r="E419" s="128"/>
      <c r="F419" s="128" t="s">
        <v>3267</v>
      </c>
      <c r="G419" s="128">
        <v>0.25</v>
      </c>
      <c r="H419" s="128" t="s">
        <v>7</v>
      </c>
      <c r="I419" s="128">
        <v>2457</v>
      </c>
      <c r="J419" s="128" t="s">
        <v>713</v>
      </c>
      <c r="K419" s="128"/>
      <c r="L419" s="128"/>
      <c r="M419" s="128" t="s">
        <v>57</v>
      </c>
      <c r="N419" s="128" t="s">
        <v>58</v>
      </c>
      <c r="O419" s="128"/>
      <c r="P419" s="128"/>
      <c r="Q419" s="128"/>
      <c r="R419" s="128">
        <v>0.25</v>
      </c>
      <c r="S419" s="128" t="s">
        <v>48</v>
      </c>
    </row>
    <row r="420" spans="1:19" x14ac:dyDescent="0.25">
      <c r="A420" s="128">
        <v>46500</v>
      </c>
      <c r="B420" s="128" t="s">
        <v>106</v>
      </c>
      <c r="C420" s="128" t="s">
        <v>49</v>
      </c>
      <c r="D420" s="128" t="s">
        <v>40</v>
      </c>
      <c r="E420" s="128" t="s">
        <v>1230</v>
      </c>
      <c r="F420" s="128" t="s">
        <v>1231</v>
      </c>
      <c r="G420" s="128">
        <v>33.700000000000003</v>
      </c>
      <c r="H420" s="128" t="s">
        <v>43</v>
      </c>
      <c r="I420" s="128" t="s">
        <v>1232</v>
      </c>
      <c r="J420" s="128" t="s">
        <v>44</v>
      </c>
      <c r="K420" s="128" t="s">
        <v>44</v>
      </c>
      <c r="L420" s="128" t="s">
        <v>45</v>
      </c>
      <c r="M420" s="128" t="s">
        <v>46</v>
      </c>
      <c r="N420" s="128" t="s">
        <v>47</v>
      </c>
      <c r="O420" s="129">
        <v>31153</v>
      </c>
      <c r="P420" s="128"/>
      <c r="Q420" s="128"/>
      <c r="R420" s="128">
        <v>33.700000000000003</v>
      </c>
      <c r="S420" s="128" t="s">
        <v>48</v>
      </c>
    </row>
    <row r="421" spans="1:19" x14ac:dyDescent="0.25">
      <c r="A421" s="128">
        <v>46600</v>
      </c>
      <c r="B421" s="128" t="s">
        <v>106</v>
      </c>
      <c r="C421" s="128" t="s">
        <v>49</v>
      </c>
      <c r="D421" s="128" t="s">
        <v>40</v>
      </c>
      <c r="E421" s="128" t="s">
        <v>1332</v>
      </c>
      <c r="F421" s="128" t="s">
        <v>1333</v>
      </c>
      <c r="G421" s="128">
        <v>6.9</v>
      </c>
      <c r="H421" s="128" t="s">
        <v>43</v>
      </c>
      <c r="I421" s="128" t="s">
        <v>1334</v>
      </c>
      <c r="J421" s="128" t="s">
        <v>713</v>
      </c>
      <c r="K421" s="128" t="s">
        <v>599</v>
      </c>
      <c r="L421" s="128" t="s">
        <v>259</v>
      </c>
      <c r="M421" s="128" t="s">
        <v>212</v>
      </c>
      <c r="N421" s="128" t="s">
        <v>213</v>
      </c>
      <c r="O421" s="129">
        <v>31413</v>
      </c>
      <c r="P421" s="128"/>
      <c r="Q421" s="128"/>
      <c r="R421" s="128">
        <v>6.9</v>
      </c>
      <c r="S421" s="128" t="s">
        <v>48</v>
      </c>
    </row>
    <row r="422" spans="1:19" ht="29.25" x14ac:dyDescent="0.25">
      <c r="A422" s="128">
        <v>46300</v>
      </c>
      <c r="B422" s="128" t="s">
        <v>106</v>
      </c>
      <c r="C422" s="128" t="s">
        <v>49</v>
      </c>
      <c r="D422" s="128" t="s">
        <v>40</v>
      </c>
      <c r="E422" s="128"/>
      <c r="F422" s="128" t="s">
        <v>3268</v>
      </c>
      <c r="G422" s="128">
        <v>0</v>
      </c>
      <c r="H422" s="128" t="s">
        <v>162</v>
      </c>
      <c r="I422" s="128">
        <v>482</v>
      </c>
      <c r="J422" s="128" t="s">
        <v>713</v>
      </c>
      <c r="K422" s="128"/>
      <c r="L422" s="128" t="s">
        <v>259</v>
      </c>
      <c r="M422" s="128" t="s">
        <v>57</v>
      </c>
      <c r="N422" s="128" t="s">
        <v>163</v>
      </c>
      <c r="O422" s="128"/>
      <c r="P422" s="128" t="s">
        <v>919</v>
      </c>
      <c r="Q422" s="128"/>
      <c r="R422" s="128">
        <v>0.15</v>
      </c>
      <c r="S422" s="128" t="s">
        <v>48</v>
      </c>
    </row>
    <row r="423" spans="1:19" ht="29.25" x14ac:dyDescent="0.25">
      <c r="A423" s="128">
        <v>47200</v>
      </c>
      <c r="B423" s="128" t="s">
        <v>106</v>
      </c>
      <c r="C423" s="128" t="s">
        <v>49</v>
      </c>
      <c r="D423" s="128" t="s">
        <v>40</v>
      </c>
      <c r="E423" s="128" t="s">
        <v>1285</v>
      </c>
      <c r="F423" s="128" t="s">
        <v>1286</v>
      </c>
      <c r="G423" s="128">
        <v>2.5</v>
      </c>
      <c r="H423" s="128" t="s">
        <v>43</v>
      </c>
      <c r="I423" s="128" t="s">
        <v>1287</v>
      </c>
      <c r="J423" s="128" t="s">
        <v>807</v>
      </c>
      <c r="K423" s="128"/>
      <c r="L423" s="128" t="s">
        <v>915</v>
      </c>
      <c r="M423" s="128" t="s">
        <v>46</v>
      </c>
      <c r="N423" s="128" t="s">
        <v>47</v>
      </c>
      <c r="O423" s="129">
        <v>31408</v>
      </c>
      <c r="P423" s="128"/>
      <c r="Q423" s="128"/>
      <c r="R423" s="128">
        <v>2.5</v>
      </c>
      <c r="S423" s="128" t="s">
        <v>48</v>
      </c>
    </row>
    <row r="424" spans="1:19" ht="29.25" x14ac:dyDescent="0.25">
      <c r="A424" s="128">
        <v>47300</v>
      </c>
      <c r="B424" s="128" t="s">
        <v>106</v>
      </c>
      <c r="C424" s="128" t="s">
        <v>49</v>
      </c>
      <c r="D424" s="128" t="s">
        <v>40</v>
      </c>
      <c r="E424" s="128" t="s">
        <v>1063</v>
      </c>
      <c r="F424" s="128" t="s">
        <v>1064</v>
      </c>
      <c r="G424" s="128">
        <v>3.7</v>
      </c>
      <c r="H424" s="128" t="s">
        <v>43</v>
      </c>
      <c r="I424" s="128" t="s">
        <v>1065</v>
      </c>
      <c r="J424" s="128" t="s">
        <v>807</v>
      </c>
      <c r="K424" s="128"/>
      <c r="L424" s="128" t="s">
        <v>915</v>
      </c>
      <c r="M424" s="128" t="s">
        <v>46</v>
      </c>
      <c r="N424" s="128" t="s">
        <v>47</v>
      </c>
      <c r="O424" s="129">
        <v>30693</v>
      </c>
      <c r="P424" s="128"/>
      <c r="Q424" s="128"/>
      <c r="R424" s="128">
        <v>3.7</v>
      </c>
      <c r="S424" s="128" t="s">
        <v>48</v>
      </c>
    </row>
    <row r="425" spans="1:19" ht="29.25" x14ac:dyDescent="0.25">
      <c r="A425" s="128">
        <v>47400</v>
      </c>
      <c r="B425" s="128" t="s">
        <v>106</v>
      </c>
      <c r="C425" s="128" t="s">
        <v>49</v>
      </c>
      <c r="D425" s="128" t="s">
        <v>40</v>
      </c>
      <c r="E425" s="128" t="s">
        <v>929</v>
      </c>
      <c r="F425" s="128" t="s">
        <v>930</v>
      </c>
      <c r="G425" s="128">
        <v>2.6</v>
      </c>
      <c r="H425" s="128" t="s">
        <v>43</v>
      </c>
      <c r="I425" s="128" t="s">
        <v>931</v>
      </c>
      <c r="J425" s="128" t="s">
        <v>807</v>
      </c>
      <c r="K425" s="128"/>
      <c r="L425" s="128" t="s">
        <v>915</v>
      </c>
      <c r="M425" s="128" t="s">
        <v>46</v>
      </c>
      <c r="N425" s="128" t="s">
        <v>47</v>
      </c>
      <c r="O425" s="129">
        <v>30327</v>
      </c>
      <c r="P425" s="128"/>
      <c r="Q425" s="128"/>
      <c r="R425" s="128">
        <v>2.6</v>
      </c>
      <c r="S425" s="128" t="s">
        <v>48</v>
      </c>
    </row>
    <row r="426" spans="1:19" ht="29.25" x14ac:dyDescent="0.25">
      <c r="A426" s="128">
        <v>47500</v>
      </c>
      <c r="B426" s="128" t="s">
        <v>106</v>
      </c>
      <c r="C426" s="128" t="s">
        <v>49</v>
      </c>
      <c r="D426" s="128" t="s">
        <v>40</v>
      </c>
      <c r="E426" s="128" t="s">
        <v>1096</v>
      </c>
      <c r="F426" s="128" t="s">
        <v>1097</v>
      </c>
      <c r="G426" s="128">
        <v>4.8</v>
      </c>
      <c r="H426" s="128" t="s">
        <v>43</v>
      </c>
      <c r="I426" s="128" t="s">
        <v>1098</v>
      </c>
      <c r="J426" s="128" t="s">
        <v>807</v>
      </c>
      <c r="K426" s="128"/>
      <c r="L426" s="128" t="s">
        <v>915</v>
      </c>
      <c r="M426" s="128" t="s">
        <v>46</v>
      </c>
      <c r="N426" s="128" t="s">
        <v>47</v>
      </c>
      <c r="O426" s="129">
        <v>30897</v>
      </c>
      <c r="P426" s="128"/>
      <c r="Q426" s="128"/>
      <c r="R426" s="128">
        <v>4.8</v>
      </c>
      <c r="S426" s="128" t="s">
        <v>48</v>
      </c>
    </row>
    <row r="427" spans="1:19" ht="29.25" x14ac:dyDescent="0.25">
      <c r="A427" s="128">
        <v>47600</v>
      </c>
      <c r="B427" s="128" t="s">
        <v>106</v>
      </c>
      <c r="C427" s="128" t="s">
        <v>49</v>
      </c>
      <c r="D427" s="128" t="s">
        <v>40</v>
      </c>
      <c r="E427" s="128" t="s">
        <v>2074</v>
      </c>
      <c r="F427" s="128" t="s">
        <v>2075</v>
      </c>
      <c r="G427" s="128">
        <v>41.5</v>
      </c>
      <c r="H427" s="128" t="s">
        <v>43</v>
      </c>
      <c r="I427" s="128" t="s">
        <v>2076</v>
      </c>
      <c r="J427" s="128" t="s">
        <v>713</v>
      </c>
      <c r="K427" s="128" t="s">
        <v>599</v>
      </c>
      <c r="L427" s="128" t="s">
        <v>259</v>
      </c>
      <c r="M427" s="128" t="s">
        <v>46</v>
      </c>
      <c r="N427" s="128" t="s">
        <v>47</v>
      </c>
      <c r="O427" s="129">
        <v>33165</v>
      </c>
      <c r="P427" s="128"/>
      <c r="Q427" s="128"/>
      <c r="R427" s="128">
        <v>41.5</v>
      </c>
      <c r="S427" s="128" t="s">
        <v>48</v>
      </c>
    </row>
    <row r="428" spans="1:19" x14ac:dyDescent="0.25">
      <c r="A428" s="128">
        <v>48200</v>
      </c>
      <c r="B428" s="128" t="s">
        <v>106</v>
      </c>
      <c r="C428" s="128" t="s">
        <v>49</v>
      </c>
      <c r="D428" s="128" t="s">
        <v>40</v>
      </c>
      <c r="E428" s="128" t="s">
        <v>2203</v>
      </c>
      <c r="F428" s="128" t="s">
        <v>2204</v>
      </c>
      <c r="G428" s="128">
        <v>50.3</v>
      </c>
      <c r="H428" s="128" t="s">
        <v>162</v>
      </c>
      <c r="I428" s="128">
        <v>431</v>
      </c>
      <c r="J428" s="128" t="s">
        <v>713</v>
      </c>
      <c r="K428" s="128" t="s">
        <v>599</v>
      </c>
      <c r="L428" s="128" t="s">
        <v>259</v>
      </c>
      <c r="M428" s="128" t="s">
        <v>57</v>
      </c>
      <c r="N428" s="128" t="s">
        <v>163</v>
      </c>
      <c r="O428" s="129">
        <v>34335</v>
      </c>
      <c r="P428" s="128"/>
      <c r="Q428" s="128"/>
      <c r="R428" s="128">
        <v>49.9</v>
      </c>
      <c r="S428" s="128" t="s">
        <v>48</v>
      </c>
    </row>
    <row r="429" spans="1:19" x14ac:dyDescent="0.25">
      <c r="A429" s="128">
        <v>49200</v>
      </c>
      <c r="B429" s="128" t="s">
        <v>106</v>
      </c>
      <c r="C429" s="128" t="s">
        <v>49</v>
      </c>
      <c r="D429" s="128" t="s">
        <v>40</v>
      </c>
      <c r="E429" s="128" t="s">
        <v>1913</v>
      </c>
      <c r="F429" s="128" t="s">
        <v>1914</v>
      </c>
      <c r="G429" s="128">
        <v>63.75</v>
      </c>
      <c r="H429" s="128" t="s">
        <v>43</v>
      </c>
      <c r="I429" s="128" t="s">
        <v>1915</v>
      </c>
      <c r="J429" s="128" t="s">
        <v>713</v>
      </c>
      <c r="K429" s="128" t="s">
        <v>599</v>
      </c>
      <c r="L429" s="128" t="s">
        <v>259</v>
      </c>
      <c r="M429" s="128" t="s">
        <v>46</v>
      </c>
      <c r="N429" s="128" t="s">
        <v>47</v>
      </c>
      <c r="O429" s="129">
        <v>32793</v>
      </c>
      <c r="P429" s="128"/>
      <c r="Q429" s="128"/>
      <c r="R429" s="128">
        <v>63.75</v>
      </c>
      <c r="S429" s="128" t="s">
        <v>48</v>
      </c>
    </row>
    <row r="430" spans="1:19" x14ac:dyDescent="0.25">
      <c r="A430" s="128">
        <v>49300</v>
      </c>
      <c r="B430" s="128" t="s">
        <v>106</v>
      </c>
      <c r="C430" s="128" t="s">
        <v>49</v>
      </c>
      <c r="D430" s="128" t="s">
        <v>40</v>
      </c>
      <c r="E430" s="128" t="s">
        <v>2081</v>
      </c>
      <c r="F430" s="128" t="s">
        <v>2082</v>
      </c>
      <c r="G430" s="128">
        <v>22.8</v>
      </c>
      <c r="H430" s="128" t="s">
        <v>43</v>
      </c>
      <c r="I430" s="128" t="s">
        <v>2083</v>
      </c>
      <c r="J430" s="128" t="s">
        <v>713</v>
      </c>
      <c r="K430" s="128" t="s">
        <v>385</v>
      </c>
      <c r="L430" s="128" t="s">
        <v>874</v>
      </c>
      <c r="M430" s="128" t="s">
        <v>46</v>
      </c>
      <c r="N430" s="128" t="s">
        <v>47</v>
      </c>
      <c r="O430" s="129">
        <v>33214</v>
      </c>
      <c r="P430" s="128"/>
      <c r="Q430" s="128"/>
      <c r="R430" s="128">
        <v>22.8</v>
      </c>
      <c r="S430" s="128" t="s">
        <v>48</v>
      </c>
    </row>
    <row r="431" spans="1:19" x14ac:dyDescent="0.25">
      <c r="A431" s="128">
        <v>49400</v>
      </c>
      <c r="B431" s="128" t="s">
        <v>106</v>
      </c>
      <c r="C431" s="128" t="s">
        <v>49</v>
      </c>
      <c r="D431" s="128" t="s">
        <v>40</v>
      </c>
      <c r="E431" s="128" t="s">
        <v>1945</v>
      </c>
      <c r="F431" s="128" t="s">
        <v>1946</v>
      </c>
      <c r="G431" s="128">
        <v>22.8</v>
      </c>
      <c r="H431" s="128" t="s">
        <v>43</v>
      </c>
      <c r="I431" s="128" t="s">
        <v>1947</v>
      </c>
      <c r="J431" s="128" t="s">
        <v>713</v>
      </c>
      <c r="K431" s="128" t="s">
        <v>385</v>
      </c>
      <c r="L431" s="128" t="s">
        <v>874</v>
      </c>
      <c r="M431" s="128" t="s">
        <v>46</v>
      </c>
      <c r="N431" s="128" t="s">
        <v>47</v>
      </c>
      <c r="O431" s="129">
        <v>32864</v>
      </c>
      <c r="P431" s="128"/>
      <c r="Q431" s="128"/>
      <c r="R431" s="128">
        <v>22.8</v>
      </c>
      <c r="S431" s="128" t="s">
        <v>48</v>
      </c>
    </row>
    <row r="432" spans="1:19" x14ac:dyDescent="0.25">
      <c r="A432" s="128">
        <v>49500</v>
      </c>
      <c r="B432" s="128" t="s">
        <v>106</v>
      </c>
      <c r="C432" s="128" t="s">
        <v>49</v>
      </c>
      <c r="D432" s="128" t="s">
        <v>40</v>
      </c>
      <c r="E432" s="128" t="s">
        <v>2062</v>
      </c>
      <c r="F432" s="128" t="s">
        <v>2063</v>
      </c>
      <c r="G432" s="128">
        <v>22.8</v>
      </c>
      <c r="H432" s="128" t="s">
        <v>43</v>
      </c>
      <c r="I432" s="128" t="s">
        <v>2064</v>
      </c>
      <c r="J432" s="128" t="s">
        <v>713</v>
      </c>
      <c r="K432" s="128" t="s">
        <v>385</v>
      </c>
      <c r="L432" s="128" t="s">
        <v>874</v>
      </c>
      <c r="M432" s="128" t="s">
        <v>46</v>
      </c>
      <c r="N432" s="128" t="s">
        <v>47</v>
      </c>
      <c r="O432" s="129">
        <v>33112</v>
      </c>
      <c r="P432" s="128"/>
      <c r="Q432" s="128"/>
      <c r="R432" s="128">
        <v>22.8</v>
      </c>
      <c r="S432" s="128" t="s">
        <v>48</v>
      </c>
    </row>
    <row r="433" spans="1:19" x14ac:dyDescent="0.25">
      <c r="A433" s="128">
        <v>49600</v>
      </c>
      <c r="B433" s="128" t="s">
        <v>106</v>
      </c>
      <c r="C433" s="128" t="s">
        <v>49</v>
      </c>
      <c r="D433" s="128" t="s">
        <v>40</v>
      </c>
      <c r="E433" s="128" t="s">
        <v>2070</v>
      </c>
      <c r="F433" s="128" t="s">
        <v>2071</v>
      </c>
      <c r="G433" s="128">
        <v>22.8</v>
      </c>
      <c r="H433" s="128" t="s">
        <v>43</v>
      </c>
      <c r="I433" s="128" t="s">
        <v>2072</v>
      </c>
      <c r="J433" s="128" t="s">
        <v>713</v>
      </c>
      <c r="K433" s="128" t="s">
        <v>385</v>
      </c>
      <c r="L433" s="128" t="s">
        <v>874</v>
      </c>
      <c r="M433" s="128" t="s">
        <v>46</v>
      </c>
      <c r="N433" s="128" t="s">
        <v>47</v>
      </c>
      <c r="O433" s="129">
        <v>33156</v>
      </c>
      <c r="P433" s="128"/>
      <c r="Q433" s="128"/>
      <c r="R433" s="128">
        <v>22.8</v>
      </c>
      <c r="S433" s="128" t="s">
        <v>48</v>
      </c>
    </row>
    <row r="434" spans="1:19" x14ac:dyDescent="0.25">
      <c r="A434" s="128">
        <v>49700</v>
      </c>
      <c r="B434" s="128" t="s">
        <v>106</v>
      </c>
      <c r="C434" s="128" t="s">
        <v>49</v>
      </c>
      <c r="D434" s="128" t="s">
        <v>40</v>
      </c>
      <c r="E434" s="128" t="s">
        <v>2024</v>
      </c>
      <c r="F434" s="128" t="s">
        <v>2025</v>
      </c>
      <c r="G434" s="128">
        <v>22.8</v>
      </c>
      <c r="H434" s="128" t="s">
        <v>43</v>
      </c>
      <c r="I434" s="128" t="s">
        <v>2026</v>
      </c>
      <c r="J434" s="128" t="s">
        <v>713</v>
      </c>
      <c r="K434" s="128" t="s">
        <v>385</v>
      </c>
      <c r="L434" s="128" t="s">
        <v>874</v>
      </c>
      <c r="M434" s="128" t="s">
        <v>46</v>
      </c>
      <c r="N434" s="128" t="s">
        <v>47</v>
      </c>
      <c r="O434" s="129">
        <v>32949</v>
      </c>
      <c r="P434" s="128"/>
      <c r="Q434" s="128"/>
      <c r="R434" s="128">
        <v>22.8</v>
      </c>
      <c r="S434" s="128" t="s">
        <v>48</v>
      </c>
    </row>
    <row r="435" spans="1:19" ht="29.25" x14ac:dyDescent="0.25">
      <c r="A435" s="128">
        <v>50000</v>
      </c>
      <c r="B435" s="128" t="s">
        <v>106</v>
      </c>
      <c r="C435" s="128" t="s">
        <v>49</v>
      </c>
      <c r="D435" s="128" t="s">
        <v>40</v>
      </c>
      <c r="E435" s="128"/>
      <c r="F435" s="128" t="s">
        <v>1651</v>
      </c>
      <c r="G435" s="128">
        <v>0.06</v>
      </c>
      <c r="H435" s="128" t="s">
        <v>7</v>
      </c>
      <c r="I435" s="128">
        <v>2303</v>
      </c>
      <c r="J435" s="128" t="s">
        <v>713</v>
      </c>
      <c r="K435" s="128"/>
      <c r="L435" s="128"/>
      <c r="M435" s="128" t="s">
        <v>57</v>
      </c>
      <c r="N435" s="128" t="s">
        <v>58</v>
      </c>
      <c r="O435" s="129">
        <v>32119</v>
      </c>
      <c r="P435" s="128"/>
      <c r="Q435" s="128"/>
      <c r="R435" s="128">
        <v>0.06</v>
      </c>
      <c r="S435" s="128" t="s">
        <v>48</v>
      </c>
    </row>
    <row r="436" spans="1:19" x14ac:dyDescent="0.25">
      <c r="A436" s="128">
        <v>50100</v>
      </c>
      <c r="B436" s="128" t="s">
        <v>106</v>
      </c>
      <c r="C436" s="128" t="s">
        <v>49</v>
      </c>
      <c r="D436" s="128" t="s">
        <v>40</v>
      </c>
      <c r="E436" s="128" t="s">
        <v>2067</v>
      </c>
      <c r="F436" s="128" t="s">
        <v>2068</v>
      </c>
      <c r="G436" s="128">
        <v>29.4</v>
      </c>
      <c r="H436" s="128" t="s">
        <v>43</v>
      </c>
      <c r="I436" s="128" t="s">
        <v>2069</v>
      </c>
      <c r="J436" s="128" t="s">
        <v>713</v>
      </c>
      <c r="K436" s="128" t="s">
        <v>385</v>
      </c>
      <c r="L436" s="128" t="s">
        <v>874</v>
      </c>
      <c r="M436" s="128" t="s">
        <v>46</v>
      </c>
      <c r="N436" s="128" t="s">
        <v>47</v>
      </c>
      <c r="O436" s="129">
        <v>33142</v>
      </c>
      <c r="P436" s="128"/>
      <c r="Q436" s="128"/>
      <c r="R436" s="128">
        <v>29.9</v>
      </c>
      <c r="S436" s="128" t="s">
        <v>48</v>
      </c>
    </row>
    <row r="437" spans="1:19" ht="29.25" x14ac:dyDescent="0.25">
      <c r="A437" s="128">
        <v>90300</v>
      </c>
      <c r="B437" s="128" t="s">
        <v>106</v>
      </c>
      <c r="C437" s="128" t="s">
        <v>49</v>
      </c>
      <c r="D437" s="128" t="s">
        <v>40</v>
      </c>
      <c r="E437" s="128" t="s">
        <v>1888</v>
      </c>
      <c r="F437" s="128" t="s">
        <v>1889</v>
      </c>
      <c r="G437" s="128">
        <v>2.75</v>
      </c>
      <c r="H437" s="128" t="s">
        <v>43</v>
      </c>
      <c r="I437" s="128" t="s">
        <v>109</v>
      </c>
      <c r="J437" s="128" t="s">
        <v>44</v>
      </c>
      <c r="K437" s="128" t="s">
        <v>44</v>
      </c>
      <c r="L437" s="128" t="s">
        <v>45</v>
      </c>
      <c r="M437" s="128" t="s">
        <v>46</v>
      </c>
      <c r="N437" s="128" t="s">
        <v>47</v>
      </c>
      <c r="O437" s="129">
        <v>32674</v>
      </c>
      <c r="P437" s="128"/>
      <c r="Q437" s="128"/>
      <c r="R437" s="128">
        <v>7.5</v>
      </c>
      <c r="S437" s="128" t="s">
        <v>48</v>
      </c>
    </row>
    <row r="438" spans="1:19" x14ac:dyDescent="0.25">
      <c r="A438" s="128">
        <v>50400</v>
      </c>
      <c r="B438" s="128" t="s">
        <v>106</v>
      </c>
      <c r="C438" s="128" t="s">
        <v>49</v>
      </c>
      <c r="D438" s="128" t="s">
        <v>40</v>
      </c>
      <c r="E438" s="128" t="s">
        <v>1841</v>
      </c>
      <c r="F438" s="128" t="s">
        <v>1842</v>
      </c>
      <c r="G438" s="128">
        <v>52.43</v>
      </c>
      <c r="H438" s="128" t="s">
        <v>43</v>
      </c>
      <c r="I438" s="128" t="s">
        <v>1843</v>
      </c>
      <c r="J438" s="128" t="s">
        <v>713</v>
      </c>
      <c r="K438" s="128" t="s">
        <v>599</v>
      </c>
      <c r="L438" s="128" t="s">
        <v>259</v>
      </c>
      <c r="M438" s="128" t="s">
        <v>212</v>
      </c>
      <c r="N438" s="128" t="s">
        <v>213</v>
      </c>
      <c r="O438" s="129">
        <v>32563</v>
      </c>
      <c r="P438" s="128"/>
      <c r="Q438" s="128"/>
      <c r="R438" s="128">
        <v>60.3</v>
      </c>
      <c r="S438" s="128" t="s">
        <v>48</v>
      </c>
    </row>
    <row r="439" spans="1:19" ht="29.25" x14ac:dyDescent="0.25">
      <c r="A439" s="128">
        <v>51500</v>
      </c>
      <c r="B439" s="128" t="s">
        <v>106</v>
      </c>
      <c r="C439" s="128" t="s">
        <v>49</v>
      </c>
      <c r="D439" s="128" t="s">
        <v>40</v>
      </c>
      <c r="E439" s="128" t="s">
        <v>2148</v>
      </c>
      <c r="F439" s="128" t="s">
        <v>2149</v>
      </c>
      <c r="G439" s="128">
        <v>14.3</v>
      </c>
      <c r="H439" s="128" t="s">
        <v>43</v>
      </c>
      <c r="I439" s="128" t="s">
        <v>2150</v>
      </c>
      <c r="J439" s="128" t="s">
        <v>44</v>
      </c>
      <c r="K439" s="128" t="s">
        <v>44</v>
      </c>
      <c r="L439" s="128" t="s">
        <v>45</v>
      </c>
      <c r="M439" s="128" t="s">
        <v>46</v>
      </c>
      <c r="N439" s="128" t="s">
        <v>47</v>
      </c>
      <c r="O439" s="129">
        <v>33679</v>
      </c>
      <c r="P439" s="128"/>
      <c r="Q439" s="128"/>
      <c r="R439" s="128">
        <v>14.3</v>
      </c>
      <c r="S439" s="128" t="s">
        <v>48</v>
      </c>
    </row>
    <row r="440" spans="1:19" ht="29.25" x14ac:dyDescent="0.25">
      <c r="A440" s="128">
        <v>49800</v>
      </c>
      <c r="B440" s="128" t="s">
        <v>106</v>
      </c>
      <c r="C440" s="128" t="s">
        <v>49</v>
      </c>
      <c r="D440" s="128" t="s">
        <v>40</v>
      </c>
      <c r="E440" s="128"/>
      <c r="F440" s="128" t="s">
        <v>3275</v>
      </c>
      <c r="G440" s="128">
        <v>0</v>
      </c>
      <c r="H440" s="128" t="s">
        <v>162</v>
      </c>
      <c r="I440" s="128">
        <v>481</v>
      </c>
      <c r="J440" s="128" t="s">
        <v>807</v>
      </c>
      <c r="K440" s="128"/>
      <c r="L440" s="128" t="s">
        <v>915</v>
      </c>
      <c r="M440" s="128" t="s">
        <v>57</v>
      </c>
      <c r="N440" s="128" t="s">
        <v>163</v>
      </c>
      <c r="O440" s="128"/>
      <c r="P440" s="128" t="s">
        <v>919</v>
      </c>
      <c r="Q440" s="128"/>
      <c r="R440" s="128">
        <v>0.36</v>
      </c>
      <c r="S440" s="128" t="s">
        <v>48</v>
      </c>
    </row>
    <row r="441" spans="1:19" x14ac:dyDescent="0.25">
      <c r="A441" s="128">
        <v>51600</v>
      </c>
      <c r="B441" s="128" t="s">
        <v>106</v>
      </c>
      <c r="C441" s="128" t="s">
        <v>49</v>
      </c>
      <c r="D441" s="128" t="s">
        <v>40</v>
      </c>
      <c r="E441" s="128" t="s">
        <v>1036</v>
      </c>
      <c r="F441" s="128" t="s">
        <v>1037</v>
      </c>
      <c r="G441" s="128">
        <v>50</v>
      </c>
      <c r="H441" s="128" t="s">
        <v>43</v>
      </c>
      <c r="I441" s="128"/>
      <c r="J441" s="128" t="s">
        <v>713</v>
      </c>
      <c r="K441" s="128" t="s">
        <v>599</v>
      </c>
      <c r="L441" s="128" t="s">
        <v>259</v>
      </c>
      <c r="M441" s="128" t="s">
        <v>46</v>
      </c>
      <c r="N441" s="128" t="s">
        <v>47</v>
      </c>
      <c r="O441" s="129">
        <v>30682</v>
      </c>
      <c r="P441" s="128" t="s">
        <v>1038</v>
      </c>
      <c r="Q441" s="128"/>
      <c r="R441" s="128">
        <v>50</v>
      </c>
      <c r="S441" s="128" t="s">
        <v>48</v>
      </c>
    </row>
    <row r="442" spans="1:19" x14ac:dyDescent="0.25">
      <c r="A442" s="128">
        <v>51800</v>
      </c>
      <c r="B442" s="128" t="s">
        <v>106</v>
      </c>
      <c r="C442" s="128" t="s">
        <v>49</v>
      </c>
      <c r="D442" s="128" t="s">
        <v>40</v>
      </c>
      <c r="E442" s="128" t="s">
        <v>984</v>
      </c>
      <c r="F442" s="128" t="s">
        <v>985</v>
      </c>
      <c r="G442" s="128">
        <v>5</v>
      </c>
      <c r="H442" s="128" t="s">
        <v>43</v>
      </c>
      <c r="I442" s="128" t="s">
        <v>986</v>
      </c>
      <c r="J442" s="128" t="s">
        <v>44</v>
      </c>
      <c r="K442" s="128" t="s">
        <v>44</v>
      </c>
      <c r="L442" s="128" t="s">
        <v>45</v>
      </c>
      <c r="M442" s="128" t="s">
        <v>46</v>
      </c>
      <c r="N442" s="128" t="s">
        <v>47</v>
      </c>
      <c r="O442" s="129">
        <v>30574</v>
      </c>
      <c r="P442" s="128"/>
      <c r="Q442" s="128"/>
      <c r="R442" s="128">
        <v>5</v>
      </c>
      <c r="S442" s="128" t="s">
        <v>48</v>
      </c>
    </row>
    <row r="443" spans="1:19" ht="29.25" x14ac:dyDescent="0.25">
      <c r="A443" s="128">
        <v>52000</v>
      </c>
      <c r="B443" s="128" t="s">
        <v>106</v>
      </c>
      <c r="C443" s="128" t="s">
        <v>49</v>
      </c>
      <c r="D443" s="128" t="s">
        <v>40</v>
      </c>
      <c r="E443" s="128" t="s">
        <v>1736</v>
      </c>
      <c r="F443" s="128" t="s">
        <v>1737</v>
      </c>
      <c r="G443" s="128">
        <v>21.25</v>
      </c>
      <c r="H443" s="128" t="s">
        <v>43</v>
      </c>
      <c r="I443" s="128" t="s">
        <v>1738</v>
      </c>
      <c r="J443" s="128" t="s">
        <v>800</v>
      </c>
      <c r="K443" s="128" t="s">
        <v>800</v>
      </c>
      <c r="L443" s="128" t="s">
        <v>800</v>
      </c>
      <c r="M443" s="128" t="s">
        <v>46</v>
      </c>
      <c r="N443" s="128" t="s">
        <v>47</v>
      </c>
      <c r="O443" s="129">
        <v>32308</v>
      </c>
      <c r="P443" s="128"/>
      <c r="Q443" s="128"/>
      <c r="R443" s="128">
        <v>21.25</v>
      </c>
      <c r="S443" s="128" t="s">
        <v>48</v>
      </c>
    </row>
    <row r="444" spans="1:19" ht="29.25" x14ac:dyDescent="0.25">
      <c r="A444" s="128">
        <v>52100</v>
      </c>
      <c r="B444" s="128" t="s">
        <v>106</v>
      </c>
      <c r="C444" s="128" t="s">
        <v>49</v>
      </c>
      <c r="D444" s="128" t="s">
        <v>40</v>
      </c>
      <c r="E444" s="128" t="s">
        <v>1522</v>
      </c>
      <c r="F444" s="128" t="s">
        <v>1523</v>
      </c>
      <c r="G444" s="128">
        <v>20.7</v>
      </c>
      <c r="H444" s="128" t="s">
        <v>43</v>
      </c>
      <c r="I444" s="128" t="s">
        <v>1524</v>
      </c>
      <c r="J444" s="128" t="s">
        <v>713</v>
      </c>
      <c r="K444" s="128" t="s">
        <v>385</v>
      </c>
      <c r="L444" s="128" t="s">
        <v>956</v>
      </c>
      <c r="M444" s="128" t="s">
        <v>46</v>
      </c>
      <c r="N444" s="128" t="s">
        <v>47</v>
      </c>
      <c r="O444" s="129">
        <v>31778</v>
      </c>
      <c r="P444" s="128"/>
      <c r="Q444" s="128"/>
      <c r="R444" s="128">
        <v>20.7</v>
      </c>
      <c r="S444" s="128" t="s">
        <v>48</v>
      </c>
    </row>
    <row r="445" spans="1:19" ht="29.25" x14ac:dyDescent="0.25">
      <c r="A445" s="128">
        <v>52300</v>
      </c>
      <c r="B445" s="128" t="s">
        <v>106</v>
      </c>
      <c r="C445" s="128" t="s">
        <v>49</v>
      </c>
      <c r="D445" s="128" t="s">
        <v>40</v>
      </c>
      <c r="E445" s="128"/>
      <c r="F445" s="128" t="s">
        <v>3300</v>
      </c>
      <c r="G445" s="128">
        <v>0</v>
      </c>
      <c r="H445" s="128" t="s">
        <v>162</v>
      </c>
      <c r="I445" s="128">
        <v>480</v>
      </c>
      <c r="J445" s="128" t="s">
        <v>807</v>
      </c>
      <c r="K445" s="128"/>
      <c r="L445" s="128" t="s">
        <v>915</v>
      </c>
      <c r="M445" s="128" t="s">
        <v>57</v>
      </c>
      <c r="N445" s="128" t="s">
        <v>163</v>
      </c>
      <c r="O445" s="128"/>
      <c r="P445" s="128" t="s">
        <v>919</v>
      </c>
      <c r="Q445" s="128"/>
      <c r="R445" s="128">
        <v>0.3</v>
      </c>
      <c r="S445" s="128" t="s">
        <v>48</v>
      </c>
    </row>
    <row r="446" spans="1:19" x14ac:dyDescent="0.25">
      <c r="A446" s="128">
        <v>52700</v>
      </c>
      <c r="B446" s="128" t="s">
        <v>106</v>
      </c>
      <c r="C446" s="128" t="s">
        <v>49</v>
      </c>
      <c r="D446" s="128" t="s">
        <v>40</v>
      </c>
      <c r="E446" s="128" t="s">
        <v>1824</v>
      </c>
      <c r="F446" s="128" t="s">
        <v>1825</v>
      </c>
      <c r="G446" s="128">
        <v>52.4</v>
      </c>
      <c r="H446" s="128" t="s">
        <v>43</v>
      </c>
      <c r="I446" s="128" t="s">
        <v>1826</v>
      </c>
      <c r="J446" s="128" t="s">
        <v>713</v>
      </c>
      <c r="K446" s="128" t="s">
        <v>599</v>
      </c>
      <c r="L446" s="128" t="s">
        <v>259</v>
      </c>
      <c r="M446" s="128" t="s">
        <v>212</v>
      </c>
      <c r="N446" s="128" t="s">
        <v>213</v>
      </c>
      <c r="O446" s="129">
        <v>32515</v>
      </c>
      <c r="P446" s="128"/>
      <c r="Q446" s="128"/>
      <c r="R446" s="128">
        <v>60</v>
      </c>
      <c r="S446" s="128" t="s">
        <v>48</v>
      </c>
    </row>
    <row r="447" spans="1:19" ht="29.25" x14ac:dyDescent="0.25">
      <c r="A447" s="128">
        <v>52800</v>
      </c>
      <c r="B447" s="128" t="s">
        <v>106</v>
      </c>
      <c r="C447" s="128" t="s">
        <v>49</v>
      </c>
      <c r="D447" s="128" t="s">
        <v>40</v>
      </c>
      <c r="E447" s="128" t="s">
        <v>1874</v>
      </c>
      <c r="F447" s="128" t="s">
        <v>1875</v>
      </c>
      <c r="G447" s="128">
        <v>18.399999999999999</v>
      </c>
      <c r="H447" s="128" t="s">
        <v>43</v>
      </c>
      <c r="I447" s="128" t="s">
        <v>1876</v>
      </c>
      <c r="J447" s="128" t="s">
        <v>44</v>
      </c>
      <c r="K447" s="128" t="s">
        <v>44</v>
      </c>
      <c r="L447" s="128" t="s">
        <v>45</v>
      </c>
      <c r="M447" s="128" t="s">
        <v>212</v>
      </c>
      <c r="N447" s="128" t="s">
        <v>213</v>
      </c>
      <c r="O447" s="129">
        <v>32646</v>
      </c>
      <c r="P447" s="128"/>
      <c r="Q447" s="128"/>
      <c r="R447" s="128">
        <v>18.399999999999999</v>
      </c>
      <c r="S447" s="128" t="s">
        <v>48</v>
      </c>
    </row>
    <row r="448" spans="1:19" x14ac:dyDescent="0.25">
      <c r="A448" s="128">
        <v>84400</v>
      </c>
      <c r="B448" s="128" t="s">
        <v>106</v>
      </c>
      <c r="C448" s="128" t="s">
        <v>40</v>
      </c>
      <c r="D448" s="128" t="s">
        <v>40</v>
      </c>
      <c r="E448" s="128"/>
      <c r="F448" s="128" t="s">
        <v>3301</v>
      </c>
      <c r="G448" s="128">
        <v>0</v>
      </c>
      <c r="H448" s="128" t="s">
        <v>43</v>
      </c>
      <c r="I448" s="128" t="s">
        <v>3302</v>
      </c>
      <c r="J448" s="128" t="s">
        <v>713</v>
      </c>
      <c r="K448" s="128" t="s">
        <v>599</v>
      </c>
      <c r="L448" s="128" t="s">
        <v>259</v>
      </c>
      <c r="M448" s="128" t="s">
        <v>212</v>
      </c>
      <c r="N448" s="128" t="s">
        <v>213</v>
      </c>
      <c r="O448" s="128"/>
      <c r="P448" s="128" t="s">
        <v>1925</v>
      </c>
      <c r="Q448" s="128"/>
      <c r="R448" s="128">
        <v>4.5</v>
      </c>
      <c r="S448" s="128" t="s">
        <v>48</v>
      </c>
    </row>
    <row r="449" spans="1:19" ht="29.25" x14ac:dyDescent="0.25">
      <c r="A449" s="128">
        <v>53100</v>
      </c>
      <c r="B449" s="128" t="s">
        <v>106</v>
      </c>
      <c r="C449" s="128" t="s">
        <v>49</v>
      </c>
      <c r="D449" s="128" t="s">
        <v>40</v>
      </c>
      <c r="E449" s="128" t="s">
        <v>1342</v>
      </c>
      <c r="F449" s="128" t="s">
        <v>1343</v>
      </c>
      <c r="G449" s="128">
        <v>53.22</v>
      </c>
      <c r="H449" s="128" t="s">
        <v>7</v>
      </c>
      <c r="I449" s="128">
        <v>1090</v>
      </c>
      <c r="J449" s="128" t="s">
        <v>807</v>
      </c>
      <c r="K449" s="128" t="s">
        <v>385</v>
      </c>
      <c r="L449" s="128" t="s">
        <v>915</v>
      </c>
      <c r="M449" s="128" t="s">
        <v>57</v>
      </c>
      <c r="N449" s="128" t="s">
        <v>58</v>
      </c>
      <c r="O449" s="129">
        <v>31413</v>
      </c>
      <c r="P449" s="128"/>
      <c r="Q449" s="128"/>
      <c r="R449" s="128">
        <v>55.69</v>
      </c>
      <c r="S449" s="128" t="s">
        <v>48</v>
      </c>
    </row>
    <row r="450" spans="1:19" x14ac:dyDescent="0.25">
      <c r="A450" s="128">
        <v>53800</v>
      </c>
      <c r="B450" s="128" t="s">
        <v>106</v>
      </c>
      <c r="C450" s="128" t="s">
        <v>49</v>
      </c>
      <c r="D450" s="128" t="s">
        <v>40</v>
      </c>
      <c r="E450" s="128" t="s">
        <v>2108</v>
      </c>
      <c r="F450" s="128" t="s">
        <v>2109</v>
      </c>
      <c r="G450" s="128">
        <v>55.3</v>
      </c>
      <c r="H450" s="128" t="s">
        <v>43</v>
      </c>
      <c r="I450" s="128" t="s">
        <v>2110</v>
      </c>
      <c r="J450" s="128" t="s">
        <v>713</v>
      </c>
      <c r="K450" s="128" t="s">
        <v>599</v>
      </c>
      <c r="L450" s="128" t="s">
        <v>259</v>
      </c>
      <c r="M450" s="128" t="s">
        <v>212</v>
      </c>
      <c r="N450" s="128" t="s">
        <v>213</v>
      </c>
      <c r="O450" s="129">
        <v>33313</v>
      </c>
      <c r="P450" s="128"/>
      <c r="Q450" s="128"/>
      <c r="R450" s="128">
        <v>55.3</v>
      </c>
      <c r="S450" s="128" t="s">
        <v>48</v>
      </c>
    </row>
    <row r="451" spans="1:19" ht="29.25" x14ac:dyDescent="0.25">
      <c r="A451" s="128">
        <v>54800</v>
      </c>
      <c r="B451" s="128" t="s">
        <v>106</v>
      </c>
      <c r="C451" s="128" t="s">
        <v>49</v>
      </c>
      <c r="D451" s="128" t="s">
        <v>40</v>
      </c>
      <c r="E451" s="128" t="s">
        <v>1215</v>
      </c>
      <c r="F451" s="128" t="s">
        <v>1216</v>
      </c>
      <c r="G451" s="128">
        <v>3.75</v>
      </c>
      <c r="H451" s="128" t="s">
        <v>43</v>
      </c>
      <c r="I451" s="128" t="s">
        <v>1217</v>
      </c>
      <c r="J451" s="128" t="s">
        <v>44</v>
      </c>
      <c r="K451" s="128" t="s">
        <v>44</v>
      </c>
      <c r="L451" s="128" t="s">
        <v>45</v>
      </c>
      <c r="M451" s="128" t="s">
        <v>46</v>
      </c>
      <c r="N451" s="128" t="s">
        <v>47</v>
      </c>
      <c r="O451" s="129">
        <v>31080</v>
      </c>
      <c r="P451" s="128"/>
      <c r="Q451" s="128"/>
      <c r="R451" s="128">
        <v>3.75</v>
      </c>
      <c r="S451" s="128" t="s">
        <v>48</v>
      </c>
    </row>
    <row r="452" spans="1:19" x14ac:dyDescent="0.25">
      <c r="A452" s="128">
        <v>54900</v>
      </c>
      <c r="B452" s="128" t="s">
        <v>106</v>
      </c>
      <c r="C452" s="128" t="s">
        <v>49</v>
      </c>
      <c r="D452" s="128" t="s">
        <v>40</v>
      </c>
      <c r="E452" s="128" t="s">
        <v>1786</v>
      </c>
      <c r="F452" s="128" t="s">
        <v>1787</v>
      </c>
      <c r="G452" s="128">
        <v>32.5</v>
      </c>
      <c r="H452" s="128" t="s">
        <v>43</v>
      </c>
      <c r="I452" s="128" t="s">
        <v>1788</v>
      </c>
      <c r="J452" s="128" t="s">
        <v>44</v>
      </c>
      <c r="K452" s="128" t="s">
        <v>44</v>
      </c>
      <c r="L452" s="128" t="s">
        <v>45</v>
      </c>
      <c r="M452" s="128" t="s">
        <v>46</v>
      </c>
      <c r="N452" s="128" t="s">
        <v>47</v>
      </c>
      <c r="O452" s="129">
        <v>32484</v>
      </c>
      <c r="P452" s="128"/>
      <c r="Q452" s="128"/>
      <c r="R452" s="128">
        <v>32.5</v>
      </c>
      <c r="S452" s="128" t="s">
        <v>48</v>
      </c>
    </row>
    <row r="453" spans="1:19" x14ac:dyDescent="0.25">
      <c r="A453" s="128">
        <v>55000</v>
      </c>
      <c r="B453" s="128" t="s">
        <v>106</v>
      </c>
      <c r="C453" s="128" t="s">
        <v>49</v>
      </c>
      <c r="D453" s="128" t="s">
        <v>40</v>
      </c>
      <c r="E453" s="128"/>
      <c r="F453" s="128" t="s">
        <v>1992</v>
      </c>
      <c r="G453" s="128">
        <v>0</v>
      </c>
      <c r="H453" s="128" t="s">
        <v>7</v>
      </c>
      <c r="I453" s="128">
        <v>3051</v>
      </c>
      <c r="J453" s="128" t="s">
        <v>663</v>
      </c>
      <c r="K453" s="128" t="s">
        <v>385</v>
      </c>
      <c r="L453" s="128" t="s">
        <v>663</v>
      </c>
      <c r="M453" s="128" t="s">
        <v>57</v>
      </c>
      <c r="N453" s="128" t="s">
        <v>58</v>
      </c>
      <c r="O453" s="129">
        <v>32874</v>
      </c>
      <c r="P453" s="128" t="s">
        <v>1993</v>
      </c>
      <c r="Q453" s="128"/>
      <c r="R453" s="128">
        <v>12</v>
      </c>
      <c r="S453" s="128" t="s">
        <v>48</v>
      </c>
    </row>
    <row r="454" spans="1:19" x14ac:dyDescent="0.25">
      <c r="A454" s="128">
        <v>55400</v>
      </c>
      <c r="B454" s="128" t="s">
        <v>106</v>
      </c>
      <c r="C454" s="128" t="s">
        <v>49</v>
      </c>
      <c r="D454" s="128" t="s">
        <v>40</v>
      </c>
      <c r="E454" s="128" t="s">
        <v>2130</v>
      </c>
      <c r="F454" s="128" t="s">
        <v>2131</v>
      </c>
      <c r="G454" s="128">
        <v>57.9</v>
      </c>
      <c r="H454" s="128" t="s">
        <v>43</v>
      </c>
      <c r="I454" s="128" t="s">
        <v>2132</v>
      </c>
      <c r="J454" s="128" t="s">
        <v>713</v>
      </c>
      <c r="K454" s="128" t="s">
        <v>599</v>
      </c>
      <c r="L454" s="128" t="s">
        <v>259</v>
      </c>
      <c r="M454" s="128" t="s">
        <v>212</v>
      </c>
      <c r="N454" s="128" t="s">
        <v>213</v>
      </c>
      <c r="O454" s="129">
        <v>33527</v>
      </c>
      <c r="P454" s="128"/>
      <c r="Q454" s="128"/>
      <c r="R454" s="128">
        <v>57.9</v>
      </c>
      <c r="S454" s="128" t="s">
        <v>48</v>
      </c>
    </row>
    <row r="455" spans="1:19" ht="29.25" x14ac:dyDescent="0.25">
      <c r="A455" s="128">
        <v>55500</v>
      </c>
      <c r="B455" s="128" t="s">
        <v>106</v>
      </c>
      <c r="C455" s="128" t="s">
        <v>49</v>
      </c>
      <c r="D455" s="128" t="s">
        <v>40</v>
      </c>
      <c r="E455" s="128" t="s">
        <v>1390</v>
      </c>
      <c r="F455" s="128" t="s">
        <v>1391</v>
      </c>
      <c r="G455" s="128">
        <v>1.5</v>
      </c>
      <c r="H455" s="128" t="s">
        <v>43</v>
      </c>
      <c r="I455" s="128" t="s">
        <v>1392</v>
      </c>
      <c r="J455" s="128" t="s">
        <v>44</v>
      </c>
      <c r="K455" s="128" t="s">
        <v>44</v>
      </c>
      <c r="L455" s="128" t="s">
        <v>45</v>
      </c>
      <c r="M455" s="128" t="s">
        <v>46</v>
      </c>
      <c r="N455" s="128" t="s">
        <v>47</v>
      </c>
      <c r="O455" s="129">
        <v>31464</v>
      </c>
      <c r="P455" s="128"/>
      <c r="Q455" s="128"/>
      <c r="R455" s="128">
        <v>1.5</v>
      </c>
      <c r="S455" s="128" t="s">
        <v>48</v>
      </c>
    </row>
    <row r="456" spans="1:19" ht="29.25" x14ac:dyDescent="0.25">
      <c r="A456" s="128">
        <v>56000</v>
      </c>
      <c r="B456" s="128" t="s">
        <v>106</v>
      </c>
      <c r="C456" s="128" t="s">
        <v>49</v>
      </c>
      <c r="D456" s="128" t="s">
        <v>40</v>
      </c>
      <c r="E456" s="128" t="s">
        <v>1896</v>
      </c>
      <c r="F456" s="128" t="s">
        <v>1897</v>
      </c>
      <c r="G456" s="128">
        <v>33</v>
      </c>
      <c r="H456" s="128" t="s">
        <v>43</v>
      </c>
      <c r="I456" s="128" t="s">
        <v>1898</v>
      </c>
      <c r="J456" s="128" t="s">
        <v>807</v>
      </c>
      <c r="K456" s="128" t="s">
        <v>385</v>
      </c>
      <c r="L456" s="128" t="s">
        <v>1899</v>
      </c>
      <c r="M456" s="128" t="s">
        <v>46</v>
      </c>
      <c r="N456" s="128" t="s">
        <v>47</v>
      </c>
      <c r="O456" s="129">
        <v>32688</v>
      </c>
      <c r="P456" s="128"/>
      <c r="Q456" s="128"/>
      <c r="R456" s="128">
        <v>33</v>
      </c>
      <c r="S456" s="128" t="s">
        <v>48</v>
      </c>
    </row>
    <row r="457" spans="1:19" ht="29.25" x14ac:dyDescent="0.25">
      <c r="A457" s="128">
        <v>56200</v>
      </c>
      <c r="B457" s="128" t="s">
        <v>106</v>
      </c>
      <c r="C457" s="128" t="s">
        <v>49</v>
      </c>
      <c r="D457" s="128" t="s">
        <v>40</v>
      </c>
      <c r="E457" s="128" t="s">
        <v>801</v>
      </c>
      <c r="F457" s="128" t="s">
        <v>802</v>
      </c>
      <c r="G457" s="128">
        <v>3.75</v>
      </c>
      <c r="H457" s="128" t="s">
        <v>43</v>
      </c>
      <c r="I457" s="128" t="s">
        <v>803</v>
      </c>
      <c r="J457" s="128" t="s">
        <v>44</v>
      </c>
      <c r="K457" s="128" t="s">
        <v>44</v>
      </c>
      <c r="L457" s="128" t="s">
        <v>45</v>
      </c>
      <c r="M457" s="128" t="s">
        <v>46</v>
      </c>
      <c r="N457" s="128" t="s">
        <v>47</v>
      </c>
      <c r="O457" s="129">
        <v>29852</v>
      </c>
      <c r="P457" s="128"/>
      <c r="Q457" s="128"/>
      <c r="R457" s="128">
        <v>3.75</v>
      </c>
      <c r="S457" s="128" t="s">
        <v>48</v>
      </c>
    </row>
    <row r="458" spans="1:19" ht="29.25" x14ac:dyDescent="0.25">
      <c r="A458" s="128">
        <v>56400</v>
      </c>
      <c r="B458" s="128" t="s">
        <v>106</v>
      </c>
      <c r="C458" s="128" t="s">
        <v>49</v>
      </c>
      <c r="D458" s="128" t="s">
        <v>40</v>
      </c>
      <c r="E458" s="128"/>
      <c r="F458" s="128" t="s">
        <v>2301</v>
      </c>
      <c r="G458" s="128">
        <v>0.05</v>
      </c>
      <c r="H458" s="128" t="s">
        <v>7</v>
      </c>
      <c r="I458" s="128">
        <v>4145</v>
      </c>
      <c r="J458" s="128" t="s">
        <v>44</v>
      </c>
      <c r="K458" s="128" t="s">
        <v>44</v>
      </c>
      <c r="L458" s="128" t="s">
        <v>45</v>
      </c>
      <c r="M458" s="128" t="s">
        <v>57</v>
      </c>
      <c r="N458" s="128" t="s">
        <v>58</v>
      </c>
      <c r="O458" s="129">
        <v>36557</v>
      </c>
      <c r="P458" s="128"/>
      <c r="Q458" s="128"/>
      <c r="R458" s="128">
        <v>0.05</v>
      </c>
      <c r="S458" s="128" t="s">
        <v>48</v>
      </c>
    </row>
    <row r="459" spans="1:19" x14ac:dyDescent="0.25">
      <c r="A459" s="128">
        <v>56800</v>
      </c>
      <c r="B459" s="128" t="s">
        <v>106</v>
      </c>
      <c r="C459" s="128" t="s">
        <v>49</v>
      </c>
      <c r="D459" s="128" t="s">
        <v>40</v>
      </c>
      <c r="E459" s="128" t="s">
        <v>1855</v>
      </c>
      <c r="F459" s="128" t="s">
        <v>1856</v>
      </c>
      <c r="G459" s="128">
        <v>52.9</v>
      </c>
      <c r="H459" s="128" t="s">
        <v>43</v>
      </c>
      <c r="I459" s="128" t="s">
        <v>1857</v>
      </c>
      <c r="J459" s="128" t="s">
        <v>713</v>
      </c>
      <c r="K459" s="128" t="s">
        <v>599</v>
      </c>
      <c r="L459" s="128" t="s">
        <v>259</v>
      </c>
      <c r="M459" s="128" t="s">
        <v>212</v>
      </c>
      <c r="N459" s="128" t="s">
        <v>213</v>
      </c>
      <c r="O459" s="129">
        <v>32583</v>
      </c>
      <c r="P459" s="128"/>
      <c r="Q459" s="128"/>
      <c r="R459" s="128">
        <v>52.9</v>
      </c>
      <c r="S459" s="128" t="s">
        <v>48</v>
      </c>
    </row>
    <row r="460" spans="1:19" ht="29.25" x14ac:dyDescent="0.25">
      <c r="A460" s="128">
        <v>57100</v>
      </c>
      <c r="B460" s="128" t="s">
        <v>106</v>
      </c>
      <c r="C460" s="128" t="s">
        <v>49</v>
      </c>
      <c r="D460" s="128" t="s">
        <v>40</v>
      </c>
      <c r="E460" s="128"/>
      <c r="F460" s="128" t="s">
        <v>3329</v>
      </c>
      <c r="G460" s="128">
        <v>0.95</v>
      </c>
      <c r="H460" s="128" t="s">
        <v>7</v>
      </c>
      <c r="I460" s="128">
        <v>1108</v>
      </c>
      <c r="J460" s="128" t="s">
        <v>807</v>
      </c>
      <c r="K460" s="128"/>
      <c r="L460" s="128"/>
      <c r="M460" s="128" t="s">
        <v>57</v>
      </c>
      <c r="N460" s="128" t="s">
        <v>58</v>
      </c>
      <c r="O460" s="128"/>
      <c r="P460" s="128"/>
      <c r="Q460" s="128"/>
      <c r="R460" s="128">
        <v>0.95</v>
      </c>
      <c r="S460" s="128" t="s">
        <v>48</v>
      </c>
    </row>
    <row r="461" spans="1:19" x14ac:dyDescent="0.25">
      <c r="A461" s="128">
        <v>57700</v>
      </c>
      <c r="B461" s="128" t="s">
        <v>106</v>
      </c>
      <c r="C461" s="128" t="s">
        <v>49</v>
      </c>
      <c r="D461" s="128" t="s">
        <v>40</v>
      </c>
      <c r="E461" s="128" t="s">
        <v>970</v>
      </c>
      <c r="F461" s="128" t="s">
        <v>971</v>
      </c>
      <c r="G461" s="128">
        <v>0</v>
      </c>
      <c r="H461" s="128" t="s">
        <v>7</v>
      </c>
      <c r="I461" s="128">
        <v>2215</v>
      </c>
      <c r="J461" s="128" t="s">
        <v>713</v>
      </c>
      <c r="K461" s="128" t="s">
        <v>599</v>
      </c>
      <c r="L461" s="128" t="s">
        <v>259</v>
      </c>
      <c r="M461" s="128" t="s">
        <v>57</v>
      </c>
      <c r="N461" s="128" t="s">
        <v>58</v>
      </c>
      <c r="O461" s="129">
        <v>30437</v>
      </c>
      <c r="P461" s="128" t="s">
        <v>972</v>
      </c>
      <c r="Q461" s="128"/>
      <c r="R461" s="128">
        <v>41.9</v>
      </c>
      <c r="S461" s="128" t="s">
        <v>48</v>
      </c>
    </row>
    <row r="462" spans="1:19" ht="29.25" x14ac:dyDescent="0.25">
      <c r="A462" s="128">
        <v>57900</v>
      </c>
      <c r="B462" s="128" t="s">
        <v>106</v>
      </c>
      <c r="C462" s="128" t="s">
        <v>49</v>
      </c>
      <c r="D462" s="128" t="s">
        <v>40</v>
      </c>
      <c r="E462" s="128" t="s">
        <v>2054</v>
      </c>
      <c r="F462" s="128" t="s">
        <v>2055</v>
      </c>
      <c r="G462" s="128">
        <v>62.54</v>
      </c>
      <c r="H462" s="128" t="s">
        <v>7</v>
      </c>
      <c r="I462" s="128">
        <v>2078</v>
      </c>
      <c r="J462" s="128" t="s">
        <v>713</v>
      </c>
      <c r="K462" s="128" t="s">
        <v>599</v>
      </c>
      <c r="L462" s="128" t="s">
        <v>259</v>
      </c>
      <c r="M462" s="128" t="s">
        <v>57</v>
      </c>
      <c r="N462" s="128" t="s">
        <v>58</v>
      </c>
      <c r="O462" s="129">
        <v>33037</v>
      </c>
      <c r="P462" s="128"/>
      <c r="Q462" s="128"/>
      <c r="R462" s="128">
        <v>55</v>
      </c>
      <c r="S462" s="128" t="s">
        <v>48</v>
      </c>
    </row>
    <row r="463" spans="1:19" x14ac:dyDescent="0.25">
      <c r="A463" s="128">
        <v>58500</v>
      </c>
      <c r="B463" s="128" t="s">
        <v>106</v>
      </c>
      <c r="C463" s="128" t="s">
        <v>49</v>
      </c>
      <c r="D463" s="128" t="s">
        <v>40</v>
      </c>
      <c r="E463" s="128" t="s">
        <v>1861</v>
      </c>
      <c r="F463" s="128" t="s">
        <v>1862</v>
      </c>
      <c r="G463" s="128">
        <v>46.64</v>
      </c>
      <c r="H463" s="128" t="s">
        <v>43</v>
      </c>
      <c r="I463" s="128" t="s">
        <v>1863</v>
      </c>
      <c r="J463" s="128" t="s">
        <v>713</v>
      </c>
      <c r="K463" s="128" t="s">
        <v>385</v>
      </c>
      <c r="L463" s="128" t="s">
        <v>956</v>
      </c>
      <c r="M463" s="128" t="s">
        <v>212</v>
      </c>
      <c r="N463" s="128" t="s">
        <v>213</v>
      </c>
      <c r="O463" s="129">
        <v>32599</v>
      </c>
      <c r="P463" s="128"/>
      <c r="Q463" s="128"/>
      <c r="R463" s="128">
        <v>57</v>
      </c>
      <c r="S463" s="128" t="s">
        <v>48</v>
      </c>
    </row>
    <row r="464" spans="1:19" x14ac:dyDescent="0.25">
      <c r="A464" s="128">
        <v>59000</v>
      </c>
      <c r="B464" s="128" t="s">
        <v>106</v>
      </c>
      <c r="C464" s="128" t="s">
        <v>49</v>
      </c>
      <c r="D464" s="128" t="s">
        <v>40</v>
      </c>
      <c r="E464" s="128" t="s">
        <v>1093</v>
      </c>
      <c r="F464" s="128" t="s">
        <v>1094</v>
      </c>
      <c r="G464" s="128">
        <v>2.5</v>
      </c>
      <c r="H464" s="128" t="s">
        <v>43</v>
      </c>
      <c r="I464" s="128" t="s">
        <v>1095</v>
      </c>
      <c r="J464" s="128" t="s">
        <v>713</v>
      </c>
      <c r="K464" s="128"/>
      <c r="L464" s="128" t="s">
        <v>259</v>
      </c>
      <c r="M464" s="128" t="s">
        <v>46</v>
      </c>
      <c r="N464" s="128" t="s">
        <v>47</v>
      </c>
      <c r="O464" s="129">
        <v>30881</v>
      </c>
      <c r="P464" s="128"/>
      <c r="Q464" s="128"/>
      <c r="R464" s="128">
        <v>2.5</v>
      </c>
      <c r="S464" s="128" t="s">
        <v>48</v>
      </c>
    </row>
    <row r="465" spans="1:19" ht="29.25" x14ac:dyDescent="0.25">
      <c r="A465" s="128">
        <v>59100</v>
      </c>
      <c r="B465" s="128" t="s">
        <v>106</v>
      </c>
      <c r="C465" s="128" t="s">
        <v>49</v>
      </c>
      <c r="D465" s="128" t="s">
        <v>40</v>
      </c>
      <c r="E465" s="128" t="s">
        <v>3331</v>
      </c>
      <c r="F465" s="128" t="s">
        <v>3332</v>
      </c>
      <c r="G465" s="128">
        <v>5</v>
      </c>
      <c r="H465" s="128" t="s">
        <v>162</v>
      </c>
      <c r="I465" s="128" t="s">
        <v>3333</v>
      </c>
      <c r="J465" s="128" t="s">
        <v>713</v>
      </c>
      <c r="K465" s="128" t="s">
        <v>315</v>
      </c>
      <c r="L465" s="128" t="s">
        <v>259</v>
      </c>
      <c r="M465" s="128" t="s">
        <v>57</v>
      </c>
      <c r="N465" s="128" t="s">
        <v>163</v>
      </c>
      <c r="O465" s="128"/>
      <c r="P465" s="128" t="s">
        <v>3334</v>
      </c>
      <c r="Q465" s="128"/>
      <c r="R465" s="128">
        <v>4.07</v>
      </c>
      <c r="S465" s="128" t="s">
        <v>48</v>
      </c>
    </row>
    <row r="466" spans="1:19" ht="29.25" x14ac:dyDescent="0.25">
      <c r="A466" s="128">
        <v>59300</v>
      </c>
      <c r="B466" s="128" t="s">
        <v>106</v>
      </c>
      <c r="C466" s="128" t="s">
        <v>49</v>
      </c>
      <c r="D466" s="128" t="s">
        <v>40</v>
      </c>
      <c r="E466" s="128" t="s">
        <v>1528</v>
      </c>
      <c r="F466" s="128" t="s">
        <v>1529</v>
      </c>
      <c r="G466" s="128">
        <v>0</v>
      </c>
      <c r="H466" s="128" t="s">
        <v>162</v>
      </c>
      <c r="I466" s="128">
        <v>164</v>
      </c>
      <c r="J466" s="128" t="s">
        <v>713</v>
      </c>
      <c r="K466" s="128"/>
      <c r="L466" s="128" t="s">
        <v>259</v>
      </c>
      <c r="M466" s="128" t="s">
        <v>57</v>
      </c>
      <c r="N466" s="128" t="s">
        <v>163</v>
      </c>
      <c r="O466" s="129">
        <v>31778</v>
      </c>
      <c r="P466" s="128" t="s">
        <v>1530</v>
      </c>
      <c r="Q466" s="128"/>
      <c r="R466" s="128">
        <v>2.6</v>
      </c>
      <c r="S466" s="128" t="s">
        <v>48</v>
      </c>
    </row>
    <row r="467" spans="1:19" ht="29.25" x14ac:dyDescent="0.25">
      <c r="A467" s="128">
        <v>59500</v>
      </c>
      <c r="B467" s="128" t="s">
        <v>106</v>
      </c>
      <c r="C467" s="128" t="s">
        <v>49</v>
      </c>
      <c r="D467" s="128" t="s">
        <v>40</v>
      </c>
      <c r="E467" s="128" t="s">
        <v>1449</v>
      </c>
      <c r="F467" s="128" t="s">
        <v>1450</v>
      </c>
      <c r="G467" s="128">
        <v>6.25</v>
      </c>
      <c r="H467" s="128" t="s">
        <v>43</v>
      </c>
      <c r="I467" s="128" t="s">
        <v>1451</v>
      </c>
      <c r="J467" s="128" t="s">
        <v>44</v>
      </c>
      <c r="K467" s="128" t="s">
        <v>44</v>
      </c>
      <c r="L467" s="128" t="s">
        <v>45</v>
      </c>
      <c r="M467" s="128" t="s">
        <v>46</v>
      </c>
      <c r="N467" s="128" t="s">
        <v>47</v>
      </c>
      <c r="O467" s="129">
        <v>31642</v>
      </c>
      <c r="P467" s="128"/>
      <c r="Q467" s="128"/>
      <c r="R467" s="128">
        <v>6.25</v>
      </c>
      <c r="S467" s="128" t="s">
        <v>48</v>
      </c>
    </row>
    <row r="468" spans="1:19" x14ac:dyDescent="0.25">
      <c r="A468" s="128">
        <v>60100</v>
      </c>
      <c r="B468" s="128" t="s">
        <v>106</v>
      </c>
      <c r="C468" s="128" t="s">
        <v>49</v>
      </c>
      <c r="D468" s="128" t="s">
        <v>40</v>
      </c>
      <c r="E468" s="128" t="s">
        <v>1809</v>
      </c>
      <c r="F468" s="128" t="s">
        <v>1810</v>
      </c>
      <c r="G468" s="128">
        <v>37</v>
      </c>
      <c r="H468" s="128" t="s">
        <v>162</v>
      </c>
      <c r="I468" s="128">
        <v>223</v>
      </c>
      <c r="J468" s="128" t="s">
        <v>713</v>
      </c>
      <c r="K468" s="128" t="s">
        <v>599</v>
      </c>
      <c r="L468" s="128" t="s">
        <v>259</v>
      </c>
      <c r="M468" s="128" t="s">
        <v>57</v>
      </c>
      <c r="N468" s="128" t="s">
        <v>163</v>
      </c>
      <c r="O468" s="129">
        <v>32509</v>
      </c>
      <c r="P468" s="128"/>
      <c r="Q468" s="128"/>
      <c r="R468" s="128">
        <v>34.5</v>
      </c>
      <c r="S468" s="128" t="s">
        <v>48</v>
      </c>
    </row>
    <row r="469" spans="1:19" x14ac:dyDescent="0.25">
      <c r="A469" s="128">
        <v>60300</v>
      </c>
      <c r="B469" s="128" t="s">
        <v>106</v>
      </c>
      <c r="C469" s="128" t="s">
        <v>49</v>
      </c>
      <c r="D469" s="128" t="s">
        <v>40</v>
      </c>
      <c r="E469" s="128" t="s">
        <v>1811</v>
      </c>
      <c r="F469" s="128" t="s">
        <v>1812</v>
      </c>
      <c r="G469" s="128">
        <v>4.05</v>
      </c>
      <c r="H469" s="128" t="s">
        <v>162</v>
      </c>
      <c r="I469" s="128">
        <v>163</v>
      </c>
      <c r="J469" s="128" t="s">
        <v>713</v>
      </c>
      <c r="K469" s="128" t="s">
        <v>385</v>
      </c>
      <c r="L469" s="128" t="s">
        <v>731</v>
      </c>
      <c r="M469" s="128" t="s">
        <v>57</v>
      </c>
      <c r="N469" s="128" t="s">
        <v>163</v>
      </c>
      <c r="O469" s="129">
        <v>32509</v>
      </c>
      <c r="P469" s="128"/>
      <c r="Q469" s="128"/>
      <c r="R469" s="128">
        <v>4.05</v>
      </c>
      <c r="S469" s="128" t="s">
        <v>48</v>
      </c>
    </row>
    <row r="470" spans="1:19" x14ac:dyDescent="0.25">
      <c r="A470" s="128">
        <v>60500</v>
      </c>
      <c r="B470" s="128" t="s">
        <v>106</v>
      </c>
      <c r="C470" s="128" t="s">
        <v>49</v>
      </c>
      <c r="D470" s="128" t="s">
        <v>40</v>
      </c>
      <c r="E470" s="128" t="s">
        <v>1813</v>
      </c>
      <c r="F470" s="128" t="s">
        <v>1814</v>
      </c>
      <c r="G470" s="128">
        <v>22.3</v>
      </c>
      <c r="H470" s="128" t="s">
        <v>162</v>
      </c>
      <c r="I470" s="128">
        <v>232</v>
      </c>
      <c r="J470" s="128" t="s">
        <v>713</v>
      </c>
      <c r="K470" s="128" t="s">
        <v>599</v>
      </c>
      <c r="L470" s="128" t="s">
        <v>259</v>
      </c>
      <c r="M470" s="128" t="s">
        <v>57</v>
      </c>
      <c r="N470" s="128" t="s">
        <v>163</v>
      </c>
      <c r="O470" s="129">
        <v>32509</v>
      </c>
      <c r="P470" s="128"/>
      <c r="Q470" s="128"/>
      <c r="R470" s="128">
        <v>22.3</v>
      </c>
      <c r="S470" s="128" t="s">
        <v>48</v>
      </c>
    </row>
    <row r="471" spans="1:19" ht="29.25" x14ac:dyDescent="0.25">
      <c r="A471" s="128">
        <v>60800</v>
      </c>
      <c r="B471" s="128" t="s">
        <v>106</v>
      </c>
      <c r="C471" s="128" t="s">
        <v>49</v>
      </c>
      <c r="D471" s="128" t="s">
        <v>40</v>
      </c>
      <c r="E471" s="128" t="s">
        <v>2003</v>
      </c>
      <c r="F471" s="128" t="s">
        <v>2004</v>
      </c>
      <c r="G471" s="128">
        <v>7</v>
      </c>
      <c r="H471" s="128" t="s">
        <v>43</v>
      </c>
      <c r="I471" s="128" t="s">
        <v>2005</v>
      </c>
      <c r="J471" s="128" t="s">
        <v>713</v>
      </c>
      <c r="K471" s="128" t="s">
        <v>599</v>
      </c>
      <c r="L471" s="128" t="s">
        <v>259</v>
      </c>
      <c r="M471" s="128" t="s">
        <v>212</v>
      </c>
      <c r="N471" s="128" t="s">
        <v>213</v>
      </c>
      <c r="O471" s="129">
        <v>32900</v>
      </c>
      <c r="P471" s="128" t="s">
        <v>2006</v>
      </c>
      <c r="Q471" s="128"/>
      <c r="R471" s="128">
        <v>7</v>
      </c>
      <c r="S471" s="128" t="s">
        <v>48</v>
      </c>
    </row>
    <row r="472" spans="1:19" ht="29.25" x14ac:dyDescent="0.25">
      <c r="A472" s="128">
        <v>60900</v>
      </c>
      <c r="B472" s="128" t="s">
        <v>106</v>
      </c>
      <c r="C472" s="128" t="s">
        <v>49</v>
      </c>
      <c r="D472" s="128" t="s">
        <v>40</v>
      </c>
      <c r="E472" s="128" t="s">
        <v>1657</v>
      </c>
      <c r="F472" s="128" t="s">
        <v>1658</v>
      </c>
      <c r="G472" s="128">
        <v>31.6</v>
      </c>
      <c r="H472" s="128" t="s">
        <v>7</v>
      </c>
      <c r="I472" s="128">
        <v>2043</v>
      </c>
      <c r="J472" s="128" t="s">
        <v>713</v>
      </c>
      <c r="K472" s="128" t="s">
        <v>599</v>
      </c>
      <c r="L472" s="128" t="s">
        <v>259</v>
      </c>
      <c r="M472" s="128" t="s">
        <v>57</v>
      </c>
      <c r="N472" s="128" t="s">
        <v>58</v>
      </c>
      <c r="O472" s="129">
        <v>32135</v>
      </c>
      <c r="P472" s="128"/>
      <c r="Q472" s="128"/>
      <c r="R472" s="128">
        <v>27.6</v>
      </c>
      <c r="S472" s="128" t="s">
        <v>48</v>
      </c>
    </row>
    <row r="473" spans="1:19" ht="29.25" x14ac:dyDescent="0.25">
      <c r="A473" s="128">
        <v>89700</v>
      </c>
      <c r="B473" s="128" t="s">
        <v>106</v>
      </c>
      <c r="C473" s="128" t="s">
        <v>49</v>
      </c>
      <c r="D473" s="128" t="s">
        <v>40</v>
      </c>
      <c r="E473" s="128"/>
      <c r="F473" s="128" t="s">
        <v>2725</v>
      </c>
      <c r="G473" s="128">
        <v>0</v>
      </c>
      <c r="H473" s="128" t="s">
        <v>43</v>
      </c>
      <c r="I473" s="128" t="s">
        <v>2726</v>
      </c>
      <c r="J473" s="128" t="s">
        <v>713</v>
      </c>
      <c r="K473" s="128" t="s">
        <v>385</v>
      </c>
      <c r="L473" s="128"/>
      <c r="M473" s="128" t="s">
        <v>212</v>
      </c>
      <c r="N473" s="128" t="s">
        <v>213</v>
      </c>
      <c r="O473" s="129">
        <v>38139</v>
      </c>
      <c r="P473" s="128" t="s">
        <v>2727</v>
      </c>
      <c r="Q473" s="128"/>
      <c r="R473" s="128">
        <v>7.4</v>
      </c>
      <c r="S473" s="128" t="s">
        <v>48</v>
      </c>
    </row>
    <row r="474" spans="1:19" ht="29.25" x14ac:dyDescent="0.25">
      <c r="A474" s="128">
        <v>61000</v>
      </c>
      <c r="B474" s="128" t="s">
        <v>106</v>
      </c>
      <c r="C474" s="128" t="s">
        <v>49</v>
      </c>
      <c r="D474" s="128" t="s">
        <v>40</v>
      </c>
      <c r="E474" s="128" t="s">
        <v>2215</v>
      </c>
      <c r="F474" s="128" t="s">
        <v>2216</v>
      </c>
      <c r="G474" s="128">
        <v>21</v>
      </c>
      <c r="H474" s="128" t="s">
        <v>43</v>
      </c>
      <c r="I474" s="128" t="s">
        <v>2217</v>
      </c>
      <c r="J474" s="128" t="s">
        <v>713</v>
      </c>
      <c r="K474" s="128" t="s">
        <v>599</v>
      </c>
      <c r="L474" s="128" t="s">
        <v>259</v>
      </c>
      <c r="M474" s="128" t="s">
        <v>212</v>
      </c>
      <c r="N474" s="128" t="s">
        <v>213</v>
      </c>
      <c r="O474" s="129">
        <v>34640</v>
      </c>
      <c r="P474" s="128"/>
      <c r="Q474" s="128"/>
      <c r="R474" s="128">
        <v>21</v>
      </c>
      <c r="S474" s="128" t="s">
        <v>48</v>
      </c>
    </row>
    <row r="475" spans="1:19" ht="29.25" x14ac:dyDescent="0.25">
      <c r="A475" s="128">
        <v>61100</v>
      </c>
      <c r="B475" s="128" t="s">
        <v>106</v>
      </c>
      <c r="C475" s="128" t="s">
        <v>49</v>
      </c>
      <c r="D475" s="128" t="s">
        <v>40</v>
      </c>
      <c r="E475" s="128" t="s">
        <v>1103</v>
      </c>
      <c r="F475" s="128" t="s">
        <v>1104</v>
      </c>
      <c r="G475" s="128">
        <v>13</v>
      </c>
      <c r="H475" s="128" t="s">
        <v>43</v>
      </c>
      <c r="I475" s="128" t="s">
        <v>1105</v>
      </c>
      <c r="J475" s="128" t="s">
        <v>807</v>
      </c>
      <c r="K475" s="128" t="s">
        <v>385</v>
      </c>
      <c r="L475" s="128" t="s">
        <v>808</v>
      </c>
      <c r="M475" s="128" t="s">
        <v>46</v>
      </c>
      <c r="N475" s="128" t="s">
        <v>47</v>
      </c>
      <c r="O475" s="129">
        <v>30909</v>
      </c>
      <c r="P475" s="128"/>
      <c r="Q475" s="128"/>
      <c r="R475" s="128">
        <v>13</v>
      </c>
      <c r="S475" s="128" t="s">
        <v>48</v>
      </c>
    </row>
    <row r="476" spans="1:19" ht="29.25" x14ac:dyDescent="0.25">
      <c r="A476" s="128">
        <v>61200</v>
      </c>
      <c r="B476" s="128" t="s">
        <v>106</v>
      </c>
      <c r="C476" s="128" t="s">
        <v>49</v>
      </c>
      <c r="D476" s="128" t="s">
        <v>40</v>
      </c>
      <c r="E476" s="128" t="s">
        <v>1437</v>
      </c>
      <c r="F476" s="128" t="s">
        <v>1438</v>
      </c>
      <c r="G476" s="128">
        <v>22</v>
      </c>
      <c r="H476" s="128" t="s">
        <v>43</v>
      </c>
      <c r="I476" s="128" t="s">
        <v>1439</v>
      </c>
      <c r="J476" s="128" t="s">
        <v>807</v>
      </c>
      <c r="K476" s="128" t="s">
        <v>385</v>
      </c>
      <c r="L476" s="128" t="s">
        <v>808</v>
      </c>
      <c r="M476" s="128" t="s">
        <v>46</v>
      </c>
      <c r="N476" s="128" t="s">
        <v>47</v>
      </c>
      <c r="O476" s="129">
        <v>31567</v>
      </c>
      <c r="P476" s="128"/>
      <c r="Q476" s="128"/>
      <c r="R476" s="128">
        <v>22</v>
      </c>
      <c r="S476" s="128" t="s">
        <v>48</v>
      </c>
    </row>
    <row r="477" spans="1:19" ht="29.25" x14ac:dyDescent="0.25">
      <c r="A477" s="128">
        <v>61300</v>
      </c>
      <c r="B477" s="128" t="s">
        <v>106</v>
      </c>
      <c r="C477" s="128" t="s">
        <v>49</v>
      </c>
      <c r="D477" s="128" t="s">
        <v>40</v>
      </c>
      <c r="E477" s="128" t="s">
        <v>1113</v>
      </c>
      <c r="F477" s="128" t="s">
        <v>1114</v>
      </c>
      <c r="G477" s="128">
        <v>13.1</v>
      </c>
      <c r="H477" s="128" t="s">
        <v>43</v>
      </c>
      <c r="I477" s="128" t="s">
        <v>1115</v>
      </c>
      <c r="J477" s="128" t="s">
        <v>807</v>
      </c>
      <c r="K477" s="128" t="s">
        <v>385</v>
      </c>
      <c r="L477" s="128" t="s">
        <v>808</v>
      </c>
      <c r="M477" s="128" t="s">
        <v>46</v>
      </c>
      <c r="N477" s="128" t="s">
        <v>47</v>
      </c>
      <c r="O477" s="129">
        <v>30966</v>
      </c>
      <c r="P477" s="128"/>
      <c r="Q477" s="128"/>
      <c r="R477" s="128">
        <v>13.1</v>
      </c>
      <c r="S477" s="128" t="s">
        <v>48</v>
      </c>
    </row>
    <row r="478" spans="1:19" ht="29.25" x14ac:dyDescent="0.25">
      <c r="A478" s="128">
        <v>61400</v>
      </c>
      <c r="B478" s="128" t="s">
        <v>106</v>
      </c>
      <c r="C478" s="128" t="s">
        <v>49</v>
      </c>
      <c r="D478" s="128" t="s">
        <v>40</v>
      </c>
      <c r="E478" s="128" t="s">
        <v>2235</v>
      </c>
      <c r="F478" s="128" t="s">
        <v>2236</v>
      </c>
      <c r="G478" s="128">
        <v>23.8</v>
      </c>
      <c r="H478" s="128" t="s">
        <v>43</v>
      </c>
      <c r="I478" s="128" t="s">
        <v>2237</v>
      </c>
      <c r="J478" s="128" t="s">
        <v>807</v>
      </c>
      <c r="K478" s="128" t="s">
        <v>385</v>
      </c>
      <c r="L478" s="128" t="s">
        <v>808</v>
      </c>
      <c r="M478" s="128" t="s">
        <v>46</v>
      </c>
      <c r="N478" s="128" t="s">
        <v>47</v>
      </c>
      <c r="O478" s="129">
        <v>34968</v>
      </c>
      <c r="P478" s="128"/>
      <c r="Q478" s="128"/>
      <c r="R478" s="128">
        <v>23.8</v>
      </c>
      <c r="S478" s="128" t="s">
        <v>48</v>
      </c>
    </row>
    <row r="479" spans="1:19" x14ac:dyDescent="0.25">
      <c r="A479" s="128">
        <v>61500</v>
      </c>
      <c r="B479" s="128" t="s">
        <v>106</v>
      </c>
      <c r="C479" s="128" t="s">
        <v>49</v>
      </c>
      <c r="D479" s="128" t="s">
        <v>40</v>
      </c>
      <c r="E479" s="128" t="s">
        <v>1139</v>
      </c>
      <c r="F479" s="128" t="s">
        <v>1140</v>
      </c>
      <c r="G479" s="128">
        <v>47.1</v>
      </c>
      <c r="H479" s="128" t="s">
        <v>43</v>
      </c>
      <c r="I479" s="128" t="s">
        <v>1141</v>
      </c>
      <c r="J479" s="128" t="s">
        <v>713</v>
      </c>
      <c r="K479" s="128" t="s">
        <v>599</v>
      </c>
      <c r="L479" s="128" t="s">
        <v>259</v>
      </c>
      <c r="M479" s="128" t="s">
        <v>212</v>
      </c>
      <c r="N479" s="128" t="s">
        <v>213</v>
      </c>
      <c r="O479" s="129">
        <v>31045</v>
      </c>
      <c r="P479" s="128"/>
      <c r="Q479" s="128"/>
      <c r="R479" s="128">
        <v>47.1</v>
      </c>
      <c r="S479" s="128" t="s">
        <v>48</v>
      </c>
    </row>
    <row r="480" spans="1:19" x14ac:dyDescent="0.25">
      <c r="A480" s="128">
        <v>61700</v>
      </c>
      <c r="B480" s="128" t="s">
        <v>106</v>
      </c>
      <c r="C480" s="128" t="s">
        <v>49</v>
      </c>
      <c r="D480" s="128" t="s">
        <v>40</v>
      </c>
      <c r="E480" s="128" t="s">
        <v>2000</v>
      </c>
      <c r="F480" s="128" t="s">
        <v>2001</v>
      </c>
      <c r="G480" s="128">
        <v>5.8</v>
      </c>
      <c r="H480" s="128" t="s">
        <v>43</v>
      </c>
      <c r="I480" s="128" t="s">
        <v>2002</v>
      </c>
      <c r="J480" s="128" t="s">
        <v>44</v>
      </c>
      <c r="K480" s="128" t="s">
        <v>44</v>
      </c>
      <c r="L480" s="128" t="s">
        <v>45</v>
      </c>
      <c r="M480" s="128" t="s">
        <v>46</v>
      </c>
      <c r="N480" s="128" t="s">
        <v>47</v>
      </c>
      <c r="O480" s="129">
        <v>32876</v>
      </c>
      <c r="P480" s="128"/>
      <c r="Q480" s="128"/>
      <c r="R480" s="128">
        <v>5.8</v>
      </c>
      <c r="S480" s="128" t="s">
        <v>48</v>
      </c>
    </row>
    <row r="481" spans="1:19" ht="29.25" x14ac:dyDescent="0.25">
      <c r="A481" s="128">
        <v>61800</v>
      </c>
      <c r="B481" s="128" t="s">
        <v>106</v>
      </c>
      <c r="C481" s="128" t="s">
        <v>49</v>
      </c>
      <c r="D481" s="128" t="s">
        <v>40</v>
      </c>
      <c r="E481" s="128"/>
      <c r="F481" s="128" t="s">
        <v>2190</v>
      </c>
      <c r="G481" s="128">
        <v>0.09</v>
      </c>
      <c r="H481" s="128" t="s">
        <v>7</v>
      </c>
      <c r="I481" s="128">
        <v>2423</v>
      </c>
      <c r="J481" s="128" t="s">
        <v>713</v>
      </c>
      <c r="K481" s="128"/>
      <c r="L481" s="128"/>
      <c r="M481" s="128" t="s">
        <v>57</v>
      </c>
      <c r="N481" s="128" t="s">
        <v>58</v>
      </c>
      <c r="O481" s="129">
        <v>34217</v>
      </c>
      <c r="P481" s="128"/>
      <c r="Q481" s="128"/>
      <c r="R481" s="128">
        <v>0.09</v>
      </c>
      <c r="S481" s="128" t="s">
        <v>48</v>
      </c>
    </row>
    <row r="482" spans="1:19" x14ac:dyDescent="0.25">
      <c r="A482" s="128">
        <v>61900</v>
      </c>
      <c r="B482" s="128" t="s">
        <v>106</v>
      </c>
      <c r="C482" s="128" t="s">
        <v>49</v>
      </c>
      <c r="D482" s="128" t="s">
        <v>40</v>
      </c>
      <c r="E482" s="128" t="s">
        <v>1940</v>
      </c>
      <c r="F482" s="128" t="s">
        <v>1941</v>
      </c>
      <c r="G482" s="128">
        <v>9.8000000000000007</v>
      </c>
      <c r="H482" s="128" t="s">
        <v>43</v>
      </c>
      <c r="I482" s="128" t="s">
        <v>1942</v>
      </c>
      <c r="J482" s="128" t="s">
        <v>713</v>
      </c>
      <c r="K482" s="128" t="s">
        <v>599</v>
      </c>
      <c r="L482" s="128" t="s">
        <v>259</v>
      </c>
      <c r="M482" s="128" t="s">
        <v>46</v>
      </c>
      <c r="N482" s="128" t="s">
        <v>47</v>
      </c>
      <c r="O482" s="129">
        <v>32860</v>
      </c>
      <c r="P482" s="128"/>
      <c r="Q482" s="128"/>
      <c r="R482" s="128">
        <v>9.8000000000000007</v>
      </c>
      <c r="S482" s="128" t="s">
        <v>48</v>
      </c>
    </row>
    <row r="483" spans="1:19" x14ac:dyDescent="0.25">
      <c r="A483" s="128">
        <v>62100</v>
      </c>
      <c r="B483" s="128" t="s">
        <v>106</v>
      </c>
      <c r="C483" s="128" t="s">
        <v>49</v>
      </c>
      <c r="D483" s="128" t="s">
        <v>40</v>
      </c>
      <c r="E483" s="128" t="s">
        <v>1397</v>
      </c>
      <c r="F483" s="128" t="s">
        <v>1398</v>
      </c>
      <c r="G483" s="128">
        <v>28.8</v>
      </c>
      <c r="H483" s="128" t="s">
        <v>43</v>
      </c>
      <c r="I483" s="128" t="s">
        <v>1399</v>
      </c>
      <c r="J483" s="128" t="s">
        <v>807</v>
      </c>
      <c r="K483" s="128" t="s">
        <v>385</v>
      </c>
      <c r="L483" s="128" t="s">
        <v>808</v>
      </c>
      <c r="M483" s="128" t="s">
        <v>46</v>
      </c>
      <c r="N483" s="128" t="s">
        <v>178</v>
      </c>
      <c r="O483" s="129">
        <v>31493</v>
      </c>
      <c r="P483" s="128"/>
      <c r="Q483" s="128"/>
      <c r="R483" s="128">
        <v>26.25</v>
      </c>
      <c r="S483" s="128" t="s">
        <v>48</v>
      </c>
    </row>
    <row r="484" spans="1:19" x14ac:dyDescent="0.25">
      <c r="A484" s="128">
        <v>62500</v>
      </c>
      <c r="B484" s="128" t="s">
        <v>106</v>
      </c>
      <c r="C484" s="128" t="s">
        <v>49</v>
      </c>
      <c r="D484" s="128" t="s">
        <v>40</v>
      </c>
      <c r="E484" s="128" t="s">
        <v>1060</v>
      </c>
      <c r="F484" s="128" t="s">
        <v>1061</v>
      </c>
      <c r="G484" s="128">
        <v>2.5</v>
      </c>
      <c r="H484" s="128" t="s">
        <v>43</v>
      </c>
      <c r="I484" s="128" t="s">
        <v>1062</v>
      </c>
      <c r="J484" s="128" t="s">
        <v>44</v>
      </c>
      <c r="K484" s="128" t="s">
        <v>44</v>
      </c>
      <c r="L484" s="128" t="s">
        <v>45</v>
      </c>
      <c r="M484" s="128" t="s">
        <v>46</v>
      </c>
      <c r="N484" s="128" t="s">
        <v>47</v>
      </c>
      <c r="O484" s="129">
        <v>30692</v>
      </c>
      <c r="P484" s="128"/>
      <c r="Q484" s="128"/>
      <c r="R484" s="128">
        <v>2.5</v>
      </c>
      <c r="S484" s="128" t="s">
        <v>48</v>
      </c>
    </row>
    <row r="485" spans="1:19" ht="29.25" x14ac:dyDescent="0.25">
      <c r="A485" s="128">
        <v>62600</v>
      </c>
      <c r="B485" s="128" t="s">
        <v>106</v>
      </c>
      <c r="C485" s="128" t="s">
        <v>49</v>
      </c>
      <c r="D485" s="128" t="s">
        <v>40</v>
      </c>
      <c r="E485" s="128" t="s">
        <v>1220</v>
      </c>
      <c r="F485" s="128" t="s">
        <v>1221</v>
      </c>
      <c r="G485" s="128">
        <v>30.9</v>
      </c>
      <c r="H485" s="128" t="s">
        <v>43</v>
      </c>
      <c r="I485" s="128" t="s">
        <v>1222</v>
      </c>
      <c r="J485" s="128" t="s">
        <v>800</v>
      </c>
      <c r="K485" s="128" t="s">
        <v>800</v>
      </c>
      <c r="L485" s="128" t="s">
        <v>800</v>
      </c>
      <c r="M485" s="128" t="s">
        <v>46</v>
      </c>
      <c r="N485" s="128" t="s">
        <v>47</v>
      </c>
      <c r="O485" s="129">
        <v>31139</v>
      </c>
      <c r="P485" s="128"/>
      <c r="Q485" s="128"/>
      <c r="R485" s="128">
        <v>30.9</v>
      </c>
      <c r="S485" s="128" t="s">
        <v>48</v>
      </c>
    </row>
    <row r="486" spans="1:19" x14ac:dyDescent="0.25">
      <c r="A486" s="128">
        <v>62800</v>
      </c>
      <c r="B486" s="128" t="s">
        <v>106</v>
      </c>
      <c r="C486" s="128" t="s">
        <v>49</v>
      </c>
      <c r="D486" s="128" t="s">
        <v>40</v>
      </c>
      <c r="E486" s="128"/>
      <c r="F486" s="128" t="s">
        <v>2218</v>
      </c>
      <c r="G486" s="128">
        <v>0.1</v>
      </c>
      <c r="H486" s="128" t="s">
        <v>7</v>
      </c>
      <c r="I486" s="128">
        <v>2472</v>
      </c>
      <c r="J486" s="128" t="s">
        <v>713</v>
      </c>
      <c r="K486" s="128"/>
      <c r="L486" s="128"/>
      <c r="M486" s="128" t="s">
        <v>57</v>
      </c>
      <c r="N486" s="128" t="s">
        <v>58</v>
      </c>
      <c r="O486" s="129">
        <v>34683</v>
      </c>
      <c r="P486" s="128"/>
      <c r="Q486" s="128"/>
      <c r="R486" s="128">
        <v>0.1</v>
      </c>
      <c r="S486" s="128" t="s">
        <v>48</v>
      </c>
    </row>
    <row r="487" spans="1:19" x14ac:dyDescent="0.25">
      <c r="A487" s="128">
        <v>62900</v>
      </c>
      <c r="B487" s="128" t="s">
        <v>106</v>
      </c>
      <c r="C487" s="128" t="s">
        <v>49</v>
      </c>
      <c r="D487" s="128" t="s">
        <v>40</v>
      </c>
      <c r="E487" s="128" t="s">
        <v>1586</v>
      </c>
      <c r="F487" s="128" t="s">
        <v>1587</v>
      </c>
      <c r="G487" s="128">
        <v>32.5</v>
      </c>
      <c r="H487" s="128" t="s">
        <v>43</v>
      </c>
      <c r="I487" s="128" t="s">
        <v>1588</v>
      </c>
      <c r="J487" s="128" t="s">
        <v>713</v>
      </c>
      <c r="K487" s="128" t="s">
        <v>599</v>
      </c>
      <c r="L487" s="128" t="s">
        <v>259</v>
      </c>
      <c r="M487" s="128" t="s">
        <v>46</v>
      </c>
      <c r="N487" s="128" t="s">
        <v>47</v>
      </c>
      <c r="O487" s="129">
        <v>31916</v>
      </c>
      <c r="P487" s="128"/>
      <c r="Q487" s="128"/>
      <c r="R487" s="128">
        <v>32.5</v>
      </c>
      <c r="S487" s="128" t="s">
        <v>48</v>
      </c>
    </row>
    <row r="488" spans="1:19" x14ac:dyDescent="0.25">
      <c r="A488" s="128">
        <v>63000</v>
      </c>
      <c r="B488" s="128" t="s">
        <v>106</v>
      </c>
      <c r="C488" s="128" t="s">
        <v>49</v>
      </c>
      <c r="D488" s="128" t="s">
        <v>40</v>
      </c>
      <c r="E488" s="128" t="s">
        <v>2077</v>
      </c>
      <c r="F488" s="128" t="s">
        <v>2078</v>
      </c>
      <c r="G488" s="128">
        <v>34.5</v>
      </c>
      <c r="H488" s="128" t="s">
        <v>43</v>
      </c>
      <c r="I488" s="128" t="s">
        <v>2079</v>
      </c>
      <c r="J488" s="128" t="s">
        <v>713</v>
      </c>
      <c r="K488" s="128" t="s">
        <v>599</v>
      </c>
      <c r="L488" s="128" t="s">
        <v>259</v>
      </c>
      <c r="M488" s="128" t="s">
        <v>46</v>
      </c>
      <c r="N488" s="128" t="s">
        <v>47</v>
      </c>
      <c r="O488" s="129">
        <v>33212</v>
      </c>
      <c r="P488" s="128"/>
      <c r="Q488" s="128"/>
      <c r="R488" s="128">
        <v>40</v>
      </c>
      <c r="S488" s="128" t="s">
        <v>48</v>
      </c>
    </row>
    <row r="489" spans="1:19" ht="29.25" x14ac:dyDescent="0.25">
      <c r="A489" s="128">
        <v>65509</v>
      </c>
      <c r="B489" s="128" t="s">
        <v>106</v>
      </c>
      <c r="C489" s="128" t="s">
        <v>49</v>
      </c>
      <c r="D489" s="128" t="s">
        <v>40</v>
      </c>
      <c r="E489" s="128" t="s">
        <v>966</v>
      </c>
      <c r="F489" s="128" t="s">
        <v>967</v>
      </c>
      <c r="G489" s="128">
        <v>0.6</v>
      </c>
      <c r="H489" s="128" t="s">
        <v>43</v>
      </c>
      <c r="I489" s="128" t="s">
        <v>968</v>
      </c>
      <c r="J489" s="128" t="s">
        <v>44</v>
      </c>
      <c r="K489" s="128" t="s">
        <v>44</v>
      </c>
      <c r="L489" s="128" t="s">
        <v>45</v>
      </c>
      <c r="M489" s="128" t="s">
        <v>46</v>
      </c>
      <c r="N489" s="128" t="s">
        <v>47</v>
      </c>
      <c r="O489" s="129">
        <v>30436</v>
      </c>
      <c r="P489" s="128" t="s">
        <v>969</v>
      </c>
      <c r="Q489" s="128"/>
      <c r="R489" s="128">
        <v>0.5</v>
      </c>
      <c r="S489" s="128" t="s">
        <v>48</v>
      </c>
    </row>
    <row r="490" spans="1:19" ht="29.25" x14ac:dyDescent="0.25">
      <c r="A490" s="128">
        <v>63100</v>
      </c>
      <c r="B490" s="128" t="s">
        <v>106</v>
      </c>
      <c r="C490" s="128" t="s">
        <v>49</v>
      </c>
      <c r="D490" s="128" t="s">
        <v>40</v>
      </c>
      <c r="E490" s="128"/>
      <c r="F490" s="128" t="s">
        <v>1686</v>
      </c>
      <c r="G490" s="128">
        <v>0</v>
      </c>
      <c r="H490" s="128" t="s">
        <v>162</v>
      </c>
      <c r="I490" s="128">
        <v>304</v>
      </c>
      <c r="J490" s="128" t="s">
        <v>713</v>
      </c>
      <c r="K490" s="128"/>
      <c r="L490" s="128" t="s">
        <v>259</v>
      </c>
      <c r="M490" s="128" t="s">
        <v>57</v>
      </c>
      <c r="N490" s="128" t="s">
        <v>163</v>
      </c>
      <c r="O490" s="129">
        <v>32143</v>
      </c>
      <c r="P490" s="128" t="s">
        <v>919</v>
      </c>
      <c r="Q490" s="128"/>
      <c r="R490" s="128">
        <v>0.35</v>
      </c>
      <c r="S490" s="128" t="s">
        <v>48</v>
      </c>
    </row>
    <row r="491" spans="1:19" x14ac:dyDescent="0.25">
      <c r="A491" s="128">
        <v>63300</v>
      </c>
      <c r="B491" s="128" t="s">
        <v>106</v>
      </c>
      <c r="C491" s="128" t="s">
        <v>49</v>
      </c>
      <c r="D491" s="128" t="s">
        <v>40</v>
      </c>
      <c r="E491" s="128"/>
      <c r="F491" s="128" t="s">
        <v>2184</v>
      </c>
      <c r="G491" s="128">
        <v>0.06</v>
      </c>
      <c r="H491" s="128" t="s">
        <v>7</v>
      </c>
      <c r="I491" s="128">
        <v>2448</v>
      </c>
      <c r="J491" s="128" t="s">
        <v>713</v>
      </c>
      <c r="K491" s="128"/>
      <c r="L491" s="128"/>
      <c r="M491" s="128" t="s">
        <v>57</v>
      </c>
      <c r="N491" s="128" t="s">
        <v>58</v>
      </c>
      <c r="O491" s="129">
        <v>34125</v>
      </c>
      <c r="P491" s="128"/>
      <c r="Q491" s="128"/>
      <c r="R491" s="128">
        <v>0.06</v>
      </c>
      <c r="S491" s="128" t="s">
        <v>48</v>
      </c>
    </row>
    <row r="492" spans="1:19" ht="29.25" x14ac:dyDescent="0.25">
      <c r="A492" s="128">
        <v>63700</v>
      </c>
      <c r="B492" s="128" t="s">
        <v>106</v>
      </c>
      <c r="C492" s="128" t="s">
        <v>49</v>
      </c>
      <c r="D492" s="128" t="s">
        <v>40</v>
      </c>
      <c r="E492" s="128" t="s">
        <v>2277</v>
      </c>
      <c r="F492" s="128" t="s">
        <v>2278</v>
      </c>
      <c r="G492" s="128">
        <v>49.5</v>
      </c>
      <c r="H492" s="128" t="s">
        <v>7</v>
      </c>
      <c r="I492" s="128">
        <v>2072</v>
      </c>
      <c r="J492" s="128" t="s">
        <v>713</v>
      </c>
      <c r="K492" s="128" t="s">
        <v>599</v>
      </c>
      <c r="L492" s="128" t="s">
        <v>259</v>
      </c>
      <c r="M492" s="128" t="s">
        <v>57</v>
      </c>
      <c r="N492" s="128" t="s">
        <v>58</v>
      </c>
      <c r="O492" s="129">
        <v>36116</v>
      </c>
      <c r="P492" s="128"/>
      <c r="Q492" s="128"/>
      <c r="R492" s="128">
        <v>46.1</v>
      </c>
      <c r="S492" s="128" t="s">
        <v>48</v>
      </c>
    </row>
    <row r="493" spans="1:19" x14ac:dyDescent="0.25">
      <c r="A493" s="128">
        <v>63900</v>
      </c>
      <c r="B493" s="128" t="s">
        <v>106</v>
      </c>
      <c r="C493" s="128" t="s">
        <v>49</v>
      </c>
      <c r="D493" s="128" t="s">
        <v>40</v>
      </c>
      <c r="E493" s="128"/>
      <c r="F493" s="128" t="s">
        <v>1660</v>
      </c>
      <c r="G493" s="128">
        <v>0.03</v>
      </c>
      <c r="H493" s="128" t="s">
        <v>7</v>
      </c>
      <c r="I493" s="128">
        <v>2476</v>
      </c>
      <c r="J493" s="128" t="s">
        <v>713</v>
      </c>
      <c r="K493" s="128"/>
      <c r="L493" s="128"/>
      <c r="M493" s="128" t="s">
        <v>57</v>
      </c>
      <c r="N493" s="128" t="s">
        <v>58</v>
      </c>
      <c r="O493" s="129">
        <v>34852</v>
      </c>
      <c r="P493" s="128"/>
      <c r="Q493" s="128"/>
      <c r="R493" s="128">
        <v>0.03</v>
      </c>
      <c r="S493" s="128" t="s">
        <v>48</v>
      </c>
    </row>
    <row r="494" spans="1:19" ht="29.25" x14ac:dyDescent="0.25">
      <c r="A494" s="128">
        <v>64000</v>
      </c>
      <c r="B494" s="128" t="s">
        <v>106</v>
      </c>
      <c r="C494" s="128" t="s">
        <v>49</v>
      </c>
      <c r="D494" s="128" t="s">
        <v>40</v>
      </c>
      <c r="E494" s="128" t="s">
        <v>917</v>
      </c>
      <c r="F494" s="128" t="s">
        <v>918</v>
      </c>
      <c r="G494" s="128">
        <v>0</v>
      </c>
      <c r="H494" s="128" t="s">
        <v>162</v>
      </c>
      <c r="I494" s="128">
        <v>38</v>
      </c>
      <c r="J494" s="128" t="s">
        <v>713</v>
      </c>
      <c r="K494" s="128"/>
      <c r="L494" s="128" t="s">
        <v>259</v>
      </c>
      <c r="M494" s="128" t="s">
        <v>57</v>
      </c>
      <c r="N494" s="128" t="s">
        <v>163</v>
      </c>
      <c r="O494" s="129">
        <v>30317</v>
      </c>
      <c r="P494" s="128" t="s">
        <v>919</v>
      </c>
      <c r="Q494" s="128"/>
      <c r="R494" s="128">
        <v>2.25</v>
      </c>
      <c r="S494" s="128" t="s">
        <v>48</v>
      </c>
    </row>
    <row r="495" spans="1:19" ht="29.25" x14ac:dyDescent="0.25">
      <c r="A495" s="128">
        <v>64700</v>
      </c>
      <c r="B495" s="128" t="s">
        <v>106</v>
      </c>
      <c r="C495" s="128" t="s">
        <v>49</v>
      </c>
      <c r="D495" s="128" t="s">
        <v>40</v>
      </c>
      <c r="E495" s="128"/>
      <c r="F495" s="128" t="s">
        <v>2088</v>
      </c>
      <c r="G495" s="128">
        <v>0.06</v>
      </c>
      <c r="H495" s="128" t="s">
        <v>7</v>
      </c>
      <c r="I495" s="128">
        <v>2420</v>
      </c>
      <c r="J495" s="128" t="s">
        <v>713</v>
      </c>
      <c r="K495" s="128"/>
      <c r="L495" s="128"/>
      <c r="M495" s="128" t="s">
        <v>57</v>
      </c>
      <c r="N495" s="128" t="s">
        <v>58</v>
      </c>
      <c r="O495" s="129">
        <v>33228</v>
      </c>
      <c r="P495" s="128"/>
      <c r="Q495" s="128"/>
      <c r="R495" s="128">
        <v>0.06</v>
      </c>
      <c r="S495" s="128" t="s">
        <v>48</v>
      </c>
    </row>
    <row r="496" spans="1:19" ht="29.25" x14ac:dyDescent="0.25">
      <c r="A496" s="128">
        <v>64800</v>
      </c>
      <c r="B496" s="128" t="s">
        <v>106</v>
      </c>
      <c r="C496" s="128" t="s">
        <v>49</v>
      </c>
      <c r="D496" s="128" t="s">
        <v>40</v>
      </c>
      <c r="E496" s="128" t="s">
        <v>718</v>
      </c>
      <c r="F496" s="128" t="s">
        <v>719</v>
      </c>
      <c r="G496" s="128">
        <v>4.5999999999999996</v>
      </c>
      <c r="H496" s="128" t="s">
        <v>43</v>
      </c>
      <c r="I496" s="128" t="s">
        <v>720</v>
      </c>
      <c r="J496" s="128" t="s">
        <v>713</v>
      </c>
      <c r="K496" s="128" t="s">
        <v>599</v>
      </c>
      <c r="L496" s="128" t="s">
        <v>259</v>
      </c>
      <c r="M496" s="128" t="s">
        <v>46</v>
      </c>
      <c r="N496" s="128" t="s">
        <v>47</v>
      </c>
      <c r="O496" s="129">
        <v>28277</v>
      </c>
      <c r="P496" s="128"/>
      <c r="Q496" s="128"/>
      <c r="R496" s="128">
        <v>4.5999999999999996</v>
      </c>
      <c r="S496" s="128" t="s">
        <v>48</v>
      </c>
    </row>
    <row r="497" spans="1:19" ht="29.25" x14ac:dyDescent="0.25">
      <c r="A497" s="128">
        <v>65000</v>
      </c>
      <c r="B497" s="128" t="s">
        <v>106</v>
      </c>
      <c r="C497" s="128" t="s">
        <v>49</v>
      </c>
      <c r="D497" s="128" t="s">
        <v>40</v>
      </c>
      <c r="E497" s="128"/>
      <c r="F497" s="128" t="s">
        <v>2145</v>
      </c>
      <c r="G497" s="128">
        <v>0.05</v>
      </c>
      <c r="H497" s="128" t="s">
        <v>7</v>
      </c>
      <c r="I497" s="128">
        <v>2262</v>
      </c>
      <c r="J497" s="128" t="s">
        <v>713</v>
      </c>
      <c r="K497" s="128"/>
      <c r="L497" s="128"/>
      <c r="M497" s="128" t="s">
        <v>57</v>
      </c>
      <c r="N497" s="128" t="s">
        <v>58</v>
      </c>
      <c r="O497" s="129">
        <v>33648</v>
      </c>
      <c r="P497" s="128"/>
      <c r="Q497" s="128"/>
      <c r="R497" s="128">
        <v>0.05</v>
      </c>
      <c r="S497" s="128" t="s">
        <v>48</v>
      </c>
    </row>
    <row r="498" spans="1:19" ht="29.25" x14ac:dyDescent="0.25">
      <c r="A498" s="128">
        <v>65100</v>
      </c>
      <c r="B498" s="128" t="s">
        <v>106</v>
      </c>
      <c r="C498" s="128" t="s">
        <v>49</v>
      </c>
      <c r="D498" s="128" t="s">
        <v>40</v>
      </c>
      <c r="E498" s="128" t="s">
        <v>1748</v>
      </c>
      <c r="F498" s="128" t="s">
        <v>1749</v>
      </c>
      <c r="G498" s="128">
        <v>30.5</v>
      </c>
      <c r="H498" s="128" t="s">
        <v>43</v>
      </c>
      <c r="I498" s="128" t="s">
        <v>1750</v>
      </c>
      <c r="J498" s="128" t="s">
        <v>807</v>
      </c>
      <c r="K498" s="128" t="s">
        <v>385</v>
      </c>
      <c r="L498" s="128" t="s">
        <v>808</v>
      </c>
      <c r="M498" s="128" t="s">
        <v>46</v>
      </c>
      <c r="N498" s="128" t="s">
        <v>47</v>
      </c>
      <c r="O498" s="129">
        <v>32344</v>
      </c>
      <c r="P498" s="128"/>
      <c r="Q498" s="128"/>
      <c r="R498" s="128">
        <v>30.5</v>
      </c>
      <c r="S498" s="128" t="s">
        <v>48</v>
      </c>
    </row>
    <row r="499" spans="1:19" x14ac:dyDescent="0.25">
      <c r="A499" s="128">
        <v>65200</v>
      </c>
      <c r="B499" s="128" t="s">
        <v>106</v>
      </c>
      <c r="C499" s="128" t="s">
        <v>49</v>
      </c>
      <c r="D499" s="128" t="s">
        <v>40</v>
      </c>
      <c r="E499" s="128" t="s">
        <v>1921</v>
      </c>
      <c r="F499" s="128" t="s">
        <v>1922</v>
      </c>
      <c r="G499" s="128">
        <v>38</v>
      </c>
      <c r="H499" s="128" t="s">
        <v>7</v>
      </c>
      <c r="I499" s="128">
        <v>2077</v>
      </c>
      <c r="J499" s="128" t="s">
        <v>713</v>
      </c>
      <c r="K499" s="128" t="s">
        <v>385</v>
      </c>
      <c r="L499" s="128" t="s">
        <v>874</v>
      </c>
      <c r="M499" s="128" t="s">
        <v>57</v>
      </c>
      <c r="N499" s="128" t="s">
        <v>58</v>
      </c>
      <c r="O499" s="129">
        <v>32814</v>
      </c>
      <c r="P499" s="128"/>
      <c r="Q499" s="128"/>
      <c r="R499" s="128">
        <v>37</v>
      </c>
      <c r="S499" s="128" t="s">
        <v>48</v>
      </c>
    </row>
    <row r="500" spans="1:19" ht="29.25" x14ac:dyDescent="0.25">
      <c r="A500" s="128">
        <v>65300</v>
      </c>
      <c r="B500" s="128" t="s">
        <v>106</v>
      </c>
      <c r="C500" s="128" t="s">
        <v>49</v>
      </c>
      <c r="D500" s="128" t="s">
        <v>40</v>
      </c>
      <c r="E500" s="128" t="s">
        <v>1907</v>
      </c>
      <c r="F500" s="128" t="s">
        <v>1908</v>
      </c>
      <c r="G500" s="128">
        <v>45</v>
      </c>
      <c r="H500" s="128" t="s">
        <v>43</v>
      </c>
      <c r="I500" s="128" t="s">
        <v>1909</v>
      </c>
      <c r="J500" s="128" t="s">
        <v>713</v>
      </c>
      <c r="K500" s="128" t="s">
        <v>385</v>
      </c>
      <c r="L500" s="128" t="s">
        <v>956</v>
      </c>
      <c r="M500" s="128" t="s">
        <v>212</v>
      </c>
      <c r="N500" s="128" t="s">
        <v>213</v>
      </c>
      <c r="O500" s="129">
        <v>32778</v>
      </c>
      <c r="P500" s="128"/>
      <c r="Q500" s="128"/>
      <c r="R500" s="128">
        <v>45</v>
      </c>
      <c r="S500" s="128" t="s">
        <v>48</v>
      </c>
    </row>
    <row r="501" spans="1:19" x14ac:dyDescent="0.25">
      <c r="A501" s="128">
        <v>65400</v>
      </c>
      <c r="B501" s="128" t="s">
        <v>106</v>
      </c>
      <c r="C501" s="128" t="s">
        <v>49</v>
      </c>
      <c r="D501" s="128" t="s">
        <v>40</v>
      </c>
      <c r="E501" s="128" t="s">
        <v>1881</v>
      </c>
      <c r="F501" s="128" t="s">
        <v>1882</v>
      </c>
      <c r="G501" s="128">
        <v>28.8</v>
      </c>
      <c r="H501" s="128" t="s">
        <v>43</v>
      </c>
      <c r="I501" s="128" t="s">
        <v>1883</v>
      </c>
      <c r="J501" s="128" t="s">
        <v>807</v>
      </c>
      <c r="K501" s="128" t="s">
        <v>385</v>
      </c>
      <c r="L501" s="128" t="s">
        <v>808</v>
      </c>
      <c r="M501" s="128" t="s">
        <v>46</v>
      </c>
      <c r="N501" s="128" t="s">
        <v>47</v>
      </c>
      <c r="O501" s="129">
        <v>32668</v>
      </c>
      <c r="P501" s="128"/>
      <c r="Q501" s="128"/>
      <c r="R501" s="128">
        <v>28.8</v>
      </c>
      <c r="S501" s="128" t="s">
        <v>48</v>
      </c>
    </row>
    <row r="502" spans="1:19" x14ac:dyDescent="0.25">
      <c r="A502" s="128">
        <v>65600</v>
      </c>
      <c r="B502" s="128" t="s">
        <v>106</v>
      </c>
      <c r="C502" s="128" t="s">
        <v>49</v>
      </c>
      <c r="D502" s="128" t="s">
        <v>40</v>
      </c>
      <c r="E502" s="128" t="s">
        <v>1266</v>
      </c>
      <c r="F502" s="128" t="s">
        <v>1267</v>
      </c>
      <c r="G502" s="128">
        <v>44</v>
      </c>
      <c r="H502" s="128" t="s">
        <v>7</v>
      </c>
      <c r="I502" s="128">
        <v>2050</v>
      </c>
      <c r="J502" s="128" t="s">
        <v>713</v>
      </c>
      <c r="K502" s="128" t="s">
        <v>599</v>
      </c>
      <c r="L502" s="128" t="s">
        <v>259</v>
      </c>
      <c r="M502" s="128" t="s">
        <v>57</v>
      </c>
      <c r="N502" s="128" t="s">
        <v>58</v>
      </c>
      <c r="O502" s="129">
        <v>31369</v>
      </c>
      <c r="P502" s="128"/>
      <c r="Q502" s="128"/>
      <c r="R502" s="128">
        <v>36</v>
      </c>
      <c r="S502" s="128" t="s">
        <v>48</v>
      </c>
    </row>
    <row r="503" spans="1:19" x14ac:dyDescent="0.25">
      <c r="A503" s="128">
        <v>65700</v>
      </c>
      <c r="B503" s="128" t="s">
        <v>106</v>
      </c>
      <c r="C503" s="128" t="s">
        <v>49</v>
      </c>
      <c r="D503" s="128" t="s">
        <v>40</v>
      </c>
      <c r="E503" s="128" t="s">
        <v>1719</v>
      </c>
      <c r="F503" s="128" t="s">
        <v>1267</v>
      </c>
      <c r="G503" s="128">
        <v>56.9</v>
      </c>
      <c r="H503" s="128" t="s">
        <v>43</v>
      </c>
      <c r="I503" s="128" t="s">
        <v>1720</v>
      </c>
      <c r="J503" s="128" t="s">
        <v>713</v>
      </c>
      <c r="K503" s="128" t="s">
        <v>599</v>
      </c>
      <c r="L503" s="128" t="s">
        <v>259</v>
      </c>
      <c r="M503" s="128" t="s">
        <v>46</v>
      </c>
      <c r="N503" s="128" t="s">
        <v>47</v>
      </c>
      <c r="O503" s="129">
        <v>32252</v>
      </c>
      <c r="P503" s="128"/>
      <c r="Q503" s="128"/>
      <c r="R503" s="128">
        <v>56.9</v>
      </c>
      <c r="S503" s="128" t="s">
        <v>48</v>
      </c>
    </row>
    <row r="504" spans="1:19" x14ac:dyDescent="0.25">
      <c r="A504" s="128">
        <v>66000</v>
      </c>
      <c r="B504" s="128" t="s">
        <v>106</v>
      </c>
      <c r="C504" s="128" t="s">
        <v>49</v>
      </c>
      <c r="D504" s="128" t="s">
        <v>40</v>
      </c>
      <c r="E504" s="128" t="s">
        <v>1423</v>
      </c>
      <c r="F504" s="128" t="s">
        <v>1424</v>
      </c>
      <c r="G504" s="128">
        <v>5</v>
      </c>
      <c r="H504" s="128" t="s">
        <v>43</v>
      </c>
      <c r="I504" s="128" t="s">
        <v>1425</v>
      </c>
      <c r="J504" s="128" t="s">
        <v>44</v>
      </c>
      <c r="K504" s="128" t="s">
        <v>44</v>
      </c>
      <c r="L504" s="128" t="s">
        <v>45</v>
      </c>
      <c r="M504" s="128" t="s">
        <v>46</v>
      </c>
      <c r="N504" s="128" t="s">
        <v>47</v>
      </c>
      <c r="O504" s="129">
        <v>31526</v>
      </c>
      <c r="P504" s="128"/>
      <c r="Q504" s="128"/>
      <c r="R504" s="128">
        <v>5</v>
      </c>
      <c r="S504" s="128" t="s">
        <v>48</v>
      </c>
    </row>
    <row r="505" spans="1:19" ht="29.25" x14ac:dyDescent="0.25">
      <c r="A505" s="128">
        <v>66100</v>
      </c>
      <c r="B505" s="128" t="s">
        <v>106</v>
      </c>
      <c r="C505" s="128" t="s">
        <v>49</v>
      </c>
      <c r="D505" s="128" t="s">
        <v>40</v>
      </c>
      <c r="E505" s="128" t="s">
        <v>2172</v>
      </c>
      <c r="F505" s="128" t="s">
        <v>2173</v>
      </c>
      <c r="G505" s="128">
        <v>0</v>
      </c>
      <c r="H505" s="128" t="s">
        <v>162</v>
      </c>
      <c r="I505" s="128" t="s">
        <v>2174</v>
      </c>
      <c r="J505" s="128" t="s">
        <v>713</v>
      </c>
      <c r="K505" s="128" t="s">
        <v>385</v>
      </c>
      <c r="L505" s="128"/>
      <c r="M505" s="128" t="s">
        <v>57</v>
      </c>
      <c r="N505" s="128" t="s">
        <v>163</v>
      </c>
      <c r="O505" s="129">
        <v>33970</v>
      </c>
      <c r="P505" s="128" t="s">
        <v>1530</v>
      </c>
      <c r="Q505" s="128"/>
      <c r="R505" s="128">
        <v>9</v>
      </c>
      <c r="S505" s="128" t="s">
        <v>48</v>
      </c>
    </row>
    <row r="506" spans="1:19" ht="29.25" x14ac:dyDescent="0.25">
      <c r="A506" s="128">
        <v>64400</v>
      </c>
      <c r="B506" s="128" t="s">
        <v>106</v>
      </c>
      <c r="C506" s="128" t="s">
        <v>49</v>
      </c>
      <c r="D506" s="128" t="s">
        <v>40</v>
      </c>
      <c r="E506" s="128"/>
      <c r="F506" s="128" t="s">
        <v>3347</v>
      </c>
      <c r="G506" s="128">
        <v>0</v>
      </c>
      <c r="H506" s="128" t="s">
        <v>162</v>
      </c>
      <c r="I506" s="128">
        <v>474</v>
      </c>
      <c r="J506" s="128" t="s">
        <v>713</v>
      </c>
      <c r="K506" s="128"/>
      <c r="L506" s="128" t="s">
        <v>259</v>
      </c>
      <c r="M506" s="128" t="s">
        <v>57</v>
      </c>
      <c r="N506" s="128" t="s">
        <v>163</v>
      </c>
      <c r="O506" s="128"/>
      <c r="P506" s="128" t="s">
        <v>919</v>
      </c>
      <c r="Q506" s="128"/>
      <c r="R506" s="128">
        <v>0.06</v>
      </c>
      <c r="S506" s="128" t="s">
        <v>48</v>
      </c>
    </row>
    <row r="507" spans="1:19" x14ac:dyDescent="0.25">
      <c r="A507" s="128">
        <v>66200</v>
      </c>
      <c r="B507" s="128" t="s">
        <v>106</v>
      </c>
      <c r="C507" s="128" t="s">
        <v>49</v>
      </c>
      <c r="D507" s="128" t="s">
        <v>40</v>
      </c>
      <c r="E507" s="128" t="s">
        <v>1268</v>
      </c>
      <c r="F507" s="128" t="s">
        <v>1269</v>
      </c>
      <c r="G507" s="128">
        <v>2.8</v>
      </c>
      <c r="H507" s="128" t="s">
        <v>43</v>
      </c>
      <c r="I507" s="128" t="s">
        <v>1270</v>
      </c>
      <c r="J507" s="128" t="s">
        <v>713</v>
      </c>
      <c r="K507" s="128"/>
      <c r="L507" s="128" t="s">
        <v>259</v>
      </c>
      <c r="M507" s="128" t="s">
        <v>46</v>
      </c>
      <c r="N507" s="128" t="s">
        <v>47</v>
      </c>
      <c r="O507" s="129">
        <v>31372</v>
      </c>
      <c r="P507" s="128"/>
      <c r="Q507" s="128"/>
      <c r="R507" s="128">
        <v>2.8</v>
      </c>
      <c r="S507" s="128" t="s">
        <v>48</v>
      </c>
    </row>
    <row r="508" spans="1:19" x14ac:dyDescent="0.25">
      <c r="A508" s="128">
        <v>66300</v>
      </c>
      <c r="B508" s="128" t="s">
        <v>106</v>
      </c>
      <c r="C508" s="128" t="s">
        <v>49</v>
      </c>
      <c r="D508" s="128" t="s">
        <v>40</v>
      </c>
      <c r="E508" s="128" t="s">
        <v>2127</v>
      </c>
      <c r="F508" s="128" t="s">
        <v>2128</v>
      </c>
      <c r="G508" s="128">
        <v>57</v>
      </c>
      <c r="H508" s="128" t="s">
        <v>43</v>
      </c>
      <c r="I508" s="128" t="s">
        <v>2129</v>
      </c>
      <c r="J508" s="128" t="s">
        <v>713</v>
      </c>
      <c r="K508" s="128" t="s">
        <v>599</v>
      </c>
      <c r="L508" s="128" t="s">
        <v>259</v>
      </c>
      <c r="M508" s="128" t="s">
        <v>46</v>
      </c>
      <c r="N508" s="128" t="s">
        <v>47</v>
      </c>
      <c r="O508" s="129">
        <v>33522</v>
      </c>
      <c r="P508" s="128"/>
      <c r="Q508" s="128"/>
      <c r="R508" s="128">
        <v>57</v>
      </c>
      <c r="S508" s="128" t="s">
        <v>48</v>
      </c>
    </row>
    <row r="509" spans="1:19" ht="29.25" x14ac:dyDescent="0.25">
      <c r="A509" s="128">
        <v>66500</v>
      </c>
      <c r="B509" s="128" t="s">
        <v>106</v>
      </c>
      <c r="C509" s="128" t="s">
        <v>49</v>
      </c>
      <c r="D509" s="128" t="s">
        <v>40</v>
      </c>
      <c r="E509" s="128"/>
      <c r="F509" s="128" t="s">
        <v>2214</v>
      </c>
      <c r="G509" s="128">
        <v>0.08</v>
      </c>
      <c r="H509" s="128" t="s">
        <v>7</v>
      </c>
      <c r="I509" s="128">
        <v>2468</v>
      </c>
      <c r="J509" s="128" t="s">
        <v>713</v>
      </c>
      <c r="K509" s="128"/>
      <c r="L509" s="128"/>
      <c r="M509" s="128" t="s">
        <v>57</v>
      </c>
      <c r="N509" s="128" t="s">
        <v>58</v>
      </c>
      <c r="O509" s="129">
        <v>34625</v>
      </c>
      <c r="P509" s="128"/>
      <c r="Q509" s="128"/>
      <c r="R509" s="128">
        <v>0.08</v>
      </c>
      <c r="S509" s="128" t="s">
        <v>48</v>
      </c>
    </row>
    <row r="510" spans="1:19" ht="29.25" x14ac:dyDescent="0.25">
      <c r="A510" s="128">
        <v>66700</v>
      </c>
      <c r="B510" s="128" t="s">
        <v>106</v>
      </c>
      <c r="C510" s="128" t="s">
        <v>49</v>
      </c>
      <c r="D510" s="128" t="s">
        <v>40</v>
      </c>
      <c r="E510" s="128"/>
      <c r="F510" s="128" t="s">
        <v>1687</v>
      </c>
      <c r="G510" s="128">
        <v>0.08</v>
      </c>
      <c r="H510" s="128" t="s">
        <v>7</v>
      </c>
      <c r="I510" s="128">
        <v>2220</v>
      </c>
      <c r="J510" s="128" t="s">
        <v>713</v>
      </c>
      <c r="K510" s="128"/>
      <c r="L510" s="128"/>
      <c r="M510" s="128" t="s">
        <v>57</v>
      </c>
      <c r="N510" s="128" t="s">
        <v>58</v>
      </c>
      <c r="O510" s="129">
        <v>32143</v>
      </c>
      <c r="P510" s="128"/>
      <c r="Q510" s="128"/>
      <c r="R510" s="128">
        <v>0.08</v>
      </c>
      <c r="S510" s="128" t="s">
        <v>48</v>
      </c>
    </row>
    <row r="511" spans="1:19" ht="29.25" x14ac:dyDescent="0.25">
      <c r="A511" s="128">
        <v>66800</v>
      </c>
      <c r="B511" s="128" t="s">
        <v>106</v>
      </c>
      <c r="C511" s="128" t="s">
        <v>49</v>
      </c>
      <c r="D511" s="128" t="s">
        <v>40</v>
      </c>
      <c r="E511" s="128"/>
      <c r="F511" s="128" t="s">
        <v>1688</v>
      </c>
      <c r="G511" s="128">
        <v>0.08</v>
      </c>
      <c r="H511" s="128" t="s">
        <v>7</v>
      </c>
      <c r="I511" s="128">
        <v>2217</v>
      </c>
      <c r="J511" s="128" t="s">
        <v>713</v>
      </c>
      <c r="K511" s="128"/>
      <c r="L511" s="128"/>
      <c r="M511" s="128" t="s">
        <v>57</v>
      </c>
      <c r="N511" s="128" t="s">
        <v>58</v>
      </c>
      <c r="O511" s="129">
        <v>32143</v>
      </c>
      <c r="P511" s="128"/>
      <c r="Q511" s="128"/>
      <c r="R511" s="128">
        <v>0.08</v>
      </c>
      <c r="S511" s="128" t="s">
        <v>48</v>
      </c>
    </row>
    <row r="512" spans="1:19" ht="29.25" x14ac:dyDescent="0.25">
      <c r="A512" s="128">
        <v>83500</v>
      </c>
      <c r="B512" s="128" t="s">
        <v>106</v>
      </c>
      <c r="C512" s="128" t="s">
        <v>49</v>
      </c>
      <c r="D512" s="128" t="s">
        <v>40</v>
      </c>
      <c r="E512" s="128" t="s">
        <v>2667</v>
      </c>
      <c r="F512" s="128" t="s">
        <v>2668</v>
      </c>
      <c r="G512" s="128">
        <v>0</v>
      </c>
      <c r="H512" s="128" t="s">
        <v>162</v>
      </c>
      <c r="I512" s="128">
        <v>467</v>
      </c>
      <c r="J512" s="128" t="s">
        <v>314</v>
      </c>
      <c r="K512" s="128" t="s">
        <v>599</v>
      </c>
      <c r="L512" s="128" t="s">
        <v>259</v>
      </c>
      <c r="M512" s="128" t="s">
        <v>57</v>
      </c>
      <c r="N512" s="128" t="s">
        <v>163</v>
      </c>
      <c r="O512" s="129">
        <v>37812</v>
      </c>
      <c r="P512" s="128" t="s">
        <v>1530</v>
      </c>
      <c r="Q512" s="128"/>
      <c r="R512" s="128">
        <v>5.3</v>
      </c>
      <c r="S512" s="128" t="s">
        <v>48</v>
      </c>
    </row>
    <row r="513" spans="1:19" ht="29.25" x14ac:dyDescent="0.25">
      <c r="A513" s="128">
        <v>83600</v>
      </c>
      <c r="B513" s="128" t="s">
        <v>106</v>
      </c>
      <c r="C513" s="128" t="s">
        <v>49</v>
      </c>
      <c r="D513" s="128" t="s">
        <v>40</v>
      </c>
      <c r="E513" s="128" t="s">
        <v>2669</v>
      </c>
      <c r="F513" s="128" t="s">
        <v>2670</v>
      </c>
      <c r="G513" s="128">
        <v>0</v>
      </c>
      <c r="H513" s="128" t="s">
        <v>162</v>
      </c>
      <c r="I513" s="128">
        <v>467</v>
      </c>
      <c r="J513" s="128" t="s">
        <v>314</v>
      </c>
      <c r="K513" s="128" t="s">
        <v>599</v>
      </c>
      <c r="L513" s="128" t="s">
        <v>259</v>
      </c>
      <c r="M513" s="128" t="s">
        <v>57</v>
      </c>
      <c r="N513" s="128" t="s">
        <v>163</v>
      </c>
      <c r="O513" s="129">
        <v>37812</v>
      </c>
      <c r="P513" s="128" t="s">
        <v>1530</v>
      </c>
      <c r="Q513" s="128"/>
      <c r="R513" s="128">
        <v>5.3</v>
      </c>
      <c r="S513" s="128" t="s">
        <v>48</v>
      </c>
    </row>
    <row r="514" spans="1:19" ht="29.25" x14ac:dyDescent="0.25">
      <c r="A514" s="128">
        <v>83700</v>
      </c>
      <c r="B514" s="128" t="s">
        <v>106</v>
      </c>
      <c r="C514" s="128" t="s">
        <v>49</v>
      </c>
      <c r="D514" s="128" t="s">
        <v>40</v>
      </c>
      <c r="E514" s="128" t="s">
        <v>2671</v>
      </c>
      <c r="F514" s="128" t="s">
        <v>2672</v>
      </c>
      <c r="G514" s="128">
        <v>0</v>
      </c>
      <c r="H514" s="128" t="s">
        <v>162</v>
      </c>
      <c r="I514" s="128">
        <v>467</v>
      </c>
      <c r="J514" s="128" t="s">
        <v>384</v>
      </c>
      <c r="K514" s="128" t="s">
        <v>385</v>
      </c>
      <c r="L514" s="128" t="s">
        <v>259</v>
      </c>
      <c r="M514" s="128" t="s">
        <v>57</v>
      </c>
      <c r="N514" s="128" t="s">
        <v>163</v>
      </c>
      <c r="O514" s="129">
        <v>37812</v>
      </c>
      <c r="P514" s="128" t="s">
        <v>1530</v>
      </c>
      <c r="Q514" s="128"/>
      <c r="R514" s="128">
        <v>4</v>
      </c>
      <c r="S514" s="128" t="s">
        <v>48</v>
      </c>
    </row>
    <row r="515" spans="1:19" ht="29.25" x14ac:dyDescent="0.25">
      <c r="A515" s="128">
        <v>66900</v>
      </c>
      <c r="B515" s="128" t="s">
        <v>106</v>
      </c>
      <c r="C515" s="128" t="s">
        <v>49</v>
      </c>
      <c r="D515" s="128" t="s">
        <v>40</v>
      </c>
      <c r="E515" s="128" t="s">
        <v>2115</v>
      </c>
      <c r="F515" s="128" t="s">
        <v>2116</v>
      </c>
      <c r="G515" s="128">
        <v>12.4</v>
      </c>
      <c r="H515" s="128" t="s">
        <v>43</v>
      </c>
      <c r="I515" s="128" t="s">
        <v>2117</v>
      </c>
      <c r="J515" s="128" t="s">
        <v>713</v>
      </c>
      <c r="K515" s="128" t="s">
        <v>599</v>
      </c>
      <c r="L515" s="128" t="s">
        <v>259</v>
      </c>
      <c r="M515" s="128" t="s">
        <v>46</v>
      </c>
      <c r="N515" s="128" t="s">
        <v>47</v>
      </c>
      <c r="O515" s="129">
        <v>33347</v>
      </c>
      <c r="P515" s="128"/>
      <c r="Q515" s="128"/>
      <c r="R515" s="128">
        <v>12.4</v>
      </c>
      <c r="S515" s="128" t="s">
        <v>48</v>
      </c>
    </row>
    <row r="516" spans="1:19" x14ac:dyDescent="0.25">
      <c r="A516" s="128">
        <v>67000</v>
      </c>
      <c r="B516" s="128" t="s">
        <v>106</v>
      </c>
      <c r="C516" s="128" t="s">
        <v>49</v>
      </c>
      <c r="D516" s="128" t="s">
        <v>40</v>
      </c>
      <c r="E516" s="128" t="s">
        <v>1133</v>
      </c>
      <c r="F516" s="128" t="s">
        <v>1134</v>
      </c>
      <c r="G516" s="128">
        <v>6.9</v>
      </c>
      <c r="H516" s="128" t="s">
        <v>43</v>
      </c>
      <c r="I516" s="128" t="s">
        <v>1135</v>
      </c>
      <c r="J516" s="128" t="s">
        <v>713</v>
      </c>
      <c r="K516" s="128" t="s">
        <v>599</v>
      </c>
      <c r="L516" s="128" t="s">
        <v>259</v>
      </c>
      <c r="M516" s="128" t="s">
        <v>46</v>
      </c>
      <c r="N516" s="128" t="s">
        <v>47</v>
      </c>
      <c r="O516" s="129">
        <v>31034</v>
      </c>
      <c r="P516" s="128"/>
      <c r="Q516" s="128"/>
      <c r="R516" s="128">
        <v>6.9</v>
      </c>
      <c r="S516" s="128" t="s">
        <v>48</v>
      </c>
    </row>
    <row r="517" spans="1:19" ht="29.25" x14ac:dyDescent="0.25">
      <c r="A517" s="128">
        <v>67100</v>
      </c>
      <c r="B517" s="128" t="s">
        <v>106</v>
      </c>
      <c r="C517" s="128" t="s">
        <v>49</v>
      </c>
      <c r="D517" s="128" t="s">
        <v>40</v>
      </c>
      <c r="E517" s="128" t="s">
        <v>2039</v>
      </c>
      <c r="F517" s="128" t="s">
        <v>2040</v>
      </c>
      <c r="G517" s="128">
        <v>2.5</v>
      </c>
      <c r="H517" s="128" t="s">
        <v>43</v>
      </c>
      <c r="I517" s="128" t="s">
        <v>2041</v>
      </c>
      <c r="J517" s="128" t="s">
        <v>713</v>
      </c>
      <c r="K517" s="128"/>
      <c r="L517" s="128" t="s">
        <v>259</v>
      </c>
      <c r="M517" s="128" t="s">
        <v>46</v>
      </c>
      <c r="N517" s="128" t="s">
        <v>47</v>
      </c>
      <c r="O517" s="129">
        <v>32965</v>
      </c>
      <c r="P517" s="128" t="s">
        <v>2042</v>
      </c>
      <c r="Q517" s="128"/>
      <c r="R517" s="128">
        <v>2.5</v>
      </c>
      <c r="S517" s="128" t="s">
        <v>48</v>
      </c>
    </row>
    <row r="518" spans="1:19" x14ac:dyDescent="0.25">
      <c r="A518" s="128">
        <v>67200</v>
      </c>
      <c r="B518" s="128" t="s">
        <v>106</v>
      </c>
      <c r="C518" s="128" t="s">
        <v>49</v>
      </c>
      <c r="D518" s="128" t="s">
        <v>40</v>
      </c>
      <c r="E518" s="128" t="s">
        <v>1817</v>
      </c>
      <c r="F518" s="128" t="s">
        <v>1818</v>
      </c>
      <c r="G518" s="128">
        <v>5</v>
      </c>
      <c r="H518" s="128" t="s">
        <v>162</v>
      </c>
      <c r="I518" s="128">
        <v>155</v>
      </c>
      <c r="J518" s="128" t="s">
        <v>807</v>
      </c>
      <c r="K518" s="128"/>
      <c r="L518" s="128" t="s">
        <v>915</v>
      </c>
      <c r="M518" s="128" t="s">
        <v>57</v>
      </c>
      <c r="N518" s="128" t="s">
        <v>163</v>
      </c>
      <c r="O518" s="129">
        <v>32509</v>
      </c>
      <c r="P518" s="128"/>
      <c r="Q518" s="128"/>
      <c r="R518" s="128">
        <v>1.88</v>
      </c>
      <c r="S518" s="128" t="s">
        <v>48</v>
      </c>
    </row>
    <row r="519" spans="1:19" x14ac:dyDescent="0.25">
      <c r="A519" s="128">
        <v>67400</v>
      </c>
      <c r="B519" s="128" t="s">
        <v>106</v>
      </c>
      <c r="C519" s="128" t="s">
        <v>49</v>
      </c>
      <c r="D519" s="128" t="s">
        <v>40</v>
      </c>
      <c r="E519" s="128" t="s">
        <v>2085</v>
      </c>
      <c r="F519" s="128" t="s">
        <v>2086</v>
      </c>
      <c r="G519" s="128">
        <v>48.3</v>
      </c>
      <c r="H519" s="128" t="s">
        <v>43</v>
      </c>
      <c r="I519" s="128" t="s">
        <v>2087</v>
      </c>
      <c r="J519" s="128" t="s">
        <v>713</v>
      </c>
      <c r="K519" s="128" t="s">
        <v>599</v>
      </c>
      <c r="L519" s="128" t="s">
        <v>259</v>
      </c>
      <c r="M519" s="128" t="s">
        <v>46</v>
      </c>
      <c r="N519" s="128" t="s">
        <v>47</v>
      </c>
      <c r="O519" s="129">
        <v>33218</v>
      </c>
      <c r="P519" s="128"/>
      <c r="Q519" s="128"/>
      <c r="R519" s="128">
        <v>48.3</v>
      </c>
      <c r="S519" s="128" t="s">
        <v>48</v>
      </c>
    </row>
    <row r="520" spans="1:19" ht="29.25" x14ac:dyDescent="0.25">
      <c r="A520" s="128">
        <v>67900</v>
      </c>
      <c r="B520" s="128" t="s">
        <v>106</v>
      </c>
      <c r="C520" s="128" t="s">
        <v>49</v>
      </c>
      <c r="D520" s="128" t="s">
        <v>40</v>
      </c>
      <c r="E520" s="128" t="s">
        <v>2124</v>
      </c>
      <c r="F520" s="128" t="s">
        <v>2125</v>
      </c>
      <c r="G520" s="128">
        <v>57.1</v>
      </c>
      <c r="H520" s="128" t="s">
        <v>43</v>
      </c>
      <c r="I520" s="128" t="s">
        <v>2126</v>
      </c>
      <c r="J520" s="128" t="s">
        <v>713</v>
      </c>
      <c r="K520" s="128" t="s">
        <v>599</v>
      </c>
      <c r="L520" s="128" t="s">
        <v>259</v>
      </c>
      <c r="M520" s="128" t="s">
        <v>46</v>
      </c>
      <c r="N520" s="128" t="s">
        <v>47</v>
      </c>
      <c r="O520" s="129">
        <v>33518</v>
      </c>
      <c r="P520" s="128"/>
      <c r="Q520" s="128"/>
      <c r="R520" s="128">
        <v>57.1</v>
      </c>
      <c r="S520" s="128" t="s">
        <v>48</v>
      </c>
    </row>
    <row r="521" spans="1:19" x14ac:dyDescent="0.25">
      <c r="A521" s="128">
        <v>68100</v>
      </c>
      <c r="B521" s="128" t="s">
        <v>106</v>
      </c>
      <c r="C521" s="128" t="s">
        <v>49</v>
      </c>
      <c r="D521" s="128" t="s">
        <v>40</v>
      </c>
      <c r="E521" s="128"/>
      <c r="F521" s="128" t="s">
        <v>2193</v>
      </c>
      <c r="G521" s="128">
        <v>7.0000000000000007E-2</v>
      </c>
      <c r="H521" s="128" t="s">
        <v>7</v>
      </c>
      <c r="I521" s="128">
        <v>5066</v>
      </c>
      <c r="J521" s="128" t="s">
        <v>1055</v>
      </c>
      <c r="K521" s="128"/>
      <c r="L521" s="128"/>
      <c r="M521" s="128" t="s">
        <v>57</v>
      </c>
      <c r="N521" s="128" t="s">
        <v>58</v>
      </c>
      <c r="O521" s="129">
        <v>34334</v>
      </c>
      <c r="P521" s="128"/>
      <c r="Q521" s="128"/>
      <c r="R521" s="128">
        <v>7.0000000000000007E-2</v>
      </c>
      <c r="S521" s="128" t="s">
        <v>48</v>
      </c>
    </row>
    <row r="522" spans="1:19" ht="29.25" x14ac:dyDescent="0.25">
      <c r="A522" s="128">
        <v>59800</v>
      </c>
      <c r="B522" s="128" t="s">
        <v>106</v>
      </c>
      <c r="C522" s="128" t="s">
        <v>49</v>
      </c>
      <c r="D522" s="128" t="s">
        <v>40</v>
      </c>
      <c r="E522" s="128" t="s">
        <v>954</v>
      </c>
      <c r="F522" s="128" t="s">
        <v>955</v>
      </c>
      <c r="G522" s="128">
        <v>54.4</v>
      </c>
      <c r="H522" s="128" t="s">
        <v>7</v>
      </c>
      <c r="I522" s="128">
        <v>2025</v>
      </c>
      <c r="J522" s="128" t="s">
        <v>713</v>
      </c>
      <c r="K522" s="128" t="s">
        <v>385</v>
      </c>
      <c r="L522" s="128" t="s">
        <v>956</v>
      </c>
      <c r="M522" s="128" t="s">
        <v>57</v>
      </c>
      <c r="N522" s="128" t="s">
        <v>58</v>
      </c>
      <c r="O522" s="129">
        <v>30407</v>
      </c>
      <c r="P522" s="128"/>
      <c r="Q522" s="128"/>
      <c r="R522" s="128">
        <v>52</v>
      </c>
      <c r="S522" s="128" t="s">
        <v>48</v>
      </c>
    </row>
    <row r="523" spans="1:19" ht="29.25" x14ac:dyDescent="0.25">
      <c r="A523" s="128">
        <v>59900</v>
      </c>
      <c r="B523" s="128" t="s">
        <v>106</v>
      </c>
      <c r="C523" s="128" t="s">
        <v>49</v>
      </c>
      <c r="D523" s="128" t="s">
        <v>40</v>
      </c>
      <c r="E523" s="128" t="s">
        <v>766</v>
      </c>
      <c r="F523" s="128" t="s">
        <v>767</v>
      </c>
      <c r="G523" s="128">
        <v>15.5</v>
      </c>
      <c r="H523" s="128" t="s">
        <v>7</v>
      </c>
      <c r="I523" s="128">
        <v>2007</v>
      </c>
      <c r="J523" s="128" t="s">
        <v>713</v>
      </c>
      <c r="K523" s="128" t="s">
        <v>599</v>
      </c>
      <c r="L523" s="128" t="s">
        <v>259</v>
      </c>
      <c r="M523" s="128" t="s">
        <v>57</v>
      </c>
      <c r="N523" s="128" t="s">
        <v>58</v>
      </c>
      <c r="O523" s="129">
        <v>29031</v>
      </c>
      <c r="P523" s="128"/>
      <c r="Q523" s="128"/>
      <c r="R523" s="128">
        <v>15</v>
      </c>
      <c r="S523" s="128" t="s">
        <v>48</v>
      </c>
    </row>
    <row r="524" spans="1:19" ht="29.25" x14ac:dyDescent="0.25">
      <c r="A524" s="128">
        <v>38800</v>
      </c>
      <c r="B524" s="128" t="s">
        <v>106</v>
      </c>
      <c r="C524" s="128" t="s">
        <v>49</v>
      </c>
      <c r="D524" s="128" t="s">
        <v>40</v>
      </c>
      <c r="E524" s="128" t="s">
        <v>1057</v>
      </c>
      <c r="F524" s="128" t="s">
        <v>1058</v>
      </c>
      <c r="G524" s="128">
        <v>0.36</v>
      </c>
      <c r="H524" s="128" t="s">
        <v>43</v>
      </c>
      <c r="I524" s="128" t="s">
        <v>1059</v>
      </c>
      <c r="J524" s="128" t="s">
        <v>44</v>
      </c>
      <c r="K524" s="128" t="s">
        <v>44</v>
      </c>
      <c r="L524" s="128" t="s">
        <v>45</v>
      </c>
      <c r="M524" s="128" t="s">
        <v>46</v>
      </c>
      <c r="N524" s="128" t="s">
        <v>47</v>
      </c>
      <c r="O524" s="129">
        <v>30690</v>
      </c>
      <c r="P524" s="128"/>
      <c r="Q524" s="128"/>
      <c r="R524" s="128">
        <v>0.36</v>
      </c>
      <c r="S524" s="128" t="s">
        <v>48</v>
      </c>
    </row>
    <row r="525" spans="1:19" ht="29.25" x14ac:dyDescent="0.25">
      <c r="A525" s="128">
        <v>29400</v>
      </c>
      <c r="B525" s="128" t="s">
        <v>106</v>
      </c>
      <c r="C525" s="128" t="s">
        <v>49</v>
      </c>
      <c r="D525" s="128" t="s">
        <v>40</v>
      </c>
      <c r="E525" s="128" t="s">
        <v>1349</v>
      </c>
      <c r="F525" s="128" t="s">
        <v>1350</v>
      </c>
      <c r="G525" s="128">
        <v>22</v>
      </c>
      <c r="H525" s="128" t="s">
        <v>43</v>
      </c>
      <c r="I525" s="128" t="s">
        <v>1351</v>
      </c>
      <c r="J525" s="128" t="s">
        <v>807</v>
      </c>
      <c r="K525" s="128" t="s">
        <v>385</v>
      </c>
      <c r="L525" s="128" t="s">
        <v>808</v>
      </c>
      <c r="M525" s="128" t="s">
        <v>46</v>
      </c>
      <c r="N525" s="128" t="s">
        <v>47</v>
      </c>
      <c r="O525" s="129">
        <v>31413</v>
      </c>
      <c r="P525" s="128"/>
      <c r="Q525" s="128"/>
      <c r="R525" s="128">
        <v>22</v>
      </c>
      <c r="S525" s="128" t="s">
        <v>48</v>
      </c>
    </row>
    <row r="526" spans="1:19" ht="29.25" x14ac:dyDescent="0.25">
      <c r="A526" s="128">
        <v>29500</v>
      </c>
      <c r="B526" s="128" t="s">
        <v>106</v>
      </c>
      <c r="C526" s="128" t="s">
        <v>49</v>
      </c>
      <c r="D526" s="128" t="s">
        <v>40</v>
      </c>
      <c r="E526" s="128" t="s">
        <v>1433</v>
      </c>
      <c r="F526" s="128" t="s">
        <v>1434</v>
      </c>
      <c r="G526" s="128">
        <v>17.2</v>
      </c>
      <c r="H526" s="128" t="s">
        <v>43</v>
      </c>
      <c r="I526" s="128" t="s">
        <v>1435</v>
      </c>
      <c r="J526" s="128" t="s">
        <v>807</v>
      </c>
      <c r="K526" s="128" t="s">
        <v>385</v>
      </c>
      <c r="L526" s="128" t="s">
        <v>808</v>
      </c>
      <c r="M526" s="128" t="s">
        <v>46</v>
      </c>
      <c r="N526" s="128" t="s">
        <v>47</v>
      </c>
      <c r="O526" s="129">
        <v>31566</v>
      </c>
      <c r="P526" s="128" t="s">
        <v>1436</v>
      </c>
      <c r="Q526" s="128"/>
      <c r="R526" s="128">
        <v>18.3</v>
      </c>
      <c r="S526" s="128" t="s">
        <v>48</v>
      </c>
    </row>
    <row r="527" spans="1:19" ht="29.25" x14ac:dyDescent="0.25">
      <c r="A527" s="128">
        <v>29600</v>
      </c>
      <c r="B527" s="128" t="s">
        <v>106</v>
      </c>
      <c r="C527" s="128" t="s">
        <v>49</v>
      </c>
      <c r="D527" s="128" t="s">
        <v>40</v>
      </c>
      <c r="E527" s="128" t="s">
        <v>932</v>
      </c>
      <c r="F527" s="128" t="s">
        <v>933</v>
      </c>
      <c r="G527" s="128">
        <v>22</v>
      </c>
      <c r="H527" s="128" t="s">
        <v>43</v>
      </c>
      <c r="I527" s="128" t="s">
        <v>934</v>
      </c>
      <c r="J527" s="128" t="s">
        <v>807</v>
      </c>
      <c r="K527" s="128" t="s">
        <v>385</v>
      </c>
      <c r="L527" s="128" t="s">
        <v>808</v>
      </c>
      <c r="M527" s="128" t="s">
        <v>46</v>
      </c>
      <c r="N527" s="128" t="s">
        <v>47</v>
      </c>
      <c r="O527" s="129">
        <v>30330</v>
      </c>
      <c r="P527" s="128"/>
      <c r="Q527" s="128"/>
      <c r="R527" s="128">
        <v>22</v>
      </c>
      <c r="S527" s="128" t="s">
        <v>48</v>
      </c>
    </row>
    <row r="528" spans="1:19" ht="29.25" x14ac:dyDescent="0.25">
      <c r="A528" s="128">
        <v>34900</v>
      </c>
      <c r="B528" s="128" t="s">
        <v>106</v>
      </c>
      <c r="C528" s="128" t="s">
        <v>49</v>
      </c>
      <c r="D528" s="128" t="s">
        <v>40</v>
      </c>
      <c r="E528" s="128"/>
      <c r="F528" s="128" t="s">
        <v>1726</v>
      </c>
      <c r="G528" s="128">
        <v>0.15</v>
      </c>
      <c r="H528" s="128" t="s">
        <v>7</v>
      </c>
      <c r="I528" s="128">
        <v>2359</v>
      </c>
      <c r="J528" s="128" t="s">
        <v>713</v>
      </c>
      <c r="K528" s="128"/>
      <c r="L528" s="128"/>
      <c r="M528" s="128" t="s">
        <v>57</v>
      </c>
      <c r="N528" s="128" t="s">
        <v>58</v>
      </c>
      <c r="O528" s="129">
        <v>32295</v>
      </c>
      <c r="P528" s="128"/>
      <c r="Q528" s="128"/>
      <c r="R528" s="128">
        <v>0.15</v>
      </c>
      <c r="S528" s="128" t="s">
        <v>48</v>
      </c>
    </row>
    <row r="529" spans="1:19" ht="29.25" x14ac:dyDescent="0.25">
      <c r="A529" s="128">
        <v>41500</v>
      </c>
      <c r="B529" s="128" t="s">
        <v>106</v>
      </c>
      <c r="C529" s="128" t="s">
        <v>49</v>
      </c>
      <c r="D529" s="128" t="s">
        <v>40</v>
      </c>
      <c r="E529" s="128"/>
      <c r="F529" s="128" t="s">
        <v>1255</v>
      </c>
      <c r="G529" s="128">
        <v>0.1</v>
      </c>
      <c r="H529" s="128" t="s">
        <v>7</v>
      </c>
      <c r="I529" s="128">
        <v>2057</v>
      </c>
      <c r="J529" s="128" t="s">
        <v>713</v>
      </c>
      <c r="K529" s="128"/>
      <c r="L529" s="128"/>
      <c r="M529" s="128" t="s">
        <v>57</v>
      </c>
      <c r="N529" s="128" t="s">
        <v>58</v>
      </c>
      <c r="O529" s="129">
        <v>31229</v>
      </c>
      <c r="P529" s="128"/>
      <c r="Q529" s="128"/>
      <c r="R529" s="128">
        <v>0.1</v>
      </c>
      <c r="S529" s="128" t="s">
        <v>48</v>
      </c>
    </row>
    <row r="530" spans="1:19" ht="29.25" x14ac:dyDescent="0.25">
      <c r="A530" s="128">
        <v>43407</v>
      </c>
      <c r="B530" s="128" t="s">
        <v>106</v>
      </c>
      <c r="C530" s="128" t="s">
        <v>49</v>
      </c>
      <c r="D530" s="128" t="s">
        <v>40</v>
      </c>
      <c r="E530" s="128" t="s">
        <v>2035</v>
      </c>
      <c r="F530" s="128" t="s">
        <v>2036</v>
      </c>
      <c r="G530" s="128">
        <v>3</v>
      </c>
      <c r="H530" s="128" t="s">
        <v>43</v>
      </c>
      <c r="I530" s="128" t="s">
        <v>2037</v>
      </c>
      <c r="J530" s="128" t="s">
        <v>44</v>
      </c>
      <c r="K530" s="128" t="s">
        <v>44</v>
      </c>
      <c r="L530" s="128" t="s">
        <v>45</v>
      </c>
      <c r="M530" s="128" t="s">
        <v>46</v>
      </c>
      <c r="N530" s="128" t="s">
        <v>47</v>
      </c>
      <c r="O530" s="129">
        <v>32960</v>
      </c>
      <c r="P530" s="128" t="s">
        <v>1079</v>
      </c>
      <c r="Q530" s="128"/>
      <c r="R530" s="128">
        <v>3</v>
      </c>
      <c r="S530" s="128" t="s">
        <v>48</v>
      </c>
    </row>
    <row r="531" spans="1:19" x14ac:dyDescent="0.25">
      <c r="A531" s="128">
        <v>69200</v>
      </c>
      <c r="B531" s="128" t="s">
        <v>106</v>
      </c>
      <c r="C531" s="128" t="s">
        <v>49</v>
      </c>
      <c r="D531" s="128" t="s">
        <v>40</v>
      </c>
      <c r="E531" s="128" t="s">
        <v>1204</v>
      </c>
      <c r="F531" s="128" t="s">
        <v>1205</v>
      </c>
      <c r="G531" s="128">
        <v>2.2000000000000002</v>
      </c>
      <c r="H531" s="128" t="s">
        <v>43</v>
      </c>
      <c r="I531" s="128" t="s">
        <v>1206</v>
      </c>
      <c r="J531" s="128" t="s">
        <v>713</v>
      </c>
      <c r="K531" s="128"/>
      <c r="L531" s="128" t="s">
        <v>259</v>
      </c>
      <c r="M531" s="128" t="s">
        <v>46</v>
      </c>
      <c r="N531" s="128" t="s">
        <v>47</v>
      </c>
      <c r="O531" s="129">
        <v>31048</v>
      </c>
      <c r="P531" s="128"/>
      <c r="Q531" s="128"/>
      <c r="R531" s="128">
        <v>2.2000000000000002</v>
      </c>
      <c r="S531" s="128" t="s">
        <v>48</v>
      </c>
    </row>
    <row r="532" spans="1:19" ht="29.25" x14ac:dyDescent="0.25">
      <c r="A532" s="128">
        <v>69300</v>
      </c>
      <c r="B532" s="128" t="s">
        <v>106</v>
      </c>
      <c r="C532" s="128" t="s">
        <v>49</v>
      </c>
      <c r="D532" s="128" t="s">
        <v>40</v>
      </c>
      <c r="E532" s="128" t="s">
        <v>950</v>
      </c>
      <c r="F532" s="128" t="s">
        <v>951</v>
      </c>
      <c r="G532" s="128">
        <v>8.75</v>
      </c>
      <c r="H532" s="128" t="s">
        <v>43</v>
      </c>
      <c r="I532" s="128" t="s">
        <v>952</v>
      </c>
      <c r="J532" s="128" t="s">
        <v>44</v>
      </c>
      <c r="K532" s="128" t="s">
        <v>44</v>
      </c>
      <c r="L532" s="128" t="s">
        <v>45</v>
      </c>
      <c r="M532" s="128" t="s">
        <v>46</v>
      </c>
      <c r="N532" s="128" t="s">
        <v>47</v>
      </c>
      <c r="O532" s="129">
        <v>30359</v>
      </c>
      <c r="P532" s="128"/>
      <c r="Q532" s="128"/>
      <c r="R532" s="128">
        <v>8.75</v>
      </c>
      <c r="S532" s="128" t="s">
        <v>48</v>
      </c>
    </row>
    <row r="533" spans="1:19" ht="29.25" x14ac:dyDescent="0.25">
      <c r="A533" s="128">
        <v>69400</v>
      </c>
      <c r="B533" s="128" t="s">
        <v>106</v>
      </c>
      <c r="C533" s="128" t="s">
        <v>49</v>
      </c>
      <c r="D533" s="128" t="s">
        <v>40</v>
      </c>
      <c r="E533" s="128" t="s">
        <v>832</v>
      </c>
      <c r="F533" s="128" t="s">
        <v>833</v>
      </c>
      <c r="G533" s="128">
        <v>5</v>
      </c>
      <c r="H533" s="128" t="s">
        <v>43</v>
      </c>
      <c r="I533" s="128" t="s">
        <v>834</v>
      </c>
      <c r="J533" s="128" t="s">
        <v>44</v>
      </c>
      <c r="K533" s="128" t="s">
        <v>44</v>
      </c>
      <c r="L533" s="128" t="s">
        <v>45</v>
      </c>
      <c r="M533" s="128" t="s">
        <v>46</v>
      </c>
      <c r="N533" s="128" t="s">
        <v>47</v>
      </c>
      <c r="O533" s="129">
        <v>30057</v>
      </c>
      <c r="P533" s="128"/>
      <c r="Q533" s="128"/>
      <c r="R533" s="128">
        <v>5</v>
      </c>
      <c r="S533" s="128" t="s">
        <v>48</v>
      </c>
    </row>
    <row r="534" spans="1:19" x14ac:dyDescent="0.25">
      <c r="A534" s="128">
        <v>88200</v>
      </c>
      <c r="B534" s="128" t="s">
        <v>106</v>
      </c>
      <c r="C534" s="128" t="s">
        <v>49</v>
      </c>
      <c r="D534" s="128" t="s">
        <v>40</v>
      </c>
      <c r="E534" s="128"/>
      <c r="F534" s="128" t="s">
        <v>2532</v>
      </c>
      <c r="G534" s="128">
        <v>0</v>
      </c>
      <c r="H534" s="128" t="s">
        <v>7</v>
      </c>
      <c r="I534" s="128" t="s">
        <v>2533</v>
      </c>
      <c r="J534" s="128" t="s">
        <v>384</v>
      </c>
      <c r="K534" s="128" t="s">
        <v>599</v>
      </c>
      <c r="L534" s="128" t="s">
        <v>259</v>
      </c>
      <c r="M534" s="128" t="s">
        <v>57</v>
      </c>
      <c r="N534" s="128" t="s">
        <v>58</v>
      </c>
      <c r="O534" s="129">
        <v>37315</v>
      </c>
      <c r="P534" s="128" t="s">
        <v>1925</v>
      </c>
      <c r="Q534" s="128"/>
      <c r="R534" s="128">
        <v>3.8</v>
      </c>
      <c r="S534" s="128" t="s">
        <v>48</v>
      </c>
    </row>
    <row r="535" spans="1:19" x14ac:dyDescent="0.25">
      <c r="A535" s="128">
        <v>69700</v>
      </c>
      <c r="B535" s="128" t="s">
        <v>106</v>
      </c>
      <c r="C535" s="128" t="s">
        <v>49</v>
      </c>
      <c r="D535" s="128" t="s">
        <v>40</v>
      </c>
      <c r="E535" s="128" t="s">
        <v>1571</v>
      </c>
      <c r="F535" s="128" t="s">
        <v>1572</v>
      </c>
      <c r="G535" s="128">
        <v>6.9</v>
      </c>
      <c r="H535" s="128" t="s">
        <v>43</v>
      </c>
      <c r="I535" s="128" t="s">
        <v>1573</v>
      </c>
      <c r="J535" s="128" t="s">
        <v>713</v>
      </c>
      <c r="K535" s="128" t="s">
        <v>599</v>
      </c>
      <c r="L535" s="128" t="s">
        <v>259</v>
      </c>
      <c r="M535" s="128" t="s">
        <v>46</v>
      </c>
      <c r="N535" s="128" t="s">
        <v>47</v>
      </c>
      <c r="O535" s="129">
        <v>31846</v>
      </c>
      <c r="P535" s="128"/>
      <c r="Q535" s="128"/>
      <c r="R535" s="128">
        <v>6.9</v>
      </c>
      <c r="S535" s="128" t="s">
        <v>48</v>
      </c>
    </row>
    <row r="536" spans="1:19" ht="29.25" x14ac:dyDescent="0.25">
      <c r="A536" s="128">
        <v>69800</v>
      </c>
      <c r="B536" s="128" t="s">
        <v>106</v>
      </c>
      <c r="C536" s="128" t="s">
        <v>49</v>
      </c>
      <c r="D536" s="128" t="s">
        <v>40</v>
      </c>
      <c r="E536" s="128"/>
      <c r="F536" s="128" t="s">
        <v>2143</v>
      </c>
      <c r="G536" s="128">
        <v>1.08</v>
      </c>
      <c r="H536" s="128" t="s">
        <v>7</v>
      </c>
      <c r="I536" s="128">
        <v>2413</v>
      </c>
      <c r="J536" s="128" t="s">
        <v>713</v>
      </c>
      <c r="K536" s="128"/>
      <c r="L536" s="128" t="s">
        <v>259</v>
      </c>
      <c r="M536" s="128" t="s">
        <v>57</v>
      </c>
      <c r="N536" s="128" t="s">
        <v>58</v>
      </c>
      <c r="O536" s="129">
        <v>33639</v>
      </c>
      <c r="P536" s="128"/>
      <c r="Q536" s="128"/>
      <c r="R536" s="128">
        <v>1.08</v>
      </c>
      <c r="S536" s="128" t="s">
        <v>48</v>
      </c>
    </row>
    <row r="537" spans="1:19" ht="29.25" x14ac:dyDescent="0.25">
      <c r="A537" s="128">
        <v>69900</v>
      </c>
      <c r="B537" s="128" t="s">
        <v>106</v>
      </c>
      <c r="C537" s="128" t="s">
        <v>49</v>
      </c>
      <c r="D537" s="128" t="s">
        <v>40</v>
      </c>
      <c r="E537" s="128" t="s">
        <v>1764</v>
      </c>
      <c r="F537" s="128" t="s">
        <v>1765</v>
      </c>
      <c r="G537" s="128">
        <v>22.3</v>
      </c>
      <c r="H537" s="128" t="s">
        <v>43</v>
      </c>
      <c r="I537" s="128" t="s">
        <v>1766</v>
      </c>
      <c r="J537" s="128" t="s">
        <v>807</v>
      </c>
      <c r="K537" s="128" t="s">
        <v>385</v>
      </c>
      <c r="L537" s="128" t="s">
        <v>1767</v>
      </c>
      <c r="M537" s="128" t="s">
        <v>46</v>
      </c>
      <c r="N537" s="128" t="s">
        <v>47</v>
      </c>
      <c r="O537" s="129">
        <v>32392</v>
      </c>
      <c r="P537" s="128"/>
      <c r="Q537" s="128"/>
      <c r="R537" s="128">
        <v>22.3</v>
      </c>
      <c r="S537" s="128" t="s">
        <v>48</v>
      </c>
    </row>
    <row r="538" spans="1:19" x14ac:dyDescent="0.25">
      <c r="A538" s="128">
        <v>70000</v>
      </c>
      <c r="B538" s="128" t="s">
        <v>106</v>
      </c>
      <c r="C538" s="128" t="s">
        <v>49</v>
      </c>
      <c r="D538" s="128" t="s">
        <v>40</v>
      </c>
      <c r="E538" s="128" t="s">
        <v>1702</v>
      </c>
      <c r="F538" s="128" t="s">
        <v>1703</v>
      </c>
      <c r="G538" s="128">
        <v>63</v>
      </c>
      <c r="H538" s="128" t="s">
        <v>43</v>
      </c>
      <c r="I538" s="128" t="s">
        <v>1704</v>
      </c>
      <c r="J538" s="128" t="s">
        <v>713</v>
      </c>
      <c r="K538" s="128" t="s">
        <v>385</v>
      </c>
      <c r="L538" s="128" t="s">
        <v>956</v>
      </c>
      <c r="M538" s="128" t="s">
        <v>46</v>
      </c>
      <c r="N538" s="128" t="s">
        <v>47</v>
      </c>
      <c r="O538" s="129">
        <v>32200</v>
      </c>
      <c r="P538" s="128"/>
      <c r="Q538" s="128"/>
      <c r="R538" s="128">
        <v>63</v>
      </c>
      <c r="S538" s="128" t="s">
        <v>48</v>
      </c>
    </row>
    <row r="539" spans="1:19" ht="29.25" x14ac:dyDescent="0.25">
      <c r="A539" s="128">
        <v>89500</v>
      </c>
      <c r="B539" s="128" t="s">
        <v>106</v>
      </c>
      <c r="C539" s="128" t="s">
        <v>49</v>
      </c>
      <c r="D539" s="128" t="s">
        <v>40</v>
      </c>
      <c r="E539" s="128"/>
      <c r="F539" s="128" t="s">
        <v>1923</v>
      </c>
      <c r="G539" s="128">
        <v>0</v>
      </c>
      <c r="H539" s="128" t="s">
        <v>43</v>
      </c>
      <c r="I539" s="128" t="s">
        <v>1924</v>
      </c>
      <c r="J539" s="128" t="s">
        <v>384</v>
      </c>
      <c r="K539" s="128" t="s">
        <v>315</v>
      </c>
      <c r="L539" s="128" t="s">
        <v>1202</v>
      </c>
      <c r="M539" s="128" t="s">
        <v>46</v>
      </c>
      <c r="N539" s="128" t="s">
        <v>47</v>
      </c>
      <c r="O539" s="129">
        <v>32820</v>
      </c>
      <c r="P539" s="128" t="s">
        <v>1925</v>
      </c>
      <c r="Q539" s="128"/>
      <c r="R539" s="128">
        <v>1.5</v>
      </c>
      <c r="S539" s="128" t="s">
        <v>48</v>
      </c>
    </row>
    <row r="540" spans="1:19" ht="29.25" x14ac:dyDescent="0.25">
      <c r="A540" s="128">
        <v>70100</v>
      </c>
      <c r="B540" s="128" t="s">
        <v>106</v>
      </c>
      <c r="C540" s="128" t="s">
        <v>49</v>
      </c>
      <c r="D540" s="128" t="s">
        <v>40</v>
      </c>
      <c r="E540" s="128" t="s">
        <v>1838</v>
      </c>
      <c r="F540" s="128" t="s">
        <v>1839</v>
      </c>
      <c r="G540" s="128">
        <v>2.5</v>
      </c>
      <c r="H540" s="128" t="s">
        <v>43</v>
      </c>
      <c r="I540" s="128" t="s">
        <v>1840</v>
      </c>
      <c r="J540" s="128" t="s">
        <v>44</v>
      </c>
      <c r="K540" s="128" t="s">
        <v>44</v>
      </c>
      <c r="L540" s="128" t="s">
        <v>45</v>
      </c>
      <c r="M540" s="128" t="s">
        <v>46</v>
      </c>
      <c r="N540" s="128" t="s">
        <v>47</v>
      </c>
      <c r="O540" s="129">
        <v>32552</v>
      </c>
      <c r="P540" s="128"/>
      <c r="Q540" s="128"/>
      <c r="R540" s="128">
        <v>2.5</v>
      </c>
      <c r="S540" s="128" t="s">
        <v>48</v>
      </c>
    </row>
    <row r="541" spans="1:19" ht="29.25" x14ac:dyDescent="0.25">
      <c r="A541" s="128">
        <v>70200</v>
      </c>
      <c r="B541" s="128" t="s">
        <v>106</v>
      </c>
      <c r="C541" s="128" t="s">
        <v>49</v>
      </c>
      <c r="D541" s="128" t="s">
        <v>40</v>
      </c>
      <c r="E541" s="128" t="s">
        <v>1956</v>
      </c>
      <c r="F541" s="128" t="s">
        <v>1957</v>
      </c>
      <c r="G541" s="128">
        <v>6</v>
      </c>
      <c r="H541" s="128" t="s">
        <v>43</v>
      </c>
      <c r="I541" s="128" t="s">
        <v>1958</v>
      </c>
      <c r="J541" s="128" t="s">
        <v>44</v>
      </c>
      <c r="K541" s="128" t="s">
        <v>44</v>
      </c>
      <c r="L541" s="128" t="s">
        <v>45</v>
      </c>
      <c r="M541" s="128" t="s">
        <v>46</v>
      </c>
      <c r="N541" s="128" t="s">
        <v>178</v>
      </c>
      <c r="O541" s="129">
        <v>32869</v>
      </c>
      <c r="P541" s="128"/>
      <c r="Q541" s="128"/>
      <c r="R541" s="128">
        <v>6</v>
      </c>
      <c r="S541" s="128" t="s">
        <v>48</v>
      </c>
    </row>
    <row r="542" spans="1:19" ht="29.25" x14ac:dyDescent="0.25">
      <c r="A542" s="128">
        <v>70301</v>
      </c>
      <c r="B542" s="128" t="s">
        <v>106</v>
      </c>
      <c r="C542" s="128" t="s">
        <v>49</v>
      </c>
      <c r="D542" s="128" t="s">
        <v>40</v>
      </c>
      <c r="E542" s="128" t="s">
        <v>1053</v>
      </c>
      <c r="F542" s="128" t="s">
        <v>1054</v>
      </c>
      <c r="G542" s="128">
        <v>14.2</v>
      </c>
      <c r="H542" s="128" t="s">
        <v>7</v>
      </c>
      <c r="I542" s="128">
        <v>5005</v>
      </c>
      <c r="J542" s="128" t="s">
        <v>1055</v>
      </c>
      <c r="K542" s="128" t="s">
        <v>385</v>
      </c>
      <c r="L542" s="128" t="s">
        <v>1056</v>
      </c>
      <c r="M542" s="128" t="s">
        <v>57</v>
      </c>
      <c r="N542" s="128" t="s">
        <v>58</v>
      </c>
      <c r="O542" s="129">
        <v>30682</v>
      </c>
      <c r="P542" s="128"/>
      <c r="Q542" s="128"/>
      <c r="R542" s="128">
        <v>14.2</v>
      </c>
      <c r="S542" s="128" t="s">
        <v>48</v>
      </c>
    </row>
    <row r="543" spans="1:19" ht="29.25" x14ac:dyDescent="0.25">
      <c r="A543" s="128">
        <v>70302</v>
      </c>
      <c r="B543" s="128" t="s">
        <v>106</v>
      </c>
      <c r="C543" s="128" t="s">
        <v>49</v>
      </c>
      <c r="D543" s="128" t="s">
        <v>40</v>
      </c>
      <c r="E543" s="128" t="s">
        <v>1120</v>
      </c>
      <c r="F543" s="128" t="s">
        <v>1121</v>
      </c>
      <c r="G543" s="128">
        <v>38.44</v>
      </c>
      <c r="H543" s="128" t="s">
        <v>7</v>
      </c>
      <c r="I543" s="128">
        <v>5005</v>
      </c>
      <c r="J543" s="128" t="s">
        <v>1055</v>
      </c>
      <c r="K543" s="128" t="s">
        <v>385</v>
      </c>
      <c r="L543" s="128" t="s">
        <v>1056</v>
      </c>
      <c r="M543" s="128" t="s">
        <v>57</v>
      </c>
      <c r="N543" s="128" t="s">
        <v>58</v>
      </c>
      <c r="O543" s="129">
        <v>30988</v>
      </c>
      <c r="P543" s="128"/>
      <c r="Q543" s="128"/>
      <c r="R543" s="128">
        <v>43.8</v>
      </c>
      <c r="S543" s="128" t="s">
        <v>48</v>
      </c>
    </row>
    <row r="544" spans="1:19" x14ac:dyDescent="0.25">
      <c r="A544" s="128">
        <v>70500</v>
      </c>
      <c r="B544" s="128" t="s">
        <v>106</v>
      </c>
      <c r="C544" s="128" t="s">
        <v>49</v>
      </c>
      <c r="D544" s="128" t="s">
        <v>40</v>
      </c>
      <c r="E544" s="128" t="s">
        <v>1689</v>
      </c>
      <c r="F544" s="128" t="s">
        <v>1690</v>
      </c>
      <c r="G544" s="128">
        <v>5</v>
      </c>
      <c r="H544" s="128" t="s">
        <v>162</v>
      </c>
      <c r="I544" s="128">
        <v>152</v>
      </c>
      <c r="J544" s="128" t="s">
        <v>807</v>
      </c>
      <c r="K544" s="128" t="s">
        <v>315</v>
      </c>
      <c r="L544" s="128" t="s">
        <v>915</v>
      </c>
      <c r="M544" s="128" t="s">
        <v>57</v>
      </c>
      <c r="N544" s="128" t="s">
        <v>163</v>
      </c>
      <c r="O544" s="129">
        <v>32143</v>
      </c>
      <c r="P544" s="128"/>
      <c r="Q544" s="128"/>
      <c r="R544" s="128">
        <v>1.87</v>
      </c>
      <c r="S544" s="128" t="s">
        <v>48</v>
      </c>
    </row>
    <row r="545" spans="1:19" x14ac:dyDescent="0.25">
      <c r="A545" s="128">
        <v>67300</v>
      </c>
      <c r="B545" s="128" t="s">
        <v>106</v>
      </c>
      <c r="C545" s="128" t="s">
        <v>49</v>
      </c>
      <c r="D545" s="128" t="s">
        <v>40</v>
      </c>
      <c r="E545" s="128" t="s">
        <v>1428</v>
      </c>
      <c r="F545" s="128" t="s">
        <v>1429</v>
      </c>
      <c r="G545" s="128">
        <v>18.600000000000001</v>
      </c>
      <c r="H545" s="128" t="s">
        <v>43</v>
      </c>
      <c r="I545" s="128" t="s">
        <v>1430</v>
      </c>
      <c r="J545" s="128" t="s">
        <v>44</v>
      </c>
      <c r="K545" s="128" t="s">
        <v>44</v>
      </c>
      <c r="L545" s="128" t="s">
        <v>45</v>
      </c>
      <c r="M545" s="128" t="s">
        <v>46</v>
      </c>
      <c r="N545" s="128" t="s">
        <v>47</v>
      </c>
      <c r="O545" s="129">
        <v>31551</v>
      </c>
      <c r="P545" s="128"/>
      <c r="Q545" s="128" t="s">
        <v>331</v>
      </c>
      <c r="R545" s="128">
        <v>18.600000000000001</v>
      </c>
      <c r="S545" s="128" t="s">
        <v>48</v>
      </c>
    </row>
    <row r="546" spans="1:19" ht="29.25" x14ac:dyDescent="0.25">
      <c r="A546" s="128">
        <v>70900</v>
      </c>
      <c r="B546" s="128" t="s">
        <v>106</v>
      </c>
      <c r="C546" s="128" t="s">
        <v>49</v>
      </c>
      <c r="D546" s="128" t="s">
        <v>40</v>
      </c>
      <c r="E546" s="128" t="s">
        <v>1835</v>
      </c>
      <c r="F546" s="128" t="s">
        <v>1836</v>
      </c>
      <c r="G546" s="128">
        <v>39.700000000000003</v>
      </c>
      <c r="H546" s="128" t="s">
        <v>43</v>
      </c>
      <c r="I546" s="128" t="s">
        <v>1837</v>
      </c>
      <c r="J546" s="128" t="s">
        <v>713</v>
      </c>
      <c r="K546" s="128" t="s">
        <v>599</v>
      </c>
      <c r="L546" s="128" t="s">
        <v>259</v>
      </c>
      <c r="M546" s="128" t="s">
        <v>212</v>
      </c>
      <c r="N546" s="128" t="s">
        <v>213</v>
      </c>
      <c r="O546" s="129">
        <v>32539</v>
      </c>
      <c r="P546" s="128"/>
      <c r="Q546" s="128"/>
      <c r="R546" s="128">
        <v>39.700000000000003</v>
      </c>
      <c r="S546" s="128" t="s">
        <v>48</v>
      </c>
    </row>
    <row r="547" spans="1:19" x14ac:dyDescent="0.25">
      <c r="A547" s="128">
        <v>71700</v>
      </c>
      <c r="B547" s="128" t="s">
        <v>106</v>
      </c>
      <c r="C547" s="128" t="s">
        <v>49</v>
      </c>
      <c r="D547" s="128" t="s">
        <v>40</v>
      </c>
      <c r="E547" s="128" t="s">
        <v>2050</v>
      </c>
      <c r="F547" s="128" t="s">
        <v>2051</v>
      </c>
      <c r="G547" s="128">
        <v>24.2</v>
      </c>
      <c r="H547" s="128" t="s">
        <v>43</v>
      </c>
      <c r="I547" s="128" t="s">
        <v>2052</v>
      </c>
      <c r="J547" s="128" t="s">
        <v>807</v>
      </c>
      <c r="K547" s="128" t="s">
        <v>385</v>
      </c>
      <c r="L547" s="128" t="s">
        <v>808</v>
      </c>
      <c r="M547" s="128" t="s">
        <v>46</v>
      </c>
      <c r="N547" s="128" t="s">
        <v>47</v>
      </c>
      <c r="O547" s="129">
        <v>32989</v>
      </c>
      <c r="P547" s="128"/>
      <c r="Q547" s="128"/>
      <c r="R547" s="128">
        <v>24.2</v>
      </c>
      <c r="S547" s="128" t="s">
        <v>48</v>
      </c>
    </row>
    <row r="548" spans="1:19" x14ac:dyDescent="0.25">
      <c r="A548" s="128">
        <v>82300</v>
      </c>
      <c r="B548" s="128" t="s">
        <v>106</v>
      </c>
      <c r="C548" s="128" t="s">
        <v>40</v>
      </c>
      <c r="D548" s="128" t="s">
        <v>40</v>
      </c>
      <c r="E548" s="128" t="s">
        <v>2601</v>
      </c>
      <c r="F548" s="128" t="s">
        <v>2602</v>
      </c>
      <c r="G548" s="128">
        <v>47</v>
      </c>
      <c r="H548" s="128" t="s">
        <v>7</v>
      </c>
      <c r="I548" s="128" t="s">
        <v>2603</v>
      </c>
      <c r="J548" s="128" t="s">
        <v>314</v>
      </c>
      <c r="K548" s="128" t="s">
        <v>599</v>
      </c>
      <c r="L548" s="128" t="s">
        <v>259</v>
      </c>
      <c r="M548" s="128" t="s">
        <v>57</v>
      </c>
      <c r="N548" s="128" t="s">
        <v>58</v>
      </c>
      <c r="O548" s="129">
        <v>37610</v>
      </c>
      <c r="P548" s="128" t="s">
        <v>1925</v>
      </c>
      <c r="Q548" s="128"/>
      <c r="R548" s="128">
        <v>47</v>
      </c>
      <c r="S548" s="128" t="s">
        <v>48</v>
      </c>
    </row>
    <row r="549" spans="1:19" ht="29.25" x14ac:dyDescent="0.25">
      <c r="A549" s="128">
        <v>71900</v>
      </c>
      <c r="B549" s="128" t="s">
        <v>106</v>
      </c>
      <c r="C549" s="128" t="s">
        <v>49</v>
      </c>
      <c r="D549" s="128" t="s">
        <v>40</v>
      </c>
      <c r="E549" s="128" t="s">
        <v>1370</v>
      </c>
      <c r="F549" s="128" t="s">
        <v>1371</v>
      </c>
      <c r="G549" s="128">
        <v>5</v>
      </c>
      <c r="H549" s="128" t="s">
        <v>43</v>
      </c>
      <c r="I549" s="128" t="s">
        <v>1372</v>
      </c>
      <c r="J549" s="128" t="s">
        <v>44</v>
      </c>
      <c r="K549" s="128" t="s">
        <v>44</v>
      </c>
      <c r="L549" s="128" t="s">
        <v>45</v>
      </c>
      <c r="M549" s="128" t="s">
        <v>46</v>
      </c>
      <c r="N549" s="128" t="s">
        <v>47</v>
      </c>
      <c r="O549" s="129">
        <v>31427</v>
      </c>
      <c r="P549" s="128"/>
      <c r="Q549" s="128"/>
      <c r="R549" s="128">
        <v>5</v>
      </c>
      <c r="S549" s="128" t="s">
        <v>48</v>
      </c>
    </row>
    <row r="550" spans="1:19" ht="29.25" x14ac:dyDescent="0.25">
      <c r="A550" s="128">
        <v>32100</v>
      </c>
      <c r="B550" s="128" t="s">
        <v>106</v>
      </c>
      <c r="C550" s="128" t="s">
        <v>49</v>
      </c>
      <c r="D550" s="128" t="s">
        <v>40</v>
      </c>
      <c r="E550" s="128" t="s">
        <v>1356</v>
      </c>
      <c r="F550" s="128" t="s">
        <v>1357</v>
      </c>
      <c r="G550" s="128">
        <v>15.6</v>
      </c>
      <c r="H550" s="128" t="s">
        <v>43</v>
      </c>
      <c r="I550" s="128" t="s">
        <v>1354</v>
      </c>
      <c r="J550" s="128" t="s">
        <v>713</v>
      </c>
      <c r="K550" s="128" t="s">
        <v>599</v>
      </c>
      <c r="L550" s="128" t="s">
        <v>259</v>
      </c>
      <c r="M550" s="128" t="s">
        <v>212</v>
      </c>
      <c r="N550" s="128" t="s">
        <v>213</v>
      </c>
      <c r="O550" s="129">
        <v>31413</v>
      </c>
      <c r="P550" s="128"/>
      <c r="Q550" s="128"/>
      <c r="R550" s="128">
        <v>15.6</v>
      </c>
      <c r="S550" s="128" t="s">
        <v>48</v>
      </c>
    </row>
    <row r="551" spans="1:19" ht="29.25" x14ac:dyDescent="0.25">
      <c r="A551" s="128">
        <v>72200</v>
      </c>
      <c r="B551" s="128" t="s">
        <v>106</v>
      </c>
      <c r="C551" s="128" t="s">
        <v>49</v>
      </c>
      <c r="D551" s="128" t="s">
        <v>40</v>
      </c>
      <c r="E551" s="128" t="s">
        <v>1088</v>
      </c>
      <c r="F551" s="128" t="s">
        <v>1089</v>
      </c>
      <c r="G551" s="128">
        <v>48.2</v>
      </c>
      <c r="H551" s="128" t="s">
        <v>7</v>
      </c>
      <c r="I551" s="128">
        <v>2019</v>
      </c>
      <c r="J551" s="128" t="s">
        <v>713</v>
      </c>
      <c r="K551" s="128" t="s">
        <v>599</v>
      </c>
      <c r="L551" s="128" t="s">
        <v>259</v>
      </c>
      <c r="M551" s="128" t="s">
        <v>57</v>
      </c>
      <c r="N551" s="128" t="s">
        <v>58</v>
      </c>
      <c r="O551" s="129">
        <v>30834</v>
      </c>
      <c r="P551" s="128"/>
      <c r="Q551" s="128"/>
      <c r="R551" s="128">
        <v>22</v>
      </c>
      <c r="S551" s="128" t="s">
        <v>48</v>
      </c>
    </row>
    <row r="552" spans="1:19" x14ac:dyDescent="0.25">
      <c r="A552" s="128">
        <v>89400</v>
      </c>
      <c r="B552" s="128" t="s">
        <v>106</v>
      </c>
      <c r="C552" s="128" t="s">
        <v>49</v>
      </c>
      <c r="D552" s="128" t="s">
        <v>40</v>
      </c>
      <c r="E552" s="128"/>
      <c r="F552" s="128" t="s">
        <v>3357</v>
      </c>
      <c r="G552" s="128">
        <v>0</v>
      </c>
      <c r="H552" s="128" t="s">
        <v>43</v>
      </c>
      <c r="I552" s="128" t="s">
        <v>3358</v>
      </c>
      <c r="J552" s="128" t="s">
        <v>384</v>
      </c>
      <c r="K552" s="128" t="s">
        <v>385</v>
      </c>
      <c r="L552" s="128" t="s">
        <v>1202</v>
      </c>
      <c r="M552" s="128" t="s">
        <v>212</v>
      </c>
      <c r="N552" s="128" t="s">
        <v>213</v>
      </c>
      <c r="O552" s="128"/>
      <c r="P552" s="128" t="s">
        <v>1925</v>
      </c>
      <c r="Q552" s="128"/>
      <c r="R552" s="128">
        <v>5.8</v>
      </c>
      <c r="S552" s="128" t="s">
        <v>48</v>
      </c>
    </row>
    <row r="553" spans="1:19" ht="29.25" x14ac:dyDescent="0.25">
      <c r="A553" s="128">
        <v>57421</v>
      </c>
      <c r="B553" s="128" t="s">
        <v>106</v>
      </c>
      <c r="C553" s="128" t="s">
        <v>49</v>
      </c>
      <c r="D553" s="128" t="s">
        <v>40</v>
      </c>
      <c r="E553" s="128" t="s">
        <v>1819</v>
      </c>
      <c r="F553" s="128" t="s">
        <v>1820</v>
      </c>
      <c r="G553" s="128">
        <v>0</v>
      </c>
      <c r="H553" s="128" t="s">
        <v>162</v>
      </c>
      <c r="I553" s="128">
        <v>35</v>
      </c>
      <c r="J553" s="128" t="s">
        <v>713</v>
      </c>
      <c r="K553" s="128"/>
      <c r="L553" s="128" t="s">
        <v>259</v>
      </c>
      <c r="M553" s="128" t="s">
        <v>57</v>
      </c>
      <c r="N553" s="128" t="s">
        <v>163</v>
      </c>
      <c r="O553" s="129">
        <v>32509</v>
      </c>
      <c r="P553" s="128" t="s">
        <v>1530</v>
      </c>
      <c r="Q553" s="128"/>
      <c r="R553" s="128">
        <v>3.1</v>
      </c>
      <c r="S553" s="128" t="s">
        <v>48</v>
      </c>
    </row>
    <row r="554" spans="1:19" x14ac:dyDescent="0.25">
      <c r="A554" s="128">
        <v>72400</v>
      </c>
      <c r="B554" s="128" t="s">
        <v>106</v>
      </c>
      <c r="C554" s="128" t="s">
        <v>49</v>
      </c>
      <c r="D554" s="128" t="s">
        <v>40</v>
      </c>
      <c r="E554" s="128" t="s">
        <v>1452</v>
      </c>
      <c r="F554" s="128" t="s">
        <v>1453</v>
      </c>
      <c r="G554" s="128">
        <v>34.5</v>
      </c>
      <c r="H554" s="128" t="s">
        <v>43</v>
      </c>
      <c r="I554" s="128" t="s">
        <v>1454</v>
      </c>
      <c r="J554" s="128" t="s">
        <v>713</v>
      </c>
      <c r="K554" s="128" t="s">
        <v>599</v>
      </c>
      <c r="L554" s="128" t="s">
        <v>259</v>
      </c>
      <c r="M554" s="128" t="s">
        <v>46</v>
      </c>
      <c r="N554" s="128" t="s">
        <v>1455</v>
      </c>
      <c r="O554" s="129">
        <v>31667</v>
      </c>
      <c r="P554" s="128"/>
      <c r="Q554" s="128"/>
      <c r="R554" s="128">
        <v>34.5</v>
      </c>
      <c r="S554" s="128" t="s">
        <v>48</v>
      </c>
    </row>
    <row r="555" spans="1:19" ht="29.25" x14ac:dyDescent="0.25">
      <c r="A555" s="128">
        <v>72500</v>
      </c>
      <c r="B555" s="128" t="s">
        <v>106</v>
      </c>
      <c r="C555" s="128" t="s">
        <v>49</v>
      </c>
      <c r="D555" s="128" t="s">
        <v>40</v>
      </c>
      <c r="E555" s="128" t="s">
        <v>2341</v>
      </c>
      <c r="F555" s="128" t="s">
        <v>2342</v>
      </c>
      <c r="G555" s="128">
        <v>0</v>
      </c>
      <c r="H555" s="128" t="s">
        <v>162</v>
      </c>
      <c r="I555" s="128">
        <v>470</v>
      </c>
      <c r="J555" s="128" t="s">
        <v>713</v>
      </c>
      <c r="K555" s="128" t="s">
        <v>599</v>
      </c>
      <c r="L555" s="128" t="s">
        <v>259</v>
      </c>
      <c r="M555" s="128" t="s">
        <v>57</v>
      </c>
      <c r="N555" s="128" t="s">
        <v>163</v>
      </c>
      <c r="O555" s="129">
        <v>36892</v>
      </c>
      <c r="P555" s="128" t="s">
        <v>1530</v>
      </c>
      <c r="Q555" s="128"/>
      <c r="R555" s="128">
        <v>15.3</v>
      </c>
      <c r="S555" s="128" t="s">
        <v>48</v>
      </c>
    </row>
    <row r="556" spans="1:19" ht="29.25" x14ac:dyDescent="0.25">
      <c r="A556" s="128">
        <v>72600</v>
      </c>
      <c r="B556" s="128" t="s">
        <v>106</v>
      </c>
      <c r="C556" s="128" t="s">
        <v>49</v>
      </c>
      <c r="D556" s="128" t="s">
        <v>40</v>
      </c>
      <c r="E556" s="128" t="s">
        <v>2343</v>
      </c>
      <c r="F556" s="128" t="s">
        <v>2344</v>
      </c>
      <c r="G556" s="128">
        <v>0</v>
      </c>
      <c r="H556" s="128" t="s">
        <v>162</v>
      </c>
      <c r="I556" s="128">
        <v>470</v>
      </c>
      <c r="J556" s="128" t="s">
        <v>713</v>
      </c>
      <c r="K556" s="128" t="s">
        <v>599</v>
      </c>
      <c r="L556" s="128" t="s">
        <v>259</v>
      </c>
      <c r="M556" s="128" t="s">
        <v>57</v>
      </c>
      <c r="N556" s="128" t="s">
        <v>163</v>
      </c>
      <c r="O556" s="129">
        <v>36892</v>
      </c>
      <c r="P556" s="128" t="s">
        <v>1530</v>
      </c>
      <c r="Q556" s="128"/>
      <c r="R556" s="128">
        <v>15.3</v>
      </c>
      <c r="S556" s="128" t="s">
        <v>48</v>
      </c>
    </row>
    <row r="557" spans="1:19" ht="29.25" x14ac:dyDescent="0.25">
      <c r="A557" s="128">
        <v>49900</v>
      </c>
      <c r="B557" s="128" t="s">
        <v>106</v>
      </c>
      <c r="C557" s="128" t="s">
        <v>49</v>
      </c>
      <c r="D557" s="128" t="s">
        <v>40</v>
      </c>
      <c r="E557" s="128" t="s">
        <v>2031</v>
      </c>
      <c r="F557" s="128" t="s">
        <v>2032</v>
      </c>
      <c r="G557" s="128">
        <v>1.25</v>
      </c>
      <c r="H557" s="128" t="s">
        <v>43</v>
      </c>
      <c r="I557" s="128" t="s">
        <v>2033</v>
      </c>
      <c r="J557" s="128" t="s">
        <v>44</v>
      </c>
      <c r="K557" s="128" t="s">
        <v>44</v>
      </c>
      <c r="L557" s="128" t="s">
        <v>45</v>
      </c>
      <c r="M557" s="128" t="s">
        <v>46</v>
      </c>
      <c r="N557" s="128" t="s">
        <v>47</v>
      </c>
      <c r="O557" s="129">
        <v>32959</v>
      </c>
      <c r="P557" s="128" t="s">
        <v>2034</v>
      </c>
      <c r="Q557" s="128"/>
      <c r="R557" s="128">
        <v>1.25</v>
      </c>
      <c r="S557" s="128" t="s">
        <v>48</v>
      </c>
    </row>
    <row r="558" spans="1:19" x14ac:dyDescent="0.25">
      <c r="A558" s="128">
        <v>73500</v>
      </c>
      <c r="B558" s="128" t="s">
        <v>106</v>
      </c>
      <c r="C558" s="128" t="s">
        <v>49</v>
      </c>
      <c r="D558" s="128" t="s">
        <v>40</v>
      </c>
      <c r="E558" s="128"/>
      <c r="F558" s="128" t="s">
        <v>1218</v>
      </c>
      <c r="G558" s="128">
        <v>0.01</v>
      </c>
      <c r="H558" s="128" t="s">
        <v>7</v>
      </c>
      <c r="I558" s="128">
        <v>5069</v>
      </c>
      <c r="J558" s="128" t="s">
        <v>1055</v>
      </c>
      <c r="K558" s="128"/>
      <c r="L558" s="128"/>
      <c r="M558" s="128" t="s">
        <v>57</v>
      </c>
      <c r="N558" s="128" t="s">
        <v>58</v>
      </c>
      <c r="O558" s="129">
        <v>31083</v>
      </c>
      <c r="P558" s="128"/>
      <c r="Q558" s="128"/>
      <c r="R558" s="128">
        <v>0.01</v>
      </c>
      <c r="S558" s="128" t="s">
        <v>48</v>
      </c>
    </row>
    <row r="559" spans="1:19" x14ac:dyDescent="0.25">
      <c r="A559" s="128">
        <v>73100</v>
      </c>
      <c r="B559" s="128" t="s">
        <v>106</v>
      </c>
      <c r="C559" s="128" t="s">
        <v>49</v>
      </c>
      <c r="D559" s="128" t="s">
        <v>40</v>
      </c>
      <c r="E559" s="128" t="s">
        <v>2598</v>
      </c>
      <c r="F559" s="128" t="s">
        <v>2599</v>
      </c>
      <c r="G559" s="128">
        <v>44.7</v>
      </c>
      <c r="H559" s="128" t="s">
        <v>43</v>
      </c>
      <c r="I559" s="128" t="s">
        <v>2600</v>
      </c>
      <c r="J559" s="128" t="s">
        <v>314</v>
      </c>
      <c r="K559" s="128" t="s">
        <v>599</v>
      </c>
      <c r="L559" s="128" t="s">
        <v>259</v>
      </c>
      <c r="M559" s="128" t="s">
        <v>46</v>
      </c>
      <c r="N559" s="128" t="s">
        <v>47</v>
      </c>
      <c r="O559" s="129">
        <v>37546</v>
      </c>
      <c r="P559" s="128" t="s">
        <v>1925</v>
      </c>
      <c r="Q559" s="128"/>
      <c r="R559" s="128">
        <v>44.7</v>
      </c>
      <c r="S559" s="128" t="s">
        <v>48</v>
      </c>
    </row>
    <row r="560" spans="1:19" x14ac:dyDescent="0.25">
      <c r="A560" s="128">
        <v>73900</v>
      </c>
      <c r="B560" s="128" t="s">
        <v>106</v>
      </c>
      <c r="C560" s="128" t="s">
        <v>49</v>
      </c>
      <c r="D560" s="128" t="s">
        <v>40</v>
      </c>
      <c r="E560" s="128" t="s">
        <v>1858</v>
      </c>
      <c r="F560" s="128" t="s">
        <v>1859</v>
      </c>
      <c r="G560" s="128">
        <v>32</v>
      </c>
      <c r="H560" s="128" t="s">
        <v>43</v>
      </c>
      <c r="I560" s="128" t="s">
        <v>1860</v>
      </c>
      <c r="J560" s="128" t="s">
        <v>807</v>
      </c>
      <c r="K560" s="128" t="s">
        <v>385</v>
      </c>
      <c r="L560" s="128" t="s">
        <v>808</v>
      </c>
      <c r="M560" s="128" t="s">
        <v>46</v>
      </c>
      <c r="N560" s="128" t="s">
        <v>47</v>
      </c>
      <c r="O560" s="129">
        <v>32591</v>
      </c>
      <c r="P560" s="128"/>
      <c r="Q560" s="128"/>
      <c r="R560" s="128">
        <v>32</v>
      </c>
      <c r="S560" s="128" t="s">
        <v>48</v>
      </c>
    </row>
    <row r="561" spans="1:19" ht="29.25" x14ac:dyDescent="0.25">
      <c r="A561" s="128">
        <v>74100</v>
      </c>
      <c r="B561" s="128" t="s">
        <v>106</v>
      </c>
      <c r="C561" s="128" t="s">
        <v>49</v>
      </c>
      <c r="D561" s="128" t="s">
        <v>40</v>
      </c>
      <c r="E561" s="128"/>
      <c r="F561" s="128" t="s">
        <v>1117</v>
      </c>
      <c r="G561" s="128">
        <v>0.03</v>
      </c>
      <c r="H561" s="128" t="s">
        <v>7</v>
      </c>
      <c r="I561" s="128">
        <v>4032</v>
      </c>
      <c r="J561" s="128" t="s">
        <v>44</v>
      </c>
      <c r="K561" s="128" t="s">
        <v>44</v>
      </c>
      <c r="L561" s="128" t="s">
        <v>45</v>
      </c>
      <c r="M561" s="128" t="s">
        <v>57</v>
      </c>
      <c r="N561" s="128" t="s">
        <v>58</v>
      </c>
      <c r="O561" s="129">
        <v>30972</v>
      </c>
      <c r="P561" s="128"/>
      <c r="Q561" s="128"/>
      <c r="R561" s="128">
        <v>0.03</v>
      </c>
      <c r="S561" s="128" t="s">
        <v>48</v>
      </c>
    </row>
    <row r="562" spans="1:19" ht="29.25" x14ac:dyDescent="0.25">
      <c r="A562" s="128">
        <v>43402</v>
      </c>
      <c r="B562" s="128" t="s">
        <v>106</v>
      </c>
      <c r="C562" s="128" t="s">
        <v>49</v>
      </c>
      <c r="D562" s="128" t="s">
        <v>40</v>
      </c>
      <c r="E562" s="128" t="s">
        <v>1076</v>
      </c>
      <c r="F562" s="128" t="s">
        <v>1077</v>
      </c>
      <c r="G562" s="128">
        <v>1</v>
      </c>
      <c r="H562" s="128" t="s">
        <v>43</v>
      </c>
      <c r="I562" s="128" t="s">
        <v>1078</v>
      </c>
      <c r="J562" s="128" t="s">
        <v>44</v>
      </c>
      <c r="K562" s="128" t="s">
        <v>44</v>
      </c>
      <c r="L562" s="128" t="s">
        <v>45</v>
      </c>
      <c r="M562" s="128" t="s">
        <v>46</v>
      </c>
      <c r="N562" s="128" t="s">
        <v>47</v>
      </c>
      <c r="O562" s="129">
        <v>30763</v>
      </c>
      <c r="P562" s="128" t="s">
        <v>1079</v>
      </c>
      <c r="Q562" s="128"/>
      <c r="R562" s="128">
        <v>1</v>
      </c>
      <c r="S562" s="128" t="s">
        <v>48</v>
      </c>
    </row>
    <row r="563" spans="1:19" ht="43.5" x14ac:dyDescent="0.25">
      <c r="A563" s="128">
        <v>75100</v>
      </c>
      <c r="B563" s="128" t="s">
        <v>106</v>
      </c>
      <c r="C563" s="128" t="s">
        <v>49</v>
      </c>
      <c r="D563" s="128" t="s">
        <v>40</v>
      </c>
      <c r="E563" s="128" t="s">
        <v>1395</v>
      </c>
      <c r="F563" s="128" t="s">
        <v>1396</v>
      </c>
      <c r="G563" s="128">
        <v>27.81</v>
      </c>
      <c r="H563" s="128" t="s">
        <v>7</v>
      </c>
      <c r="I563" s="128">
        <v>2055</v>
      </c>
      <c r="J563" s="128" t="s">
        <v>713</v>
      </c>
      <c r="K563" s="128" t="s">
        <v>599</v>
      </c>
      <c r="L563" s="128" t="s">
        <v>259</v>
      </c>
      <c r="M563" s="128" t="s">
        <v>57</v>
      </c>
      <c r="N563" s="128" t="s">
        <v>58</v>
      </c>
      <c r="O563" s="129">
        <v>31485</v>
      </c>
      <c r="P563" s="128"/>
      <c r="Q563" s="128"/>
      <c r="R563" s="128">
        <v>14</v>
      </c>
      <c r="S563" s="128" t="s">
        <v>48</v>
      </c>
    </row>
    <row r="564" spans="1:19" x14ac:dyDescent="0.25">
      <c r="A564" s="128">
        <v>74900</v>
      </c>
      <c r="B564" s="128" t="s">
        <v>106</v>
      </c>
      <c r="C564" s="128" t="s">
        <v>49</v>
      </c>
      <c r="D564" s="128" t="s">
        <v>40</v>
      </c>
      <c r="E564" s="128" t="s">
        <v>963</v>
      </c>
      <c r="F564" s="128" t="s">
        <v>964</v>
      </c>
      <c r="G564" s="128">
        <v>53.1</v>
      </c>
      <c r="H564" s="128" t="s">
        <v>43</v>
      </c>
      <c r="I564" s="128" t="s">
        <v>965</v>
      </c>
      <c r="J564" s="128" t="s">
        <v>713</v>
      </c>
      <c r="K564" s="128" t="s">
        <v>599</v>
      </c>
      <c r="L564" s="128" t="s">
        <v>259</v>
      </c>
      <c r="M564" s="128" t="s">
        <v>46</v>
      </c>
      <c r="N564" s="128" t="s">
        <v>47</v>
      </c>
      <c r="O564" s="129">
        <v>30434</v>
      </c>
      <c r="P564" s="128"/>
      <c r="Q564" s="128"/>
      <c r="R564" s="128">
        <v>53.1</v>
      </c>
      <c r="S564" s="128" t="s">
        <v>48</v>
      </c>
    </row>
    <row r="565" spans="1:19" x14ac:dyDescent="0.25">
      <c r="A565" s="128">
        <v>75000</v>
      </c>
      <c r="B565" s="128" t="s">
        <v>106</v>
      </c>
      <c r="C565" s="128" t="s">
        <v>49</v>
      </c>
      <c r="D565" s="128" t="s">
        <v>40</v>
      </c>
      <c r="E565" s="128" t="s">
        <v>1632</v>
      </c>
      <c r="F565" s="128" t="s">
        <v>1633</v>
      </c>
      <c r="G565" s="128">
        <v>63</v>
      </c>
      <c r="H565" s="128" t="s">
        <v>43</v>
      </c>
      <c r="I565" s="128" t="s">
        <v>1634</v>
      </c>
      <c r="J565" s="128" t="s">
        <v>807</v>
      </c>
      <c r="K565" s="128" t="s">
        <v>385</v>
      </c>
      <c r="L565" s="128" t="s">
        <v>808</v>
      </c>
      <c r="M565" s="128" t="s">
        <v>46</v>
      </c>
      <c r="N565" s="128" t="s">
        <v>47</v>
      </c>
      <c r="O565" s="129">
        <v>32080</v>
      </c>
      <c r="P565" s="128"/>
      <c r="Q565" s="128"/>
      <c r="R565" s="128">
        <v>63</v>
      </c>
      <c r="S565" s="128" t="s">
        <v>48</v>
      </c>
    </row>
    <row r="566" spans="1:19" ht="29.25" x14ac:dyDescent="0.25">
      <c r="A566" s="128">
        <v>74200</v>
      </c>
      <c r="B566" s="128" t="s">
        <v>106</v>
      </c>
      <c r="C566" s="128" t="s">
        <v>49</v>
      </c>
      <c r="D566" s="128" t="s">
        <v>40</v>
      </c>
      <c r="E566" s="128" t="s">
        <v>1795</v>
      </c>
      <c r="F566" s="128" t="s">
        <v>1796</v>
      </c>
      <c r="G566" s="128">
        <v>3.75</v>
      </c>
      <c r="H566" s="128" t="s">
        <v>43</v>
      </c>
      <c r="I566" s="128" t="s">
        <v>1797</v>
      </c>
      <c r="J566" s="128" t="s">
        <v>44</v>
      </c>
      <c r="K566" s="128" t="s">
        <v>44</v>
      </c>
      <c r="L566" s="128" t="s">
        <v>45</v>
      </c>
      <c r="M566" s="128" t="s">
        <v>46</v>
      </c>
      <c r="N566" s="128" t="s">
        <v>47</v>
      </c>
      <c r="O566" s="129">
        <v>32499</v>
      </c>
      <c r="P566" s="128"/>
      <c r="Q566" s="128"/>
      <c r="R566" s="128">
        <v>3.75</v>
      </c>
      <c r="S566" s="128" t="s">
        <v>48</v>
      </c>
    </row>
    <row r="567" spans="1:19" ht="29.25" x14ac:dyDescent="0.25">
      <c r="A567" s="128">
        <v>75400</v>
      </c>
      <c r="B567" s="128" t="s">
        <v>106</v>
      </c>
      <c r="C567" s="128" t="s">
        <v>49</v>
      </c>
      <c r="D567" s="128" t="s">
        <v>40</v>
      </c>
      <c r="E567" s="128"/>
      <c r="F567" s="128" t="s">
        <v>1358</v>
      </c>
      <c r="G567" s="128">
        <v>0</v>
      </c>
      <c r="H567" s="128" t="s">
        <v>162</v>
      </c>
      <c r="I567" s="128">
        <v>426</v>
      </c>
      <c r="J567" s="128" t="s">
        <v>713</v>
      </c>
      <c r="K567" s="128" t="s">
        <v>315</v>
      </c>
      <c r="L567" s="128" t="s">
        <v>259</v>
      </c>
      <c r="M567" s="128" t="s">
        <v>57</v>
      </c>
      <c r="N567" s="128" t="s">
        <v>163</v>
      </c>
      <c r="O567" s="129">
        <v>31413</v>
      </c>
      <c r="P567" s="128" t="s">
        <v>919</v>
      </c>
      <c r="Q567" s="128"/>
      <c r="R567" s="128">
        <v>0.03</v>
      </c>
      <c r="S567" s="128" t="s">
        <v>48</v>
      </c>
    </row>
    <row r="568" spans="1:19" x14ac:dyDescent="0.25">
      <c r="A568" s="128">
        <v>75500</v>
      </c>
      <c r="B568" s="128" t="s">
        <v>106</v>
      </c>
      <c r="C568" s="128" t="s">
        <v>49</v>
      </c>
      <c r="D568" s="128" t="s">
        <v>40</v>
      </c>
      <c r="E568" s="128" t="s">
        <v>1261</v>
      </c>
      <c r="F568" s="128" t="s">
        <v>1262</v>
      </c>
      <c r="G568" s="128">
        <v>3.75</v>
      </c>
      <c r="H568" s="128" t="s">
        <v>43</v>
      </c>
      <c r="I568" s="128" t="s">
        <v>1263</v>
      </c>
      <c r="J568" s="128" t="s">
        <v>44</v>
      </c>
      <c r="K568" s="128" t="s">
        <v>44</v>
      </c>
      <c r="L568" s="128" t="s">
        <v>45</v>
      </c>
      <c r="M568" s="128" t="s">
        <v>46</v>
      </c>
      <c r="N568" s="128" t="s">
        <v>47</v>
      </c>
      <c r="O568" s="129">
        <v>31297</v>
      </c>
      <c r="P568" s="128"/>
      <c r="Q568" s="128"/>
      <c r="R568" s="128">
        <v>3.75</v>
      </c>
      <c r="S568" s="128" t="s">
        <v>48</v>
      </c>
    </row>
    <row r="569" spans="1:19" ht="29.25" x14ac:dyDescent="0.25">
      <c r="A569" s="128">
        <v>75700</v>
      </c>
      <c r="B569" s="128" t="s">
        <v>106</v>
      </c>
      <c r="C569" s="128" t="s">
        <v>49</v>
      </c>
      <c r="D569" s="128" t="s">
        <v>40</v>
      </c>
      <c r="E569" s="128" t="s">
        <v>2090</v>
      </c>
      <c r="F569" s="128" t="s">
        <v>2091</v>
      </c>
      <c r="G569" s="128">
        <v>49.97</v>
      </c>
      <c r="H569" s="128" t="s">
        <v>43</v>
      </c>
      <c r="I569" s="128" t="s">
        <v>2092</v>
      </c>
      <c r="J569" s="128" t="s">
        <v>713</v>
      </c>
      <c r="K569" s="128" t="s">
        <v>599</v>
      </c>
      <c r="L569" s="128" t="s">
        <v>259</v>
      </c>
      <c r="M569" s="128" t="s">
        <v>46</v>
      </c>
      <c r="N569" s="128" t="s">
        <v>47</v>
      </c>
      <c r="O569" s="129">
        <v>33234</v>
      </c>
      <c r="P569" s="128"/>
      <c r="Q569" s="128"/>
      <c r="R569" s="128">
        <v>57.2</v>
      </c>
      <c r="S569" s="128" t="s">
        <v>48</v>
      </c>
    </row>
    <row r="570" spans="1:19" x14ac:dyDescent="0.25">
      <c r="A570" s="128">
        <v>75800</v>
      </c>
      <c r="B570" s="128" t="s">
        <v>106</v>
      </c>
      <c r="C570" s="128" t="s">
        <v>49</v>
      </c>
      <c r="D570" s="128" t="s">
        <v>40</v>
      </c>
      <c r="E570" s="128" t="s">
        <v>3364</v>
      </c>
      <c r="F570" s="128" t="s">
        <v>3365</v>
      </c>
      <c r="G570" s="128">
        <v>2</v>
      </c>
      <c r="H570" s="128" t="s">
        <v>43</v>
      </c>
      <c r="I570" s="128"/>
      <c r="J570" s="128" t="s">
        <v>713</v>
      </c>
      <c r="K570" s="128"/>
      <c r="L570" s="128" t="s">
        <v>259</v>
      </c>
      <c r="M570" s="128" t="s">
        <v>46</v>
      </c>
      <c r="N570" s="128" t="s">
        <v>47</v>
      </c>
      <c r="O570" s="128"/>
      <c r="P570" s="128" t="s">
        <v>1925</v>
      </c>
      <c r="Q570" s="128"/>
      <c r="R570" s="128">
        <v>2</v>
      </c>
      <c r="S570" s="128" t="s">
        <v>48</v>
      </c>
    </row>
    <row r="571" spans="1:19" x14ac:dyDescent="0.25">
      <c r="A571" s="128">
        <v>75900</v>
      </c>
      <c r="B571" s="128" t="s">
        <v>106</v>
      </c>
      <c r="C571" s="128" t="s">
        <v>49</v>
      </c>
      <c r="D571" s="128" t="s">
        <v>40</v>
      </c>
      <c r="E571" s="128" t="s">
        <v>3366</v>
      </c>
      <c r="F571" s="128" t="s">
        <v>3365</v>
      </c>
      <c r="G571" s="128">
        <v>2</v>
      </c>
      <c r="H571" s="128" t="s">
        <v>43</v>
      </c>
      <c r="I571" s="128"/>
      <c r="J571" s="128" t="s">
        <v>713</v>
      </c>
      <c r="K571" s="128"/>
      <c r="L571" s="128" t="s">
        <v>259</v>
      </c>
      <c r="M571" s="128" t="s">
        <v>46</v>
      </c>
      <c r="N571" s="128" t="s">
        <v>47</v>
      </c>
      <c r="O571" s="128"/>
      <c r="P571" s="128" t="s">
        <v>1925</v>
      </c>
      <c r="Q571" s="128"/>
      <c r="R571" s="128">
        <v>2</v>
      </c>
      <c r="S571" s="128" t="s">
        <v>48</v>
      </c>
    </row>
    <row r="572" spans="1:19" x14ac:dyDescent="0.25">
      <c r="A572" s="128">
        <v>88800</v>
      </c>
      <c r="B572" s="128" t="s">
        <v>311</v>
      </c>
      <c r="C572" s="128" t="s">
        <v>40</v>
      </c>
      <c r="D572" s="128" t="s">
        <v>40</v>
      </c>
      <c r="E572" s="128" t="s">
        <v>3367</v>
      </c>
      <c r="F572" s="128" t="s">
        <v>3368</v>
      </c>
      <c r="G572" s="128">
        <v>5.75</v>
      </c>
      <c r="H572" s="128" t="s">
        <v>7</v>
      </c>
      <c r="I572" s="128" t="s">
        <v>313</v>
      </c>
      <c r="J572" s="128" t="s">
        <v>314</v>
      </c>
      <c r="K572" s="128" t="s">
        <v>599</v>
      </c>
      <c r="L572" s="128" t="s">
        <v>259</v>
      </c>
      <c r="M572" s="128" t="s">
        <v>57</v>
      </c>
      <c r="N572" s="128" t="s">
        <v>317</v>
      </c>
      <c r="O572" s="128"/>
      <c r="P572" s="128"/>
      <c r="Q572" s="128"/>
      <c r="R572" s="128">
        <v>5.75</v>
      </c>
      <c r="S572" s="128" t="s">
        <v>48</v>
      </c>
    </row>
    <row r="573" spans="1:19" x14ac:dyDescent="0.25">
      <c r="A573" s="128">
        <v>88900</v>
      </c>
      <c r="B573" s="128" t="s">
        <v>311</v>
      </c>
      <c r="C573" s="128" t="s">
        <v>40</v>
      </c>
      <c r="D573" s="128" t="s">
        <v>40</v>
      </c>
      <c r="E573" s="128" t="s">
        <v>3369</v>
      </c>
      <c r="F573" s="128" t="s">
        <v>3370</v>
      </c>
      <c r="G573" s="128">
        <v>5.75</v>
      </c>
      <c r="H573" s="128" t="s">
        <v>7</v>
      </c>
      <c r="I573" s="128" t="s">
        <v>313</v>
      </c>
      <c r="J573" s="128" t="s">
        <v>314</v>
      </c>
      <c r="K573" s="128" t="s">
        <v>599</v>
      </c>
      <c r="L573" s="128" t="s">
        <v>259</v>
      </c>
      <c r="M573" s="128" t="s">
        <v>57</v>
      </c>
      <c r="N573" s="128" t="s">
        <v>317</v>
      </c>
      <c r="O573" s="128"/>
      <c r="P573" s="128"/>
      <c r="Q573" s="128"/>
      <c r="R573" s="128">
        <v>5.9</v>
      </c>
      <c r="S573" s="128" t="s">
        <v>48</v>
      </c>
    </row>
    <row r="574" spans="1:19" x14ac:dyDescent="0.25">
      <c r="A574" s="128">
        <v>77600</v>
      </c>
      <c r="B574" s="128" t="s">
        <v>311</v>
      </c>
      <c r="C574" s="128" t="s">
        <v>40</v>
      </c>
      <c r="D574" s="128" t="s">
        <v>40</v>
      </c>
      <c r="E574" s="128" t="s">
        <v>455</v>
      </c>
      <c r="F574" s="128" t="s">
        <v>456</v>
      </c>
      <c r="G574" s="128">
        <v>83</v>
      </c>
      <c r="H574" s="128" t="s">
        <v>43</v>
      </c>
      <c r="I574" s="128" t="s">
        <v>457</v>
      </c>
      <c r="J574" s="128" t="s">
        <v>44</v>
      </c>
      <c r="K574" s="128" t="s">
        <v>44</v>
      </c>
      <c r="L574" s="128" t="s">
        <v>45</v>
      </c>
      <c r="M574" s="128" t="s">
        <v>46</v>
      </c>
      <c r="N574" s="128" t="s">
        <v>47</v>
      </c>
      <c r="O574" s="129">
        <v>21916</v>
      </c>
      <c r="P574" s="128"/>
      <c r="Q574" s="128"/>
      <c r="R574" s="128">
        <v>85</v>
      </c>
      <c r="S574" s="128" t="s">
        <v>48</v>
      </c>
    </row>
    <row r="575" spans="1:19" x14ac:dyDescent="0.25">
      <c r="A575" s="128">
        <v>77700</v>
      </c>
      <c r="B575" s="128" t="s">
        <v>311</v>
      </c>
      <c r="C575" s="128" t="s">
        <v>40</v>
      </c>
      <c r="D575" s="128" t="s">
        <v>40</v>
      </c>
      <c r="E575" s="128" t="s">
        <v>458</v>
      </c>
      <c r="F575" s="128" t="s">
        <v>459</v>
      </c>
      <c r="G575" s="128">
        <v>83</v>
      </c>
      <c r="H575" s="128" t="s">
        <v>43</v>
      </c>
      <c r="I575" s="128" t="s">
        <v>457</v>
      </c>
      <c r="J575" s="128" t="s">
        <v>44</v>
      </c>
      <c r="K575" s="128" t="s">
        <v>44</v>
      </c>
      <c r="L575" s="128" t="s">
        <v>45</v>
      </c>
      <c r="M575" s="128" t="s">
        <v>46</v>
      </c>
      <c r="N575" s="128" t="s">
        <v>47</v>
      </c>
      <c r="O575" s="129">
        <v>21916</v>
      </c>
      <c r="P575" s="128"/>
      <c r="Q575" s="128"/>
      <c r="R575" s="128">
        <v>85</v>
      </c>
      <c r="S575" s="128" t="s">
        <v>48</v>
      </c>
    </row>
    <row r="576" spans="1:19" x14ac:dyDescent="0.25">
      <c r="A576" s="128">
        <v>78100</v>
      </c>
      <c r="B576" s="128" t="s">
        <v>311</v>
      </c>
      <c r="C576" s="128" t="s">
        <v>40</v>
      </c>
      <c r="D576" s="128" t="s">
        <v>40</v>
      </c>
      <c r="E576" s="128" t="s">
        <v>578</v>
      </c>
      <c r="F576" s="128" t="s">
        <v>579</v>
      </c>
      <c r="G576" s="128">
        <v>45</v>
      </c>
      <c r="H576" s="128" t="s">
        <v>43</v>
      </c>
      <c r="I576" s="128" t="s">
        <v>457</v>
      </c>
      <c r="J576" s="128" t="s">
        <v>44</v>
      </c>
      <c r="K576" s="128" t="s">
        <v>44</v>
      </c>
      <c r="L576" s="128" t="s">
        <v>45</v>
      </c>
      <c r="M576" s="128" t="s">
        <v>46</v>
      </c>
      <c r="N576" s="128" t="s">
        <v>47</v>
      </c>
      <c r="O576" s="129">
        <v>24473</v>
      </c>
      <c r="P576" s="128"/>
      <c r="Q576" s="128"/>
      <c r="R576" s="128">
        <v>43.13</v>
      </c>
      <c r="S576" s="128" t="s">
        <v>48</v>
      </c>
    </row>
    <row r="577" spans="1:19" x14ac:dyDescent="0.25">
      <c r="A577" s="128">
        <v>78200</v>
      </c>
      <c r="B577" s="128" t="s">
        <v>311</v>
      </c>
      <c r="C577" s="128" t="s">
        <v>40</v>
      </c>
      <c r="D577" s="128" t="s">
        <v>40</v>
      </c>
      <c r="E577" s="128" t="s">
        <v>580</v>
      </c>
      <c r="F577" s="128" t="s">
        <v>581</v>
      </c>
      <c r="G577" s="128">
        <v>45</v>
      </c>
      <c r="H577" s="128" t="s">
        <v>43</v>
      </c>
      <c r="I577" s="128" t="s">
        <v>457</v>
      </c>
      <c r="J577" s="128" t="s">
        <v>44</v>
      </c>
      <c r="K577" s="128" t="s">
        <v>44</v>
      </c>
      <c r="L577" s="128" t="s">
        <v>45</v>
      </c>
      <c r="M577" s="128" t="s">
        <v>46</v>
      </c>
      <c r="N577" s="128" t="s">
        <v>58</v>
      </c>
      <c r="O577" s="129">
        <v>24473</v>
      </c>
      <c r="P577" s="128"/>
      <c r="Q577" s="128"/>
      <c r="R577" s="128">
        <v>43.13</v>
      </c>
      <c r="S577" s="128" t="s">
        <v>48</v>
      </c>
    </row>
    <row r="578" spans="1:19" x14ac:dyDescent="0.25">
      <c r="A578" s="128">
        <v>78300</v>
      </c>
      <c r="B578" s="128" t="s">
        <v>311</v>
      </c>
      <c r="C578" s="128" t="s">
        <v>40</v>
      </c>
      <c r="D578" s="128" t="s">
        <v>40</v>
      </c>
      <c r="E578" s="128" t="s">
        <v>1550</v>
      </c>
      <c r="F578" s="128" t="s">
        <v>1551</v>
      </c>
      <c r="G578" s="128">
        <v>45</v>
      </c>
      <c r="H578" s="128" t="s">
        <v>43</v>
      </c>
      <c r="I578" s="128" t="s">
        <v>457</v>
      </c>
      <c r="J578" s="128" t="s">
        <v>44</v>
      </c>
      <c r="K578" s="128" t="s">
        <v>44</v>
      </c>
      <c r="L578" s="128" t="s">
        <v>45</v>
      </c>
      <c r="M578" s="128" t="s">
        <v>46</v>
      </c>
      <c r="N578" s="128" t="s">
        <v>47</v>
      </c>
      <c r="O578" s="129">
        <v>31778</v>
      </c>
      <c r="P578" s="128"/>
      <c r="Q578" s="128"/>
      <c r="R578" s="128">
        <v>43.13</v>
      </c>
      <c r="S578" s="128" t="s">
        <v>48</v>
      </c>
    </row>
    <row r="579" spans="1:19" x14ac:dyDescent="0.25">
      <c r="A579" s="128">
        <v>78500</v>
      </c>
      <c r="B579" s="128" t="s">
        <v>311</v>
      </c>
      <c r="C579" s="128" t="s">
        <v>40</v>
      </c>
      <c r="D579" s="128" t="s">
        <v>40</v>
      </c>
      <c r="E579" s="128" t="s">
        <v>499</v>
      </c>
      <c r="F579" s="128" t="s">
        <v>500</v>
      </c>
      <c r="G579" s="128">
        <v>0.5</v>
      </c>
      <c r="H579" s="128" t="s">
        <v>43</v>
      </c>
      <c r="I579" s="128" t="s">
        <v>501</v>
      </c>
      <c r="J579" s="128" t="s">
        <v>44</v>
      </c>
      <c r="K579" s="128" t="s">
        <v>44</v>
      </c>
      <c r="L579" s="128" t="s">
        <v>45</v>
      </c>
      <c r="M579" s="128" t="s">
        <v>46</v>
      </c>
      <c r="N579" s="128" t="s">
        <v>47</v>
      </c>
      <c r="O579" s="129">
        <v>23377</v>
      </c>
      <c r="P579" s="128"/>
      <c r="Q579" s="128"/>
      <c r="R579" s="128">
        <v>0.5</v>
      </c>
      <c r="S579" s="128" t="s">
        <v>48</v>
      </c>
    </row>
    <row r="580" spans="1:19" x14ac:dyDescent="0.25">
      <c r="A580" s="128">
        <v>78900</v>
      </c>
      <c r="B580" s="128" t="s">
        <v>311</v>
      </c>
      <c r="C580" s="128" t="s">
        <v>40</v>
      </c>
      <c r="D580" s="128" t="s">
        <v>40</v>
      </c>
      <c r="E580" s="128"/>
      <c r="F580" s="128" t="s">
        <v>1552</v>
      </c>
      <c r="G580" s="128">
        <v>3.2</v>
      </c>
      <c r="H580" s="128" t="s">
        <v>43</v>
      </c>
      <c r="I580" s="128" t="s">
        <v>457</v>
      </c>
      <c r="J580" s="128" t="s">
        <v>44</v>
      </c>
      <c r="K580" s="128" t="s">
        <v>44</v>
      </c>
      <c r="L580" s="128" t="s">
        <v>45</v>
      </c>
      <c r="M580" s="128" t="s">
        <v>46</v>
      </c>
      <c r="N580" s="128" t="s">
        <v>47</v>
      </c>
      <c r="O580" s="129">
        <v>31778</v>
      </c>
      <c r="P580" s="128"/>
      <c r="Q580" s="128"/>
      <c r="R580" s="128">
        <v>3.2</v>
      </c>
      <c r="S580" s="128" t="s">
        <v>48</v>
      </c>
    </row>
    <row r="581" spans="1:19" x14ac:dyDescent="0.25">
      <c r="A581" s="128">
        <v>79000</v>
      </c>
      <c r="B581" s="128" t="s">
        <v>311</v>
      </c>
      <c r="C581" s="128" t="s">
        <v>40</v>
      </c>
      <c r="D581" s="128" t="s">
        <v>40</v>
      </c>
      <c r="E581" s="128" t="s">
        <v>656</v>
      </c>
      <c r="F581" s="128" t="s">
        <v>657</v>
      </c>
      <c r="G581" s="128">
        <v>52</v>
      </c>
      <c r="H581" s="128" t="s">
        <v>43</v>
      </c>
      <c r="I581" s="128" t="s">
        <v>457</v>
      </c>
      <c r="J581" s="128" t="s">
        <v>44</v>
      </c>
      <c r="K581" s="128" t="s">
        <v>44</v>
      </c>
      <c r="L581" s="128" t="s">
        <v>45</v>
      </c>
      <c r="M581" s="128" t="s">
        <v>46</v>
      </c>
      <c r="N581" s="128" t="s">
        <v>47</v>
      </c>
      <c r="O581" s="129">
        <v>25204</v>
      </c>
      <c r="P581" s="128"/>
      <c r="Q581" s="128"/>
      <c r="R581" s="128">
        <v>57.5</v>
      </c>
      <c r="S581" s="128" t="s">
        <v>48</v>
      </c>
    </row>
    <row r="582" spans="1:19" x14ac:dyDescent="0.25">
      <c r="A582" s="128">
        <v>79100</v>
      </c>
      <c r="B582" s="128" t="s">
        <v>311</v>
      </c>
      <c r="C582" s="128" t="s">
        <v>40</v>
      </c>
      <c r="D582" s="128" t="s">
        <v>40</v>
      </c>
      <c r="E582" s="128" t="s">
        <v>658</v>
      </c>
      <c r="F582" s="128" t="s">
        <v>659</v>
      </c>
      <c r="G582" s="128">
        <v>52</v>
      </c>
      <c r="H582" s="128" t="s">
        <v>43</v>
      </c>
      <c r="I582" s="128" t="s">
        <v>457</v>
      </c>
      <c r="J582" s="128" t="s">
        <v>44</v>
      </c>
      <c r="K582" s="128" t="s">
        <v>44</v>
      </c>
      <c r="L582" s="128" t="s">
        <v>45</v>
      </c>
      <c r="M582" s="128" t="s">
        <v>46</v>
      </c>
      <c r="N582" s="128" t="s">
        <v>47</v>
      </c>
      <c r="O582" s="129">
        <v>25204</v>
      </c>
      <c r="P582" s="128"/>
      <c r="Q582" s="128"/>
      <c r="R582" s="128">
        <v>57.5</v>
      </c>
      <c r="S582" s="128" t="s">
        <v>48</v>
      </c>
    </row>
    <row r="583" spans="1:19" x14ac:dyDescent="0.25">
      <c r="A583" s="128">
        <v>96700</v>
      </c>
      <c r="B583" s="128" t="s">
        <v>311</v>
      </c>
      <c r="C583" s="128" t="s">
        <v>40</v>
      </c>
      <c r="D583" s="128" t="s">
        <v>40</v>
      </c>
      <c r="E583" s="128" t="s">
        <v>2856</v>
      </c>
      <c r="F583" s="128" t="s">
        <v>2857</v>
      </c>
      <c r="G583" s="128">
        <v>48.35</v>
      </c>
      <c r="H583" s="128" t="s">
        <v>7</v>
      </c>
      <c r="I583" s="128" t="s">
        <v>2542</v>
      </c>
      <c r="J583" s="128" t="s">
        <v>713</v>
      </c>
      <c r="K583" s="128" t="s">
        <v>599</v>
      </c>
      <c r="L583" s="128" t="s">
        <v>259</v>
      </c>
      <c r="M583" s="128" t="s">
        <v>57</v>
      </c>
      <c r="N583" s="128" t="s">
        <v>2858</v>
      </c>
      <c r="O583" s="129">
        <v>38869</v>
      </c>
      <c r="P583" s="128"/>
      <c r="Q583" s="128"/>
      <c r="R583" s="128">
        <v>48.5</v>
      </c>
      <c r="S583" s="128" t="s">
        <v>48</v>
      </c>
    </row>
    <row r="584" spans="1:19" x14ac:dyDescent="0.25">
      <c r="A584" s="128">
        <v>96800</v>
      </c>
      <c r="B584" s="128" t="s">
        <v>311</v>
      </c>
      <c r="C584" s="128" t="s">
        <v>40</v>
      </c>
      <c r="D584" s="128" t="s">
        <v>40</v>
      </c>
      <c r="E584" s="128" t="s">
        <v>2859</v>
      </c>
      <c r="F584" s="128" t="s">
        <v>2860</v>
      </c>
      <c r="G584" s="128">
        <v>48.5</v>
      </c>
      <c r="H584" s="128" t="s">
        <v>7</v>
      </c>
      <c r="I584" s="128" t="s">
        <v>2542</v>
      </c>
      <c r="J584" s="128" t="s">
        <v>713</v>
      </c>
      <c r="K584" s="128" t="s">
        <v>599</v>
      </c>
      <c r="L584" s="128" t="s">
        <v>259</v>
      </c>
      <c r="M584" s="128" t="s">
        <v>57</v>
      </c>
      <c r="N584" s="128" t="s">
        <v>2858</v>
      </c>
      <c r="O584" s="129">
        <v>38869</v>
      </c>
      <c r="P584" s="128"/>
      <c r="Q584" s="128"/>
      <c r="R584" s="128">
        <v>48.5</v>
      </c>
      <c r="S584" s="128" t="s">
        <v>48</v>
      </c>
    </row>
    <row r="585" spans="1:19" ht="29.25" x14ac:dyDescent="0.25">
      <c r="A585" s="128">
        <v>84800</v>
      </c>
      <c r="B585" s="128" t="s">
        <v>311</v>
      </c>
      <c r="C585" s="128" t="s">
        <v>40</v>
      </c>
      <c r="D585" s="128" t="s">
        <v>40</v>
      </c>
      <c r="E585" s="128" t="s">
        <v>3371</v>
      </c>
      <c r="F585" s="128" t="s">
        <v>3372</v>
      </c>
      <c r="G585" s="128">
        <v>1</v>
      </c>
      <c r="H585" s="128" t="s">
        <v>43</v>
      </c>
      <c r="I585" s="128" t="s">
        <v>1158</v>
      </c>
      <c r="J585" s="128" t="s">
        <v>44</v>
      </c>
      <c r="K585" s="128" t="s">
        <v>44</v>
      </c>
      <c r="L585" s="128" t="s">
        <v>45</v>
      </c>
      <c r="M585" s="128" t="s">
        <v>46</v>
      </c>
      <c r="N585" s="128" t="s">
        <v>47</v>
      </c>
      <c r="O585" s="128"/>
      <c r="P585" s="128" t="s">
        <v>3373</v>
      </c>
      <c r="Q585" s="128"/>
      <c r="R585" s="128">
        <v>0.4</v>
      </c>
      <c r="S585" s="128" t="s">
        <v>48</v>
      </c>
    </row>
    <row r="586" spans="1:19" x14ac:dyDescent="0.25">
      <c r="A586" s="128">
        <v>80400</v>
      </c>
      <c r="B586" s="128" t="s">
        <v>311</v>
      </c>
      <c r="C586" s="128" t="s">
        <v>40</v>
      </c>
      <c r="D586" s="128" t="s">
        <v>40</v>
      </c>
      <c r="E586" s="128" t="s">
        <v>2207</v>
      </c>
      <c r="F586" s="128" t="s">
        <v>2208</v>
      </c>
      <c r="G586" s="128">
        <v>102.18</v>
      </c>
      <c r="H586" s="128" t="s">
        <v>43</v>
      </c>
      <c r="I586" s="128" t="s">
        <v>1158</v>
      </c>
      <c r="J586" s="128" t="s">
        <v>800</v>
      </c>
      <c r="K586" s="128" t="s">
        <v>800</v>
      </c>
      <c r="L586" s="128" t="s">
        <v>800</v>
      </c>
      <c r="M586" s="128" t="s">
        <v>46</v>
      </c>
      <c r="N586" s="128" t="s">
        <v>47</v>
      </c>
      <c r="O586" s="129">
        <v>34335</v>
      </c>
      <c r="P586" s="128"/>
      <c r="Q586" s="128"/>
      <c r="R586" s="128">
        <v>102.18</v>
      </c>
      <c r="S586" s="128" t="s">
        <v>48</v>
      </c>
    </row>
    <row r="587" spans="1:19" ht="43.5" x14ac:dyDescent="0.25">
      <c r="A587" s="128">
        <v>88300</v>
      </c>
      <c r="B587" s="128" t="s">
        <v>311</v>
      </c>
      <c r="C587" s="128" t="s">
        <v>40</v>
      </c>
      <c r="D587" s="128" t="s">
        <v>40</v>
      </c>
      <c r="E587" s="128"/>
      <c r="F587" s="128" t="s">
        <v>312</v>
      </c>
      <c r="G587" s="128">
        <v>3.5</v>
      </c>
      <c r="H587" s="128" t="s">
        <v>7</v>
      </c>
      <c r="I587" s="128" t="s">
        <v>313</v>
      </c>
      <c r="J587" s="128" t="s">
        <v>314</v>
      </c>
      <c r="K587" s="128" t="s">
        <v>315</v>
      </c>
      <c r="L587" s="128" t="s">
        <v>316</v>
      </c>
      <c r="M587" s="128" t="s">
        <v>57</v>
      </c>
      <c r="N587" s="128" t="s">
        <v>317</v>
      </c>
      <c r="O587" s="129">
        <v>13516</v>
      </c>
      <c r="P587" s="128" t="s">
        <v>318</v>
      </c>
      <c r="Q587" s="128"/>
      <c r="R587" s="128">
        <v>7</v>
      </c>
      <c r="S587" s="128" t="s">
        <v>48</v>
      </c>
    </row>
    <row r="588" spans="1:19" ht="43.5" x14ac:dyDescent="0.25">
      <c r="A588" s="128">
        <v>88400</v>
      </c>
      <c r="B588" s="128" t="s">
        <v>311</v>
      </c>
      <c r="C588" s="128" t="s">
        <v>40</v>
      </c>
      <c r="D588" s="128" t="s">
        <v>40</v>
      </c>
      <c r="E588" s="128"/>
      <c r="F588" s="128" t="s">
        <v>319</v>
      </c>
      <c r="G588" s="128">
        <v>3.5</v>
      </c>
      <c r="H588" s="128" t="s">
        <v>7</v>
      </c>
      <c r="I588" s="128" t="s">
        <v>313</v>
      </c>
      <c r="J588" s="128" t="s">
        <v>314</v>
      </c>
      <c r="K588" s="128" t="s">
        <v>315</v>
      </c>
      <c r="L588" s="128" t="s">
        <v>316</v>
      </c>
      <c r="M588" s="128" t="s">
        <v>57</v>
      </c>
      <c r="N588" s="128" t="s">
        <v>317</v>
      </c>
      <c r="O588" s="129">
        <v>13516</v>
      </c>
      <c r="P588" s="128" t="s">
        <v>320</v>
      </c>
      <c r="Q588" s="128"/>
      <c r="R588" s="128">
        <v>7</v>
      </c>
      <c r="S588" s="128" t="s">
        <v>48</v>
      </c>
    </row>
    <row r="589" spans="1:19" ht="43.5" x14ac:dyDescent="0.25">
      <c r="A589" s="128">
        <v>88600</v>
      </c>
      <c r="B589" s="128" t="s">
        <v>311</v>
      </c>
      <c r="C589" s="128" t="s">
        <v>40</v>
      </c>
      <c r="D589" s="128" t="s">
        <v>40</v>
      </c>
      <c r="E589" s="128"/>
      <c r="F589" s="128" t="s">
        <v>321</v>
      </c>
      <c r="G589" s="128">
        <v>3.5</v>
      </c>
      <c r="H589" s="128" t="s">
        <v>7</v>
      </c>
      <c r="I589" s="128" t="s">
        <v>313</v>
      </c>
      <c r="J589" s="128" t="s">
        <v>314</v>
      </c>
      <c r="K589" s="128" t="s">
        <v>315</v>
      </c>
      <c r="L589" s="128" t="s">
        <v>316</v>
      </c>
      <c r="M589" s="128" t="s">
        <v>57</v>
      </c>
      <c r="N589" s="128" t="s">
        <v>317</v>
      </c>
      <c r="O589" s="129">
        <v>13516</v>
      </c>
      <c r="P589" s="128" t="s">
        <v>318</v>
      </c>
      <c r="Q589" s="128"/>
      <c r="R589" s="128">
        <v>7</v>
      </c>
      <c r="S589" s="128" t="s">
        <v>48</v>
      </c>
    </row>
    <row r="590" spans="1:19" ht="43.5" x14ac:dyDescent="0.25">
      <c r="A590" s="128">
        <v>88700</v>
      </c>
      <c r="B590" s="128" t="s">
        <v>311</v>
      </c>
      <c r="C590" s="128" t="s">
        <v>40</v>
      </c>
      <c r="D590" s="128" t="s">
        <v>40</v>
      </c>
      <c r="E590" s="128"/>
      <c r="F590" s="128" t="s">
        <v>322</v>
      </c>
      <c r="G590" s="128">
        <v>3.5</v>
      </c>
      <c r="H590" s="128" t="s">
        <v>7</v>
      </c>
      <c r="I590" s="128" t="s">
        <v>313</v>
      </c>
      <c r="J590" s="128" t="s">
        <v>314</v>
      </c>
      <c r="K590" s="128" t="s">
        <v>315</v>
      </c>
      <c r="L590" s="128" t="s">
        <v>316</v>
      </c>
      <c r="M590" s="128" t="s">
        <v>57</v>
      </c>
      <c r="N590" s="128" t="s">
        <v>317</v>
      </c>
      <c r="O590" s="129">
        <v>13516</v>
      </c>
      <c r="P590" s="128" t="s">
        <v>318</v>
      </c>
      <c r="Q590" s="128"/>
      <c r="R590" s="128">
        <v>7</v>
      </c>
      <c r="S590" s="128" t="s">
        <v>48</v>
      </c>
    </row>
    <row r="591" spans="1:19" ht="29.25" x14ac:dyDescent="0.25">
      <c r="A591" s="124">
        <v>100</v>
      </c>
      <c r="B591" s="124" t="s">
        <v>39</v>
      </c>
      <c r="C591" s="124" t="s">
        <v>49</v>
      </c>
      <c r="D591" s="124" t="s">
        <v>49</v>
      </c>
      <c r="E591" s="124" t="s">
        <v>1143</v>
      </c>
      <c r="F591" s="124" t="s">
        <v>1144</v>
      </c>
      <c r="G591" s="124">
        <v>55.2</v>
      </c>
      <c r="H591" s="124" t="s">
        <v>43</v>
      </c>
      <c r="I591" s="124" t="s">
        <v>1145</v>
      </c>
      <c r="J591" s="124" t="s">
        <v>713</v>
      </c>
      <c r="K591" s="124" t="s">
        <v>599</v>
      </c>
      <c r="L591" s="124" t="s">
        <v>259</v>
      </c>
      <c r="M591" s="124" t="s">
        <v>212</v>
      </c>
      <c r="N591" s="124" t="s">
        <v>213</v>
      </c>
      <c r="O591" s="125">
        <v>31048</v>
      </c>
      <c r="P591" s="124"/>
      <c r="Q591" s="124"/>
      <c r="R591" s="124">
        <v>82.86</v>
      </c>
      <c r="S591" s="124" t="s">
        <v>48</v>
      </c>
    </row>
    <row r="592" spans="1:19" x14ac:dyDescent="0.25">
      <c r="A592" s="124">
        <v>1400</v>
      </c>
      <c r="B592" s="124" t="s">
        <v>39</v>
      </c>
      <c r="C592" s="124" t="s">
        <v>40</v>
      </c>
      <c r="D592" s="124" t="s">
        <v>49</v>
      </c>
      <c r="E592" s="124" t="s">
        <v>50</v>
      </c>
      <c r="F592" s="124" t="s">
        <v>51</v>
      </c>
      <c r="G592" s="124">
        <v>2</v>
      </c>
      <c r="H592" s="124" t="s">
        <v>43</v>
      </c>
      <c r="I592" s="124" t="s">
        <v>6</v>
      </c>
      <c r="J592" s="124" t="s">
        <v>44</v>
      </c>
      <c r="K592" s="124" t="s">
        <v>44</v>
      </c>
      <c r="L592" s="124" t="s">
        <v>45</v>
      </c>
      <c r="M592" s="124" t="s">
        <v>46</v>
      </c>
      <c r="N592" s="124" t="s">
        <v>47</v>
      </c>
      <c r="O592" s="125">
        <v>732</v>
      </c>
      <c r="P592" s="124"/>
      <c r="Q592" s="124" t="s">
        <v>52</v>
      </c>
      <c r="R592" s="124">
        <v>2</v>
      </c>
      <c r="S592" s="124" t="s">
        <v>48</v>
      </c>
    </row>
    <row r="593" spans="1:19" ht="29.25" x14ac:dyDescent="0.25">
      <c r="A593" s="124">
        <v>2900</v>
      </c>
      <c r="B593" s="124" t="s">
        <v>39</v>
      </c>
      <c r="C593" s="124" t="s">
        <v>40</v>
      </c>
      <c r="D593" s="124" t="s">
        <v>49</v>
      </c>
      <c r="E593" s="124" t="s">
        <v>134</v>
      </c>
      <c r="F593" s="124" t="s">
        <v>135</v>
      </c>
      <c r="G593" s="124">
        <v>820</v>
      </c>
      <c r="H593" s="124" t="s">
        <v>7</v>
      </c>
      <c r="I593" s="124" t="s">
        <v>7</v>
      </c>
      <c r="J593" s="124" t="s">
        <v>44</v>
      </c>
      <c r="K593" s="124" t="s">
        <v>44</v>
      </c>
      <c r="L593" s="124" t="s">
        <v>45</v>
      </c>
      <c r="M593" s="124" t="s">
        <v>57</v>
      </c>
      <c r="N593" s="124" t="s">
        <v>58</v>
      </c>
      <c r="O593" s="125">
        <v>4750</v>
      </c>
      <c r="P593" s="124"/>
      <c r="Q593" s="124"/>
      <c r="R593" s="124">
        <v>821</v>
      </c>
      <c r="S593" s="124" t="s">
        <v>48</v>
      </c>
    </row>
    <row r="594" spans="1:19" ht="29.25" x14ac:dyDescent="0.25">
      <c r="A594" s="124">
        <v>3100</v>
      </c>
      <c r="B594" s="124" t="s">
        <v>39</v>
      </c>
      <c r="C594" s="124" t="s">
        <v>40</v>
      </c>
      <c r="D594" s="124" t="s">
        <v>49</v>
      </c>
      <c r="E594" s="124" t="s">
        <v>97</v>
      </c>
      <c r="F594" s="124" t="s">
        <v>98</v>
      </c>
      <c r="G594" s="124">
        <v>13.4</v>
      </c>
      <c r="H594" s="124" t="s">
        <v>7</v>
      </c>
      <c r="I594" s="124" t="s">
        <v>7</v>
      </c>
      <c r="J594" s="124" t="s">
        <v>44</v>
      </c>
      <c r="K594" s="124" t="s">
        <v>44</v>
      </c>
      <c r="L594" s="124" t="s">
        <v>45</v>
      </c>
      <c r="M594" s="124" t="s">
        <v>57</v>
      </c>
      <c r="N594" s="124" t="s">
        <v>58</v>
      </c>
      <c r="O594" s="125">
        <v>2923</v>
      </c>
      <c r="P594" s="124"/>
      <c r="Q594" s="124"/>
      <c r="R594" s="124">
        <v>14.18</v>
      </c>
      <c r="S594" s="124" t="s">
        <v>48</v>
      </c>
    </row>
    <row r="595" spans="1:19" ht="29.25" x14ac:dyDescent="0.25">
      <c r="A595" s="124">
        <v>3200</v>
      </c>
      <c r="B595" s="124" t="s">
        <v>39</v>
      </c>
      <c r="C595" s="124" t="s">
        <v>40</v>
      </c>
      <c r="D595" s="124" t="s">
        <v>49</v>
      </c>
      <c r="E595" s="124" t="s">
        <v>77</v>
      </c>
      <c r="F595" s="124" t="s">
        <v>78</v>
      </c>
      <c r="G595" s="124">
        <v>15.8</v>
      </c>
      <c r="H595" s="124" t="s">
        <v>7</v>
      </c>
      <c r="I595" s="124" t="s">
        <v>7</v>
      </c>
      <c r="J595" s="124" t="s">
        <v>44</v>
      </c>
      <c r="K595" s="124" t="s">
        <v>44</v>
      </c>
      <c r="L595" s="124" t="s">
        <v>45</v>
      </c>
      <c r="M595" s="124" t="s">
        <v>57</v>
      </c>
      <c r="N595" s="124" t="s">
        <v>58</v>
      </c>
      <c r="O595" s="125">
        <v>1828</v>
      </c>
      <c r="P595" s="124"/>
      <c r="Q595" s="124"/>
      <c r="R595" s="124">
        <v>15.9</v>
      </c>
      <c r="S595" s="124" t="s">
        <v>48</v>
      </c>
    </row>
    <row r="596" spans="1:19" ht="29.25" x14ac:dyDescent="0.25">
      <c r="A596" s="124">
        <v>84700</v>
      </c>
      <c r="B596" s="124" t="s">
        <v>39</v>
      </c>
      <c r="C596" s="124" t="s">
        <v>49</v>
      </c>
      <c r="D596" s="124" t="s">
        <v>49</v>
      </c>
      <c r="E596" s="124" t="s">
        <v>3165</v>
      </c>
      <c r="F596" s="124" t="s">
        <v>3166</v>
      </c>
      <c r="G596" s="124">
        <v>8</v>
      </c>
      <c r="H596" s="124" t="s">
        <v>7</v>
      </c>
      <c r="I596" s="124" t="s">
        <v>3167</v>
      </c>
      <c r="J596" s="124" t="s">
        <v>314</v>
      </c>
      <c r="K596" s="124" t="s">
        <v>599</v>
      </c>
      <c r="L596" s="124" t="s">
        <v>1202</v>
      </c>
      <c r="M596" s="124" t="s">
        <v>57</v>
      </c>
      <c r="N596" s="124" t="s">
        <v>58</v>
      </c>
      <c r="O596" s="124"/>
      <c r="P596" s="124"/>
      <c r="Q596" s="124"/>
      <c r="R596" s="124">
        <v>8</v>
      </c>
      <c r="S596" s="124" t="s">
        <v>48</v>
      </c>
    </row>
    <row r="597" spans="1:19" ht="43.5" x14ac:dyDescent="0.25">
      <c r="A597" s="124">
        <v>3500</v>
      </c>
      <c r="B597" s="124" t="s">
        <v>39</v>
      </c>
      <c r="C597" s="124" t="s">
        <v>40</v>
      </c>
      <c r="D597" s="124" t="s">
        <v>49</v>
      </c>
      <c r="E597" s="124" t="s">
        <v>64</v>
      </c>
      <c r="F597" s="124" t="s">
        <v>65</v>
      </c>
      <c r="G597" s="124">
        <v>11</v>
      </c>
      <c r="H597" s="124" t="s">
        <v>7</v>
      </c>
      <c r="I597" s="124" t="s">
        <v>7</v>
      </c>
      <c r="J597" s="124" t="s">
        <v>44</v>
      </c>
      <c r="K597" s="124" t="s">
        <v>44</v>
      </c>
      <c r="L597" s="124" t="s">
        <v>45</v>
      </c>
      <c r="M597" s="124" t="s">
        <v>57</v>
      </c>
      <c r="N597" s="124" t="s">
        <v>58</v>
      </c>
      <c r="O597" s="125">
        <v>1462</v>
      </c>
      <c r="P597" s="124" t="s">
        <v>59</v>
      </c>
      <c r="Q597" s="124"/>
      <c r="R597" s="124">
        <v>11</v>
      </c>
      <c r="S597" s="124" t="s">
        <v>48</v>
      </c>
    </row>
    <row r="598" spans="1:19" ht="29.25" x14ac:dyDescent="0.25">
      <c r="A598" s="124">
        <v>3900</v>
      </c>
      <c r="B598" s="124" t="s">
        <v>39</v>
      </c>
      <c r="C598" s="124" t="s">
        <v>40</v>
      </c>
      <c r="D598" s="124" t="s">
        <v>49</v>
      </c>
      <c r="E598" s="124" t="s">
        <v>267</v>
      </c>
      <c r="F598" s="124" t="s">
        <v>268</v>
      </c>
      <c r="G598" s="124">
        <v>59</v>
      </c>
      <c r="H598" s="124" t="s">
        <v>43</v>
      </c>
      <c r="I598" s="124" t="s">
        <v>6</v>
      </c>
      <c r="J598" s="124" t="s">
        <v>44</v>
      </c>
      <c r="K598" s="124" t="s">
        <v>44</v>
      </c>
      <c r="L598" s="124" t="s">
        <v>45</v>
      </c>
      <c r="M598" s="124" t="s">
        <v>46</v>
      </c>
      <c r="N598" s="124" t="s">
        <v>47</v>
      </c>
      <c r="O598" s="125">
        <v>10228</v>
      </c>
      <c r="P598" s="124"/>
      <c r="Q598" s="124" t="s">
        <v>194</v>
      </c>
      <c r="R598" s="124">
        <v>59</v>
      </c>
      <c r="S598" s="124" t="s">
        <v>48</v>
      </c>
    </row>
    <row r="599" spans="1:19" x14ac:dyDescent="0.25">
      <c r="A599" s="124">
        <v>95500</v>
      </c>
      <c r="B599" s="124" t="s">
        <v>39</v>
      </c>
      <c r="C599" s="124" t="s">
        <v>40</v>
      </c>
      <c r="D599" s="124" t="s">
        <v>49</v>
      </c>
      <c r="E599" s="124" t="s">
        <v>2895</v>
      </c>
      <c r="F599" s="124" t="s">
        <v>2896</v>
      </c>
      <c r="G599" s="124">
        <v>47</v>
      </c>
      <c r="H599" s="124" t="s">
        <v>7</v>
      </c>
      <c r="I599" s="124" t="s">
        <v>7</v>
      </c>
      <c r="J599" s="124" t="s">
        <v>314</v>
      </c>
      <c r="K599" s="124" t="s">
        <v>599</v>
      </c>
      <c r="L599" s="124" t="s">
        <v>259</v>
      </c>
      <c r="M599" s="124" t="s">
        <v>57</v>
      </c>
      <c r="N599" s="124" t="s">
        <v>58</v>
      </c>
      <c r="O599" s="125">
        <v>39345</v>
      </c>
      <c r="P599" s="124"/>
      <c r="Q599" s="124"/>
      <c r="R599" s="124">
        <v>49</v>
      </c>
      <c r="S599" s="124" t="s">
        <v>48</v>
      </c>
    </row>
    <row r="600" spans="1:19" ht="29.25" x14ac:dyDescent="0.25">
      <c r="A600" s="124">
        <v>98600</v>
      </c>
      <c r="B600" s="124" t="s">
        <v>39</v>
      </c>
      <c r="C600" s="124" t="s">
        <v>49</v>
      </c>
      <c r="D600" s="124" t="s">
        <v>49</v>
      </c>
      <c r="E600" s="124" t="s">
        <v>2016</v>
      </c>
      <c r="F600" s="124" t="s">
        <v>2017</v>
      </c>
      <c r="G600" s="124">
        <v>40.200000000000003</v>
      </c>
      <c r="H600" s="124" t="s">
        <v>7</v>
      </c>
      <c r="I600" s="124" t="s">
        <v>2018</v>
      </c>
      <c r="J600" s="124" t="s">
        <v>713</v>
      </c>
      <c r="K600" s="124" t="s">
        <v>599</v>
      </c>
      <c r="L600" s="124" t="s">
        <v>259</v>
      </c>
      <c r="M600" s="124" t="s">
        <v>57</v>
      </c>
      <c r="N600" s="124" t="s">
        <v>58</v>
      </c>
      <c r="O600" s="125">
        <v>32938</v>
      </c>
      <c r="P600" s="124"/>
      <c r="Q600" s="124"/>
      <c r="R600" s="124">
        <v>43.52</v>
      </c>
      <c r="S600" s="124" t="s">
        <v>48</v>
      </c>
    </row>
    <row r="601" spans="1:19" x14ac:dyDescent="0.25">
      <c r="A601" s="124">
        <v>98900</v>
      </c>
      <c r="B601" s="124" t="s">
        <v>39</v>
      </c>
      <c r="C601" s="124" t="s">
        <v>40</v>
      </c>
      <c r="D601" s="124" t="s">
        <v>49</v>
      </c>
      <c r="E601" s="124" t="s">
        <v>2974</v>
      </c>
      <c r="F601" s="124" t="s">
        <v>2975</v>
      </c>
      <c r="G601" s="124">
        <v>493</v>
      </c>
      <c r="H601" s="124" t="s">
        <v>7</v>
      </c>
      <c r="I601" s="124" t="s">
        <v>2976</v>
      </c>
      <c r="J601" s="124" t="s">
        <v>384</v>
      </c>
      <c r="K601" s="124" t="s">
        <v>724</v>
      </c>
      <c r="L601" s="124" t="s">
        <v>259</v>
      </c>
      <c r="M601" s="124" t="s">
        <v>57</v>
      </c>
      <c r="N601" s="124" t="s">
        <v>58</v>
      </c>
      <c r="O601" s="125">
        <v>40340</v>
      </c>
      <c r="P601" s="124"/>
      <c r="Q601" s="124"/>
      <c r="R601" s="124">
        <v>560</v>
      </c>
      <c r="S601" s="124" t="s">
        <v>48</v>
      </c>
    </row>
    <row r="602" spans="1:19" x14ac:dyDescent="0.25">
      <c r="A602" s="124">
        <v>95900</v>
      </c>
      <c r="B602" s="124" t="s">
        <v>39</v>
      </c>
      <c r="C602" s="124" t="s">
        <v>40</v>
      </c>
      <c r="D602" s="124" t="s">
        <v>49</v>
      </c>
      <c r="E602" s="124" t="s">
        <v>2903</v>
      </c>
      <c r="F602" s="124" t="s">
        <v>2904</v>
      </c>
      <c r="G602" s="124">
        <v>17</v>
      </c>
      <c r="H602" s="124" t="s">
        <v>43</v>
      </c>
      <c r="I602" s="124" t="s">
        <v>2905</v>
      </c>
      <c r="J602" s="124" t="s">
        <v>663</v>
      </c>
      <c r="K602" s="124" t="s">
        <v>385</v>
      </c>
      <c r="L602" s="124" t="s">
        <v>663</v>
      </c>
      <c r="M602" s="124" t="s">
        <v>46</v>
      </c>
      <c r="N602" s="124" t="s">
        <v>47</v>
      </c>
      <c r="O602" s="125">
        <v>39347</v>
      </c>
      <c r="P602" s="124"/>
      <c r="Q602" s="124"/>
      <c r="R602" s="124">
        <v>55</v>
      </c>
      <c r="S602" s="124" t="s">
        <v>48</v>
      </c>
    </row>
    <row r="603" spans="1:19" ht="29.25" x14ac:dyDescent="0.25">
      <c r="A603" s="124">
        <v>93600</v>
      </c>
      <c r="B603" s="124" t="s">
        <v>39</v>
      </c>
      <c r="C603" s="124" t="s">
        <v>49</v>
      </c>
      <c r="D603" s="124" t="s">
        <v>49</v>
      </c>
      <c r="E603" s="124" t="s">
        <v>3256</v>
      </c>
      <c r="F603" s="124" t="s">
        <v>3257</v>
      </c>
      <c r="G603" s="124">
        <v>22</v>
      </c>
      <c r="H603" s="124" t="s">
        <v>43</v>
      </c>
      <c r="I603" s="124"/>
      <c r="J603" s="124" t="s">
        <v>663</v>
      </c>
      <c r="K603" s="124" t="s">
        <v>1052</v>
      </c>
      <c r="L603" s="124" t="s">
        <v>663</v>
      </c>
      <c r="M603" s="124" t="s">
        <v>46</v>
      </c>
      <c r="N603" s="124" t="s">
        <v>47</v>
      </c>
      <c r="O603" s="124"/>
      <c r="P603" s="124" t="s">
        <v>3258</v>
      </c>
      <c r="Q603" s="124"/>
      <c r="R603" s="124">
        <v>22</v>
      </c>
      <c r="S603" s="124" t="s">
        <v>48</v>
      </c>
    </row>
    <row r="604" spans="1:19" ht="29.25" x14ac:dyDescent="0.25">
      <c r="A604" s="124">
        <v>4400</v>
      </c>
      <c r="B604" s="124" t="s">
        <v>39</v>
      </c>
      <c r="C604" s="124" t="s">
        <v>49</v>
      </c>
      <c r="D604" s="124" t="s">
        <v>49</v>
      </c>
      <c r="E604" s="124" t="s">
        <v>863</v>
      </c>
      <c r="F604" s="124" t="s">
        <v>864</v>
      </c>
      <c r="G604" s="124">
        <v>9.99</v>
      </c>
      <c r="H604" s="124" t="s">
        <v>43</v>
      </c>
      <c r="I604" s="124" t="s">
        <v>292</v>
      </c>
      <c r="J604" s="124" t="s">
        <v>44</v>
      </c>
      <c r="K604" s="124" t="s">
        <v>44</v>
      </c>
      <c r="L604" s="124" t="s">
        <v>45</v>
      </c>
      <c r="M604" s="124" t="s">
        <v>46</v>
      </c>
      <c r="N604" s="124" t="s">
        <v>47</v>
      </c>
      <c r="O604" s="125">
        <v>30317</v>
      </c>
      <c r="P604" s="124"/>
      <c r="Q604" s="124" t="s">
        <v>293</v>
      </c>
      <c r="R604" s="124">
        <v>9.99</v>
      </c>
      <c r="S604" s="124" t="s">
        <v>48</v>
      </c>
    </row>
    <row r="605" spans="1:19" ht="29.25" x14ac:dyDescent="0.25">
      <c r="A605" s="124">
        <v>4600</v>
      </c>
      <c r="B605" s="124" t="s">
        <v>39</v>
      </c>
      <c r="C605" s="124" t="s">
        <v>40</v>
      </c>
      <c r="D605" s="124" t="s">
        <v>49</v>
      </c>
      <c r="E605" s="124" t="s">
        <v>192</v>
      </c>
      <c r="F605" s="124" t="s">
        <v>193</v>
      </c>
      <c r="G605" s="124">
        <v>49</v>
      </c>
      <c r="H605" s="124" t="s">
        <v>43</v>
      </c>
      <c r="I605" s="124" t="s">
        <v>6</v>
      </c>
      <c r="J605" s="124" t="s">
        <v>44</v>
      </c>
      <c r="K605" s="124" t="s">
        <v>44</v>
      </c>
      <c r="L605" s="124" t="s">
        <v>45</v>
      </c>
      <c r="M605" s="124" t="s">
        <v>46</v>
      </c>
      <c r="N605" s="124" t="s">
        <v>47</v>
      </c>
      <c r="O605" s="125">
        <v>7672</v>
      </c>
      <c r="P605" s="124"/>
      <c r="Q605" s="124" t="s">
        <v>194</v>
      </c>
      <c r="R605" s="124">
        <v>48</v>
      </c>
      <c r="S605" s="124" t="s">
        <v>48</v>
      </c>
    </row>
    <row r="606" spans="1:19" ht="29.25" x14ac:dyDescent="0.25">
      <c r="A606" s="124">
        <v>4700</v>
      </c>
      <c r="B606" s="124" t="s">
        <v>39</v>
      </c>
      <c r="C606" s="124" t="s">
        <v>40</v>
      </c>
      <c r="D606" s="124" t="s">
        <v>49</v>
      </c>
      <c r="E606" s="124" t="s">
        <v>419</v>
      </c>
      <c r="F606" s="124" t="s">
        <v>420</v>
      </c>
      <c r="G606" s="124">
        <v>122</v>
      </c>
      <c r="H606" s="124" t="s">
        <v>43</v>
      </c>
      <c r="I606" s="124" t="s">
        <v>6</v>
      </c>
      <c r="J606" s="124" t="s">
        <v>44</v>
      </c>
      <c r="K606" s="124" t="s">
        <v>44</v>
      </c>
      <c r="L606" s="124" t="s">
        <v>45</v>
      </c>
      <c r="M606" s="124" t="s">
        <v>46</v>
      </c>
      <c r="N606" s="124" t="s">
        <v>47</v>
      </c>
      <c r="O606" s="125">
        <v>21186</v>
      </c>
      <c r="P606" s="124"/>
      <c r="Q606" s="124" t="s">
        <v>194</v>
      </c>
      <c r="R606" s="124">
        <v>122</v>
      </c>
      <c r="S606" s="124" t="s">
        <v>48</v>
      </c>
    </row>
    <row r="607" spans="1:19" ht="43.5" x14ac:dyDescent="0.25">
      <c r="A607" s="124">
        <v>83900</v>
      </c>
      <c r="B607" s="124" t="s">
        <v>39</v>
      </c>
      <c r="C607" s="124" t="s">
        <v>40</v>
      </c>
      <c r="D607" s="124" t="s">
        <v>49</v>
      </c>
      <c r="E607" s="124" t="s">
        <v>2681</v>
      </c>
      <c r="F607" s="124" t="s">
        <v>2682</v>
      </c>
      <c r="G607" s="124">
        <v>322</v>
      </c>
      <c r="H607" s="124" t="s">
        <v>162</v>
      </c>
      <c r="I607" s="124" t="s">
        <v>2683</v>
      </c>
      <c r="J607" s="124" t="s">
        <v>384</v>
      </c>
      <c r="K607" s="124" t="s">
        <v>724</v>
      </c>
      <c r="L607" s="124" t="s">
        <v>259</v>
      </c>
      <c r="M607" s="124" t="s">
        <v>57</v>
      </c>
      <c r="N607" s="124" t="s">
        <v>163</v>
      </c>
      <c r="O607" s="125">
        <v>37824</v>
      </c>
      <c r="P607" s="124"/>
      <c r="Q607" s="124"/>
      <c r="R607" s="124">
        <v>336.5</v>
      </c>
      <c r="S607" s="124" t="s">
        <v>48</v>
      </c>
    </row>
    <row r="608" spans="1:19" x14ac:dyDescent="0.25">
      <c r="A608" s="124">
        <v>4900</v>
      </c>
      <c r="B608" s="124" t="s">
        <v>39</v>
      </c>
      <c r="C608" s="124" t="s">
        <v>40</v>
      </c>
      <c r="D608" s="124" t="s">
        <v>49</v>
      </c>
      <c r="E608" s="124" t="s">
        <v>2496</v>
      </c>
      <c r="F608" s="124" t="s">
        <v>2497</v>
      </c>
      <c r="G608" s="124">
        <v>41.4</v>
      </c>
      <c r="H608" s="124" t="s">
        <v>7</v>
      </c>
      <c r="I608" s="124" t="s">
        <v>2472</v>
      </c>
      <c r="J608" s="124" t="s">
        <v>314</v>
      </c>
      <c r="K608" s="124" t="s">
        <v>599</v>
      </c>
      <c r="L608" s="124" t="s">
        <v>259</v>
      </c>
      <c r="M608" s="124" t="s">
        <v>57</v>
      </c>
      <c r="N608" s="124" t="s">
        <v>58</v>
      </c>
      <c r="O608" s="125">
        <v>37151</v>
      </c>
      <c r="P608" s="124"/>
      <c r="Q608" s="124"/>
      <c r="R608" s="124">
        <v>43</v>
      </c>
      <c r="S608" s="124" t="s">
        <v>48</v>
      </c>
    </row>
    <row r="609" spans="1:19" ht="29.25" x14ac:dyDescent="0.25">
      <c r="A609" s="124">
        <v>5200</v>
      </c>
      <c r="B609" s="124" t="s">
        <v>39</v>
      </c>
      <c r="C609" s="124" t="s">
        <v>40</v>
      </c>
      <c r="D609" s="124" t="s">
        <v>49</v>
      </c>
      <c r="E609" s="124" t="s">
        <v>2380</v>
      </c>
      <c r="F609" s="124" t="s">
        <v>2381</v>
      </c>
      <c r="G609" s="124">
        <v>48.6</v>
      </c>
      <c r="H609" s="124" t="s">
        <v>43</v>
      </c>
      <c r="I609" s="124" t="s">
        <v>2382</v>
      </c>
      <c r="J609" s="124" t="s">
        <v>384</v>
      </c>
      <c r="K609" s="124" t="s">
        <v>315</v>
      </c>
      <c r="L609" s="124" t="s">
        <v>259</v>
      </c>
      <c r="M609" s="124" t="s">
        <v>46</v>
      </c>
      <c r="N609" s="124" t="s">
        <v>47</v>
      </c>
      <c r="O609" s="125">
        <v>37055</v>
      </c>
      <c r="P609" s="124"/>
      <c r="Q609" s="124"/>
      <c r="R609" s="124">
        <v>48.6</v>
      </c>
      <c r="S609" s="124" t="s">
        <v>48</v>
      </c>
    </row>
    <row r="610" spans="1:19" ht="29.25" x14ac:dyDescent="0.25">
      <c r="A610" s="124">
        <v>5800</v>
      </c>
      <c r="B610" s="124" t="s">
        <v>39</v>
      </c>
      <c r="C610" s="124" t="s">
        <v>40</v>
      </c>
      <c r="D610" s="124" t="s">
        <v>49</v>
      </c>
      <c r="E610" s="124" t="s">
        <v>3170</v>
      </c>
      <c r="F610" s="124" t="s">
        <v>3171</v>
      </c>
      <c r="G610" s="124">
        <v>246.86</v>
      </c>
      <c r="H610" s="124" t="s">
        <v>43</v>
      </c>
      <c r="I610" s="124" t="s">
        <v>879</v>
      </c>
      <c r="J610" s="124" t="s">
        <v>44</v>
      </c>
      <c r="K610" s="124" t="s">
        <v>44</v>
      </c>
      <c r="L610" s="124" t="s">
        <v>45</v>
      </c>
      <c r="M610" s="124" t="s">
        <v>46</v>
      </c>
      <c r="N610" s="124" t="s">
        <v>47</v>
      </c>
      <c r="O610" s="124"/>
      <c r="P610" s="124"/>
      <c r="Q610" s="124"/>
      <c r="R610" s="124">
        <v>252.5</v>
      </c>
      <c r="S610" s="124" t="s">
        <v>48</v>
      </c>
    </row>
    <row r="611" spans="1:19" ht="29.25" x14ac:dyDescent="0.25">
      <c r="A611" s="124">
        <v>42300</v>
      </c>
      <c r="B611" s="124" t="s">
        <v>39</v>
      </c>
      <c r="C611" s="124" t="s">
        <v>49</v>
      </c>
      <c r="D611" s="124" t="s">
        <v>49</v>
      </c>
      <c r="E611" s="124" t="s">
        <v>3176</v>
      </c>
      <c r="F611" s="124" t="s">
        <v>3177</v>
      </c>
      <c r="G611" s="124">
        <v>25.8</v>
      </c>
      <c r="H611" s="124" t="s">
        <v>43</v>
      </c>
      <c r="I611" s="124" t="s">
        <v>3178</v>
      </c>
      <c r="J611" s="124" t="s">
        <v>713</v>
      </c>
      <c r="K611" s="124" t="s">
        <v>724</v>
      </c>
      <c r="L611" s="124" t="s">
        <v>259</v>
      </c>
      <c r="M611" s="124" t="s">
        <v>46</v>
      </c>
      <c r="N611" s="124" t="s">
        <v>793</v>
      </c>
      <c r="O611" s="124"/>
      <c r="P611" s="124"/>
      <c r="Q611" s="124"/>
      <c r="R611" s="124">
        <v>25.8</v>
      </c>
      <c r="S611" s="124" t="s">
        <v>48</v>
      </c>
    </row>
    <row r="612" spans="1:19" ht="29.25" x14ac:dyDescent="0.25">
      <c r="A612" s="124">
        <v>6500</v>
      </c>
      <c r="B612" s="124" t="s">
        <v>39</v>
      </c>
      <c r="C612" s="124" t="s">
        <v>40</v>
      </c>
      <c r="D612" s="124" t="s">
        <v>49</v>
      </c>
      <c r="E612" s="124" t="s">
        <v>721</v>
      </c>
      <c r="F612" s="124" t="s">
        <v>722</v>
      </c>
      <c r="G612" s="124">
        <v>245.3</v>
      </c>
      <c r="H612" s="124" t="s">
        <v>7</v>
      </c>
      <c r="I612" s="124" t="s">
        <v>723</v>
      </c>
      <c r="J612" s="124" t="s">
        <v>384</v>
      </c>
      <c r="K612" s="124" t="s">
        <v>724</v>
      </c>
      <c r="L612" s="124" t="s">
        <v>259</v>
      </c>
      <c r="M612" s="124" t="s">
        <v>57</v>
      </c>
      <c r="N612" s="124" t="s">
        <v>58</v>
      </c>
      <c r="O612" s="125">
        <v>28491</v>
      </c>
      <c r="P612" s="124"/>
      <c r="Q612" s="124"/>
      <c r="R612" s="124">
        <v>256</v>
      </c>
      <c r="S612" s="124" t="s">
        <v>48</v>
      </c>
    </row>
    <row r="613" spans="1:19" ht="29.25" x14ac:dyDescent="0.25">
      <c r="A613" s="124">
        <v>6600</v>
      </c>
      <c r="B613" s="124" t="s">
        <v>39</v>
      </c>
      <c r="C613" s="124" t="s">
        <v>40</v>
      </c>
      <c r="D613" s="124" t="s">
        <v>49</v>
      </c>
      <c r="E613" s="124" t="s">
        <v>732</v>
      </c>
      <c r="F613" s="124" t="s">
        <v>733</v>
      </c>
      <c r="G613" s="124">
        <v>245.9</v>
      </c>
      <c r="H613" s="124" t="s">
        <v>7</v>
      </c>
      <c r="I613" s="124" t="s">
        <v>723</v>
      </c>
      <c r="J613" s="124" t="s">
        <v>384</v>
      </c>
      <c r="K613" s="124" t="s">
        <v>724</v>
      </c>
      <c r="L613" s="124" t="s">
        <v>259</v>
      </c>
      <c r="M613" s="124" t="s">
        <v>57</v>
      </c>
      <c r="N613" s="124" t="s">
        <v>58</v>
      </c>
      <c r="O613" s="125">
        <v>28491</v>
      </c>
      <c r="P613" s="124"/>
      <c r="Q613" s="124"/>
      <c r="R613" s="124">
        <v>256</v>
      </c>
      <c r="S613" s="124" t="s">
        <v>48</v>
      </c>
    </row>
    <row r="614" spans="1:19" ht="29.25" x14ac:dyDescent="0.25">
      <c r="A614" s="124">
        <v>43100</v>
      </c>
      <c r="B614" s="124" t="s">
        <v>39</v>
      </c>
      <c r="C614" s="124" t="s">
        <v>49</v>
      </c>
      <c r="D614" s="124" t="s">
        <v>49</v>
      </c>
      <c r="E614" s="124" t="s">
        <v>1948</v>
      </c>
      <c r="F614" s="124" t="s">
        <v>1949</v>
      </c>
      <c r="G614" s="124">
        <v>99</v>
      </c>
      <c r="H614" s="124" t="s">
        <v>7</v>
      </c>
      <c r="I614" s="124">
        <v>3029</v>
      </c>
      <c r="J614" s="124" t="s">
        <v>663</v>
      </c>
      <c r="K614" s="124" t="s">
        <v>385</v>
      </c>
      <c r="L614" s="124" t="s">
        <v>663</v>
      </c>
      <c r="M614" s="124" t="s">
        <v>57</v>
      </c>
      <c r="N614" s="124" t="s">
        <v>58</v>
      </c>
      <c r="O614" s="125">
        <v>32865</v>
      </c>
      <c r="P614" s="124"/>
      <c r="Q614" s="124"/>
      <c r="R614" s="124">
        <v>67.5</v>
      </c>
      <c r="S614" s="124" t="s">
        <v>48</v>
      </c>
    </row>
    <row r="615" spans="1:19" x14ac:dyDescent="0.25">
      <c r="A615" s="124">
        <v>7100</v>
      </c>
      <c r="B615" s="124" t="s">
        <v>39</v>
      </c>
      <c r="C615" s="124" t="s">
        <v>40</v>
      </c>
      <c r="D615" s="124" t="s">
        <v>49</v>
      </c>
      <c r="E615" s="124" t="s">
        <v>362</v>
      </c>
      <c r="F615" s="124" t="s">
        <v>363</v>
      </c>
      <c r="G615" s="124">
        <v>70.400000000000006</v>
      </c>
      <c r="H615" s="124" t="s">
        <v>43</v>
      </c>
      <c r="I615" s="124" t="s">
        <v>6</v>
      </c>
      <c r="J615" s="124" t="s">
        <v>44</v>
      </c>
      <c r="K615" s="124" t="s">
        <v>44</v>
      </c>
      <c r="L615" s="124" t="s">
        <v>45</v>
      </c>
      <c r="M615" s="124" t="s">
        <v>46</v>
      </c>
      <c r="N615" s="124" t="s">
        <v>47</v>
      </c>
      <c r="O615" s="125">
        <v>17899</v>
      </c>
      <c r="P615" s="124"/>
      <c r="Q615" s="124" t="s">
        <v>194</v>
      </c>
      <c r="R615" s="124">
        <v>70.400000000000006</v>
      </c>
      <c r="S615" s="124" t="s">
        <v>48</v>
      </c>
    </row>
    <row r="616" spans="1:19" ht="29.25" x14ac:dyDescent="0.25">
      <c r="A616" s="124">
        <v>4200</v>
      </c>
      <c r="B616" s="124" t="s">
        <v>39</v>
      </c>
      <c r="C616" s="124" t="s">
        <v>40</v>
      </c>
      <c r="D616" s="124" t="s">
        <v>49</v>
      </c>
      <c r="E616" s="124" t="s">
        <v>2425</v>
      </c>
      <c r="F616" s="124" t="s">
        <v>2426</v>
      </c>
      <c r="G616" s="124">
        <v>25</v>
      </c>
      <c r="H616" s="124" t="s">
        <v>7</v>
      </c>
      <c r="I616" s="124" t="s">
        <v>2426</v>
      </c>
      <c r="J616" s="124" t="s">
        <v>384</v>
      </c>
      <c r="K616" s="124" t="s">
        <v>385</v>
      </c>
      <c r="L616" s="124" t="s">
        <v>956</v>
      </c>
      <c r="M616" s="124" t="s">
        <v>57</v>
      </c>
      <c r="N616" s="124" t="s">
        <v>58</v>
      </c>
      <c r="O616" s="125">
        <v>37104</v>
      </c>
      <c r="P616" s="124" t="s">
        <v>2427</v>
      </c>
      <c r="Q616" s="124"/>
      <c r="R616" s="124">
        <v>30</v>
      </c>
      <c r="S616" s="124" t="s">
        <v>48</v>
      </c>
    </row>
    <row r="617" spans="1:19" x14ac:dyDescent="0.25">
      <c r="A617" s="124">
        <v>95700</v>
      </c>
      <c r="B617" s="124" t="s">
        <v>39</v>
      </c>
      <c r="C617" s="124" t="s">
        <v>40</v>
      </c>
      <c r="D617" s="124" t="s">
        <v>49</v>
      </c>
      <c r="E617" s="124" t="s">
        <v>2897</v>
      </c>
      <c r="F617" s="124" t="s">
        <v>2898</v>
      </c>
      <c r="G617" s="124">
        <v>47</v>
      </c>
      <c r="H617" s="124" t="s">
        <v>7</v>
      </c>
      <c r="I617" s="124" t="s">
        <v>7</v>
      </c>
      <c r="J617" s="124" t="s">
        <v>314</v>
      </c>
      <c r="K617" s="124" t="s">
        <v>599</v>
      </c>
      <c r="L617" s="124" t="s">
        <v>259</v>
      </c>
      <c r="M617" s="124" t="s">
        <v>57</v>
      </c>
      <c r="N617" s="124" t="s">
        <v>58</v>
      </c>
      <c r="O617" s="125">
        <v>39345</v>
      </c>
      <c r="P617" s="124"/>
      <c r="Q617" s="124"/>
      <c r="R617" s="124">
        <v>49</v>
      </c>
      <c r="S617" s="124" t="s">
        <v>48</v>
      </c>
    </row>
    <row r="618" spans="1:19" x14ac:dyDescent="0.25">
      <c r="A618" s="124">
        <v>91300</v>
      </c>
      <c r="B618" s="124" t="s">
        <v>39</v>
      </c>
      <c r="C618" s="124" t="s">
        <v>40</v>
      </c>
      <c r="D618" s="124" t="s">
        <v>49</v>
      </c>
      <c r="E618" s="124" t="s">
        <v>2731</v>
      </c>
      <c r="F618" s="124" t="s">
        <v>2732</v>
      </c>
      <c r="G618" s="124">
        <v>28</v>
      </c>
      <c r="H618" s="124" t="s">
        <v>7</v>
      </c>
      <c r="I618" s="124" t="s">
        <v>2733</v>
      </c>
      <c r="J618" s="124" t="s">
        <v>384</v>
      </c>
      <c r="K618" s="124" t="s">
        <v>724</v>
      </c>
      <c r="L618" s="124" t="s">
        <v>259</v>
      </c>
      <c r="M618" s="124" t="s">
        <v>57</v>
      </c>
      <c r="N618" s="124" t="s">
        <v>58</v>
      </c>
      <c r="O618" s="125">
        <v>38411</v>
      </c>
      <c r="P618" s="124"/>
      <c r="Q618" s="124"/>
      <c r="R618" s="124">
        <v>32.270000000000003</v>
      </c>
      <c r="S618" s="124" t="s">
        <v>48</v>
      </c>
    </row>
    <row r="619" spans="1:19" ht="43.5" x14ac:dyDescent="0.25">
      <c r="A619" s="124">
        <v>94000</v>
      </c>
      <c r="B619" s="124" t="s">
        <v>39</v>
      </c>
      <c r="C619" s="124" t="s">
        <v>49</v>
      </c>
      <c r="D619" s="124" t="s">
        <v>49</v>
      </c>
      <c r="E619" s="124" t="s">
        <v>3182</v>
      </c>
      <c r="F619" s="124" t="s">
        <v>3183</v>
      </c>
      <c r="G619" s="124">
        <v>1.5</v>
      </c>
      <c r="H619" s="124" t="s">
        <v>43</v>
      </c>
      <c r="I619" s="124" t="s">
        <v>3184</v>
      </c>
      <c r="J619" s="124" t="s">
        <v>44</v>
      </c>
      <c r="K619" s="124" t="s">
        <v>44</v>
      </c>
      <c r="L619" s="124" t="s">
        <v>45</v>
      </c>
      <c r="M619" s="124" t="s">
        <v>46</v>
      </c>
      <c r="N619" s="124" t="s">
        <v>47</v>
      </c>
      <c r="O619" s="124"/>
      <c r="P619" s="124" t="s">
        <v>3185</v>
      </c>
      <c r="Q619" s="124"/>
      <c r="R619" s="124">
        <v>1.5</v>
      </c>
      <c r="S619" s="124" t="s">
        <v>48</v>
      </c>
    </row>
    <row r="620" spans="1:19" ht="29.25" x14ac:dyDescent="0.25">
      <c r="A620" s="124">
        <v>7500</v>
      </c>
      <c r="B620" s="124" t="s">
        <v>39</v>
      </c>
      <c r="C620" s="124" t="s">
        <v>49</v>
      </c>
      <c r="D620" s="124" t="s">
        <v>49</v>
      </c>
      <c r="E620" s="124" t="s">
        <v>1967</v>
      </c>
      <c r="F620" s="124" t="s">
        <v>1968</v>
      </c>
      <c r="G620" s="124">
        <v>49</v>
      </c>
      <c r="H620" s="124" t="s">
        <v>7</v>
      </c>
      <c r="I620" s="124" t="s">
        <v>1969</v>
      </c>
      <c r="J620" s="124" t="s">
        <v>807</v>
      </c>
      <c r="K620" s="124" t="s">
        <v>385</v>
      </c>
      <c r="L620" s="124" t="s">
        <v>808</v>
      </c>
      <c r="M620" s="124" t="s">
        <v>57</v>
      </c>
      <c r="N620" s="124" t="s">
        <v>58</v>
      </c>
      <c r="O620" s="125">
        <v>32874</v>
      </c>
      <c r="P620" s="124"/>
      <c r="Q620" s="124"/>
      <c r="R620" s="124">
        <v>58</v>
      </c>
      <c r="S620" s="124" t="s">
        <v>48</v>
      </c>
    </row>
    <row r="621" spans="1:19" ht="29.25" x14ac:dyDescent="0.25">
      <c r="A621" s="124">
        <v>7600</v>
      </c>
      <c r="B621" s="124" t="s">
        <v>39</v>
      </c>
      <c r="C621" s="124" t="s">
        <v>40</v>
      </c>
      <c r="D621" s="124" t="s">
        <v>49</v>
      </c>
      <c r="E621" s="124" t="s">
        <v>2552</v>
      </c>
      <c r="F621" s="124" t="s">
        <v>2553</v>
      </c>
      <c r="G621" s="124">
        <v>880</v>
      </c>
      <c r="H621" s="124" t="s">
        <v>43</v>
      </c>
      <c r="I621" s="124" t="s">
        <v>2554</v>
      </c>
      <c r="J621" s="124" t="s">
        <v>384</v>
      </c>
      <c r="K621" s="124" t="s">
        <v>724</v>
      </c>
      <c r="L621" s="124" t="s">
        <v>259</v>
      </c>
      <c r="M621" s="124" t="s">
        <v>46</v>
      </c>
      <c r="N621" s="124" t="s">
        <v>47</v>
      </c>
      <c r="O621" s="125">
        <v>37424</v>
      </c>
      <c r="P621" s="124"/>
      <c r="Q621" s="124"/>
      <c r="R621" s="124">
        <v>943.5</v>
      </c>
      <c r="S621" s="124" t="s">
        <v>48</v>
      </c>
    </row>
    <row r="622" spans="1:19" ht="29.25" x14ac:dyDescent="0.25">
      <c r="A622" s="124">
        <v>7700</v>
      </c>
      <c r="B622" s="124" t="s">
        <v>39</v>
      </c>
      <c r="C622" s="124" t="s">
        <v>40</v>
      </c>
      <c r="D622" s="124" t="s">
        <v>49</v>
      </c>
      <c r="E622" s="124" t="s">
        <v>673</v>
      </c>
      <c r="F622" s="124" t="s">
        <v>674</v>
      </c>
      <c r="G622" s="124">
        <v>236.8</v>
      </c>
      <c r="H622" s="124" t="s">
        <v>7</v>
      </c>
      <c r="I622" s="124" t="s">
        <v>560</v>
      </c>
      <c r="J622" s="124" t="s">
        <v>44</v>
      </c>
      <c r="K622" s="124" t="s">
        <v>44</v>
      </c>
      <c r="L622" s="124" t="s">
        <v>45</v>
      </c>
      <c r="M622" s="124" t="s">
        <v>57</v>
      </c>
      <c r="N622" s="124" t="s">
        <v>58</v>
      </c>
      <c r="O622" s="125">
        <v>26299</v>
      </c>
      <c r="P622" s="124"/>
      <c r="Q622" s="124"/>
      <c r="R622" s="124">
        <v>280</v>
      </c>
      <c r="S622" s="124" t="s">
        <v>48</v>
      </c>
    </row>
    <row r="623" spans="1:19" ht="43.5" x14ac:dyDescent="0.25">
      <c r="A623" s="124">
        <v>8000</v>
      </c>
      <c r="B623" s="124" t="s">
        <v>39</v>
      </c>
      <c r="C623" s="124" t="s">
        <v>40</v>
      </c>
      <c r="D623" s="124" t="s">
        <v>49</v>
      </c>
      <c r="E623" s="124" t="s">
        <v>2305</v>
      </c>
      <c r="F623" s="124" t="s">
        <v>2306</v>
      </c>
      <c r="G623" s="124">
        <v>21</v>
      </c>
      <c r="H623" s="124" t="s">
        <v>7</v>
      </c>
      <c r="I623" s="124" t="s">
        <v>765</v>
      </c>
      <c r="J623" s="124" t="s">
        <v>44</v>
      </c>
      <c r="K623" s="124" t="s">
        <v>561</v>
      </c>
      <c r="L623" s="124" t="s">
        <v>45</v>
      </c>
      <c r="M623" s="124" t="s">
        <v>57</v>
      </c>
      <c r="N623" s="124" t="s">
        <v>58</v>
      </c>
      <c r="O623" s="125">
        <v>36892</v>
      </c>
      <c r="P623" s="124" t="s">
        <v>2307</v>
      </c>
      <c r="Q623" s="124"/>
      <c r="R623" s="124">
        <v>39.6</v>
      </c>
      <c r="S623" s="124" t="s">
        <v>48</v>
      </c>
    </row>
    <row r="624" spans="1:19" ht="29.25" x14ac:dyDescent="0.25">
      <c r="A624" s="124">
        <v>91400</v>
      </c>
      <c r="B624" s="124" t="s">
        <v>39</v>
      </c>
      <c r="C624" s="124" t="s">
        <v>40</v>
      </c>
      <c r="D624" s="124" t="s">
        <v>49</v>
      </c>
      <c r="E624" s="124" t="s">
        <v>2738</v>
      </c>
      <c r="F624" s="124" t="s">
        <v>2739</v>
      </c>
      <c r="G624" s="124">
        <v>147.80000000000001</v>
      </c>
      <c r="H624" s="124" t="s">
        <v>43</v>
      </c>
      <c r="I624" s="124" t="s">
        <v>2740</v>
      </c>
      <c r="J624" s="124" t="s">
        <v>384</v>
      </c>
      <c r="K624" s="124" t="s">
        <v>724</v>
      </c>
      <c r="L624" s="124" t="s">
        <v>259</v>
      </c>
      <c r="M624" s="124" t="s">
        <v>46</v>
      </c>
      <c r="N624" s="124" t="s">
        <v>2741</v>
      </c>
      <c r="O624" s="125">
        <v>38435</v>
      </c>
      <c r="P624" s="124"/>
      <c r="Q624" s="124"/>
      <c r="R624" s="124">
        <v>154.4</v>
      </c>
      <c r="S624" s="124" t="s">
        <v>48</v>
      </c>
    </row>
    <row r="625" spans="1:19" x14ac:dyDescent="0.25">
      <c r="A625" s="124">
        <v>8400</v>
      </c>
      <c r="B625" s="124" t="s">
        <v>39</v>
      </c>
      <c r="C625" s="124" t="s">
        <v>40</v>
      </c>
      <c r="D625" s="124" t="s">
        <v>49</v>
      </c>
      <c r="E625" s="124" t="s">
        <v>2470</v>
      </c>
      <c r="F625" s="124" t="s">
        <v>2471</v>
      </c>
      <c r="G625" s="124">
        <v>41.4</v>
      </c>
      <c r="H625" s="124" t="s">
        <v>7</v>
      </c>
      <c r="I625" s="124" t="s">
        <v>2472</v>
      </c>
      <c r="J625" s="124" t="s">
        <v>314</v>
      </c>
      <c r="K625" s="124" t="s">
        <v>599</v>
      </c>
      <c r="L625" s="124" t="s">
        <v>259</v>
      </c>
      <c r="M625" s="124" t="s">
        <v>57</v>
      </c>
      <c r="N625" s="124" t="s">
        <v>58</v>
      </c>
      <c r="O625" s="125">
        <v>37117</v>
      </c>
      <c r="P625" s="124"/>
      <c r="Q625" s="124"/>
      <c r="R625" s="124">
        <v>43</v>
      </c>
      <c r="S625" s="124" t="s">
        <v>48</v>
      </c>
    </row>
    <row r="626" spans="1:19" ht="29.25" x14ac:dyDescent="0.25">
      <c r="A626" s="124">
        <v>8500</v>
      </c>
      <c r="B626" s="124" t="s">
        <v>39</v>
      </c>
      <c r="C626" s="124" t="s">
        <v>40</v>
      </c>
      <c r="D626" s="124" t="s">
        <v>49</v>
      </c>
      <c r="E626" s="124" t="s">
        <v>146</v>
      </c>
      <c r="F626" s="124" t="s">
        <v>147</v>
      </c>
      <c r="G626" s="124">
        <v>26</v>
      </c>
      <c r="H626" s="124" t="s">
        <v>43</v>
      </c>
      <c r="I626" s="124" t="s">
        <v>6</v>
      </c>
      <c r="J626" s="124" t="s">
        <v>44</v>
      </c>
      <c r="K626" s="124" t="s">
        <v>44</v>
      </c>
      <c r="L626" s="124" t="s">
        <v>45</v>
      </c>
      <c r="M626" s="124" t="s">
        <v>46</v>
      </c>
      <c r="N626" s="124" t="s">
        <v>47</v>
      </c>
      <c r="O626" s="125">
        <v>4750</v>
      </c>
      <c r="P626" s="124"/>
      <c r="Q626" s="124" t="s">
        <v>148</v>
      </c>
      <c r="R626" s="124">
        <v>26.6</v>
      </c>
      <c r="S626" s="124" t="s">
        <v>48</v>
      </c>
    </row>
    <row r="627" spans="1:19" ht="29.25" x14ac:dyDescent="0.25">
      <c r="A627" s="124">
        <v>8600</v>
      </c>
      <c r="B627" s="124" t="s">
        <v>39</v>
      </c>
      <c r="C627" s="124" t="s">
        <v>40</v>
      </c>
      <c r="D627" s="124" t="s">
        <v>49</v>
      </c>
      <c r="E627" s="124" t="s">
        <v>221</v>
      </c>
      <c r="F627" s="124" t="s">
        <v>222</v>
      </c>
      <c r="G627" s="124">
        <v>28.9</v>
      </c>
      <c r="H627" s="124" t="s">
        <v>43</v>
      </c>
      <c r="I627" s="124" t="s">
        <v>6</v>
      </c>
      <c r="J627" s="124" t="s">
        <v>44</v>
      </c>
      <c r="K627" s="124" t="s">
        <v>44</v>
      </c>
      <c r="L627" s="124" t="s">
        <v>45</v>
      </c>
      <c r="M627" s="124" t="s">
        <v>46</v>
      </c>
      <c r="N627" s="124" t="s">
        <v>47</v>
      </c>
      <c r="O627" s="125">
        <v>8037</v>
      </c>
      <c r="P627" s="124"/>
      <c r="Q627" s="124" t="s">
        <v>148</v>
      </c>
      <c r="R627" s="124">
        <v>27.4</v>
      </c>
      <c r="S627" s="124" t="s">
        <v>48</v>
      </c>
    </row>
    <row r="628" spans="1:19" ht="29.25" x14ac:dyDescent="0.25">
      <c r="A628" s="124">
        <v>89900</v>
      </c>
      <c r="B628" s="124" t="s">
        <v>39</v>
      </c>
      <c r="C628" s="124" t="s">
        <v>40</v>
      </c>
      <c r="D628" s="124" t="s">
        <v>49</v>
      </c>
      <c r="E628" s="124" t="s">
        <v>2718</v>
      </c>
      <c r="F628" s="124" t="s">
        <v>2719</v>
      </c>
      <c r="G628" s="124">
        <v>3.74</v>
      </c>
      <c r="H628" s="124" t="s">
        <v>7</v>
      </c>
      <c r="I628" s="124" t="s">
        <v>2720</v>
      </c>
      <c r="J628" s="124" t="s">
        <v>807</v>
      </c>
      <c r="K628" s="124" t="s">
        <v>315</v>
      </c>
      <c r="L628" s="124" t="s">
        <v>915</v>
      </c>
      <c r="M628" s="124" t="s">
        <v>57</v>
      </c>
      <c r="N628" s="124" t="s">
        <v>58</v>
      </c>
      <c r="O628" s="125">
        <v>38103</v>
      </c>
      <c r="P628" s="124"/>
      <c r="Q628" s="124"/>
      <c r="R628" s="124">
        <v>4.05</v>
      </c>
      <c r="S628" s="124" t="s">
        <v>48</v>
      </c>
    </row>
    <row r="629" spans="1:19" x14ac:dyDescent="0.25">
      <c r="A629" s="124">
        <v>9600</v>
      </c>
      <c r="B629" s="124" t="s">
        <v>39</v>
      </c>
      <c r="C629" s="124" t="s">
        <v>40</v>
      </c>
      <c r="D629" s="124" t="s">
        <v>49</v>
      </c>
      <c r="E629" s="124" t="s">
        <v>352</v>
      </c>
      <c r="F629" s="124" t="s">
        <v>353</v>
      </c>
      <c r="G629" s="124">
        <v>101.5</v>
      </c>
      <c r="H629" s="124" t="s">
        <v>43</v>
      </c>
      <c r="I629" s="124" t="s">
        <v>6</v>
      </c>
      <c r="J629" s="124" t="s">
        <v>44</v>
      </c>
      <c r="K629" s="124" t="s">
        <v>44</v>
      </c>
      <c r="L629" s="124" t="s">
        <v>45</v>
      </c>
      <c r="M629" s="124" t="s">
        <v>46</v>
      </c>
      <c r="N629" s="124" t="s">
        <v>47</v>
      </c>
      <c r="O629" s="125">
        <v>17533</v>
      </c>
      <c r="P629" s="124"/>
      <c r="Q629" s="124" t="s">
        <v>293</v>
      </c>
      <c r="R629" s="124">
        <v>92</v>
      </c>
      <c r="S629" s="124" t="s">
        <v>48</v>
      </c>
    </row>
    <row r="630" spans="1:19" ht="29.25" x14ac:dyDescent="0.25">
      <c r="A630" s="124">
        <v>84100</v>
      </c>
      <c r="B630" s="124" t="s">
        <v>39</v>
      </c>
      <c r="C630" s="124" t="s">
        <v>40</v>
      </c>
      <c r="D630" s="124" t="s">
        <v>49</v>
      </c>
      <c r="E630" s="124" t="s">
        <v>2688</v>
      </c>
      <c r="F630" s="124" t="s">
        <v>2689</v>
      </c>
      <c r="G630" s="124">
        <v>551.70000000000005</v>
      </c>
      <c r="H630" s="124" t="s">
        <v>43</v>
      </c>
      <c r="I630" s="124" t="s">
        <v>2690</v>
      </c>
      <c r="J630" s="124" t="s">
        <v>384</v>
      </c>
      <c r="K630" s="124" t="s">
        <v>724</v>
      </c>
      <c r="L630" s="124" t="s">
        <v>259</v>
      </c>
      <c r="M630" s="124" t="s">
        <v>212</v>
      </c>
      <c r="N630" s="124" t="s">
        <v>213</v>
      </c>
      <c r="O630" s="125">
        <v>37826</v>
      </c>
      <c r="P630" s="124"/>
      <c r="Q630" s="124"/>
      <c r="R630" s="124">
        <v>561</v>
      </c>
      <c r="S630" s="124" t="s">
        <v>48</v>
      </c>
    </row>
    <row r="631" spans="1:19" ht="43.5" x14ac:dyDescent="0.25">
      <c r="A631" s="124">
        <v>11300</v>
      </c>
      <c r="B631" s="124" t="s">
        <v>39</v>
      </c>
      <c r="C631" s="124" t="s">
        <v>40</v>
      </c>
      <c r="D631" s="124" t="s">
        <v>49</v>
      </c>
      <c r="E631" s="124" t="s">
        <v>68</v>
      </c>
      <c r="F631" s="124" t="s">
        <v>69</v>
      </c>
      <c r="G631" s="124">
        <v>2.56</v>
      </c>
      <c r="H631" s="124" t="s">
        <v>7</v>
      </c>
      <c r="I631" s="124" t="s">
        <v>7</v>
      </c>
      <c r="J631" s="124" t="s">
        <v>44</v>
      </c>
      <c r="K631" s="124" t="s">
        <v>44</v>
      </c>
      <c r="L631" s="124" t="s">
        <v>45</v>
      </c>
      <c r="M631" s="124" t="s">
        <v>57</v>
      </c>
      <c r="N631" s="124" t="s">
        <v>58</v>
      </c>
      <c r="O631" s="125">
        <v>1462</v>
      </c>
      <c r="P631" s="124" t="s">
        <v>59</v>
      </c>
      <c r="Q631" s="124"/>
      <c r="R631" s="124">
        <v>2.56</v>
      </c>
      <c r="S631" s="124" t="s">
        <v>48</v>
      </c>
    </row>
    <row r="632" spans="1:19" ht="57.75" x14ac:dyDescent="0.25">
      <c r="A632" s="124">
        <v>11600</v>
      </c>
      <c r="B632" s="124" t="s">
        <v>39</v>
      </c>
      <c r="C632" s="124" t="s">
        <v>40</v>
      </c>
      <c r="D632" s="124" t="s">
        <v>49</v>
      </c>
      <c r="E632" s="124" t="s">
        <v>2333</v>
      </c>
      <c r="F632" s="124" t="s">
        <v>2334</v>
      </c>
      <c r="G632" s="124">
        <v>50.6</v>
      </c>
      <c r="H632" s="124" t="s">
        <v>43</v>
      </c>
      <c r="I632" s="124" t="s">
        <v>1974</v>
      </c>
      <c r="J632" s="124" t="s">
        <v>384</v>
      </c>
      <c r="K632" s="124" t="s">
        <v>724</v>
      </c>
      <c r="L632" s="124" t="s">
        <v>259</v>
      </c>
      <c r="M632" s="124" t="s">
        <v>46</v>
      </c>
      <c r="N632" s="124" t="s">
        <v>47</v>
      </c>
      <c r="O632" s="125">
        <v>36892</v>
      </c>
      <c r="P632" s="124" t="s">
        <v>2335</v>
      </c>
      <c r="Q632" s="124"/>
      <c r="R632" s="124">
        <v>54</v>
      </c>
      <c r="S632" s="124" t="s">
        <v>48</v>
      </c>
    </row>
    <row r="633" spans="1:19" ht="29.25" x14ac:dyDescent="0.25">
      <c r="A633" s="124">
        <v>93300</v>
      </c>
      <c r="B633" s="124" t="s">
        <v>39</v>
      </c>
      <c r="C633" s="124" t="s">
        <v>40</v>
      </c>
      <c r="D633" s="124" t="s">
        <v>49</v>
      </c>
      <c r="E633" s="124" t="s">
        <v>2869</v>
      </c>
      <c r="F633" s="124" t="s">
        <v>2870</v>
      </c>
      <c r="G633" s="124">
        <v>22.69</v>
      </c>
      <c r="H633" s="124" t="s">
        <v>43</v>
      </c>
      <c r="I633" s="124" t="s">
        <v>2871</v>
      </c>
      <c r="J633" s="124" t="s">
        <v>314</v>
      </c>
      <c r="K633" s="124" t="s">
        <v>1052</v>
      </c>
      <c r="L633" s="124" t="s">
        <v>259</v>
      </c>
      <c r="M633" s="124" t="s">
        <v>46</v>
      </c>
      <c r="N633" s="124" t="s">
        <v>47</v>
      </c>
      <c r="O633" s="125">
        <v>38959</v>
      </c>
      <c r="P633" s="124"/>
      <c r="Q633" s="124"/>
      <c r="R633" s="124">
        <v>22.69</v>
      </c>
      <c r="S633" s="124" t="s">
        <v>48</v>
      </c>
    </row>
    <row r="634" spans="1:19" x14ac:dyDescent="0.25">
      <c r="A634" s="124">
        <v>92300</v>
      </c>
      <c r="B634" s="124" t="s">
        <v>39</v>
      </c>
      <c r="C634" s="124" t="s">
        <v>40</v>
      </c>
      <c r="D634" s="124" t="s">
        <v>49</v>
      </c>
      <c r="E634" s="124" t="s">
        <v>2790</v>
      </c>
      <c r="F634" s="124" t="s">
        <v>2791</v>
      </c>
      <c r="G634" s="124">
        <v>46</v>
      </c>
      <c r="H634" s="124" t="s">
        <v>43</v>
      </c>
      <c r="I634" s="124" t="s">
        <v>2519</v>
      </c>
      <c r="J634" s="124" t="s">
        <v>314</v>
      </c>
      <c r="K634" s="124" t="s">
        <v>1052</v>
      </c>
      <c r="L634" s="124" t="s">
        <v>259</v>
      </c>
      <c r="M634" s="124" t="s">
        <v>212</v>
      </c>
      <c r="N634" s="124" t="s">
        <v>213</v>
      </c>
      <c r="O634" s="125">
        <v>38567</v>
      </c>
      <c r="P634" s="124"/>
      <c r="Q634" s="124"/>
      <c r="R634" s="124">
        <v>46.35</v>
      </c>
      <c r="S634" s="124" t="s">
        <v>48</v>
      </c>
    </row>
    <row r="635" spans="1:19" ht="29.25" x14ac:dyDescent="0.25">
      <c r="A635" s="124">
        <v>12200</v>
      </c>
      <c r="B635" s="124" t="s">
        <v>39</v>
      </c>
      <c r="C635" s="124" t="s">
        <v>49</v>
      </c>
      <c r="D635" s="124" t="s">
        <v>49</v>
      </c>
      <c r="E635" s="124" t="s">
        <v>1485</v>
      </c>
      <c r="F635" s="124" t="s">
        <v>1486</v>
      </c>
      <c r="G635" s="124">
        <v>9.9</v>
      </c>
      <c r="H635" s="124" t="s">
        <v>7</v>
      </c>
      <c r="I635" s="124" t="s">
        <v>1487</v>
      </c>
      <c r="J635" s="124" t="s">
        <v>713</v>
      </c>
      <c r="K635" s="124" t="s">
        <v>599</v>
      </c>
      <c r="L635" s="124" t="s">
        <v>259</v>
      </c>
      <c r="M635" s="124" t="s">
        <v>57</v>
      </c>
      <c r="N635" s="124" t="s">
        <v>58</v>
      </c>
      <c r="O635" s="125">
        <v>31778</v>
      </c>
      <c r="P635" s="124"/>
      <c r="Q635" s="124"/>
      <c r="R635" s="124">
        <v>10.5</v>
      </c>
      <c r="S635" s="124" t="s">
        <v>48</v>
      </c>
    </row>
    <row r="636" spans="1:19" ht="29.25" x14ac:dyDescent="0.25">
      <c r="A636" s="124">
        <v>93500</v>
      </c>
      <c r="B636" s="124" t="s">
        <v>39</v>
      </c>
      <c r="C636" s="124" t="s">
        <v>49</v>
      </c>
      <c r="D636" s="124" t="s">
        <v>49</v>
      </c>
      <c r="E636" s="124" t="s">
        <v>3269</v>
      </c>
      <c r="F636" s="124" t="s">
        <v>3270</v>
      </c>
      <c r="G636" s="124">
        <v>22</v>
      </c>
      <c r="H636" s="124" t="s">
        <v>43</v>
      </c>
      <c r="I636" s="124"/>
      <c r="J636" s="124" t="s">
        <v>663</v>
      </c>
      <c r="K636" s="124" t="s">
        <v>1052</v>
      </c>
      <c r="L636" s="124" t="s">
        <v>663</v>
      </c>
      <c r="M636" s="124" t="s">
        <v>46</v>
      </c>
      <c r="N636" s="124" t="s">
        <v>47</v>
      </c>
      <c r="O636" s="124"/>
      <c r="P636" s="124" t="s">
        <v>3258</v>
      </c>
      <c r="Q636" s="124"/>
      <c r="R636" s="124">
        <v>22</v>
      </c>
      <c r="S636" s="124" t="s">
        <v>48</v>
      </c>
    </row>
    <row r="637" spans="1:19" ht="29.25" x14ac:dyDescent="0.25">
      <c r="A637" s="124">
        <v>48000</v>
      </c>
      <c r="B637" s="124" t="s">
        <v>39</v>
      </c>
      <c r="C637" s="124" t="s">
        <v>40</v>
      </c>
      <c r="D637" s="124" t="s">
        <v>49</v>
      </c>
      <c r="E637" s="124" t="s">
        <v>1069</v>
      </c>
      <c r="F637" s="124" t="s">
        <v>1070</v>
      </c>
      <c r="G637" s="124">
        <v>92.1</v>
      </c>
      <c r="H637" s="124" t="s">
        <v>43</v>
      </c>
      <c r="I637" s="124" t="s">
        <v>1071</v>
      </c>
      <c r="J637" s="124" t="s">
        <v>663</v>
      </c>
      <c r="K637" s="124" t="s">
        <v>385</v>
      </c>
      <c r="L637" s="124" t="s">
        <v>663</v>
      </c>
      <c r="M637" s="124" t="s">
        <v>46</v>
      </c>
      <c r="N637" s="124" t="s">
        <v>47</v>
      </c>
      <c r="O637" s="125">
        <v>30755</v>
      </c>
      <c r="P637" s="124"/>
      <c r="Q637" s="124"/>
      <c r="R637" s="124">
        <v>103.8</v>
      </c>
      <c r="S637" s="124" t="s">
        <v>48</v>
      </c>
    </row>
    <row r="638" spans="1:19" ht="29.25" x14ac:dyDescent="0.25">
      <c r="A638" s="124">
        <v>13500</v>
      </c>
      <c r="B638" s="124" t="s">
        <v>39</v>
      </c>
      <c r="C638" s="124" t="s">
        <v>40</v>
      </c>
      <c r="D638" s="124" t="s">
        <v>49</v>
      </c>
      <c r="E638" s="124" t="s">
        <v>660</v>
      </c>
      <c r="F638" s="124" t="s">
        <v>661</v>
      </c>
      <c r="G638" s="124">
        <v>85</v>
      </c>
      <c r="H638" s="124" t="s">
        <v>43</v>
      </c>
      <c r="I638" s="124" t="s">
        <v>662</v>
      </c>
      <c r="J638" s="124" t="s">
        <v>663</v>
      </c>
      <c r="K638" s="124" t="s">
        <v>385</v>
      </c>
      <c r="L638" s="124" t="s">
        <v>663</v>
      </c>
      <c r="M638" s="124" t="s">
        <v>46</v>
      </c>
      <c r="N638" s="124" t="s">
        <v>47</v>
      </c>
      <c r="O638" s="125">
        <v>25934</v>
      </c>
      <c r="P638" s="124"/>
      <c r="Q638" s="124"/>
      <c r="R638" s="124">
        <v>110</v>
      </c>
      <c r="S638" s="124" t="s">
        <v>48</v>
      </c>
    </row>
    <row r="639" spans="1:19" ht="29.25" x14ac:dyDescent="0.25">
      <c r="A639" s="124">
        <v>13600</v>
      </c>
      <c r="B639" s="124" t="s">
        <v>39</v>
      </c>
      <c r="C639" s="124" t="s">
        <v>40</v>
      </c>
      <c r="D639" s="124" t="s">
        <v>49</v>
      </c>
      <c r="E639" s="124" t="s">
        <v>677</v>
      </c>
      <c r="F639" s="124" t="s">
        <v>678</v>
      </c>
      <c r="G639" s="124">
        <v>82</v>
      </c>
      <c r="H639" s="124" t="s">
        <v>43</v>
      </c>
      <c r="I639" s="124" t="s">
        <v>662</v>
      </c>
      <c r="J639" s="124" t="s">
        <v>663</v>
      </c>
      <c r="K639" s="124" t="s">
        <v>385</v>
      </c>
      <c r="L639" s="124" t="s">
        <v>663</v>
      </c>
      <c r="M639" s="124" t="s">
        <v>46</v>
      </c>
      <c r="N639" s="124" t="s">
        <v>47</v>
      </c>
      <c r="O639" s="125">
        <v>26299</v>
      </c>
      <c r="P639" s="124"/>
      <c r="Q639" s="124"/>
      <c r="R639" s="124">
        <v>110</v>
      </c>
      <c r="S639" s="124" t="s">
        <v>48</v>
      </c>
    </row>
    <row r="640" spans="1:19" ht="29.25" x14ac:dyDescent="0.25">
      <c r="A640" s="124">
        <v>48100</v>
      </c>
      <c r="B640" s="124" t="s">
        <v>39</v>
      </c>
      <c r="C640" s="124" t="s">
        <v>49</v>
      </c>
      <c r="D640" s="124" t="s">
        <v>49</v>
      </c>
      <c r="E640" s="124" t="s">
        <v>1493</v>
      </c>
      <c r="F640" s="124" t="s">
        <v>1494</v>
      </c>
      <c r="G640" s="124">
        <v>120</v>
      </c>
      <c r="H640" s="124" t="s">
        <v>43</v>
      </c>
      <c r="I640" s="124" t="s">
        <v>1495</v>
      </c>
      <c r="J640" s="124" t="s">
        <v>713</v>
      </c>
      <c r="K640" s="124" t="s">
        <v>724</v>
      </c>
      <c r="L640" s="124" t="s">
        <v>259</v>
      </c>
      <c r="M640" s="124" t="s">
        <v>46</v>
      </c>
      <c r="N640" s="124" t="s">
        <v>47</v>
      </c>
      <c r="O640" s="125">
        <v>31778</v>
      </c>
      <c r="P640" s="124" t="s">
        <v>1496</v>
      </c>
      <c r="Q640" s="124"/>
      <c r="R640" s="124">
        <v>140</v>
      </c>
      <c r="S640" s="124" t="s">
        <v>48</v>
      </c>
    </row>
    <row r="641" spans="1:19" ht="29.25" x14ac:dyDescent="0.25">
      <c r="A641" s="124">
        <v>14000</v>
      </c>
      <c r="B641" s="124" t="s">
        <v>39</v>
      </c>
      <c r="C641" s="124" t="s">
        <v>40</v>
      </c>
      <c r="D641" s="124" t="s">
        <v>49</v>
      </c>
      <c r="E641" s="124" t="s">
        <v>2524</v>
      </c>
      <c r="F641" s="124" t="s">
        <v>2525</v>
      </c>
      <c r="G641" s="124">
        <v>95.4</v>
      </c>
      <c r="H641" s="124" t="s">
        <v>43</v>
      </c>
      <c r="I641" s="124" t="s">
        <v>662</v>
      </c>
      <c r="J641" s="124" t="s">
        <v>314</v>
      </c>
      <c r="K641" s="124" t="s">
        <v>599</v>
      </c>
      <c r="L641" s="124" t="s">
        <v>259</v>
      </c>
      <c r="M641" s="124" t="s">
        <v>46</v>
      </c>
      <c r="N641" s="124" t="s">
        <v>47</v>
      </c>
      <c r="O641" s="125">
        <v>37285</v>
      </c>
      <c r="P641" s="124"/>
      <c r="Q641" s="124"/>
      <c r="R641" s="124">
        <v>99.8</v>
      </c>
      <c r="S641" s="124" t="s">
        <v>48</v>
      </c>
    </row>
    <row r="642" spans="1:19" ht="29.25" x14ac:dyDescent="0.25">
      <c r="A642" s="124">
        <v>90500</v>
      </c>
      <c r="B642" s="124" t="s">
        <v>39</v>
      </c>
      <c r="C642" s="124" t="s">
        <v>49</v>
      </c>
      <c r="D642" s="124" t="s">
        <v>49</v>
      </c>
      <c r="E642" s="124" t="s">
        <v>3202</v>
      </c>
      <c r="F642" s="124" t="s">
        <v>3203</v>
      </c>
      <c r="G642" s="124">
        <v>16.5</v>
      </c>
      <c r="H642" s="124" t="s">
        <v>7</v>
      </c>
      <c r="I642" s="124" t="s">
        <v>3204</v>
      </c>
      <c r="J642" s="124" t="s">
        <v>800</v>
      </c>
      <c r="K642" s="124" t="s">
        <v>800</v>
      </c>
      <c r="L642" s="124" t="s">
        <v>800</v>
      </c>
      <c r="M642" s="124" t="s">
        <v>57</v>
      </c>
      <c r="N642" s="124" t="s">
        <v>58</v>
      </c>
      <c r="O642" s="124"/>
      <c r="P642" s="124"/>
      <c r="Q642" s="124"/>
      <c r="R642" s="124">
        <v>16.5</v>
      </c>
      <c r="S642" s="124" t="s">
        <v>48</v>
      </c>
    </row>
    <row r="643" spans="1:19" ht="29.25" x14ac:dyDescent="0.25">
      <c r="A643" s="124">
        <v>14400</v>
      </c>
      <c r="B643" s="124" t="s">
        <v>39</v>
      </c>
      <c r="C643" s="124" t="s">
        <v>40</v>
      </c>
      <c r="D643" s="124" t="s">
        <v>49</v>
      </c>
      <c r="E643" s="124" t="s">
        <v>2483</v>
      </c>
      <c r="F643" s="124" t="s">
        <v>2484</v>
      </c>
      <c r="G643" s="124">
        <v>98.46</v>
      </c>
      <c r="H643" s="124" t="s">
        <v>43</v>
      </c>
      <c r="I643" s="124" t="s">
        <v>2338</v>
      </c>
      <c r="J643" s="124" t="s">
        <v>314</v>
      </c>
      <c r="K643" s="124" t="s">
        <v>599</v>
      </c>
      <c r="L643" s="124" t="s">
        <v>259</v>
      </c>
      <c r="M643" s="124" t="s">
        <v>46</v>
      </c>
      <c r="N643" s="124" t="s">
        <v>47</v>
      </c>
      <c r="O643" s="125">
        <v>37130</v>
      </c>
      <c r="P643" s="124"/>
      <c r="Q643" s="124"/>
      <c r="R643" s="124">
        <v>96</v>
      </c>
      <c r="S643" s="124" t="s">
        <v>48</v>
      </c>
    </row>
    <row r="644" spans="1:19" x14ac:dyDescent="0.25">
      <c r="A644" s="124">
        <v>14500</v>
      </c>
      <c r="B644" s="124" t="s">
        <v>39</v>
      </c>
      <c r="C644" s="124" t="s">
        <v>40</v>
      </c>
      <c r="D644" s="124" t="s">
        <v>49</v>
      </c>
      <c r="E644" s="124" t="s">
        <v>427</v>
      </c>
      <c r="F644" s="124" t="s">
        <v>428</v>
      </c>
      <c r="G644" s="124">
        <v>144</v>
      </c>
      <c r="H644" s="124" t="s">
        <v>43</v>
      </c>
      <c r="I644" s="124" t="s">
        <v>6</v>
      </c>
      <c r="J644" s="124" t="s">
        <v>44</v>
      </c>
      <c r="K644" s="124" t="s">
        <v>44</v>
      </c>
      <c r="L644" s="124" t="s">
        <v>45</v>
      </c>
      <c r="M644" s="124" t="s">
        <v>46</v>
      </c>
      <c r="N644" s="124" t="s">
        <v>47</v>
      </c>
      <c r="O644" s="125">
        <v>21186</v>
      </c>
      <c r="P644" s="124"/>
      <c r="Q644" s="124" t="s">
        <v>262</v>
      </c>
      <c r="R644" s="124">
        <v>144</v>
      </c>
      <c r="S644" s="124" t="s">
        <v>48</v>
      </c>
    </row>
    <row r="645" spans="1:19" ht="29.25" x14ac:dyDescent="0.25">
      <c r="A645" s="124">
        <v>14700</v>
      </c>
      <c r="B645" s="124" t="s">
        <v>39</v>
      </c>
      <c r="C645" s="124" t="s">
        <v>40</v>
      </c>
      <c r="D645" s="124" t="s">
        <v>49</v>
      </c>
      <c r="E645" s="124" t="s">
        <v>199</v>
      </c>
      <c r="F645" s="124" t="s">
        <v>200</v>
      </c>
      <c r="G645" s="124">
        <v>4.9000000000000004</v>
      </c>
      <c r="H645" s="124" t="s">
        <v>43</v>
      </c>
      <c r="I645" s="124" t="s">
        <v>6</v>
      </c>
      <c r="J645" s="124" t="s">
        <v>44</v>
      </c>
      <c r="K645" s="124" t="s">
        <v>44</v>
      </c>
      <c r="L645" s="124" t="s">
        <v>45</v>
      </c>
      <c r="M645" s="124" t="s">
        <v>46</v>
      </c>
      <c r="N645" s="124" t="s">
        <v>47</v>
      </c>
      <c r="O645" s="125">
        <v>7672</v>
      </c>
      <c r="P645" s="124"/>
      <c r="Q645" s="124" t="s">
        <v>194</v>
      </c>
      <c r="R645" s="124">
        <v>4.8</v>
      </c>
      <c r="S645" s="124" t="s">
        <v>48</v>
      </c>
    </row>
    <row r="646" spans="1:19" ht="29.25" x14ac:dyDescent="0.25">
      <c r="A646" s="124">
        <v>90700</v>
      </c>
      <c r="B646" s="124" t="s">
        <v>39</v>
      </c>
      <c r="C646" s="124" t="s">
        <v>40</v>
      </c>
      <c r="D646" s="124" t="s">
        <v>49</v>
      </c>
      <c r="E646" s="124" t="s">
        <v>2415</v>
      </c>
      <c r="F646" s="124" t="s">
        <v>2416</v>
      </c>
      <c r="G646" s="124">
        <v>109.01</v>
      </c>
      <c r="H646" s="124" t="s">
        <v>7</v>
      </c>
      <c r="I646" s="124" t="s">
        <v>1667</v>
      </c>
      <c r="J646" s="124" t="s">
        <v>384</v>
      </c>
      <c r="K646" s="124" t="s">
        <v>724</v>
      </c>
      <c r="L646" s="124" t="s">
        <v>259</v>
      </c>
      <c r="M646" s="124" t="s">
        <v>57</v>
      </c>
      <c r="N646" s="124" t="s">
        <v>58</v>
      </c>
      <c r="O646" s="125">
        <v>37056</v>
      </c>
      <c r="P646" s="124" t="s">
        <v>2417</v>
      </c>
      <c r="Q646" s="124"/>
      <c r="R646" s="124">
        <v>107.45</v>
      </c>
      <c r="S646" s="124" t="s">
        <v>48</v>
      </c>
    </row>
    <row r="647" spans="1:19" ht="29.25" x14ac:dyDescent="0.25">
      <c r="A647" s="124">
        <v>82800</v>
      </c>
      <c r="B647" s="124" t="s">
        <v>39</v>
      </c>
      <c r="C647" s="124" t="s">
        <v>40</v>
      </c>
      <c r="D647" s="124" t="s">
        <v>49</v>
      </c>
      <c r="E647" s="124" t="s">
        <v>2641</v>
      </c>
      <c r="F647" s="124" t="s">
        <v>2642</v>
      </c>
      <c r="G647" s="124">
        <v>830</v>
      </c>
      <c r="H647" s="124" t="s">
        <v>7</v>
      </c>
      <c r="I647" s="124" t="s">
        <v>2643</v>
      </c>
      <c r="J647" s="124" t="s">
        <v>384</v>
      </c>
      <c r="K647" s="124" t="s">
        <v>724</v>
      </c>
      <c r="L647" s="124" t="s">
        <v>259</v>
      </c>
      <c r="M647" s="124" t="s">
        <v>57</v>
      </c>
      <c r="N647" s="124" t="s">
        <v>58</v>
      </c>
      <c r="O647" s="125">
        <v>37732</v>
      </c>
      <c r="P647" s="124"/>
      <c r="Q647" s="124"/>
      <c r="R647" s="124">
        <v>854.9</v>
      </c>
      <c r="S647" s="124" t="s">
        <v>48</v>
      </c>
    </row>
    <row r="648" spans="1:19" ht="29.25" x14ac:dyDescent="0.25">
      <c r="A648" s="124">
        <v>16900</v>
      </c>
      <c r="B648" s="124" t="s">
        <v>39</v>
      </c>
      <c r="C648" s="124" t="s">
        <v>40</v>
      </c>
      <c r="D648" s="124" t="s">
        <v>49</v>
      </c>
      <c r="E648" s="124" t="s">
        <v>602</v>
      </c>
      <c r="F648" s="124" t="s">
        <v>603</v>
      </c>
      <c r="G648" s="124">
        <v>933.1</v>
      </c>
      <c r="H648" s="124" t="s">
        <v>43</v>
      </c>
      <c r="I648" s="124" t="s">
        <v>560</v>
      </c>
      <c r="J648" s="124" t="s">
        <v>44</v>
      </c>
      <c r="K648" s="124" t="s">
        <v>561</v>
      </c>
      <c r="L648" s="124" t="s">
        <v>45</v>
      </c>
      <c r="M648" s="124" t="s">
        <v>46</v>
      </c>
      <c r="N648" s="124" t="s">
        <v>47</v>
      </c>
      <c r="O648" s="125">
        <v>24838</v>
      </c>
      <c r="P648" s="124"/>
      <c r="Q648" s="124"/>
      <c r="R648" s="124">
        <v>941.4</v>
      </c>
      <c r="S648" s="124" t="s">
        <v>48</v>
      </c>
    </row>
    <row r="649" spans="1:19" ht="43.5" x14ac:dyDescent="0.25">
      <c r="A649" s="124">
        <v>17700</v>
      </c>
      <c r="B649" s="124" t="s">
        <v>39</v>
      </c>
      <c r="C649" s="124" t="s">
        <v>40</v>
      </c>
      <c r="D649" s="124" t="s">
        <v>49</v>
      </c>
      <c r="E649" s="124" t="s">
        <v>153</v>
      </c>
      <c r="F649" s="124" t="s">
        <v>154</v>
      </c>
      <c r="G649" s="124">
        <v>6.55</v>
      </c>
      <c r="H649" s="124" t="s">
        <v>7</v>
      </c>
      <c r="I649" s="124" t="s">
        <v>7</v>
      </c>
      <c r="J649" s="124" t="s">
        <v>44</v>
      </c>
      <c r="K649" s="124" t="s">
        <v>44</v>
      </c>
      <c r="L649" s="124" t="s">
        <v>45</v>
      </c>
      <c r="M649" s="124" t="s">
        <v>57</v>
      </c>
      <c r="N649" s="124" t="s">
        <v>58</v>
      </c>
      <c r="O649" s="125">
        <v>4750</v>
      </c>
      <c r="P649" s="124" t="s">
        <v>59</v>
      </c>
      <c r="Q649" s="124"/>
      <c r="R649" s="124">
        <v>6.55</v>
      </c>
      <c r="S649" s="124" t="s">
        <v>48</v>
      </c>
    </row>
    <row r="650" spans="1:19" x14ac:dyDescent="0.25">
      <c r="A650" s="124">
        <v>18000</v>
      </c>
      <c r="B650" s="124" t="s">
        <v>39</v>
      </c>
      <c r="C650" s="124" t="s">
        <v>40</v>
      </c>
      <c r="D650" s="124" t="s">
        <v>49</v>
      </c>
      <c r="E650" s="124" t="s">
        <v>633</v>
      </c>
      <c r="F650" s="124" t="s">
        <v>634</v>
      </c>
      <c r="G650" s="124">
        <v>59</v>
      </c>
      <c r="H650" s="124" t="s">
        <v>162</v>
      </c>
      <c r="I650" s="124" t="s">
        <v>498</v>
      </c>
      <c r="J650" s="124" t="s">
        <v>314</v>
      </c>
      <c r="K650" s="124" t="s">
        <v>599</v>
      </c>
      <c r="L650" s="124" t="s">
        <v>259</v>
      </c>
      <c r="M650" s="124" t="s">
        <v>57</v>
      </c>
      <c r="N650" s="124" t="s">
        <v>163</v>
      </c>
      <c r="O650" s="125">
        <v>25204</v>
      </c>
      <c r="P650" s="124"/>
      <c r="Q650" s="124"/>
      <c r="R650" s="124">
        <v>59</v>
      </c>
      <c r="S650" s="124" t="s">
        <v>48</v>
      </c>
    </row>
    <row r="651" spans="1:19" x14ac:dyDescent="0.25">
      <c r="A651" s="124">
        <v>18100</v>
      </c>
      <c r="B651" s="124" t="s">
        <v>39</v>
      </c>
      <c r="C651" s="124" t="s">
        <v>40</v>
      </c>
      <c r="D651" s="124" t="s">
        <v>49</v>
      </c>
      <c r="E651" s="124" t="s">
        <v>643</v>
      </c>
      <c r="F651" s="124" t="s">
        <v>644</v>
      </c>
      <c r="G651" s="124">
        <v>61</v>
      </c>
      <c r="H651" s="124" t="s">
        <v>162</v>
      </c>
      <c r="I651" s="124" t="s">
        <v>498</v>
      </c>
      <c r="J651" s="124" t="s">
        <v>314</v>
      </c>
      <c r="K651" s="124" t="s">
        <v>599</v>
      </c>
      <c r="L651" s="124" t="s">
        <v>259</v>
      </c>
      <c r="M651" s="124" t="s">
        <v>57</v>
      </c>
      <c r="N651" s="124" t="s">
        <v>163</v>
      </c>
      <c r="O651" s="125">
        <v>25204</v>
      </c>
      <c r="P651" s="124"/>
      <c r="Q651" s="124"/>
      <c r="R651" s="124">
        <v>61</v>
      </c>
      <c r="S651" s="124" t="s">
        <v>48</v>
      </c>
    </row>
    <row r="652" spans="1:19" ht="43.5" x14ac:dyDescent="0.25">
      <c r="A652" s="124">
        <v>18800</v>
      </c>
      <c r="B652" s="124" t="s">
        <v>39</v>
      </c>
      <c r="C652" s="124" t="s">
        <v>40</v>
      </c>
      <c r="D652" s="124" t="s">
        <v>49</v>
      </c>
      <c r="E652" s="124" t="s">
        <v>90</v>
      </c>
      <c r="F652" s="124" t="s">
        <v>91</v>
      </c>
      <c r="G652" s="124">
        <v>25.6</v>
      </c>
      <c r="H652" s="124" t="s">
        <v>7</v>
      </c>
      <c r="I652" s="124" t="s">
        <v>7</v>
      </c>
      <c r="J652" s="124" t="s">
        <v>44</v>
      </c>
      <c r="K652" s="124" t="s">
        <v>44</v>
      </c>
      <c r="L652" s="124" t="s">
        <v>45</v>
      </c>
      <c r="M652" s="124" t="s">
        <v>57</v>
      </c>
      <c r="N652" s="124" t="s">
        <v>58</v>
      </c>
      <c r="O652" s="125">
        <v>2558</v>
      </c>
      <c r="P652" s="124" t="s">
        <v>59</v>
      </c>
      <c r="Q652" s="124"/>
      <c r="R652" s="124">
        <v>25.6</v>
      </c>
      <c r="S652" s="124" t="s">
        <v>48</v>
      </c>
    </row>
    <row r="653" spans="1:19" ht="43.5" x14ac:dyDescent="0.25">
      <c r="A653" s="124">
        <v>18900</v>
      </c>
      <c r="B653" s="124" t="s">
        <v>39</v>
      </c>
      <c r="C653" s="124" t="s">
        <v>40</v>
      </c>
      <c r="D653" s="124" t="s">
        <v>49</v>
      </c>
      <c r="E653" s="124" t="s">
        <v>93</v>
      </c>
      <c r="F653" s="124" t="s">
        <v>94</v>
      </c>
      <c r="G653" s="124">
        <v>36.799999999999997</v>
      </c>
      <c r="H653" s="124" t="s">
        <v>7</v>
      </c>
      <c r="I653" s="124" t="s">
        <v>7</v>
      </c>
      <c r="J653" s="124" t="s">
        <v>44</v>
      </c>
      <c r="K653" s="124" t="s">
        <v>44</v>
      </c>
      <c r="L653" s="124" t="s">
        <v>45</v>
      </c>
      <c r="M653" s="124" t="s">
        <v>57</v>
      </c>
      <c r="N653" s="124" t="s">
        <v>58</v>
      </c>
      <c r="O653" s="125">
        <v>2558</v>
      </c>
      <c r="P653" s="124" t="s">
        <v>59</v>
      </c>
      <c r="Q653" s="124"/>
      <c r="R653" s="124">
        <v>36.799999999999997</v>
      </c>
      <c r="S653" s="124" t="s">
        <v>48</v>
      </c>
    </row>
    <row r="654" spans="1:19" ht="29.25" x14ac:dyDescent="0.25">
      <c r="A654" s="124">
        <v>91600</v>
      </c>
      <c r="B654" s="124" t="s">
        <v>39</v>
      </c>
      <c r="C654" s="124" t="s">
        <v>40</v>
      </c>
      <c r="D654" s="124" t="s">
        <v>49</v>
      </c>
      <c r="E654" s="124" t="s">
        <v>2794</v>
      </c>
      <c r="F654" s="124" t="s">
        <v>2795</v>
      </c>
      <c r="G654" s="124">
        <v>96.8</v>
      </c>
      <c r="H654" s="124" t="s">
        <v>43</v>
      </c>
      <c r="I654" s="124" t="s">
        <v>2796</v>
      </c>
      <c r="J654" s="124" t="s">
        <v>314</v>
      </c>
      <c r="K654" s="124" t="s">
        <v>599</v>
      </c>
      <c r="L654" s="124" t="s">
        <v>259</v>
      </c>
      <c r="M654" s="124" t="s">
        <v>46</v>
      </c>
      <c r="N654" s="124" t="s">
        <v>47</v>
      </c>
      <c r="O654" s="125">
        <v>38614</v>
      </c>
      <c r="P654" s="124"/>
      <c r="Q654" s="124"/>
      <c r="R654" s="124">
        <v>97</v>
      </c>
      <c r="S654" s="124" t="s">
        <v>48</v>
      </c>
    </row>
    <row r="655" spans="1:19" ht="43.5" x14ac:dyDescent="0.25">
      <c r="A655" s="124">
        <v>6700</v>
      </c>
      <c r="B655" s="124" t="s">
        <v>39</v>
      </c>
      <c r="C655" s="124" t="s">
        <v>49</v>
      </c>
      <c r="D655" s="124" t="s">
        <v>49</v>
      </c>
      <c r="E655" s="124" t="s">
        <v>3219</v>
      </c>
      <c r="F655" s="124" t="s">
        <v>3220</v>
      </c>
      <c r="G655" s="124">
        <v>8</v>
      </c>
      <c r="H655" s="124" t="s">
        <v>7</v>
      </c>
      <c r="I655" s="124" t="s">
        <v>3221</v>
      </c>
      <c r="J655" s="124" t="s">
        <v>384</v>
      </c>
      <c r="K655" s="124" t="s">
        <v>724</v>
      </c>
      <c r="L655" s="124" t="s">
        <v>259</v>
      </c>
      <c r="M655" s="124" t="s">
        <v>57</v>
      </c>
      <c r="N655" s="124" t="s">
        <v>58</v>
      </c>
      <c r="O655" s="124"/>
      <c r="P655" s="124"/>
      <c r="Q655" s="124"/>
      <c r="R655" s="124">
        <v>35.5</v>
      </c>
      <c r="S655" s="124" t="s">
        <v>48</v>
      </c>
    </row>
    <row r="656" spans="1:19" ht="29.25" x14ac:dyDescent="0.25">
      <c r="A656" s="124">
        <v>82700</v>
      </c>
      <c r="B656" s="124" t="s">
        <v>39</v>
      </c>
      <c r="C656" s="124" t="s">
        <v>40</v>
      </c>
      <c r="D656" s="124" t="s">
        <v>49</v>
      </c>
      <c r="E656" s="124" t="s">
        <v>2625</v>
      </c>
      <c r="F656" s="124" t="s">
        <v>2626</v>
      </c>
      <c r="G656" s="124">
        <v>188</v>
      </c>
      <c r="H656" s="124" t="s">
        <v>43</v>
      </c>
      <c r="I656" s="124" t="s">
        <v>2350</v>
      </c>
      <c r="J656" s="124" t="s">
        <v>314</v>
      </c>
      <c r="K656" s="124" t="s">
        <v>599</v>
      </c>
      <c r="L656" s="124" t="s">
        <v>259</v>
      </c>
      <c r="M656" s="124" t="s">
        <v>46</v>
      </c>
      <c r="N656" s="124" t="s">
        <v>47</v>
      </c>
      <c r="O656" s="125">
        <v>37687</v>
      </c>
      <c r="P656" s="124"/>
      <c r="Q656" s="124"/>
      <c r="R656" s="124">
        <v>199.6</v>
      </c>
      <c r="S656" s="124" t="s">
        <v>48</v>
      </c>
    </row>
    <row r="657" spans="1:19" ht="29.25" x14ac:dyDescent="0.25">
      <c r="A657" s="124">
        <v>20100</v>
      </c>
      <c r="B657" s="124" t="s">
        <v>39</v>
      </c>
      <c r="C657" s="124" t="s">
        <v>40</v>
      </c>
      <c r="D657" s="124" t="s">
        <v>49</v>
      </c>
      <c r="E657" s="124" t="s">
        <v>2372</v>
      </c>
      <c r="F657" s="124" t="s">
        <v>2373</v>
      </c>
      <c r="G657" s="124">
        <v>561.29</v>
      </c>
      <c r="H657" s="124" t="s">
        <v>43</v>
      </c>
      <c r="I657" s="124" t="s">
        <v>2350</v>
      </c>
      <c r="J657" s="124" t="s">
        <v>384</v>
      </c>
      <c r="K657" s="124" t="s">
        <v>724</v>
      </c>
      <c r="L657" s="124" t="s">
        <v>259</v>
      </c>
      <c r="M657" s="124" t="s">
        <v>46</v>
      </c>
      <c r="N657" s="124" t="s">
        <v>47</v>
      </c>
      <c r="O657" s="125">
        <v>37051</v>
      </c>
      <c r="P657" s="124"/>
      <c r="Q657" s="124"/>
      <c r="R657" s="124">
        <v>519.99</v>
      </c>
      <c r="S657" s="124" t="s">
        <v>48</v>
      </c>
    </row>
    <row r="658" spans="1:19" ht="43.5" x14ac:dyDescent="0.25">
      <c r="A658" s="124">
        <v>20300</v>
      </c>
      <c r="B658" s="124" t="s">
        <v>39</v>
      </c>
      <c r="C658" s="124" t="s">
        <v>40</v>
      </c>
      <c r="D658" s="124" t="s">
        <v>49</v>
      </c>
      <c r="E658" s="124" t="s">
        <v>129</v>
      </c>
      <c r="F658" s="124" t="s">
        <v>130</v>
      </c>
      <c r="G658" s="124">
        <v>3</v>
      </c>
      <c r="H658" s="124" t="s">
        <v>7</v>
      </c>
      <c r="I658" s="124" t="s">
        <v>7</v>
      </c>
      <c r="J658" s="124" t="s">
        <v>44</v>
      </c>
      <c r="K658" s="124" t="s">
        <v>44</v>
      </c>
      <c r="L658" s="124" t="s">
        <v>45</v>
      </c>
      <c r="M658" s="124" t="s">
        <v>57</v>
      </c>
      <c r="N658" s="124" t="s">
        <v>58</v>
      </c>
      <c r="O658" s="125">
        <v>4019</v>
      </c>
      <c r="P658" s="124" t="s">
        <v>131</v>
      </c>
      <c r="Q658" s="124"/>
      <c r="R658" s="124">
        <v>3</v>
      </c>
      <c r="S658" s="124" t="s">
        <v>48</v>
      </c>
    </row>
    <row r="659" spans="1:19" ht="29.25" x14ac:dyDescent="0.25">
      <c r="A659" s="124">
        <v>92500</v>
      </c>
      <c r="B659" s="124" t="s">
        <v>39</v>
      </c>
      <c r="C659" s="124" t="s">
        <v>40</v>
      </c>
      <c r="D659" s="124" t="s">
        <v>49</v>
      </c>
      <c r="E659" s="124" t="s">
        <v>2801</v>
      </c>
      <c r="F659" s="124" t="s">
        <v>2802</v>
      </c>
      <c r="G659" s="124">
        <v>134</v>
      </c>
      <c r="H659" s="124" t="s">
        <v>7</v>
      </c>
      <c r="I659" s="124" t="s">
        <v>2803</v>
      </c>
      <c r="J659" s="124" t="s">
        <v>384</v>
      </c>
      <c r="K659" s="124" t="s">
        <v>724</v>
      </c>
      <c r="L659" s="124" t="s">
        <v>259</v>
      </c>
      <c r="M659" s="124" t="s">
        <v>57</v>
      </c>
      <c r="N659" s="124" t="s">
        <v>317</v>
      </c>
      <c r="O659" s="125">
        <v>38642</v>
      </c>
      <c r="P659" s="124"/>
      <c r="Q659" s="124"/>
      <c r="R659" s="124">
        <v>134</v>
      </c>
      <c r="S659" s="124" t="s">
        <v>48</v>
      </c>
    </row>
    <row r="660" spans="1:19" x14ac:dyDescent="0.25">
      <c r="A660" s="124">
        <v>91800</v>
      </c>
      <c r="B660" s="124" t="s">
        <v>39</v>
      </c>
      <c r="C660" s="124" t="s">
        <v>40</v>
      </c>
      <c r="D660" s="124" t="s">
        <v>49</v>
      </c>
      <c r="E660" s="124" t="s">
        <v>2769</v>
      </c>
      <c r="F660" s="124" t="s">
        <v>2770</v>
      </c>
      <c r="G660" s="124">
        <v>593.16</v>
      </c>
      <c r="H660" s="124" t="s">
        <v>43</v>
      </c>
      <c r="I660" s="124" t="s">
        <v>2350</v>
      </c>
      <c r="J660" s="124" t="s">
        <v>384</v>
      </c>
      <c r="K660" s="124" t="s">
        <v>724</v>
      </c>
      <c r="L660" s="124" t="s">
        <v>259</v>
      </c>
      <c r="M660" s="124" t="s">
        <v>46</v>
      </c>
      <c r="N660" s="124" t="s">
        <v>47</v>
      </c>
      <c r="O660" s="125">
        <v>38499</v>
      </c>
      <c r="P660" s="124"/>
      <c r="Q660" s="124"/>
      <c r="R660" s="124">
        <v>617</v>
      </c>
      <c r="S660" s="124" t="s">
        <v>48</v>
      </c>
    </row>
    <row r="661" spans="1:19" ht="29.25" x14ac:dyDescent="0.25">
      <c r="A661" s="124">
        <v>82900</v>
      </c>
      <c r="B661" s="124" t="s">
        <v>39</v>
      </c>
      <c r="C661" s="124" t="s">
        <v>40</v>
      </c>
      <c r="D661" s="124" t="s">
        <v>49</v>
      </c>
      <c r="E661" s="124" t="s">
        <v>2648</v>
      </c>
      <c r="F661" s="124" t="s">
        <v>2649</v>
      </c>
      <c r="G661" s="124">
        <v>2.1</v>
      </c>
      <c r="H661" s="124" t="s">
        <v>7</v>
      </c>
      <c r="I661" s="124" t="s">
        <v>2650</v>
      </c>
      <c r="J661" s="124" t="s">
        <v>807</v>
      </c>
      <c r="K661" s="124" t="s">
        <v>315</v>
      </c>
      <c r="L661" s="124" t="s">
        <v>915</v>
      </c>
      <c r="M661" s="124" t="s">
        <v>57</v>
      </c>
      <c r="N661" s="124" t="s">
        <v>58</v>
      </c>
      <c r="O661" s="125">
        <v>37732</v>
      </c>
      <c r="P661" s="124"/>
      <c r="Q661" s="124"/>
      <c r="R661" s="124">
        <v>2.5</v>
      </c>
      <c r="S661" s="124" t="s">
        <v>48</v>
      </c>
    </row>
    <row r="662" spans="1:19" ht="29.25" x14ac:dyDescent="0.25">
      <c r="A662" s="124">
        <v>21200</v>
      </c>
      <c r="B662" s="124" t="s">
        <v>39</v>
      </c>
      <c r="C662" s="124" t="s">
        <v>40</v>
      </c>
      <c r="D662" s="124" t="s">
        <v>49</v>
      </c>
      <c r="E662" s="124" t="s">
        <v>535</v>
      </c>
      <c r="F662" s="124" t="s">
        <v>536</v>
      </c>
      <c r="G662" s="124">
        <v>218.39</v>
      </c>
      <c r="H662" s="124" t="s">
        <v>43</v>
      </c>
      <c r="I662" s="124" t="s">
        <v>531</v>
      </c>
      <c r="J662" s="124" t="s">
        <v>44</v>
      </c>
      <c r="K662" s="124" t="s">
        <v>44</v>
      </c>
      <c r="L662" s="124" t="s">
        <v>45</v>
      </c>
      <c r="M662" s="124" t="s">
        <v>46</v>
      </c>
      <c r="N662" s="124" t="s">
        <v>47</v>
      </c>
      <c r="O662" s="125">
        <v>24108</v>
      </c>
      <c r="P662" s="124"/>
      <c r="Q662" s="124" t="s">
        <v>532</v>
      </c>
      <c r="R662" s="124">
        <v>220.7</v>
      </c>
      <c r="S662" s="124" t="s">
        <v>48</v>
      </c>
    </row>
    <row r="663" spans="1:19" ht="29.25" x14ac:dyDescent="0.25">
      <c r="A663" s="124">
        <v>21400</v>
      </c>
      <c r="B663" s="124" t="s">
        <v>39</v>
      </c>
      <c r="C663" s="124" t="s">
        <v>49</v>
      </c>
      <c r="D663" s="124" t="s">
        <v>49</v>
      </c>
      <c r="E663" s="124" t="s">
        <v>1931</v>
      </c>
      <c r="F663" s="124" t="s">
        <v>1932</v>
      </c>
      <c r="G663" s="124">
        <v>240</v>
      </c>
      <c r="H663" s="124" t="s">
        <v>43</v>
      </c>
      <c r="I663" s="124" t="s">
        <v>1933</v>
      </c>
      <c r="J663" s="124" t="s">
        <v>713</v>
      </c>
      <c r="K663" s="124" t="s">
        <v>599</v>
      </c>
      <c r="L663" s="124" t="s">
        <v>259</v>
      </c>
      <c r="M663" s="124" t="s">
        <v>212</v>
      </c>
      <c r="N663" s="124" t="s">
        <v>213</v>
      </c>
      <c r="O663" s="125">
        <v>32860</v>
      </c>
      <c r="P663" s="124"/>
      <c r="Q663" s="124"/>
      <c r="R663" s="124">
        <v>234</v>
      </c>
      <c r="S663" s="124" t="s">
        <v>48</v>
      </c>
    </row>
    <row r="664" spans="1:19" ht="43.5" x14ac:dyDescent="0.25">
      <c r="A664" s="124">
        <v>21500</v>
      </c>
      <c r="B664" s="124" t="s">
        <v>39</v>
      </c>
      <c r="C664" s="124" t="s">
        <v>40</v>
      </c>
      <c r="D664" s="124" t="s">
        <v>49</v>
      </c>
      <c r="E664" s="124" t="s">
        <v>3230</v>
      </c>
      <c r="F664" s="124" t="s">
        <v>3231</v>
      </c>
      <c r="G664" s="124">
        <v>3.93</v>
      </c>
      <c r="H664" s="124" t="s">
        <v>7</v>
      </c>
      <c r="I664" s="124" t="s">
        <v>7</v>
      </c>
      <c r="J664" s="124" t="s">
        <v>44</v>
      </c>
      <c r="K664" s="124" t="s">
        <v>44</v>
      </c>
      <c r="L664" s="124" t="s">
        <v>45</v>
      </c>
      <c r="M664" s="124" t="s">
        <v>57</v>
      </c>
      <c r="N664" s="124" t="s">
        <v>58</v>
      </c>
      <c r="O664" s="124"/>
      <c r="P664" s="124" t="s">
        <v>59</v>
      </c>
      <c r="Q664" s="124"/>
      <c r="R664" s="124">
        <v>3.61</v>
      </c>
      <c r="S664" s="124" t="s">
        <v>48</v>
      </c>
    </row>
    <row r="665" spans="1:19" ht="29.25" x14ac:dyDescent="0.25">
      <c r="A665" s="124">
        <v>84200</v>
      </c>
      <c r="B665" s="124" t="s">
        <v>39</v>
      </c>
      <c r="C665" s="124" t="s">
        <v>40</v>
      </c>
      <c r="D665" s="124" t="s">
        <v>49</v>
      </c>
      <c r="E665" s="124" t="s">
        <v>2673</v>
      </c>
      <c r="F665" s="124" t="s">
        <v>2674</v>
      </c>
      <c r="G665" s="124">
        <v>1.9</v>
      </c>
      <c r="H665" s="124" t="s">
        <v>7</v>
      </c>
      <c r="I665" s="124" t="s">
        <v>2675</v>
      </c>
      <c r="J665" s="124" t="s">
        <v>807</v>
      </c>
      <c r="K665" s="124" t="s">
        <v>315</v>
      </c>
      <c r="L665" s="124" t="s">
        <v>915</v>
      </c>
      <c r="M665" s="124" t="s">
        <v>57</v>
      </c>
      <c r="N665" s="124" t="s">
        <v>58</v>
      </c>
      <c r="O665" s="125">
        <v>37819</v>
      </c>
      <c r="P665" s="124"/>
      <c r="Q665" s="124"/>
      <c r="R665" s="124">
        <v>2.5</v>
      </c>
      <c r="S665" s="124" t="s">
        <v>48</v>
      </c>
    </row>
    <row r="666" spans="1:19" ht="29.25" x14ac:dyDescent="0.25">
      <c r="A666" s="124">
        <v>21600</v>
      </c>
      <c r="B666" s="124" t="s">
        <v>39</v>
      </c>
      <c r="C666" s="124" t="s">
        <v>40</v>
      </c>
      <c r="D666" s="124" t="s">
        <v>49</v>
      </c>
      <c r="E666" s="124" t="s">
        <v>685</v>
      </c>
      <c r="F666" s="124" t="s">
        <v>686</v>
      </c>
      <c r="G666" s="124">
        <v>36</v>
      </c>
      <c r="H666" s="124" t="s">
        <v>162</v>
      </c>
      <c r="I666" s="124" t="s">
        <v>383</v>
      </c>
      <c r="J666" s="124" t="s">
        <v>314</v>
      </c>
      <c r="K666" s="124" t="s">
        <v>599</v>
      </c>
      <c r="L666" s="124" t="s">
        <v>259</v>
      </c>
      <c r="M666" s="124" t="s">
        <v>57</v>
      </c>
      <c r="N666" s="124" t="s">
        <v>163</v>
      </c>
      <c r="O666" s="125">
        <v>26299</v>
      </c>
      <c r="P666" s="124"/>
      <c r="Q666" s="124"/>
      <c r="R666" s="124">
        <v>36</v>
      </c>
      <c r="S666" s="124" t="s">
        <v>48</v>
      </c>
    </row>
    <row r="667" spans="1:19" ht="29.25" x14ac:dyDescent="0.25">
      <c r="A667" s="124">
        <v>48403</v>
      </c>
      <c r="B667" s="124" t="s">
        <v>39</v>
      </c>
      <c r="C667" s="124" t="s">
        <v>40</v>
      </c>
      <c r="D667" s="124" t="s">
        <v>49</v>
      </c>
      <c r="E667" s="124" t="s">
        <v>2302</v>
      </c>
      <c r="F667" s="124" t="s">
        <v>2303</v>
      </c>
      <c r="G667" s="124">
        <v>3.1</v>
      </c>
      <c r="H667" s="124" t="s">
        <v>7</v>
      </c>
      <c r="I667" s="124">
        <v>1104</v>
      </c>
      <c r="J667" s="124" t="s">
        <v>807</v>
      </c>
      <c r="K667" s="124" t="s">
        <v>315</v>
      </c>
      <c r="L667" s="124" t="s">
        <v>915</v>
      </c>
      <c r="M667" s="124" t="s">
        <v>57</v>
      </c>
      <c r="N667" s="124" t="s">
        <v>58</v>
      </c>
      <c r="O667" s="125">
        <v>36743</v>
      </c>
      <c r="P667" s="124" t="s">
        <v>2304</v>
      </c>
      <c r="Q667" s="124"/>
      <c r="R667" s="124">
        <v>3.05</v>
      </c>
      <c r="S667" s="124" t="s">
        <v>48</v>
      </c>
    </row>
    <row r="668" spans="1:19" ht="29.25" x14ac:dyDescent="0.25">
      <c r="A668" s="124">
        <v>94900</v>
      </c>
      <c r="B668" s="124" t="s">
        <v>39</v>
      </c>
      <c r="C668" s="124" t="s">
        <v>40</v>
      </c>
      <c r="D668" s="124" t="s">
        <v>49</v>
      </c>
      <c r="E668" s="124" t="s">
        <v>2861</v>
      </c>
      <c r="F668" s="124" t="s">
        <v>2862</v>
      </c>
      <c r="G668" s="124">
        <v>35.5</v>
      </c>
      <c r="H668" s="124" t="s">
        <v>162</v>
      </c>
      <c r="I668" s="124" t="s">
        <v>2863</v>
      </c>
      <c r="J668" s="124" t="s">
        <v>314</v>
      </c>
      <c r="K668" s="124" t="s">
        <v>599</v>
      </c>
      <c r="L668" s="124" t="s">
        <v>259</v>
      </c>
      <c r="M668" s="124" t="s">
        <v>57</v>
      </c>
      <c r="N668" s="124" t="s">
        <v>163</v>
      </c>
      <c r="O668" s="125">
        <v>38875</v>
      </c>
      <c r="P668" s="124" t="s">
        <v>2864</v>
      </c>
      <c r="Q668" s="124"/>
      <c r="R668" s="124">
        <v>44.02</v>
      </c>
      <c r="S668" s="124" t="s">
        <v>48</v>
      </c>
    </row>
    <row r="669" spans="1:19" ht="29.25" x14ac:dyDescent="0.25">
      <c r="A669" s="124">
        <v>21900</v>
      </c>
      <c r="B669" s="124" t="s">
        <v>39</v>
      </c>
      <c r="C669" s="124" t="s">
        <v>40</v>
      </c>
      <c r="D669" s="124" t="s">
        <v>49</v>
      </c>
      <c r="E669" s="124" t="s">
        <v>2243</v>
      </c>
      <c r="F669" s="124" t="s">
        <v>2244</v>
      </c>
      <c r="G669" s="124">
        <v>14</v>
      </c>
      <c r="H669" s="124" t="s">
        <v>7</v>
      </c>
      <c r="I669" s="124" t="s">
        <v>560</v>
      </c>
      <c r="J669" s="124" t="s">
        <v>44</v>
      </c>
      <c r="K669" s="124" t="s">
        <v>44</v>
      </c>
      <c r="L669" s="124" t="s">
        <v>45</v>
      </c>
      <c r="M669" s="124" t="s">
        <v>57</v>
      </c>
      <c r="N669" s="124" t="s">
        <v>58</v>
      </c>
      <c r="O669" s="125">
        <v>35065</v>
      </c>
      <c r="P669" s="124"/>
      <c r="Q669" s="124"/>
      <c r="R669" s="124">
        <v>34.5</v>
      </c>
      <c r="S669" s="124" t="s">
        <v>48</v>
      </c>
    </row>
    <row r="670" spans="1:19" ht="29.25" x14ac:dyDescent="0.25">
      <c r="A670" s="124">
        <v>22000</v>
      </c>
      <c r="B670" s="124" t="s">
        <v>39</v>
      </c>
      <c r="C670" s="124" t="s">
        <v>40</v>
      </c>
      <c r="D670" s="124" t="s">
        <v>49</v>
      </c>
      <c r="E670" s="124" t="s">
        <v>695</v>
      </c>
      <c r="F670" s="124" t="s">
        <v>696</v>
      </c>
      <c r="G670" s="124">
        <v>12.5</v>
      </c>
      <c r="H670" s="124" t="s">
        <v>43</v>
      </c>
      <c r="I670" s="124" t="s">
        <v>697</v>
      </c>
      <c r="J670" s="124" t="s">
        <v>44</v>
      </c>
      <c r="K670" s="124" t="s">
        <v>44</v>
      </c>
      <c r="L670" s="124" t="s">
        <v>45</v>
      </c>
      <c r="M670" s="124" t="s">
        <v>46</v>
      </c>
      <c r="N670" s="124" t="s">
        <v>47</v>
      </c>
      <c r="O670" s="125">
        <v>27030</v>
      </c>
      <c r="P670" s="124"/>
      <c r="Q670" s="124"/>
      <c r="R670" s="124">
        <v>12.5</v>
      </c>
      <c r="S670" s="124" t="s">
        <v>48</v>
      </c>
    </row>
    <row r="671" spans="1:19" ht="29.25" x14ac:dyDescent="0.25">
      <c r="A671" s="124">
        <v>92400</v>
      </c>
      <c r="B671" s="124" t="s">
        <v>39</v>
      </c>
      <c r="C671" s="124" t="s">
        <v>40</v>
      </c>
      <c r="D671" s="124" t="s">
        <v>49</v>
      </c>
      <c r="E671" s="124" t="s">
        <v>2814</v>
      </c>
      <c r="F671" s="124" t="s">
        <v>2815</v>
      </c>
      <c r="G671" s="124">
        <v>525</v>
      </c>
      <c r="H671" s="124" t="s">
        <v>7</v>
      </c>
      <c r="I671" s="124" t="s">
        <v>2816</v>
      </c>
      <c r="J671" s="124" t="s">
        <v>384</v>
      </c>
      <c r="K671" s="124" t="s">
        <v>724</v>
      </c>
      <c r="L671" s="124" t="s">
        <v>259</v>
      </c>
      <c r="M671" s="124" t="s">
        <v>57</v>
      </c>
      <c r="N671" s="124" t="s">
        <v>58</v>
      </c>
      <c r="O671" s="125">
        <v>38696</v>
      </c>
      <c r="P671" s="124"/>
      <c r="Q671" s="124"/>
      <c r="R671" s="124">
        <v>543</v>
      </c>
      <c r="S671" s="124" t="s">
        <v>48</v>
      </c>
    </row>
    <row r="672" spans="1:19" ht="29.25" x14ac:dyDescent="0.25">
      <c r="A672" s="124">
        <v>92700</v>
      </c>
      <c r="B672" s="124" t="s">
        <v>39</v>
      </c>
      <c r="C672" s="124" t="s">
        <v>40</v>
      </c>
      <c r="D672" s="124" t="s">
        <v>49</v>
      </c>
      <c r="E672" s="124" t="s">
        <v>2827</v>
      </c>
      <c r="F672" s="124" t="s">
        <v>2828</v>
      </c>
      <c r="G672" s="124">
        <v>525</v>
      </c>
      <c r="H672" s="124" t="s">
        <v>7</v>
      </c>
      <c r="I672" s="124" t="s">
        <v>2829</v>
      </c>
      <c r="J672" s="124" t="s">
        <v>384</v>
      </c>
      <c r="K672" s="124" t="s">
        <v>724</v>
      </c>
      <c r="L672" s="124" t="s">
        <v>259</v>
      </c>
      <c r="M672" s="124" t="s">
        <v>57</v>
      </c>
      <c r="N672" s="124" t="s">
        <v>58</v>
      </c>
      <c r="O672" s="125">
        <v>38736</v>
      </c>
      <c r="P672" s="124"/>
      <c r="Q672" s="124"/>
      <c r="R672" s="124">
        <v>543</v>
      </c>
      <c r="S672" s="124" t="s">
        <v>48</v>
      </c>
    </row>
    <row r="673" spans="1:19" ht="29.25" x14ac:dyDescent="0.25">
      <c r="A673" s="124">
        <v>29200</v>
      </c>
      <c r="B673" s="124" t="s">
        <v>39</v>
      </c>
      <c r="C673" s="124" t="s">
        <v>49</v>
      </c>
      <c r="D673" s="124" t="s">
        <v>49</v>
      </c>
      <c r="E673" s="124" t="s">
        <v>2219</v>
      </c>
      <c r="F673" s="124" t="s">
        <v>2220</v>
      </c>
      <c r="G673" s="124">
        <v>100</v>
      </c>
      <c r="H673" s="124" t="s">
        <v>43</v>
      </c>
      <c r="I673" s="124" t="s">
        <v>2221</v>
      </c>
      <c r="J673" s="124" t="s">
        <v>384</v>
      </c>
      <c r="K673" s="124" t="s">
        <v>724</v>
      </c>
      <c r="L673" s="124" t="s">
        <v>259</v>
      </c>
      <c r="M673" s="124" t="s">
        <v>46</v>
      </c>
      <c r="N673" s="124" t="s">
        <v>47</v>
      </c>
      <c r="O673" s="125">
        <v>34700</v>
      </c>
      <c r="P673" s="124"/>
      <c r="Q673" s="124"/>
      <c r="R673" s="124">
        <v>100</v>
      </c>
      <c r="S673" s="124" t="s">
        <v>48</v>
      </c>
    </row>
    <row r="674" spans="1:19" x14ac:dyDescent="0.25">
      <c r="A674" s="124">
        <v>95600</v>
      </c>
      <c r="B674" s="124" t="s">
        <v>39</v>
      </c>
      <c r="C674" s="124" t="s">
        <v>40</v>
      </c>
      <c r="D674" s="124" t="s">
        <v>49</v>
      </c>
      <c r="E674" s="124" t="s">
        <v>2901</v>
      </c>
      <c r="F674" s="124" t="s">
        <v>2902</v>
      </c>
      <c r="G674" s="124">
        <v>46</v>
      </c>
      <c r="H674" s="124" t="s">
        <v>7</v>
      </c>
      <c r="I674" s="124" t="s">
        <v>7</v>
      </c>
      <c r="J674" s="124" t="s">
        <v>314</v>
      </c>
      <c r="K674" s="124" t="s">
        <v>599</v>
      </c>
      <c r="L674" s="124" t="s">
        <v>259</v>
      </c>
      <c r="M674" s="124" t="s">
        <v>57</v>
      </c>
      <c r="N674" s="124" t="s">
        <v>58</v>
      </c>
      <c r="O674" s="125">
        <v>39345</v>
      </c>
      <c r="P674" s="124"/>
      <c r="Q674" s="124"/>
      <c r="R674" s="124">
        <v>49</v>
      </c>
      <c r="S674" s="124" t="s">
        <v>48</v>
      </c>
    </row>
    <row r="675" spans="1:19" ht="29.25" x14ac:dyDescent="0.25">
      <c r="A675" s="124">
        <v>22700</v>
      </c>
      <c r="B675" s="124" t="s">
        <v>39</v>
      </c>
      <c r="C675" s="124" t="s">
        <v>40</v>
      </c>
      <c r="D675" s="124" t="s">
        <v>49</v>
      </c>
      <c r="E675" s="124" t="s">
        <v>2570</v>
      </c>
      <c r="F675" s="124" t="s">
        <v>2571</v>
      </c>
      <c r="G675" s="124">
        <v>510</v>
      </c>
      <c r="H675" s="124" t="s">
        <v>43</v>
      </c>
      <c r="I675" s="124" t="s">
        <v>553</v>
      </c>
      <c r="J675" s="124" t="s">
        <v>384</v>
      </c>
      <c r="K675" s="124" t="s">
        <v>724</v>
      </c>
      <c r="L675" s="124" t="s">
        <v>259</v>
      </c>
      <c r="M675" s="124" t="s">
        <v>46</v>
      </c>
      <c r="N675" s="124" t="s">
        <v>47</v>
      </c>
      <c r="O675" s="125">
        <v>37438</v>
      </c>
      <c r="P675" s="124"/>
      <c r="Q675" s="124"/>
      <c r="R675" s="124">
        <v>541</v>
      </c>
      <c r="S675" s="124" t="s">
        <v>48</v>
      </c>
    </row>
    <row r="676" spans="1:19" ht="29.25" x14ac:dyDescent="0.25">
      <c r="A676" s="124">
        <v>22800</v>
      </c>
      <c r="B676" s="124" t="s">
        <v>39</v>
      </c>
      <c r="C676" s="124" t="s">
        <v>40</v>
      </c>
      <c r="D676" s="124" t="s">
        <v>49</v>
      </c>
      <c r="E676" s="124" t="s">
        <v>2578</v>
      </c>
      <c r="F676" s="124" t="s">
        <v>2579</v>
      </c>
      <c r="G676" s="124">
        <v>510</v>
      </c>
      <c r="H676" s="124" t="s">
        <v>43</v>
      </c>
      <c r="I676" s="124" t="s">
        <v>553</v>
      </c>
      <c r="J676" s="124" t="s">
        <v>384</v>
      </c>
      <c r="K676" s="124" t="s">
        <v>724</v>
      </c>
      <c r="L676" s="124" t="s">
        <v>259</v>
      </c>
      <c r="M676" s="124" t="s">
        <v>46</v>
      </c>
      <c r="N676" s="124" t="s">
        <v>47</v>
      </c>
      <c r="O676" s="125">
        <v>37448</v>
      </c>
      <c r="P676" s="124"/>
      <c r="Q676" s="124"/>
      <c r="R676" s="124">
        <v>541</v>
      </c>
      <c r="S676" s="124" t="s">
        <v>48</v>
      </c>
    </row>
    <row r="677" spans="1:19" ht="43.5" x14ac:dyDescent="0.25">
      <c r="A677" s="124">
        <v>24000</v>
      </c>
      <c r="B677" s="124" t="s">
        <v>39</v>
      </c>
      <c r="C677" s="124" t="s">
        <v>40</v>
      </c>
      <c r="D677" s="124" t="s">
        <v>49</v>
      </c>
      <c r="E677" s="124" t="s">
        <v>55</v>
      </c>
      <c r="F677" s="124" t="s">
        <v>56</v>
      </c>
      <c r="G677" s="124">
        <v>1.92</v>
      </c>
      <c r="H677" s="124" t="s">
        <v>7</v>
      </c>
      <c r="I677" s="124" t="s">
        <v>7</v>
      </c>
      <c r="J677" s="124" t="s">
        <v>44</v>
      </c>
      <c r="K677" s="124" t="s">
        <v>44</v>
      </c>
      <c r="L677" s="124" t="s">
        <v>45</v>
      </c>
      <c r="M677" s="124" t="s">
        <v>57</v>
      </c>
      <c r="N677" s="124" t="s">
        <v>58</v>
      </c>
      <c r="O677" s="125">
        <v>732</v>
      </c>
      <c r="P677" s="124" t="s">
        <v>59</v>
      </c>
      <c r="Q677" s="124"/>
      <c r="R677" s="124">
        <v>1.97</v>
      </c>
      <c r="S677" s="124" t="s">
        <v>48</v>
      </c>
    </row>
    <row r="678" spans="1:19" ht="29.25" x14ac:dyDescent="0.25">
      <c r="A678" s="124">
        <v>99200</v>
      </c>
      <c r="B678" s="124" t="s">
        <v>39</v>
      </c>
      <c r="C678" s="124" t="s">
        <v>40</v>
      </c>
      <c r="D678" s="124" t="s">
        <v>49</v>
      </c>
      <c r="E678" s="124" t="s">
        <v>2984</v>
      </c>
      <c r="F678" s="124" t="s">
        <v>2985</v>
      </c>
      <c r="G678" s="124">
        <v>99.9</v>
      </c>
      <c r="H678" s="124" t="s">
        <v>162</v>
      </c>
      <c r="I678" s="124" t="s">
        <v>2986</v>
      </c>
      <c r="J678" s="124" t="s">
        <v>314</v>
      </c>
      <c r="K678" s="124" t="s">
        <v>599</v>
      </c>
      <c r="L678" s="124" t="s">
        <v>259</v>
      </c>
      <c r="M678" s="124" t="s">
        <v>57</v>
      </c>
      <c r="N678" s="124" t="s">
        <v>163</v>
      </c>
      <c r="O678" s="125">
        <v>40346</v>
      </c>
      <c r="P678" s="124" t="s">
        <v>2987</v>
      </c>
      <c r="Q678" s="124"/>
      <c r="R678" s="124">
        <v>100</v>
      </c>
      <c r="S678" s="124" t="s">
        <v>48</v>
      </c>
    </row>
    <row r="679" spans="1:19" ht="29.25" x14ac:dyDescent="0.25">
      <c r="A679" s="124">
        <v>95800</v>
      </c>
      <c r="B679" s="124" t="s">
        <v>39</v>
      </c>
      <c r="C679" s="124" t="s">
        <v>40</v>
      </c>
      <c r="D679" s="124" t="s">
        <v>49</v>
      </c>
      <c r="E679" s="124" t="s">
        <v>2906</v>
      </c>
      <c r="F679" s="124" t="s">
        <v>2907</v>
      </c>
      <c r="G679" s="124">
        <v>4.5</v>
      </c>
      <c r="H679" s="124" t="s">
        <v>43</v>
      </c>
      <c r="I679" s="124" t="s">
        <v>879</v>
      </c>
      <c r="J679" s="124" t="s">
        <v>314</v>
      </c>
      <c r="K679" s="124" t="s">
        <v>315</v>
      </c>
      <c r="L679" s="124" t="s">
        <v>259</v>
      </c>
      <c r="M679" s="124" t="s">
        <v>46</v>
      </c>
      <c r="N679" s="124" t="s">
        <v>2741</v>
      </c>
      <c r="O679" s="125">
        <v>39370</v>
      </c>
      <c r="P679" s="124"/>
      <c r="Q679" s="124"/>
      <c r="R679" s="124">
        <v>5.2</v>
      </c>
      <c r="S679" s="124" t="s">
        <v>48</v>
      </c>
    </row>
    <row r="680" spans="1:19" x14ac:dyDescent="0.25">
      <c r="A680" s="124">
        <v>93000</v>
      </c>
      <c r="B680" s="124" t="s">
        <v>39</v>
      </c>
      <c r="C680" s="124" t="s">
        <v>40</v>
      </c>
      <c r="D680" s="124" t="s">
        <v>49</v>
      </c>
      <c r="E680" s="124" t="s">
        <v>2842</v>
      </c>
      <c r="F680" s="124" t="s">
        <v>2843</v>
      </c>
      <c r="G680" s="124">
        <v>565.61</v>
      </c>
      <c r="H680" s="124" t="s">
        <v>162</v>
      </c>
      <c r="I680" s="124" t="s">
        <v>2789</v>
      </c>
      <c r="J680" s="124" t="s">
        <v>384</v>
      </c>
      <c r="K680" s="124" t="s">
        <v>724</v>
      </c>
      <c r="L680" s="124" t="s">
        <v>259</v>
      </c>
      <c r="M680" s="124" t="s">
        <v>57</v>
      </c>
      <c r="N680" s="124" t="s">
        <v>163</v>
      </c>
      <c r="O680" s="125">
        <v>38807</v>
      </c>
      <c r="P680" s="124"/>
      <c r="Q680" s="124"/>
      <c r="R680" s="124">
        <v>595</v>
      </c>
      <c r="S680" s="124" t="s">
        <v>48</v>
      </c>
    </row>
    <row r="681" spans="1:19" ht="29.25" x14ac:dyDescent="0.25">
      <c r="A681" s="124">
        <v>24700</v>
      </c>
      <c r="B681" s="124" t="s">
        <v>39</v>
      </c>
      <c r="C681" s="124" t="s">
        <v>49</v>
      </c>
      <c r="D681" s="124" t="s">
        <v>49</v>
      </c>
      <c r="E681" s="124" t="s">
        <v>290</v>
      </c>
      <c r="F681" s="124" t="s">
        <v>291</v>
      </c>
      <c r="G681" s="124">
        <v>30</v>
      </c>
      <c r="H681" s="124" t="s">
        <v>43</v>
      </c>
      <c r="I681" s="124" t="s">
        <v>292</v>
      </c>
      <c r="J681" s="124" t="s">
        <v>44</v>
      </c>
      <c r="K681" s="124" t="s">
        <v>44</v>
      </c>
      <c r="L681" s="124" t="s">
        <v>45</v>
      </c>
      <c r="M681" s="124" t="s">
        <v>46</v>
      </c>
      <c r="N681" s="124" t="s">
        <v>47</v>
      </c>
      <c r="O681" s="125">
        <v>10959</v>
      </c>
      <c r="P681" s="124"/>
      <c r="Q681" s="124" t="s">
        <v>293</v>
      </c>
      <c r="R681" s="124">
        <v>30</v>
      </c>
      <c r="S681" s="124" t="s">
        <v>48</v>
      </c>
    </row>
    <row r="682" spans="1:19" ht="57.75" x14ac:dyDescent="0.25">
      <c r="A682" s="124">
        <v>91700</v>
      </c>
      <c r="B682" s="124" t="s">
        <v>39</v>
      </c>
      <c r="C682" s="124" t="s">
        <v>40</v>
      </c>
      <c r="D682" s="124" t="s">
        <v>49</v>
      </c>
      <c r="E682" s="124" t="s">
        <v>2756</v>
      </c>
      <c r="F682" s="124" t="s">
        <v>2757</v>
      </c>
      <c r="G682" s="124">
        <v>750.66</v>
      </c>
      <c r="H682" s="124" t="s">
        <v>7</v>
      </c>
      <c r="I682" s="124" t="s">
        <v>2350</v>
      </c>
      <c r="J682" s="124" t="s">
        <v>384</v>
      </c>
      <c r="K682" s="124" t="s">
        <v>724</v>
      </c>
      <c r="L682" s="124" t="s">
        <v>259</v>
      </c>
      <c r="M682" s="124" t="s">
        <v>57</v>
      </c>
      <c r="N682" s="124" t="s">
        <v>58</v>
      </c>
      <c r="O682" s="125">
        <v>38476</v>
      </c>
      <c r="P682" s="124" t="s">
        <v>2758</v>
      </c>
      <c r="Q682" s="124"/>
      <c r="R682" s="124">
        <v>780</v>
      </c>
      <c r="S682" s="124" t="s">
        <v>48</v>
      </c>
    </row>
    <row r="683" spans="1:19" x14ac:dyDescent="0.25">
      <c r="A683" s="124">
        <v>24900</v>
      </c>
      <c r="B683" s="124" t="s">
        <v>39</v>
      </c>
      <c r="C683" s="124" t="s">
        <v>40</v>
      </c>
      <c r="D683" s="124" t="s">
        <v>49</v>
      </c>
      <c r="E683" s="124" t="s">
        <v>1019</v>
      </c>
      <c r="F683" s="124" t="s">
        <v>1020</v>
      </c>
      <c r="G683" s="124">
        <v>210</v>
      </c>
      <c r="H683" s="124" t="s">
        <v>43</v>
      </c>
      <c r="I683" s="124" t="s">
        <v>560</v>
      </c>
      <c r="J683" s="124" t="s">
        <v>44</v>
      </c>
      <c r="K683" s="124" t="s">
        <v>44</v>
      </c>
      <c r="L683" s="124" t="s">
        <v>45</v>
      </c>
      <c r="M683" s="124" t="s">
        <v>46</v>
      </c>
      <c r="N683" s="124" t="s">
        <v>47</v>
      </c>
      <c r="O683" s="125">
        <v>30682</v>
      </c>
      <c r="P683" s="124"/>
      <c r="Q683" s="124"/>
      <c r="R683" s="124">
        <v>173.7</v>
      </c>
      <c r="S683" s="124" t="s">
        <v>48</v>
      </c>
    </row>
    <row r="684" spans="1:19" x14ac:dyDescent="0.25">
      <c r="A684" s="124">
        <v>25200</v>
      </c>
      <c r="B684" s="124" t="s">
        <v>39</v>
      </c>
      <c r="C684" s="124" t="s">
        <v>40</v>
      </c>
      <c r="D684" s="124" t="s">
        <v>49</v>
      </c>
      <c r="E684" s="124" t="s">
        <v>249</v>
      </c>
      <c r="F684" s="124" t="s">
        <v>250</v>
      </c>
      <c r="G684" s="124">
        <v>70.599999999999994</v>
      </c>
      <c r="H684" s="124" t="s">
        <v>43</v>
      </c>
      <c r="I684" s="124" t="s">
        <v>6</v>
      </c>
      <c r="J684" s="124" t="s">
        <v>44</v>
      </c>
      <c r="K684" s="124" t="s">
        <v>44</v>
      </c>
      <c r="L684" s="124" t="s">
        <v>45</v>
      </c>
      <c r="M684" s="124" t="s">
        <v>46</v>
      </c>
      <c r="N684" s="124" t="s">
        <v>47</v>
      </c>
      <c r="O684" s="125">
        <v>9133</v>
      </c>
      <c r="P684" s="124"/>
      <c r="Q684" s="124" t="s">
        <v>207</v>
      </c>
      <c r="R684" s="124">
        <v>70.599999999999994</v>
      </c>
      <c r="S684" s="124" t="s">
        <v>48</v>
      </c>
    </row>
    <row r="685" spans="1:19" x14ac:dyDescent="0.25">
      <c r="A685" s="124">
        <v>25300</v>
      </c>
      <c r="B685" s="124" t="s">
        <v>39</v>
      </c>
      <c r="C685" s="124" t="s">
        <v>40</v>
      </c>
      <c r="D685" s="124" t="s">
        <v>49</v>
      </c>
      <c r="E685" s="124" t="s">
        <v>392</v>
      </c>
      <c r="F685" s="124" t="s">
        <v>393</v>
      </c>
      <c r="G685" s="124">
        <v>95</v>
      </c>
      <c r="H685" s="124" t="s">
        <v>43</v>
      </c>
      <c r="I685" s="124" t="s">
        <v>6</v>
      </c>
      <c r="J685" s="124" t="s">
        <v>44</v>
      </c>
      <c r="K685" s="124" t="s">
        <v>44</v>
      </c>
      <c r="L685" s="124" t="s">
        <v>45</v>
      </c>
      <c r="M685" s="124" t="s">
        <v>46</v>
      </c>
      <c r="N685" s="124" t="s">
        <v>47</v>
      </c>
      <c r="O685" s="125">
        <v>20090</v>
      </c>
      <c r="P685" s="124"/>
      <c r="Q685" s="124" t="s">
        <v>207</v>
      </c>
      <c r="R685" s="124">
        <v>95</v>
      </c>
      <c r="S685" s="124" t="s">
        <v>48</v>
      </c>
    </row>
    <row r="686" spans="1:19" ht="29.25" x14ac:dyDescent="0.25">
      <c r="A686" s="124">
        <v>25400</v>
      </c>
      <c r="B686" s="124" t="s">
        <v>39</v>
      </c>
      <c r="C686" s="124" t="s">
        <v>40</v>
      </c>
      <c r="D686" s="124" t="s">
        <v>49</v>
      </c>
      <c r="E686" s="124" t="s">
        <v>337</v>
      </c>
      <c r="F686" s="124" t="s">
        <v>338</v>
      </c>
      <c r="G686" s="124">
        <v>82</v>
      </c>
      <c r="H686" s="124" t="s">
        <v>43</v>
      </c>
      <c r="I686" s="124" t="s">
        <v>6</v>
      </c>
      <c r="J686" s="124" t="s">
        <v>44</v>
      </c>
      <c r="K686" s="124" t="s">
        <v>44</v>
      </c>
      <c r="L686" s="124" t="s">
        <v>45</v>
      </c>
      <c r="M686" s="124" t="s">
        <v>46</v>
      </c>
      <c r="N686" s="124" t="s">
        <v>47</v>
      </c>
      <c r="O686" s="125">
        <v>16072</v>
      </c>
      <c r="P686" s="124"/>
      <c r="Q686" s="124" t="s">
        <v>207</v>
      </c>
      <c r="R686" s="124">
        <v>82</v>
      </c>
      <c r="S686" s="124" t="s">
        <v>48</v>
      </c>
    </row>
    <row r="687" spans="1:19" ht="29.25" x14ac:dyDescent="0.25">
      <c r="A687" s="124">
        <v>25500</v>
      </c>
      <c r="B687" s="124" t="s">
        <v>39</v>
      </c>
      <c r="C687" s="124" t="s">
        <v>40</v>
      </c>
      <c r="D687" s="124" t="s">
        <v>49</v>
      </c>
      <c r="E687" s="124" t="s">
        <v>343</v>
      </c>
      <c r="F687" s="124" t="s">
        <v>344</v>
      </c>
      <c r="G687" s="124">
        <v>82</v>
      </c>
      <c r="H687" s="124" t="s">
        <v>43</v>
      </c>
      <c r="I687" s="124" t="s">
        <v>6</v>
      </c>
      <c r="J687" s="124" t="s">
        <v>44</v>
      </c>
      <c r="K687" s="124" t="s">
        <v>44</v>
      </c>
      <c r="L687" s="124" t="s">
        <v>45</v>
      </c>
      <c r="M687" s="124" t="s">
        <v>46</v>
      </c>
      <c r="N687" s="124" t="s">
        <v>47</v>
      </c>
      <c r="O687" s="125">
        <v>16072</v>
      </c>
      <c r="P687" s="124"/>
      <c r="Q687" s="124" t="s">
        <v>207</v>
      </c>
      <c r="R687" s="124">
        <v>82</v>
      </c>
      <c r="S687" s="124" t="s">
        <v>48</v>
      </c>
    </row>
    <row r="688" spans="1:19" ht="29.25" x14ac:dyDescent="0.25">
      <c r="A688" s="124">
        <v>63800</v>
      </c>
      <c r="B688" s="124" t="s">
        <v>39</v>
      </c>
      <c r="C688" s="124" t="s">
        <v>49</v>
      </c>
      <c r="D688" s="124" t="s">
        <v>49</v>
      </c>
      <c r="E688" s="124" t="s">
        <v>1178</v>
      </c>
      <c r="F688" s="124" t="s">
        <v>1179</v>
      </c>
      <c r="G688" s="124">
        <v>4.83</v>
      </c>
      <c r="H688" s="124" t="s">
        <v>162</v>
      </c>
      <c r="I688" s="124" t="s">
        <v>1180</v>
      </c>
      <c r="J688" s="124" t="s">
        <v>807</v>
      </c>
      <c r="K688" s="124" t="s">
        <v>315</v>
      </c>
      <c r="L688" s="124" t="s">
        <v>915</v>
      </c>
      <c r="M688" s="124" t="s">
        <v>57</v>
      </c>
      <c r="N688" s="124" t="s">
        <v>163</v>
      </c>
      <c r="O688" s="125">
        <v>31048</v>
      </c>
      <c r="P688" s="124"/>
      <c r="Q688" s="124"/>
      <c r="R688" s="124">
        <v>7.12</v>
      </c>
      <c r="S688" s="124" t="s">
        <v>48</v>
      </c>
    </row>
    <row r="689" spans="1:19" ht="29.25" x14ac:dyDescent="0.25">
      <c r="A689" s="124">
        <v>27400</v>
      </c>
      <c r="B689" s="124" t="s">
        <v>39</v>
      </c>
      <c r="C689" s="124" t="s">
        <v>40</v>
      </c>
      <c r="D689" s="124" t="s">
        <v>49</v>
      </c>
      <c r="E689" s="124" t="s">
        <v>110</v>
      </c>
      <c r="F689" s="124" t="s">
        <v>111</v>
      </c>
      <c r="G689" s="124">
        <v>10.1</v>
      </c>
      <c r="H689" s="124" t="s">
        <v>43</v>
      </c>
      <c r="I689" s="124" t="s">
        <v>6</v>
      </c>
      <c r="J689" s="124" t="s">
        <v>44</v>
      </c>
      <c r="K689" s="124" t="s">
        <v>44</v>
      </c>
      <c r="L689" s="124" t="s">
        <v>45</v>
      </c>
      <c r="M689" s="124" t="s">
        <v>46</v>
      </c>
      <c r="N689" s="124" t="s">
        <v>47</v>
      </c>
      <c r="O689" s="125">
        <v>3654</v>
      </c>
      <c r="P689" s="124"/>
      <c r="Q689" s="124" t="s">
        <v>112</v>
      </c>
      <c r="R689" s="124">
        <v>10.1</v>
      </c>
      <c r="S689" s="124" t="s">
        <v>48</v>
      </c>
    </row>
    <row r="690" spans="1:19" ht="29.25" x14ac:dyDescent="0.25">
      <c r="A690" s="124">
        <v>27500</v>
      </c>
      <c r="B690" s="124" t="s">
        <v>39</v>
      </c>
      <c r="C690" s="124" t="s">
        <v>40</v>
      </c>
      <c r="D690" s="124" t="s">
        <v>49</v>
      </c>
      <c r="E690" s="124" t="s">
        <v>2436</v>
      </c>
      <c r="F690" s="124" t="s">
        <v>2437</v>
      </c>
      <c r="G690" s="124">
        <v>44</v>
      </c>
      <c r="H690" s="124" t="s">
        <v>43</v>
      </c>
      <c r="I690" s="124" t="s">
        <v>2382</v>
      </c>
      <c r="J690" s="124" t="s">
        <v>314</v>
      </c>
      <c r="K690" s="124" t="s">
        <v>315</v>
      </c>
      <c r="L690" s="124" t="s">
        <v>259</v>
      </c>
      <c r="M690" s="124" t="s">
        <v>46</v>
      </c>
      <c r="N690" s="124" t="s">
        <v>47</v>
      </c>
      <c r="O690" s="125">
        <v>37114</v>
      </c>
      <c r="P690" s="124"/>
      <c r="Q690" s="124"/>
      <c r="R690" s="124">
        <v>44</v>
      </c>
      <c r="S690" s="124" t="s">
        <v>48</v>
      </c>
    </row>
    <row r="691" spans="1:19" ht="43.5" x14ac:dyDescent="0.25">
      <c r="A691" s="124">
        <v>28500</v>
      </c>
      <c r="B691" s="124" t="s">
        <v>39</v>
      </c>
      <c r="C691" s="124" t="s">
        <v>40</v>
      </c>
      <c r="D691" s="124" t="s">
        <v>49</v>
      </c>
      <c r="E691" s="124" t="s">
        <v>166</v>
      </c>
      <c r="F691" s="124" t="s">
        <v>167</v>
      </c>
      <c r="G691" s="124">
        <v>11.94</v>
      </c>
      <c r="H691" s="124" t="s">
        <v>7</v>
      </c>
      <c r="I691" s="124" t="s">
        <v>7</v>
      </c>
      <c r="J691" s="124" t="s">
        <v>44</v>
      </c>
      <c r="K691" s="124" t="s">
        <v>44</v>
      </c>
      <c r="L691" s="124" t="s">
        <v>45</v>
      </c>
      <c r="M691" s="124" t="s">
        <v>57</v>
      </c>
      <c r="N691" s="124" t="s">
        <v>58</v>
      </c>
      <c r="O691" s="125">
        <v>5845</v>
      </c>
      <c r="P691" s="124" t="s">
        <v>131</v>
      </c>
      <c r="Q691" s="124"/>
      <c r="R691" s="124">
        <v>11.5</v>
      </c>
      <c r="S691" s="124" t="s">
        <v>48</v>
      </c>
    </row>
    <row r="692" spans="1:19" ht="29.25" x14ac:dyDescent="0.25">
      <c r="A692" s="124">
        <v>28600</v>
      </c>
      <c r="B692" s="124" t="s">
        <v>39</v>
      </c>
      <c r="C692" s="124" t="s">
        <v>40</v>
      </c>
      <c r="D692" s="124" t="s">
        <v>49</v>
      </c>
      <c r="E692" s="124" t="s">
        <v>300</v>
      </c>
      <c r="F692" s="124" t="s">
        <v>301</v>
      </c>
      <c r="G692" s="124">
        <v>46</v>
      </c>
      <c r="H692" s="124" t="s">
        <v>43</v>
      </c>
      <c r="I692" s="124" t="s">
        <v>6</v>
      </c>
      <c r="J692" s="124" t="s">
        <v>44</v>
      </c>
      <c r="K692" s="124" t="s">
        <v>44</v>
      </c>
      <c r="L692" s="124" t="s">
        <v>45</v>
      </c>
      <c r="M692" s="124" t="s">
        <v>46</v>
      </c>
      <c r="N692" s="124" t="s">
        <v>47</v>
      </c>
      <c r="O692" s="125">
        <v>11324</v>
      </c>
      <c r="P692" s="124"/>
      <c r="Q692" s="124" t="s">
        <v>293</v>
      </c>
      <c r="R692" s="124">
        <v>44</v>
      </c>
      <c r="S692" s="124" t="s">
        <v>48</v>
      </c>
    </row>
    <row r="693" spans="1:19" ht="29.25" x14ac:dyDescent="0.25">
      <c r="A693" s="124">
        <v>29000</v>
      </c>
      <c r="B693" s="124" t="s">
        <v>39</v>
      </c>
      <c r="C693" s="124" t="s">
        <v>40</v>
      </c>
      <c r="D693" s="124" t="s">
        <v>49</v>
      </c>
      <c r="E693" s="124" t="s">
        <v>558</v>
      </c>
      <c r="F693" s="124" t="s">
        <v>559</v>
      </c>
      <c r="G693" s="124">
        <v>374.43</v>
      </c>
      <c r="H693" s="124" t="s">
        <v>43</v>
      </c>
      <c r="I693" s="124" t="s">
        <v>560</v>
      </c>
      <c r="J693" s="124" t="s">
        <v>44</v>
      </c>
      <c r="K693" s="124" t="s">
        <v>561</v>
      </c>
      <c r="L693" s="124" t="s">
        <v>45</v>
      </c>
      <c r="M693" s="124" t="s">
        <v>46</v>
      </c>
      <c r="N693" s="124" t="s">
        <v>47</v>
      </c>
      <c r="O693" s="125">
        <v>24473</v>
      </c>
      <c r="P693" s="124"/>
      <c r="Q693" s="124"/>
      <c r="R693" s="124">
        <v>424</v>
      </c>
      <c r="S693" s="124" t="s">
        <v>48</v>
      </c>
    </row>
    <row r="694" spans="1:19" ht="43.5" x14ac:dyDescent="0.25">
      <c r="A694" s="124">
        <v>29100</v>
      </c>
      <c r="B694" s="124" t="s">
        <v>39</v>
      </c>
      <c r="C694" s="124" t="s">
        <v>40</v>
      </c>
      <c r="D694" s="124" t="s">
        <v>49</v>
      </c>
      <c r="E694" s="124" t="s">
        <v>3241</v>
      </c>
      <c r="F694" s="124" t="s">
        <v>3242</v>
      </c>
      <c r="G694" s="124">
        <v>6.95</v>
      </c>
      <c r="H694" s="124" t="s">
        <v>7</v>
      </c>
      <c r="I694" s="124" t="s">
        <v>7</v>
      </c>
      <c r="J694" s="124" t="s">
        <v>44</v>
      </c>
      <c r="K694" s="124" t="s">
        <v>44</v>
      </c>
      <c r="L694" s="124" t="s">
        <v>45</v>
      </c>
      <c r="M694" s="124" t="s">
        <v>57</v>
      </c>
      <c r="N694" s="124" t="s">
        <v>58</v>
      </c>
      <c r="O694" s="124"/>
      <c r="P694" s="124" t="s">
        <v>59</v>
      </c>
      <c r="Q694" s="124"/>
      <c r="R694" s="124">
        <v>6.95</v>
      </c>
      <c r="S694" s="124" t="s">
        <v>48</v>
      </c>
    </row>
    <row r="695" spans="1:19" x14ac:dyDescent="0.25">
      <c r="A695" s="124">
        <v>67600</v>
      </c>
      <c r="B695" s="124" t="s">
        <v>39</v>
      </c>
      <c r="C695" s="124" t="s">
        <v>40</v>
      </c>
      <c r="D695" s="124" t="s">
        <v>49</v>
      </c>
      <c r="E695" s="124" t="s">
        <v>790</v>
      </c>
      <c r="F695" s="124" t="s">
        <v>791</v>
      </c>
      <c r="G695" s="124">
        <v>7</v>
      </c>
      <c r="H695" s="124" t="s">
        <v>43</v>
      </c>
      <c r="I695" s="124" t="s">
        <v>792</v>
      </c>
      <c r="J695" s="124" t="s">
        <v>713</v>
      </c>
      <c r="K695" s="124" t="s">
        <v>599</v>
      </c>
      <c r="L695" s="124" t="s">
        <v>259</v>
      </c>
      <c r="M695" s="124" t="s">
        <v>46</v>
      </c>
      <c r="N695" s="124" t="s">
        <v>793</v>
      </c>
      <c r="O695" s="125">
        <v>29587</v>
      </c>
      <c r="P695" s="124"/>
      <c r="Q695" s="124"/>
      <c r="R695" s="124">
        <v>7</v>
      </c>
      <c r="S695" s="124" t="s">
        <v>48</v>
      </c>
    </row>
    <row r="696" spans="1:19" ht="29.25" x14ac:dyDescent="0.25">
      <c r="A696" s="124">
        <v>92800</v>
      </c>
      <c r="B696" s="124" t="s">
        <v>39</v>
      </c>
      <c r="C696" s="124" t="s">
        <v>49</v>
      </c>
      <c r="D696" s="124" t="s">
        <v>49</v>
      </c>
      <c r="E696" s="124" t="s">
        <v>2836</v>
      </c>
      <c r="F696" s="124" t="s">
        <v>2837</v>
      </c>
      <c r="G696" s="124">
        <v>3.04</v>
      </c>
      <c r="H696" s="124" t="s">
        <v>43</v>
      </c>
      <c r="I696" s="124" t="s">
        <v>2838</v>
      </c>
      <c r="J696" s="124" t="s">
        <v>384</v>
      </c>
      <c r="K696" s="124" t="s">
        <v>2299</v>
      </c>
      <c r="L696" s="124" t="s">
        <v>915</v>
      </c>
      <c r="M696" s="124" t="s">
        <v>46</v>
      </c>
      <c r="N696" s="124" t="s">
        <v>47</v>
      </c>
      <c r="O696" s="125">
        <v>38750</v>
      </c>
      <c r="P696" s="124"/>
      <c r="Q696" s="124"/>
      <c r="R696" s="124">
        <v>3.02</v>
      </c>
      <c r="S696" s="124" t="s">
        <v>48</v>
      </c>
    </row>
    <row r="697" spans="1:19" ht="29.25" x14ac:dyDescent="0.25">
      <c r="A697" s="124">
        <v>89800</v>
      </c>
      <c r="B697" s="124" t="s">
        <v>39</v>
      </c>
      <c r="C697" s="124" t="s">
        <v>40</v>
      </c>
      <c r="D697" s="124" t="s">
        <v>49</v>
      </c>
      <c r="E697" s="124" t="s">
        <v>2723</v>
      </c>
      <c r="F697" s="124" t="s">
        <v>2724</v>
      </c>
      <c r="G697" s="124">
        <v>2.4900000000000002</v>
      </c>
      <c r="H697" s="124" t="s">
        <v>7</v>
      </c>
      <c r="I697" s="124" t="s">
        <v>2720</v>
      </c>
      <c r="J697" s="124" t="s">
        <v>807</v>
      </c>
      <c r="K697" s="124" t="s">
        <v>315</v>
      </c>
      <c r="L697" s="124" t="s">
        <v>915</v>
      </c>
      <c r="M697" s="124" t="s">
        <v>57</v>
      </c>
      <c r="N697" s="124" t="s">
        <v>58</v>
      </c>
      <c r="O697" s="125">
        <v>38109</v>
      </c>
      <c r="P697" s="124"/>
      <c r="Q697" s="124"/>
      <c r="R697" s="124">
        <v>2.7</v>
      </c>
      <c r="S697" s="124" t="s">
        <v>48</v>
      </c>
    </row>
    <row r="698" spans="1:19" ht="29.25" x14ac:dyDescent="0.25">
      <c r="A698" s="124">
        <v>31100</v>
      </c>
      <c r="B698" s="124" t="s">
        <v>39</v>
      </c>
      <c r="C698" s="124" t="s">
        <v>40</v>
      </c>
      <c r="D698" s="124" t="s">
        <v>49</v>
      </c>
      <c r="E698" s="124" t="s">
        <v>282</v>
      </c>
      <c r="F698" s="124" t="s">
        <v>283</v>
      </c>
      <c r="G698" s="124">
        <v>11.4</v>
      </c>
      <c r="H698" s="124" t="s">
        <v>43</v>
      </c>
      <c r="I698" s="124" t="s">
        <v>6</v>
      </c>
      <c r="J698" s="124" t="s">
        <v>44</v>
      </c>
      <c r="K698" s="124" t="s">
        <v>44</v>
      </c>
      <c r="L698" s="124" t="s">
        <v>45</v>
      </c>
      <c r="M698" s="124" t="s">
        <v>46</v>
      </c>
      <c r="N698" s="124" t="s">
        <v>47</v>
      </c>
      <c r="O698" s="125">
        <v>10594</v>
      </c>
      <c r="P698" s="124"/>
      <c r="Q698" s="124" t="s">
        <v>148</v>
      </c>
      <c r="R698" s="124">
        <v>11.4</v>
      </c>
      <c r="S698" s="124" t="s">
        <v>48</v>
      </c>
    </row>
    <row r="699" spans="1:19" x14ac:dyDescent="0.25">
      <c r="A699" s="124">
        <v>31200</v>
      </c>
      <c r="B699" s="124" t="s">
        <v>39</v>
      </c>
      <c r="C699" s="124" t="s">
        <v>40</v>
      </c>
      <c r="D699" s="124" t="s">
        <v>49</v>
      </c>
      <c r="E699" s="124" t="s">
        <v>1978</v>
      </c>
      <c r="F699" s="124" t="s">
        <v>1979</v>
      </c>
      <c r="G699" s="124">
        <v>6</v>
      </c>
      <c r="H699" s="124" t="s">
        <v>43</v>
      </c>
      <c r="I699" s="124" t="s">
        <v>879</v>
      </c>
      <c r="J699" s="124" t="s">
        <v>44</v>
      </c>
      <c r="K699" s="124" t="s">
        <v>44</v>
      </c>
      <c r="L699" s="124" t="s">
        <v>45</v>
      </c>
      <c r="M699" s="124" t="s">
        <v>46</v>
      </c>
      <c r="N699" s="124" t="s">
        <v>47</v>
      </c>
      <c r="O699" s="125">
        <v>32874</v>
      </c>
      <c r="P699" s="124" t="s">
        <v>1980</v>
      </c>
      <c r="Q699" s="124"/>
      <c r="R699" s="124">
        <v>6.1</v>
      </c>
      <c r="S699" s="124" t="s">
        <v>48</v>
      </c>
    </row>
    <row r="700" spans="1:19" ht="29.25" x14ac:dyDescent="0.25">
      <c r="A700" s="124">
        <v>31500</v>
      </c>
      <c r="B700" s="124" t="s">
        <v>39</v>
      </c>
      <c r="C700" s="124" t="s">
        <v>40</v>
      </c>
      <c r="D700" s="124" t="s">
        <v>49</v>
      </c>
      <c r="E700" s="124" t="s">
        <v>1316</v>
      </c>
      <c r="F700" s="124" t="s">
        <v>1317</v>
      </c>
      <c r="G700" s="124">
        <v>4.9000000000000004</v>
      </c>
      <c r="H700" s="124" t="s">
        <v>43</v>
      </c>
      <c r="I700" s="124" t="s">
        <v>792</v>
      </c>
      <c r="J700" s="124" t="s">
        <v>44</v>
      </c>
      <c r="K700" s="124" t="s">
        <v>44</v>
      </c>
      <c r="L700" s="124" t="s">
        <v>45</v>
      </c>
      <c r="M700" s="124" t="s">
        <v>46</v>
      </c>
      <c r="N700" s="124" t="s">
        <v>47</v>
      </c>
      <c r="O700" s="125">
        <v>31413</v>
      </c>
      <c r="P700" s="124"/>
      <c r="Q700" s="124"/>
      <c r="R700" s="124">
        <v>4.9000000000000004</v>
      </c>
      <c r="S700" s="124" t="s">
        <v>48</v>
      </c>
    </row>
    <row r="701" spans="1:19" ht="43.5" x14ac:dyDescent="0.25">
      <c r="A701" s="124">
        <v>31800</v>
      </c>
      <c r="B701" s="124" t="s">
        <v>39</v>
      </c>
      <c r="C701" s="124" t="s">
        <v>40</v>
      </c>
      <c r="D701" s="124" t="s">
        <v>49</v>
      </c>
      <c r="E701" s="124" t="s">
        <v>2290</v>
      </c>
      <c r="F701" s="124" t="s">
        <v>2291</v>
      </c>
      <c r="G701" s="124">
        <v>0.3</v>
      </c>
      <c r="H701" s="124" t="s">
        <v>43</v>
      </c>
      <c r="I701" s="124" t="s">
        <v>2292</v>
      </c>
      <c r="J701" s="124" t="s">
        <v>807</v>
      </c>
      <c r="K701" s="124" t="s">
        <v>315</v>
      </c>
      <c r="L701" s="124" t="s">
        <v>915</v>
      </c>
      <c r="M701" s="124" t="s">
        <v>46</v>
      </c>
      <c r="N701" s="124" t="s">
        <v>47</v>
      </c>
      <c r="O701" s="125">
        <v>36161</v>
      </c>
      <c r="P701" s="124" t="s">
        <v>2293</v>
      </c>
      <c r="Q701" s="124"/>
      <c r="R701" s="124">
        <v>1.6</v>
      </c>
      <c r="S701" s="124" t="s">
        <v>48</v>
      </c>
    </row>
    <row r="702" spans="1:19" ht="29.25" x14ac:dyDescent="0.25">
      <c r="A702" s="124">
        <v>31900</v>
      </c>
      <c r="B702" s="124" t="s">
        <v>39</v>
      </c>
      <c r="C702" s="124" t="s">
        <v>40</v>
      </c>
      <c r="D702" s="124" t="s">
        <v>49</v>
      </c>
      <c r="E702" s="124" t="s">
        <v>2365</v>
      </c>
      <c r="F702" s="124" t="s">
        <v>2366</v>
      </c>
      <c r="G702" s="124">
        <v>590</v>
      </c>
      <c r="H702" s="124" t="s">
        <v>43</v>
      </c>
      <c r="I702" s="124" t="s">
        <v>2367</v>
      </c>
      <c r="J702" s="124" t="s">
        <v>384</v>
      </c>
      <c r="K702" s="124" t="s">
        <v>724</v>
      </c>
      <c r="L702" s="124" t="s">
        <v>259</v>
      </c>
      <c r="M702" s="124" t="s">
        <v>212</v>
      </c>
      <c r="N702" s="124" t="s">
        <v>213</v>
      </c>
      <c r="O702" s="125">
        <v>37049</v>
      </c>
      <c r="P702" s="124"/>
      <c r="Q702" s="124"/>
      <c r="R702" s="124">
        <v>590</v>
      </c>
      <c r="S702" s="124" t="s">
        <v>48</v>
      </c>
    </row>
    <row r="703" spans="1:19" ht="57.75" x14ac:dyDescent="0.25">
      <c r="A703" s="124">
        <v>32000</v>
      </c>
      <c r="B703" s="124" t="s">
        <v>39</v>
      </c>
      <c r="C703" s="124" t="s">
        <v>40</v>
      </c>
      <c r="D703" s="124" t="s">
        <v>49</v>
      </c>
      <c r="E703" s="124" t="s">
        <v>2348</v>
      </c>
      <c r="F703" s="124" t="s">
        <v>2349</v>
      </c>
      <c r="G703" s="124">
        <v>525</v>
      </c>
      <c r="H703" s="124" t="s">
        <v>43</v>
      </c>
      <c r="I703" s="124" t="s">
        <v>2350</v>
      </c>
      <c r="J703" s="124" t="s">
        <v>384</v>
      </c>
      <c r="K703" s="124" t="s">
        <v>724</v>
      </c>
      <c r="L703" s="124" t="s">
        <v>259</v>
      </c>
      <c r="M703" s="124" t="s">
        <v>46</v>
      </c>
      <c r="N703" s="124" t="s">
        <v>47</v>
      </c>
      <c r="O703" s="125">
        <v>37015</v>
      </c>
      <c r="P703" s="124" t="s">
        <v>2351</v>
      </c>
      <c r="Q703" s="124"/>
      <c r="R703" s="124">
        <v>572</v>
      </c>
      <c r="S703" s="124" t="s">
        <v>48</v>
      </c>
    </row>
    <row r="704" spans="1:19" ht="29.25" x14ac:dyDescent="0.25">
      <c r="A704" s="124">
        <v>84300</v>
      </c>
      <c r="B704" s="124" t="s">
        <v>39</v>
      </c>
      <c r="C704" s="124" t="s">
        <v>40</v>
      </c>
      <c r="D704" s="124" t="s">
        <v>49</v>
      </c>
      <c r="E704" s="124" t="s">
        <v>2697</v>
      </c>
      <c r="F704" s="124" t="s">
        <v>2698</v>
      </c>
      <c r="G704" s="124">
        <v>625</v>
      </c>
      <c r="H704" s="124" t="s">
        <v>162</v>
      </c>
      <c r="I704" s="124" t="s">
        <v>2699</v>
      </c>
      <c r="J704" s="124" t="s">
        <v>384</v>
      </c>
      <c r="K704" s="124" t="s">
        <v>724</v>
      </c>
      <c r="L704" s="124" t="s">
        <v>259</v>
      </c>
      <c r="M704" s="124" t="s">
        <v>57</v>
      </c>
      <c r="N704" s="124" t="s">
        <v>163</v>
      </c>
      <c r="O704" s="125">
        <v>37832</v>
      </c>
      <c r="P704" s="124"/>
      <c r="Q704" s="124"/>
      <c r="R704" s="124">
        <v>668</v>
      </c>
      <c r="S704" s="124" t="s">
        <v>48</v>
      </c>
    </row>
    <row r="705" spans="1:19" ht="29.25" x14ac:dyDescent="0.25">
      <c r="A705" s="124">
        <v>32200</v>
      </c>
      <c r="B705" s="124" t="s">
        <v>39</v>
      </c>
      <c r="C705" s="124" t="s">
        <v>40</v>
      </c>
      <c r="D705" s="124" t="s">
        <v>49</v>
      </c>
      <c r="E705" s="124" t="s">
        <v>304</v>
      </c>
      <c r="F705" s="124" t="s">
        <v>305</v>
      </c>
      <c r="G705" s="124">
        <v>62</v>
      </c>
      <c r="H705" s="124" t="s">
        <v>43</v>
      </c>
      <c r="I705" s="124" t="s">
        <v>6</v>
      </c>
      <c r="J705" s="124" t="s">
        <v>44</v>
      </c>
      <c r="K705" s="124" t="s">
        <v>44</v>
      </c>
      <c r="L705" s="124" t="s">
        <v>45</v>
      </c>
      <c r="M705" s="124" t="s">
        <v>46</v>
      </c>
      <c r="N705" s="124" t="s">
        <v>47</v>
      </c>
      <c r="O705" s="125">
        <v>11324</v>
      </c>
      <c r="P705" s="124"/>
      <c r="Q705" s="124" t="s">
        <v>293</v>
      </c>
      <c r="R705" s="124">
        <v>56</v>
      </c>
      <c r="S705" s="124" t="s">
        <v>48</v>
      </c>
    </row>
    <row r="706" spans="1:19" x14ac:dyDescent="0.25">
      <c r="A706" s="124">
        <v>32700</v>
      </c>
      <c r="B706" s="124" t="s">
        <v>39</v>
      </c>
      <c r="C706" s="124" t="s">
        <v>40</v>
      </c>
      <c r="D706" s="124" t="s">
        <v>49</v>
      </c>
      <c r="E706" s="124" t="s">
        <v>437</v>
      </c>
      <c r="F706" s="124" t="s">
        <v>438</v>
      </c>
      <c r="G706" s="124">
        <v>18.7</v>
      </c>
      <c r="H706" s="124" t="s">
        <v>43</v>
      </c>
      <c r="I706" s="124" t="s">
        <v>408</v>
      </c>
      <c r="J706" s="124" t="s">
        <v>44</v>
      </c>
      <c r="K706" s="124" t="s">
        <v>44</v>
      </c>
      <c r="L706" s="124" t="s">
        <v>45</v>
      </c>
      <c r="M706" s="124" t="s">
        <v>46</v>
      </c>
      <c r="N706" s="124" t="s">
        <v>47</v>
      </c>
      <c r="O706" s="125">
        <v>21186</v>
      </c>
      <c r="P706" s="124"/>
      <c r="Q706" s="124" t="s">
        <v>331</v>
      </c>
      <c r="R706" s="124">
        <v>18.7</v>
      </c>
      <c r="S706" s="124" t="s">
        <v>48</v>
      </c>
    </row>
    <row r="707" spans="1:19" ht="29.25" x14ac:dyDescent="0.25">
      <c r="A707" s="124">
        <v>93400</v>
      </c>
      <c r="B707" s="124" t="s">
        <v>39</v>
      </c>
      <c r="C707" s="124" t="s">
        <v>40</v>
      </c>
      <c r="D707" s="124" t="s">
        <v>49</v>
      </c>
      <c r="E707" s="124" t="s">
        <v>3251</v>
      </c>
      <c r="F707" s="124" t="s">
        <v>3252</v>
      </c>
      <c r="G707" s="124">
        <v>6.2</v>
      </c>
      <c r="H707" s="124" t="s">
        <v>43</v>
      </c>
      <c r="I707" s="124" t="s">
        <v>329</v>
      </c>
      <c r="J707" s="124" t="s">
        <v>44</v>
      </c>
      <c r="K707" s="124" t="s">
        <v>1052</v>
      </c>
      <c r="L707" s="124" t="s">
        <v>45</v>
      </c>
      <c r="M707" s="124" t="s">
        <v>46</v>
      </c>
      <c r="N707" s="124" t="s">
        <v>47</v>
      </c>
      <c r="O707" s="124"/>
      <c r="P707" s="124" t="s">
        <v>3253</v>
      </c>
      <c r="Q707" s="124" t="s">
        <v>331</v>
      </c>
      <c r="R707" s="124">
        <v>5.5</v>
      </c>
      <c r="S707" s="124" t="s">
        <v>48</v>
      </c>
    </row>
    <row r="708" spans="1:19" x14ac:dyDescent="0.25">
      <c r="A708" s="124">
        <v>33100</v>
      </c>
      <c r="B708" s="124" t="s">
        <v>39</v>
      </c>
      <c r="C708" s="124" t="s">
        <v>40</v>
      </c>
      <c r="D708" s="124" t="s">
        <v>49</v>
      </c>
      <c r="E708" s="124" t="s">
        <v>819</v>
      </c>
      <c r="F708" s="124" t="s">
        <v>820</v>
      </c>
      <c r="G708" s="124">
        <v>76</v>
      </c>
      <c r="H708" s="124" t="s">
        <v>7</v>
      </c>
      <c r="I708" s="124" t="s">
        <v>560</v>
      </c>
      <c r="J708" s="124" t="s">
        <v>44</v>
      </c>
      <c r="K708" s="124" t="s">
        <v>44</v>
      </c>
      <c r="L708" s="124" t="s">
        <v>45</v>
      </c>
      <c r="M708" s="124" t="s">
        <v>57</v>
      </c>
      <c r="N708" s="124" t="s">
        <v>58</v>
      </c>
      <c r="O708" s="125">
        <v>29952</v>
      </c>
      <c r="P708" s="124"/>
      <c r="Q708" s="124"/>
      <c r="R708" s="124">
        <v>78.2</v>
      </c>
      <c r="S708" s="124" t="s">
        <v>48</v>
      </c>
    </row>
    <row r="709" spans="1:19" ht="29.25" x14ac:dyDescent="0.25">
      <c r="A709" s="124">
        <v>24600</v>
      </c>
      <c r="B709" s="124" t="s">
        <v>39</v>
      </c>
      <c r="C709" s="124" t="s">
        <v>40</v>
      </c>
      <c r="D709" s="124" t="s">
        <v>49</v>
      </c>
      <c r="E709" s="124" t="s">
        <v>2777</v>
      </c>
      <c r="F709" s="124" t="s">
        <v>2778</v>
      </c>
      <c r="G709" s="124">
        <v>49.97</v>
      </c>
      <c r="H709" s="124" t="s">
        <v>43</v>
      </c>
      <c r="I709" s="124" t="s">
        <v>2516</v>
      </c>
      <c r="J709" s="124" t="s">
        <v>314</v>
      </c>
      <c r="K709" s="124" t="s">
        <v>1052</v>
      </c>
      <c r="L709" s="124" t="s">
        <v>259</v>
      </c>
      <c r="M709" s="124" t="s">
        <v>46</v>
      </c>
      <c r="N709" s="124" t="s">
        <v>47</v>
      </c>
      <c r="O709" s="125">
        <v>38517</v>
      </c>
      <c r="P709" s="124"/>
      <c r="Q709" s="124"/>
      <c r="R709" s="124">
        <v>49.35</v>
      </c>
      <c r="S709" s="124" t="s">
        <v>48</v>
      </c>
    </row>
    <row r="710" spans="1:19" ht="29.25" x14ac:dyDescent="0.25">
      <c r="A710" s="124">
        <v>33800</v>
      </c>
      <c r="B710" s="124" t="s">
        <v>39</v>
      </c>
      <c r="C710" s="124" t="s">
        <v>40</v>
      </c>
      <c r="D710" s="124" t="s">
        <v>49</v>
      </c>
      <c r="E710" s="124" t="s">
        <v>115</v>
      </c>
      <c r="F710" s="124" t="s">
        <v>116</v>
      </c>
      <c r="G710" s="124">
        <v>18.399999999999999</v>
      </c>
      <c r="H710" s="124" t="s">
        <v>43</v>
      </c>
      <c r="I710" s="124" t="s">
        <v>6</v>
      </c>
      <c r="J710" s="124" t="s">
        <v>44</v>
      </c>
      <c r="K710" s="124" t="s">
        <v>44</v>
      </c>
      <c r="L710" s="124" t="s">
        <v>45</v>
      </c>
      <c r="M710" s="124" t="s">
        <v>46</v>
      </c>
      <c r="N710" s="124" t="s">
        <v>47</v>
      </c>
      <c r="O710" s="125">
        <v>3654</v>
      </c>
      <c r="P710" s="124"/>
      <c r="Q710" s="124" t="s">
        <v>117</v>
      </c>
      <c r="R710" s="124">
        <v>18.399999999999999</v>
      </c>
      <c r="S710" s="124" t="s">
        <v>48</v>
      </c>
    </row>
    <row r="711" spans="1:19" ht="57.75" x14ac:dyDescent="0.25">
      <c r="A711" s="124">
        <v>104000</v>
      </c>
      <c r="B711" s="124" t="s">
        <v>39</v>
      </c>
      <c r="C711" s="124" t="s">
        <v>40</v>
      </c>
      <c r="D711" s="124" t="s">
        <v>49</v>
      </c>
      <c r="E711" s="124" t="s">
        <v>3106</v>
      </c>
      <c r="F711" s="124" t="s">
        <v>3107</v>
      </c>
      <c r="G711" s="124">
        <v>120</v>
      </c>
      <c r="H711" s="124" t="s">
        <v>7</v>
      </c>
      <c r="I711" s="124" t="s">
        <v>3108</v>
      </c>
      <c r="J711" s="124" t="s">
        <v>800</v>
      </c>
      <c r="K711" s="124" t="s">
        <v>800</v>
      </c>
      <c r="L711" s="124" t="s">
        <v>800</v>
      </c>
      <c r="M711" s="124" t="s">
        <v>57</v>
      </c>
      <c r="N711" s="124" t="s">
        <v>58</v>
      </c>
      <c r="O711" s="125">
        <v>40936</v>
      </c>
      <c r="P711" s="124" t="s">
        <v>3109</v>
      </c>
      <c r="Q711" s="124"/>
      <c r="R711" s="124">
        <v>120</v>
      </c>
      <c r="S711" s="124" t="s">
        <v>48</v>
      </c>
    </row>
    <row r="712" spans="1:19" ht="29.25" x14ac:dyDescent="0.25">
      <c r="A712" s="124">
        <v>34600</v>
      </c>
      <c r="B712" s="124" t="s">
        <v>106</v>
      </c>
      <c r="C712" s="124" t="s">
        <v>49</v>
      </c>
      <c r="D712" s="124" t="s">
        <v>49</v>
      </c>
      <c r="E712" s="124" t="s">
        <v>1189</v>
      </c>
      <c r="F712" s="124" t="s">
        <v>1190</v>
      </c>
      <c r="G712" s="124">
        <v>55</v>
      </c>
      <c r="H712" s="124" t="s">
        <v>43</v>
      </c>
      <c r="I712" s="124" t="s">
        <v>1191</v>
      </c>
      <c r="J712" s="124" t="s">
        <v>800</v>
      </c>
      <c r="K712" s="124" t="s">
        <v>800</v>
      </c>
      <c r="L712" s="124" t="s">
        <v>800</v>
      </c>
      <c r="M712" s="124" t="s">
        <v>46</v>
      </c>
      <c r="N712" s="124" t="s">
        <v>47</v>
      </c>
      <c r="O712" s="125">
        <v>31048</v>
      </c>
      <c r="P712" s="124"/>
      <c r="Q712" s="124"/>
      <c r="R712" s="124">
        <v>55</v>
      </c>
      <c r="S712" s="124" t="s">
        <v>48</v>
      </c>
    </row>
    <row r="713" spans="1:19" ht="29.25" x14ac:dyDescent="0.25">
      <c r="A713" s="124">
        <v>35300</v>
      </c>
      <c r="B713" s="124" t="s">
        <v>106</v>
      </c>
      <c r="C713" s="124" t="s">
        <v>49</v>
      </c>
      <c r="D713" s="124" t="s">
        <v>49</v>
      </c>
      <c r="E713" s="124" t="s">
        <v>823</v>
      </c>
      <c r="F713" s="124" t="s">
        <v>824</v>
      </c>
      <c r="G713" s="124">
        <v>346.03</v>
      </c>
      <c r="H713" s="124" t="s">
        <v>7</v>
      </c>
      <c r="I713" s="124" t="s">
        <v>109</v>
      </c>
      <c r="J713" s="124" t="s">
        <v>800</v>
      </c>
      <c r="K713" s="124" t="s">
        <v>800</v>
      </c>
      <c r="L713" s="124" t="s">
        <v>800</v>
      </c>
      <c r="M713" s="124" t="s">
        <v>57</v>
      </c>
      <c r="N713" s="124" t="s">
        <v>58</v>
      </c>
      <c r="O713" s="125">
        <v>29952</v>
      </c>
      <c r="P713" s="124"/>
      <c r="Q713" s="124"/>
      <c r="R713" s="124">
        <v>346.03</v>
      </c>
      <c r="S713" s="124" t="s">
        <v>48</v>
      </c>
    </row>
    <row r="714" spans="1:19" ht="29.25" x14ac:dyDescent="0.25">
      <c r="A714" s="124">
        <v>36300</v>
      </c>
      <c r="B714" s="124" t="s">
        <v>106</v>
      </c>
      <c r="C714" s="124" t="s">
        <v>49</v>
      </c>
      <c r="D714" s="124" t="s">
        <v>49</v>
      </c>
      <c r="E714" s="124" t="s">
        <v>2201</v>
      </c>
      <c r="F714" s="124" t="s">
        <v>2202</v>
      </c>
      <c r="G714" s="124">
        <v>0.2</v>
      </c>
      <c r="H714" s="124" t="s">
        <v>7</v>
      </c>
      <c r="I714" s="124" t="s">
        <v>109</v>
      </c>
      <c r="J714" s="124" t="s">
        <v>109</v>
      </c>
      <c r="K714" s="124"/>
      <c r="L714" s="124"/>
      <c r="M714" s="124" t="s">
        <v>57</v>
      </c>
      <c r="N714" s="124" t="s">
        <v>58</v>
      </c>
      <c r="O714" s="125">
        <v>34335</v>
      </c>
      <c r="P714" s="124"/>
      <c r="Q714" s="124"/>
      <c r="R714" s="124">
        <v>0.37</v>
      </c>
      <c r="S714" s="124" t="s">
        <v>48</v>
      </c>
    </row>
    <row r="715" spans="1:19" ht="29.25" x14ac:dyDescent="0.25">
      <c r="A715" s="124">
        <v>37200</v>
      </c>
      <c r="B715" s="124" t="s">
        <v>106</v>
      </c>
      <c r="C715" s="124" t="s">
        <v>49</v>
      </c>
      <c r="D715" s="124" t="s">
        <v>49</v>
      </c>
      <c r="E715" s="124" t="s">
        <v>1192</v>
      </c>
      <c r="F715" s="124" t="s">
        <v>1193</v>
      </c>
      <c r="G715" s="124">
        <v>2.85</v>
      </c>
      <c r="H715" s="124" t="s">
        <v>43</v>
      </c>
      <c r="I715" s="124" t="s">
        <v>1194</v>
      </c>
      <c r="J715" s="124" t="s">
        <v>44</v>
      </c>
      <c r="K715" s="124" t="s">
        <v>44</v>
      </c>
      <c r="L715" s="124" t="s">
        <v>45</v>
      </c>
      <c r="M715" s="124" t="s">
        <v>46</v>
      </c>
      <c r="N715" s="124" t="s">
        <v>47</v>
      </c>
      <c r="O715" s="125">
        <v>31048</v>
      </c>
      <c r="P715" s="124"/>
      <c r="Q715" s="124"/>
      <c r="R715" s="124">
        <v>2.2400000000000002</v>
      </c>
      <c r="S715" s="124" t="s">
        <v>48</v>
      </c>
    </row>
    <row r="716" spans="1:19" ht="29.25" x14ac:dyDescent="0.25">
      <c r="A716" s="124">
        <v>38000</v>
      </c>
      <c r="B716" s="124" t="s">
        <v>106</v>
      </c>
      <c r="C716" s="124" t="s">
        <v>49</v>
      </c>
      <c r="D716" s="124" t="s">
        <v>49</v>
      </c>
      <c r="E716" s="124" t="s">
        <v>1844</v>
      </c>
      <c r="F716" s="124" t="s">
        <v>1845</v>
      </c>
      <c r="G716" s="124">
        <v>135</v>
      </c>
      <c r="H716" s="124" t="s">
        <v>43</v>
      </c>
      <c r="I716" s="124" t="s">
        <v>1846</v>
      </c>
      <c r="J716" s="124" t="s">
        <v>713</v>
      </c>
      <c r="K716" s="124" t="s">
        <v>724</v>
      </c>
      <c r="L716" s="124" t="s">
        <v>259</v>
      </c>
      <c r="M716" s="124" t="s">
        <v>46</v>
      </c>
      <c r="N716" s="124" t="s">
        <v>47</v>
      </c>
      <c r="O716" s="125">
        <v>32581</v>
      </c>
      <c r="P716" s="124" t="s">
        <v>1847</v>
      </c>
      <c r="Q716" s="124"/>
      <c r="R716" s="124">
        <v>133.30000000000001</v>
      </c>
      <c r="S716" s="124" t="s">
        <v>48</v>
      </c>
    </row>
    <row r="717" spans="1:19" ht="29.25" x14ac:dyDescent="0.25">
      <c r="A717" s="124">
        <v>38900</v>
      </c>
      <c r="B717" s="124" t="s">
        <v>106</v>
      </c>
      <c r="C717" s="124" t="s">
        <v>49</v>
      </c>
      <c r="D717" s="124" t="s">
        <v>49</v>
      </c>
      <c r="E717" s="124" t="s">
        <v>1512</v>
      </c>
      <c r="F717" s="124" t="s">
        <v>1513</v>
      </c>
      <c r="G717" s="124">
        <v>31</v>
      </c>
      <c r="H717" s="124" t="s">
        <v>7</v>
      </c>
      <c r="I717" s="124" t="s">
        <v>713</v>
      </c>
      <c r="J717" s="124" t="s">
        <v>713</v>
      </c>
      <c r="K717" s="124"/>
      <c r="L717" s="124" t="s">
        <v>259</v>
      </c>
      <c r="M717" s="124" t="s">
        <v>57</v>
      </c>
      <c r="N717" s="124" t="s">
        <v>58</v>
      </c>
      <c r="O717" s="125">
        <v>31778</v>
      </c>
      <c r="P717" s="124"/>
      <c r="Q717" s="124"/>
      <c r="R717" s="124">
        <v>31.01</v>
      </c>
      <c r="S717" s="124" t="s">
        <v>48</v>
      </c>
    </row>
    <row r="718" spans="1:19" ht="29.25" x14ac:dyDescent="0.25">
      <c r="A718" s="124">
        <v>40000</v>
      </c>
      <c r="B718" s="124" t="s">
        <v>106</v>
      </c>
      <c r="C718" s="124" t="s">
        <v>49</v>
      </c>
      <c r="D718" s="124" t="s">
        <v>49</v>
      </c>
      <c r="E718" s="124" t="s">
        <v>1661</v>
      </c>
      <c r="F718" s="124" t="s">
        <v>1662</v>
      </c>
      <c r="G718" s="124">
        <v>85.31</v>
      </c>
      <c r="H718" s="124" t="s">
        <v>7</v>
      </c>
      <c r="I718" s="124">
        <v>2155</v>
      </c>
      <c r="J718" s="124" t="s">
        <v>713</v>
      </c>
      <c r="K718" s="124" t="s">
        <v>724</v>
      </c>
      <c r="L718" s="124" t="s">
        <v>259</v>
      </c>
      <c r="M718" s="124" t="s">
        <v>57</v>
      </c>
      <c r="N718" s="124" t="s">
        <v>58</v>
      </c>
      <c r="O718" s="125">
        <v>32140</v>
      </c>
      <c r="P718" s="124"/>
      <c r="Q718" s="124"/>
      <c r="R718" s="124">
        <v>76.7</v>
      </c>
      <c r="S718" s="124" t="s">
        <v>48</v>
      </c>
    </row>
    <row r="719" spans="1:19" ht="29.25" x14ac:dyDescent="0.25">
      <c r="A719" s="124">
        <v>40700</v>
      </c>
      <c r="B719" s="124" t="s">
        <v>106</v>
      </c>
      <c r="C719" s="124" t="s">
        <v>49</v>
      </c>
      <c r="D719" s="124" t="s">
        <v>49</v>
      </c>
      <c r="E719" s="124" t="s">
        <v>1516</v>
      </c>
      <c r="F719" s="124" t="s">
        <v>1517</v>
      </c>
      <c r="G719" s="124">
        <v>21.8</v>
      </c>
      <c r="H719" s="124" t="s">
        <v>7</v>
      </c>
      <c r="I719" s="124" t="s">
        <v>109</v>
      </c>
      <c r="J719" s="124" t="s">
        <v>109</v>
      </c>
      <c r="K719" s="124"/>
      <c r="L719" s="124" t="s">
        <v>915</v>
      </c>
      <c r="M719" s="124" t="s">
        <v>57</v>
      </c>
      <c r="N719" s="124" t="s">
        <v>58</v>
      </c>
      <c r="O719" s="125">
        <v>31778</v>
      </c>
      <c r="P719" s="124"/>
      <c r="Q719" s="124"/>
      <c r="R719" s="124">
        <v>21.8</v>
      </c>
      <c r="S719" s="124" t="s">
        <v>48</v>
      </c>
    </row>
    <row r="720" spans="1:19" ht="29.25" x14ac:dyDescent="0.25">
      <c r="A720" s="124">
        <v>41100</v>
      </c>
      <c r="B720" s="124" t="s">
        <v>106</v>
      </c>
      <c r="C720" s="124" t="s">
        <v>49</v>
      </c>
      <c r="D720" s="124" t="s">
        <v>49</v>
      </c>
      <c r="E720" s="124" t="s">
        <v>998</v>
      </c>
      <c r="F720" s="124" t="s">
        <v>999</v>
      </c>
      <c r="G720" s="124">
        <v>1.25</v>
      </c>
      <c r="H720" s="124" t="s">
        <v>43</v>
      </c>
      <c r="I720" s="124" t="s">
        <v>109</v>
      </c>
      <c r="J720" s="124" t="s">
        <v>713</v>
      </c>
      <c r="K720" s="124"/>
      <c r="L720" s="124" t="s">
        <v>259</v>
      </c>
      <c r="M720" s="124" t="s">
        <v>46</v>
      </c>
      <c r="N720" s="124" t="s">
        <v>47</v>
      </c>
      <c r="O720" s="125">
        <v>30655</v>
      </c>
      <c r="P720" s="124"/>
      <c r="Q720" s="124"/>
      <c r="R720" s="124">
        <v>0.24</v>
      </c>
      <c r="S720" s="124" t="s">
        <v>48</v>
      </c>
    </row>
    <row r="721" spans="1:19" ht="29.25" x14ac:dyDescent="0.25">
      <c r="A721" s="124">
        <v>42400</v>
      </c>
      <c r="B721" s="124" t="s">
        <v>106</v>
      </c>
      <c r="C721" s="124" t="s">
        <v>49</v>
      </c>
      <c r="D721" s="124" t="s">
        <v>49</v>
      </c>
      <c r="E721" s="124" t="s">
        <v>825</v>
      </c>
      <c r="F721" s="124" t="s">
        <v>826</v>
      </c>
      <c r="G721" s="124">
        <v>41.8</v>
      </c>
      <c r="H721" s="124" t="s">
        <v>7</v>
      </c>
      <c r="I721" s="124" t="s">
        <v>109</v>
      </c>
      <c r="J721" s="124" t="s">
        <v>109</v>
      </c>
      <c r="K721" s="124"/>
      <c r="L721" s="124" t="s">
        <v>663</v>
      </c>
      <c r="M721" s="124" t="s">
        <v>57</v>
      </c>
      <c r="N721" s="124" t="s">
        <v>58</v>
      </c>
      <c r="O721" s="125">
        <v>29952</v>
      </c>
      <c r="P721" s="124"/>
      <c r="Q721" s="124"/>
      <c r="R721" s="124">
        <v>37.840000000000003</v>
      </c>
      <c r="S721" s="124" t="s">
        <v>48</v>
      </c>
    </row>
    <row r="722" spans="1:19" ht="29.25" x14ac:dyDescent="0.25">
      <c r="A722" s="124">
        <v>42900</v>
      </c>
      <c r="B722" s="124" t="s">
        <v>106</v>
      </c>
      <c r="C722" s="124" t="s">
        <v>49</v>
      </c>
      <c r="D722" s="124" t="s">
        <v>49</v>
      </c>
      <c r="E722" s="124" t="s">
        <v>1778</v>
      </c>
      <c r="F722" s="124" t="s">
        <v>1779</v>
      </c>
      <c r="G722" s="124">
        <v>100.73</v>
      </c>
      <c r="H722" s="124" t="s">
        <v>7</v>
      </c>
      <c r="I722" s="124">
        <v>3030</v>
      </c>
      <c r="J722" s="124" t="s">
        <v>663</v>
      </c>
      <c r="K722" s="124" t="s">
        <v>385</v>
      </c>
      <c r="L722" s="124" t="s">
        <v>663</v>
      </c>
      <c r="M722" s="124" t="s">
        <v>57</v>
      </c>
      <c r="N722" s="124" t="s">
        <v>58</v>
      </c>
      <c r="O722" s="125">
        <v>32482</v>
      </c>
      <c r="P722" s="124"/>
      <c r="Q722" s="124"/>
      <c r="R722" s="124">
        <v>67.5</v>
      </c>
      <c r="S722" s="124" t="s">
        <v>48</v>
      </c>
    </row>
    <row r="723" spans="1:19" ht="29.25" x14ac:dyDescent="0.25">
      <c r="A723" s="124">
        <v>43000</v>
      </c>
      <c r="B723" s="124" t="s">
        <v>106</v>
      </c>
      <c r="C723" s="124" t="s">
        <v>49</v>
      </c>
      <c r="D723" s="124" t="s">
        <v>49</v>
      </c>
      <c r="E723" s="124" t="s">
        <v>1609</v>
      </c>
      <c r="F723" s="124" t="s">
        <v>1610</v>
      </c>
      <c r="G723" s="124">
        <v>92.2</v>
      </c>
      <c r="H723" s="124" t="s">
        <v>7</v>
      </c>
      <c r="I723" s="124">
        <v>3008</v>
      </c>
      <c r="J723" s="124" t="s">
        <v>663</v>
      </c>
      <c r="K723" s="124"/>
      <c r="L723" s="124" t="s">
        <v>663</v>
      </c>
      <c r="M723" s="124" t="s">
        <v>57</v>
      </c>
      <c r="N723" s="124" t="s">
        <v>58</v>
      </c>
      <c r="O723" s="125">
        <v>31971</v>
      </c>
      <c r="P723" s="124"/>
      <c r="Q723" s="124"/>
      <c r="R723" s="124">
        <v>75</v>
      </c>
      <c r="S723" s="124" t="s">
        <v>48</v>
      </c>
    </row>
    <row r="724" spans="1:19" ht="43.5" x14ac:dyDescent="0.25">
      <c r="A724" s="124">
        <v>43400</v>
      </c>
      <c r="B724" s="124" t="s">
        <v>106</v>
      </c>
      <c r="C724" s="124" t="s">
        <v>49</v>
      </c>
      <c r="D724" s="124" t="s">
        <v>49</v>
      </c>
      <c r="E724" s="124" t="s">
        <v>827</v>
      </c>
      <c r="F724" s="124" t="s">
        <v>828</v>
      </c>
      <c r="G724" s="124">
        <v>1</v>
      </c>
      <c r="H724" s="124" t="s">
        <v>43</v>
      </c>
      <c r="I724" s="124" t="s">
        <v>109</v>
      </c>
      <c r="J724" s="124" t="s">
        <v>44</v>
      </c>
      <c r="K724" s="124" t="s">
        <v>44</v>
      </c>
      <c r="L724" s="124" t="s">
        <v>45</v>
      </c>
      <c r="M724" s="124" t="s">
        <v>46</v>
      </c>
      <c r="N724" s="124" t="s">
        <v>47</v>
      </c>
      <c r="O724" s="125">
        <v>29952</v>
      </c>
      <c r="P724" s="124"/>
      <c r="Q724" s="124"/>
      <c r="R724" s="124">
        <v>1</v>
      </c>
      <c r="S724" s="124" t="s">
        <v>48</v>
      </c>
    </row>
    <row r="725" spans="1:19" ht="29.25" x14ac:dyDescent="0.25">
      <c r="A725" s="124">
        <v>90100</v>
      </c>
      <c r="B725" s="124" t="s">
        <v>106</v>
      </c>
      <c r="C725" s="124" t="s">
        <v>49</v>
      </c>
      <c r="D725" s="124" t="s">
        <v>49</v>
      </c>
      <c r="E725" s="124" t="s">
        <v>1553</v>
      </c>
      <c r="F725" s="124" t="s">
        <v>1554</v>
      </c>
      <c r="G725" s="124">
        <v>20.260000000000002</v>
      </c>
      <c r="H725" s="124" t="s">
        <v>43</v>
      </c>
      <c r="I725" s="124" t="s">
        <v>109</v>
      </c>
      <c r="J725" s="124" t="s">
        <v>44</v>
      </c>
      <c r="K725" s="124" t="s">
        <v>44</v>
      </c>
      <c r="L725" s="124" t="s">
        <v>45</v>
      </c>
      <c r="M725" s="124" t="s">
        <v>46</v>
      </c>
      <c r="N725" s="124" t="s">
        <v>47</v>
      </c>
      <c r="O725" s="125">
        <v>31782</v>
      </c>
      <c r="P725" s="124"/>
      <c r="Q725" s="124"/>
      <c r="R725" s="124">
        <v>20.260000000000002</v>
      </c>
      <c r="S725" s="124" t="s">
        <v>48</v>
      </c>
    </row>
    <row r="726" spans="1:19" ht="29.25" x14ac:dyDescent="0.25">
      <c r="A726" s="124">
        <v>44000</v>
      </c>
      <c r="B726" s="124" t="s">
        <v>106</v>
      </c>
      <c r="C726" s="124" t="s">
        <v>49</v>
      </c>
      <c r="D726" s="124" t="s">
        <v>49</v>
      </c>
      <c r="E726" s="124" t="s">
        <v>906</v>
      </c>
      <c r="F726" s="124" t="s">
        <v>907</v>
      </c>
      <c r="G726" s="124">
        <v>2</v>
      </c>
      <c r="H726" s="124" t="s">
        <v>43</v>
      </c>
      <c r="I726" s="124" t="s">
        <v>109</v>
      </c>
      <c r="J726" s="124" t="s">
        <v>44</v>
      </c>
      <c r="K726" s="124" t="s">
        <v>44</v>
      </c>
      <c r="L726" s="124" t="s">
        <v>45</v>
      </c>
      <c r="M726" s="124" t="s">
        <v>46</v>
      </c>
      <c r="N726" s="124" t="s">
        <v>47</v>
      </c>
      <c r="O726" s="125">
        <v>30317</v>
      </c>
      <c r="P726" s="124"/>
      <c r="Q726" s="124"/>
      <c r="R726" s="124">
        <v>2.2999999999999998</v>
      </c>
      <c r="S726" s="124" t="s">
        <v>48</v>
      </c>
    </row>
    <row r="727" spans="1:19" ht="29.25" x14ac:dyDescent="0.25">
      <c r="A727" s="124">
        <v>93100</v>
      </c>
      <c r="B727" s="124" t="s">
        <v>106</v>
      </c>
      <c r="C727" s="124" t="s">
        <v>49</v>
      </c>
      <c r="D727" s="124" t="s">
        <v>49</v>
      </c>
      <c r="E727" s="124" t="s">
        <v>2850</v>
      </c>
      <c r="F727" s="124" t="s">
        <v>2851</v>
      </c>
      <c r="G727" s="124">
        <v>4.5999999999999996</v>
      </c>
      <c r="H727" s="124" t="s">
        <v>43</v>
      </c>
      <c r="I727" s="124" t="s">
        <v>2812</v>
      </c>
      <c r="J727" s="124" t="s">
        <v>384</v>
      </c>
      <c r="K727" s="124" t="s">
        <v>109</v>
      </c>
      <c r="L727" s="124" t="s">
        <v>956</v>
      </c>
      <c r="M727" s="124" t="s">
        <v>46</v>
      </c>
      <c r="N727" s="124" t="s">
        <v>47</v>
      </c>
      <c r="O727" s="125">
        <v>38869</v>
      </c>
      <c r="P727" s="124" t="s">
        <v>2852</v>
      </c>
      <c r="Q727" s="124"/>
      <c r="R727" s="124">
        <v>13.04</v>
      </c>
      <c r="S727" s="124" t="s">
        <v>48</v>
      </c>
    </row>
    <row r="728" spans="1:19" ht="43.5" x14ac:dyDescent="0.25">
      <c r="A728" s="124">
        <v>44600</v>
      </c>
      <c r="B728" s="124" t="s">
        <v>106</v>
      </c>
      <c r="C728" s="124" t="s">
        <v>49</v>
      </c>
      <c r="D728" s="124" t="s">
        <v>49</v>
      </c>
      <c r="E728" s="124" t="s">
        <v>908</v>
      </c>
      <c r="F728" s="124" t="s">
        <v>909</v>
      </c>
      <c r="G728" s="124">
        <v>362.34</v>
      </c>
      <c r="H728" s="124" t="s">
        <v>7</v>
      </c>
      <c r="I728" s="124" t="s">
        <v>109</v>
      </c>
      <c r="J728" s="124" t="s">
        <v>800</v>
      </c>
      <c r="K728" s="124" t="s">
        <v>800</v>
      </c>
      <c r="L728" s="124" t="s">
        <v>800</v>
      </c>
      <c r="M728" s="124" t="s">
        <v>57</v>
      </c>
      <c r="N728" s="124" t="s">
        <v>58</v>
      </c>
      <c r="O728" s="125">
        <v>30317</v>
      </c>
      <c r="P728" s="124" t="s">
        <v>910</v>
      </c>
      <c r="Q728" s="124"/>
      <c r="R728" s="124">
        <v>362.09</v>
      </c>
      <c r="S728" s="124" t="s">
        <v>48</v>
      </c>
    </row>
    <row r="729" spans="1:19" ht="29.25" x14ac:dyDescent="0.25">
      <c r="A729" s="124">
        <v>44800</v>
      </c>
      <c r="B729" s="124" t="s">
        <v>106</v>
      </c>
      <c r="C729" s="124" t="s">
        <v>49</v>
      </c>
      <c r="D729" s="124" t="s">
        <v>49</v>
      </c>
      <c r="E729" s="124" t="s">
        <v>1807</v>
      </c>
      <c r="F729" s="124" t="s">
        <v>1808</v>
      </c>
      <c r="G729" s="124">
        <v>47</v>
      </c>
      <c r="H729" s="124" t="s">
        <v>162</v>
      </c>
      <c r="I729" s="124">
        <v>233</v>
      </c>
      <c r="J729" s="124" t="s">
        <v>713</v>
      </c>
      <c r="K729" s="124" t="s">
        <v>724</v>
      </c>
      <c r="L729" s="124" t="s">
        <v>259</v>
      </c>
      <c r="M729" s="124" t="s">
        <v>57</v>
      </c>
      <c r="N729" s="124" t="s">
        <v>163</v>
      </c>
      <c r="O729" s="125">
        <v>32509</v>
      </c>
      <c r="P729" s="124"/>
      <c r="Q729" s="124"/>
      <c r="R729" s="124">
        <v>48.6</v>
      </c>
      <c r="S729" s="124" t="s">
        <v>48</v>
      </c>
    </row>
    <row r="730" spans="1:19" ht="29.25" x14ac:dyDescent="0.25">
      <c r="A730" s="124">
        <v>45500</v>
      </c>
      <c r="B730" s="124" t="s">
        <v>106</v>
      </c>
      <c r="C730" s="124" t="s">
        <v>49</v>
      </c>
      <c r="D730" s="124" t="s">
        <v>49</v>
      </c>
      <c r="E730" s="124" t="s">
        <v>2168</v>
      </c>
      <c r="F730" s="124" t="s">
        <v>2169</v>
      </c>
      <c r="G730" s="124">
        <v>18.510000000000002</v>
      </c>
      <c r="H730" s="124" t="s">
        <v>7</v>
      </c>
      <c r="I730" s="124" t="s">
        <v>109</v>
      </c>
      <c r="J730" s="124" t="s">
        <v>807</v>
      </c>
      <c r="K730" s="124"/>
      <c r="L730" s="124" t="s">
        <v>915</v>
      </c>
      <c r="M730" s="124" t="s">
        <v>57</v>
      </c>
      <c r="N730" s="124" t="s">
        <v>58</v>
      </c>
      <c r="O730" s="125">
        <v>33970</v>
      </c>
      <c r="P730" s="124"/>
      <c r="Q730" s="124"/>
      <c r="R730" s="124">
        <v>28.24</v>
      </c>
      <c r="S730" s="124" t="s">
        <v>48</v>
      </c>
    </row>
    <row r="731" spans="1:19" ht="29.25" x14ac:dyDescent="0.25">
      <c r="A731" s="124">
        <v>45800</v>
      </c>
      <c r="B731" s="124" t="s">
        <v>106</v>
      </c>
      <c r="C731" s="124" t="s">
        <v>49</v>
      </c>
      <c r="D731" s="124" t="s">
        <v>49</v>
      </c>
      <c r="E731" s="124" t="s">
        <v>257</v>
      </c>
      <c r="F731" s="124" t="s">
        <v>258</v>
      </c>
      <c r="G731" s="124">
        <v>37.22</v>
      </c>
      <c r="H731" s="124" t="s">
        <v>7</v>
      </c>
      <c r="I731" s="124" t="s">
        <v>109</v>
      </c>
      <c r="J731" s="124" t="s">
        <v>109</v>
      </c>
      <c r="K731" s="124"/>
      <c r="L731" s="124" t="s">
        <v>259</v>
      </c>
      <c r="M731" s="124" t="s">
        <v>57</v>
      </c>
      <c r="N731" s="124" t="s">
        <v>58</v>
      </c>
      <c r="O731" s="125">
        <v>9133</v>
      </c>
      <c r="P731" s="124"/>
      <c r="Q731" s="124"/>
      <c r="R731" s="124">
        <v>44.08</v>
      </c>
      <c r="S731" s="124" t="s">
        <v>48</v>
      </c>
    </row>
    <row r="732" spans="1:19" ht="29.25" x14ac:dyDescent="0.25">
      <c r="A732" s="124">
        <v>93200</v>
      </c>
      <c r="B732" s="124" t="s">
        <v>106</v>
      </c>
      <c r="C732" s="124" t="s">
        <v>49</v>
      </c>
      <c r="D732" s="124" t="s">
        <v>49</v>
      </c>
      <c r="E732" s="124" t="s">
        <v>2853</v>
      </c>
      <c r="F732" s="124" t="s">
        <v>2854</v>
      </c>
      <c r="G732" s="124">
        <v>10.5</v>
      </c>
      <c r="H732" s="124" t="s">
        <v>43</v>
      </c>
      <c r="I732" s="124" t="s">
        <v>2812</v>
      </c>
      <c r="J732" s="124" t="s">
        <v>384</v>
      </c>
      <c r="K732" s="124" t="s">
        <v>109</v>
      </c>
      <c r="L732" s="124" t="s">
        <v>259</v>
      </c>
      <c r="M732" s="124" t="s">
        <v>212</v>
      </c>
      <c r="N732" s="124" t="s">
        <v>213</v>
      </c>
      <c r="O732" s="125">
        <v>38869</v>
      </c>
      <c r="P732" s="124" t="s">
        <v>2855</v>
      </c>
      <c r="Q732" s="124"/>
      <c r="R732" s="124">
        <v>17.25</v>
      </c>
      <c r="S732" s="124" t="s">
        <v>48</v>
      </c>
    </row>
    <row r="733" spans="1:19" ht="29.25" x14ac:dyDescent="0.25">
      <c r="A733" s="124">
        <v>93900</v>
      </c>
      <c r="B733" s="124" t="s">
        <v>106</v>
      </c>
      <c r="C733" s="124" t="s">
        <v>49</v>
      </c>
      <c r="D733" s="124" t="s">
        <v>49</v>
      </c>
      <c r="E733" s="124" t="s">
        <v>3264</v>
      </c>
      <c r="F733" s="124" t="s">
        <v>3265</v>
      </c>
      <c r="G733" s="124">
        <v>1.6</v>
      </c>
      <c r="H733" s="124" t="s">
        <v>43</v>
      </c>
      <c r="I733" s="124"/>
      <c r="J733" s="124" t="s">
        <v>44</v>
      </c>
      <c r="K733" s="124" t="s">
        <v>1052</v>
      </c>
      <c r="L733" s="124" t="s">
        <v>45</v>
      </c>
      <c r="M733" s="124" t="s">
        <v>46</v>
      </c>
      <c r="N733" s="124" t="s">
        <v>47</v>
      </c>
      <c r="O733" s="124"/>
      <c r="P733" s="124" t="s">
        <v>3266</v>
      </c>
      <c r="Q733" s="124"/>
      <c r="R733" s="124">
        <v>1.3</v>
      </c>
      <c r="S733" s="124" t="s">
        <v>48</v>
      </c>
    </row>
    <row r="734" spans="1:19" ht="29.25" x14ac:dyDescent="0.25">
      <c r="A734" s="124">
        <v>47100</v>
      </c>
      <c r="B734" s="124" t="s">
        <v>106</v>
      </c>
      <c r="C734" s="124" t="s">
        <v>49</v>
      </c>
      <c r="D734" s="124" t="s">
        <v>49</v>
      </c>
      <c r="E734" s="124" t="s">
        <v>911</v>
      </c>
      <c r="F734" s="124" t="s">
        <v>912</v>
      </c>
      <c r="G734" s="124">
        <v>1.05</v>
      </c>
      <c r="H734" s="124" t="s">
        <v>43</v>
      </c>
      <c r="I734" s="124" t="s">
        <v>109</v>
      </c>
      <c r="J734" s="124" t="s">
        <v>44</v>
      </c>
      <c r="K734" s="124" t="s">
        <v>44</v>
      </c>
      <c r="L734" s="124" t="s">
        <v>45</v>
      </c>
      <c r="M734" s="124" t="s">
        <v>46</v>
      </c>
      <c r="N734" s="124" t="s">
        <v>47</v>
      </c>
      <c r="O734" s="125">
        <v>30317</v>
      </c>
      <c r="P734" s="124"/>
      <c r="Q734" s="124"/>
      <c r="R734" s="124">
        <v>1.05</v>
      </c>
      <c r="S734" s="124" t="s">
        <v>48</v>
      </c>
    </row>
    <row r="735" spans="1:19" ht="29.25" x14ac:dyDescent="0.25">
      <c r="A735" s="124">
        <v>48300</v>
      </c>
      <c r="B735" s="124" t="s">
        <v>106</v>
      </c>
      <c r="C735" s="124" t="s">
        <v>49</v>
      </c>
      <c r="D735" s="124" t="s">
        <v>49</v>
      </c>
      <c r="E735" s="124" t="s">
        <v>2159</v>
      </c>
      <c r="F735" s="124" t="s">
        <v>2160</v>
      </c>
      <c r="G735" s="124">
        <v>1.25</v>
      </c>
      <c r="H735" s="124" t="s">
        <v>43</v>
      </c>
      <c r="I735" s="124" t="s">
        <v>2161</v>
      </c>
      <c r="J735" s="124" t="s">
        <v>800</v>
      </c>
      <c r="K735" s="124" t="s">
        <v>800</v>
      </c>
      <c r="L735" s="124" t="s">
        <v>800</v>
      </c>
      <c r="M735" s="124" t="s">
        <v>46</v>
      </c>
      <c r="N735" s="124" t="s">
        <v>47</v>
      </c>
      <c r="O735" s="125">
        <v>33926</v>
      </c>
      <c r="P735" s="124"/>
      <c r="Q735" s="124"/>
      <c r="R735" s="124">
        <v>1.25</v>
      </c>
      <c r="S735" s="124" t="s">
        <v>48</v>
      </c>
    </row>
    <row r="736" spans="1:19" ht="29.25" x14ac:dyDescent="0.25">
      <c r="A736" s="124">
        <v>48400</v>
      </c>
      <c r="B736" s="124" t="s">
        <v>106</v>
      </c>
      <c r="C736" s="124" t="s">
        <v>49</v>
      </c>
      <c r="D736" s="124" t="s">
        <v>49</v>
      </c>
      <c r="E736" s="124" t="s">
        <v>1335</v>
      </c>
      <c r="F736" s="124" t="s">
        <v>1336</v>
      </c>
      <c r="G736" s="124">
        <v>0.4</v>
      </c>
      <c r="H736" s="124" t="s">
        <v>7</v>
      </c>
      <c r="I736" s="124" t="s">
        <v>109</v>
      </c>
      <c r="J736" s="124" t="s">
        <v>109</v>
      </c>
      <c r="K736" s="124" t="s">
        <v>109</v>
      </c>
      <c r="L736" s="124" t="s">
        <v>109</v>
      </c>
      <c r="M736" s="124" t="s">
        <v>57</v>
      </c>
      <c r="N736" s="124" t="s">
        <v>58</v>
      </c>
      <c r="O736" s="125">
        <v>31413</v>
      </c>
      <c r="P736" s="124"/>
      <c r="Q736" s="124"/>
      <c r="R736" s="124">
        <v>0.33</v>
      </c>
      <c r="S736" s="124" t="s">
        <v>48</v>
      </c>
    </row>
    <row r="737" spans="1:19" ht="57.75" x14ac:dyDescent="0.25">
      <c r="A737" s="124">
        <v>48600</v>
      </c>
      <c r="B737" s="124" t="s">
        <v>106</v>
      </c>
      <c r="C737" s="124" t="s">
        <v>40</v>
      </c>
      <c r="D737" s="124" t="s">
        <v>49</v>
      </c>
      <c r="E737" s="124" t="s">
        <v>3121</v>
      </c>
      <c r="F737" s="124" t="s">
        <v>3122</v>
      </c>
      <c r="G737" s="124">
        <v>78.2</v>
      </c>
      <c r="H737" s="124" t="s">
        <v>43</v>
      </c>
      <c r="I737" s="124" t="s">
        <v>3123</v>
      </c>
      <c r="J737" s="124" t="s">
        <v>800</v>
      </c>
      <c r="K737" s="124" t="s">
        <v>800</v>
      </c>
      <c r="L737" s="124" t="s">
        <v>800</v>
      </c>
      <c r="M737" s="124" t="s">
        <v>46</v>
      </c>
      <c r="N737" s="124" t="s">
        <v>47</v>
      </c>
      <c r="O737" s="125">
        <v>40947</v>
      </c>
      <c r="P737" s="124" t="s">
        <v>3124</v>
      </c>
      <c r="Q737" s="124"/>
      <c r="R737" s="124">
        <v>78.2</v>
      </c>
      <c r="S737" s="124" t="s">
        <v>48</v>
      </c>
    </row>
    <row r="738" spans="1:19" ht="29.25" x14ac:dyDescent="0.25">
      <c r="A738" s="124">
        <v>48900</v>
      </c>
      <c r="B738" s="124" t="s">
        <v>106</v>
      </c>
      <c r="C738" s="124" t="s">
        <v>49</v>
      </c>
      <c r="D738" s="124" t="s">
        <v>49</v>
      </c>
      <c r="E738" s="124" t="s">
        <v>2205</v>
      </c>
      <c r="F738" s="124" t="s">
        <v>2206</v>
      </c>
      <c r="G738" s="124">
        <v>59.6</v>
      </c>
      <c r="H738" s="124" t="s">
        <v>43</v>
      </c>
      <c r="I738" s="124" t="s">
        <v>109</v>
      </c>
      <c r="J738" s="124" t="s">
        <v>800</v>
      </c>
      <c r="K738" s="124" t="s">
        <v>800</v>
      </c>
      <c r="L738" s="124" t="s">
        <v>800</v>
      </c>
      <c r="M738" s="124" t="s">
        <v>46</v>
      </c>
      <c r="N738" s="124" t="s">
        <v>47</v>
      </c>
      <c r="O738" s="125">
        <v>34335</v>
      </c>
      <c r="P738" s="124"/>
      <c r="Q738" s="124"/>
      <c r="R738" s="124">
        <v>76.25</v>
      </c>
      <c r="S738" s="124" t="s">
        <v>48</v>
      </c>
    </row>
    <row r="739" spans="1:19" ht="29.25" x14ac:dyDescent="0.25">
      <c r="A739" s="124">
        <v>48500</v>
      </c>
      <c r="B739" s="124" t="s">
        <v>106</v>
      </c>
      <c r="C739" s="124" t="s">
        <v>49</v>
      </c>
      <c r="D739" s="124" t="s">
        <v>49</v>
      </c>
      <c r="E739" s="124" t="s">
        <v>1340</v>
      </c>
      <c r="F739" s="124" t="s">
        <v>1341</v>
      </c>
      <c r="G739" s="124">
        <v>10.9</v>
      </c>
      <c r="H739" s="124" t="s">
        <v>43</v>
      </c>
      <c r="I739" s="124" t="s">
        <v>109</v>
      </c>
      <c r="J739" s="124" t="s">
        <v>800</v>
      </c>
      <c r="K739" s="124" t="s">
        <v>800</v>
      </c>
      <c r="L739" s="124" t="s">
        <v>800</v>
      </c>
      <c r="M739" s="124" t="s">
        <v>46</v>
      </c>
      <c r="N739" s="124" t="s">
        <v>47</v>
      </c>
      <c r="O739" s="125">
        <v>31413</v>
      </c>
      <c r="P739" s="124"/>
      <c r="Q739" s="124"/>
      <c r="R739" s="124">
        <v>15</v>
      </c>
      <c r="S739" s="124" t="s">
        <v>48</v>
      </c>
    </row>
    <row r="740" spans="1:19" ht="29.25" x14ac:dyDescent="0.25">
      <c r="A740" s="124">
        <v>48700</v>
      </c>
      <c r="B740" s="124" t="s">
        <v>106</v>
      </c>
      <c r="C740" s="124" t="s">
        <v>49</v>
      </c>
      <c r="D740" s="124" t="s">
        <v>49</v>
      </c>
      <c r="E740" s="124" t="s">
        <v>1674</v>
      </c>
      <c r="F740" s="124" t="s">
        <v>1675</v>
      </c>
      <c r="G740" s="124">
        <v>138.5</v>
      </c>
      <c r="H740" s="124" t="s">
        <v>43</v>
      </c>
      <c r="I740" s="124" t="s">
        <v>109</v>
      </c>
      <c r="J740" s="124" t="s">
        <v>800</v>
      </c>
      <c r="K740" s="124" t="s">
        <v>800</v>
      </c>
      <c r="L740" s="124" t="s">
        <v>800</v>
      </c>
      <c r="M740" s="124" t="s">
        <v>46</v>
      </c>
      <c r="N740" s="124" t="s">
        <v>47</v>
      </c>
      <c r="O740" s="125">
        <v>32143</v>
      </c>
      <c r="P740" s="124"/>
      <c r="Q740" s="124"/>
      <c r="R740" s="124">
        <v>182.5</v>
      </c>
      <c r="S740" s="124" t="s">
        <v>48</v>
      </c>
    </row>
    <row r="741" spans="1:19" ht="57.75" x14ac:dyDescent="0.25">
      <c r="A741" s="124">
        <v>48800</v>
      </c>
      <c r="B741" s="124" t="s">
        <v>106</v>
      </c>
      <c r="C741" s="124" t="s">
        <v>49</v>
      </c>
      <c r="D741" s="124" t="s">
        <v>49</v>
      </c>
      <c r="E741" s="124" t="s">
        <v>1519</v>
      </c>
      <c r="F741" s="124" t="s">
        <v>1520</v>
      </c>
      <c r="G741" s="124">
        <v>80.2</v>
      </c>
      <c r="H741" s="124" t="s">
        <v>43</v>
      </c>
      <c r="I741" s="124" t="s">
        <v>109</v>
      </c>
      <c r="J741" s="124" t="s">
        <v>800</v>
      </c>
      <c r="K741" s="124" t="s">
        <v>800</v>
      </c>
      <c r="L741" s="124" t="s">
        <v>800</v>
      </c>
      <c r="M741" s="124" t="s">
        <v>46</v>
      </c>
      <c r="N741" s="124" t="s">
        <v>47</v>
      </c>
      <c r="O741" s="125">
        <v>31778</v>
      </c>
      <c r="P741" s="124" t="s">
        <v>1521</v>
      </c>
      <c r="Q741" s="124"/>
      <c r="R741" s="124">
        <v>102.5</v>
      </c>
      <c r="S741" s="124" t="s">
        <v>48</v>
      </c>
    </row>
    <row r="742" spans="1:19" ht="29.25" x14ac:dyDescent="0.25">
      <c r="A742" s="124">
        <v>49000</v>
      </c>
      <c r="B742" s="124" t="s">
        <v>106</v>
      </c>
      <c r="C742" s="124" t="s">
        <v>49</v>
      </c>
      <c r="D742" s="124" t="s">
        <v>49</v>
      </c>
      <c r="E742" s="124" t="s">
        <v>1679</v>
      </c>
      <c r="F742" s="124" t="s">
        <v>1680</v>
      </c>
      <c r="G742" s="124">
        <v>38.9</v>
      </c>
      <c r="H742" s="124" t="s">
        <v>43</v>
      </c>
      <c r="I742" s="124" t="s">
        <v>109</v>
      </c>
      <c r="J742" s="124" t="s">
        <v>800</v>
      </c>
      <c r="K742" s="124" t="s">
        <v>800</v>
      </c>
      <c r="L742" s="124" t="s">
        <v>800</v>
      </c>
      <c r="M742" s="124" t="s">
        <v>46</v>
      </c>
      <c r="N742" s="124" t="s">
        <v>47</v>
      </c>
      <c r="O742" s="125">
        <v>32143</v>
      </c>
      <c r="P742" s="124"/>
      <c r="Q742" s="124"/>
      <c r="R742" s="124">
        <v>58.7</v>
      </c>
      <c r="S742" s="124" t="s">
        <v>48</v>
      </c>
    </row>
    <row r="743" spans="1:19" ht="29.25" x14ac:dyDescent="0.25">
      <c r="A743" s="124">
        <v>49100</v>
      </c>
      <c r="B743" s="124" t="s">
        <v>106</v>
      </c>
      <c r="C743" s="124" t="s">
        <v>49</v>
      </c>
      <c r="D743" s="124" t="s">
        <v>49</v>
      </c>
      <c r="E743" s="124" t="s">
        <v>1827</v>
      </c>
      <c r="F743" s="124" t="s">
        <v>1828</v>
      </c>
      <c r="G743" s="124">
        <v>49.5</v>
      </c>
      <c r="H743" s="124" t="s">
        <v>43</v>
      </c>
      <c r="I743" s="124" t="s">
        <v>1829</v>
      </c>
      <c r="J743" s="124" t="s">
        <v>713</v>
      </c>
      <c r="K743" s="124" t="s">
        <v>724</v>
      </c>
      <c r="L743" s="124" t="s">
        <v>259</v>
      </c>
      <c r="M743" s="124" t="s">
        <v>46</v>
      </c>
      <c r="N743" s="124" t="s">
        <v>47</v>
      </c>
      <c r="O743" s="125">
        <v>32519</v>
      </c>
      <c r="P743" s="124"/>
      <c r="Q743" s="124"/>
      <c r="R743" s="124">
        <v>69</v>
      </c>
      <c r="S743" s="124" t="s">
        <v>48</v>
      </c>
    </row>
    <row r="744" spans="1:19" ht="29.25" x14ac:dyDescent="0.25">
      <c r="A744" s="124">
        <v>90400</v>
      </c>
      <c r="B744" s="124" t="s">
        <v>106</v>
      </c>
      <c r="C744" s="124" t="s">
        <v>49</v>
      </c>
      <c r="D744" s="124" t="s">
        <v>49</v>
      </c>
      <c r="E744" s="124" t="s">
        <v>1864</v>
      </c>
      <c r="F744" s="124" t="s">
        <v>1865</v>
      </c>
      <c r="G744" s="124">
        <v>18.75</v>
      </c>
      <c r="H744" s="124" t="s">
        <v>43</v>
      </c>
      <c r="I744" s="124" t="s">
        <v>109</v>
      </c>
      <c r="J744" s="124" t="s">
        <v>44</v>
      </c>
      <c r="K744" s="124" t="s">
        <v>44</v>
      </c>
      <c r="L744" s="124" t="s">
        <v>45</v>
      </c>
      <c r="M744" s="124" t="s">
        <v>46</v>
      </c>
      <c r="N744" s="124" t="s">
        <v>47</v>
      </c>
      <c r="O744" s="125">
        <v>32609</v>
      </c>
      <c r="P744" s="124"/>
      <c r="Q744" s="124"/>
      <c r="R744" s="124">
        <v>18.75</v>
      </c>
      <c r="S744" s="124" t="s">
        <v>48</v>
      </c>
    </row>
    <row r="745" spans="1:19" ht="29.25" x14ac:dyDescent="0.25">
      <c r="A745" s="124">
        <v>59600</v>
      </c>
      <c r="B745" s="124" t="s">
        <v>106</v>
      </c>
      <c r="C745" s="124" t="s">
        <v>49</v>
      </c>
      <c r="D745" s="124" t="s">
        <v>49</v>
      </c>
      <c r="E745" s="124" t="s">
        <v>1405</v>
      </c>
      <c r="F745" s="124" t="s">
        <v>1406</v>
      </c>
      <c r="G745" s="124">
        <v>4</v>
      </c>
      <c r="H745" s="124" t="s">
        <v>43</v>
      </c>
      <c r="I745" s="124" t="s">
        <v>1407</v>
      </c>
      <c r="J745" s="124" t="s">
        <v>44</v>
      </c>
      <c r="K745" s="124" t="s">
        <v>44</v>
      </c>
      <c r="L745" s="124" t="s">
        <v>45</v>
      </c>
      <c r="M745" s="124" t="s">
        <v>46</v>
      </c>
      <c r="N745" s="124" t="s">
        <v>1408</v>
      </c>
      <c r="O745" s="125">
        <v>31517</v>
      </c>
      <c r="P745" s="124"/>
      <c r="Q745" s="124"/>
      <c r="R745" s="124">
        <v>4</v>
      </c>
      <c r="S745" s="124" t="s">
        <v>48</v>
      </c>
    </row>
    <row r="746" spans="1:19" ht="29.25" x14ac:dyDescent="0.25">
      <c r="A746" s="124">
        <v>50800</v>
      </c>
      <c r="B746" s="124" t="s">
        <v>106</v>
      </c>
      <c r="C746" s="124" t="s">
        <v>49</v>
      </c>
      <c r="D746" s="124" t="s">
        <v>49</v>
      </c>
      <c r="E746" s="124" t="s">
        <v>3273</v>
      </c>
      <c r="F746" s="124" t="s">
        <v>3274</v>
      </c>
      <c r="G746" s="124">
        <v>1.25</v>
      </c>
      <c r="H746" s="124" t="s">
        <v>43</v>
      </c>
      <c r="I746" s="124" t="s">
        <v>1001</v>
      </c>
      <c r="J746" s="124" t="s">
        <v>44</v>
      </c>
      <c r="K746" s="124" t="s">
        <v>44</v>
      </c>
      <c r="L746" s="124" t="s">
        <v>45</v>
      </c>
      <c r="M746" s="124" t="s">
        <v>46</v>
      </c>
      <c r="N746" s="124" t="s">
        <v>178</v>
      </c>
      <c r="O746" s="124"/>
      <c r="P746" s="124"/>
      <c r="Q746" s="124"/>
      <c r="R746" s="124">
        <v>0.05</v>
      </c>
      <c r="S746" s="124" t="s">
        <v>48</v>
      </c>
    </row>
    <row r="747" spans="1:19" ht="29.25" x14ac:dyDescent="0.25">
      <c r="A747" s="124">
        <v>51700</v>
      </c>
      <c r="B747" s="124" t="s">
        <v>106</v>
      </c>
      <c r="C747" s="124" t="s">
        <v>49</v>
      </c>
      <c r="D747" s="124" t="s">
        <v>49</v>
      </c>
      <c r="E747" s="124" t="s">
        <v>1195</v>
      </c>
      <c r="F747" s="124" t="s">
        <v>1196</v>
      </c>
      <c r="G747" s="124">
        <v>1</v>
      </c>
      <c r="H747" s="124" t="s">
        <v>43</v>
      </c>
      <c r="I747" s="124" t="s">
        <v>109</v>
      </c>
      <c r="J747" s="124" t="s">
        <v>800</v>
      </c>
      <c r="K747" s="124" t="s">
        <v>800</v>
      </c>
      <c r="L747" s="124" t="s">
        <v>800</v>
      </c>
      <c r="M747" s="124" t="s">
        <v>46</v>
      </c>
      <c r="N747" s="124" t="s">
        <v>47</v>
      </c>
      <c r="O747" s="125">
        <v>31048</v>
      </c>
      <c r="P747" s="124"/>
      <c r="Q747" s="124"/>
      <c r="R747" s="124">
        <v>1</v>
      </c>
      <c r="S747" s="124" t="s">
        <v>48</v>
      </c>
    </row>
    <row r="748" spans="1:19" ht="29.25" x14ac:dyDescent="0.25">
      <c r="A748" s="124">
        <v>84900</v>
      </c>
      <c r="B748" s="124" t="s">
        <v>106</v>
      </c>
      <c r="C748" s="124" t="s">
        <v>49</v>
      </c>
      <c r="D748" s="124" t="s">
        <v>49</v>
      </c>
      <c r="E748" s="124" t="s">
        <v>3280</v>
      </c>
      <c r="F748" s="124" t="s">
        <v>3281</v>
      </c>
      <c r="G748" s="124">
        <v>535.59</v>
      </c>
      <c r="H748" s="124" t="s">
        <v>7</v>
      </c>
      <c r="I748" s="124" t="s">
        <v>109</v>
      </c>
      <c r="J748" s="124" t="s">
        <v>109</v>
      </c>
      <c r="K748" s="124" t="s">
        <v>109</v>
      </c>
      <c r="L748" s="124" t="s">
        <v>109</v>
      </c>
      <c r="M748" s="124" t="s">
        <v>57</v>
      </c>
      <c r="N748" s="124" t="s">
        <v>3282</v>
      </c>
      <c r="O748" s="124"/>
      <c r="P748" s="124" t="s">
        <v>3283</v>
      </c>
      <c r="Q748" s="124"/>
      <c r="R748" s="124">
        <v>471.7</v>
      </c>
      <c r="S748" s="124" t="s">
        <v>3284</v>
      </c>
    </row>
    <row r="749" spans="1:19" ht="29.25" x14ac:dyDescent="0.25">
      <c r="A749" s="124">
        <v>52500</v>
      </c>
      <c r="B749" s="124" t="s">
        <v>106</v>
      </c>
      <c r="C749" s="124" t="s">
        <v>49</v>
      </c>
      <c r="D749" s="124" t="s">
        <v>49</v>
      </c>
      <c r="E749" s="124" t="s">
        <v>3298</v>
      </c>
      <c r="F749" s="124" t="s">
        <v>3299</v>
      </c>
      <c r="G749" s="124">
        <v>0.3</v>
      </c>
      <c r="H749" s="124" t="s">
        <v>7</v>
      </c>
      <c r="I749" s="124" t="s">
        <v>109</v>
      </c>
      <c r="J749" s="124" t="s">
        <v>109</v>
      </c>
      <c r="K749" s="124" t="s">
        <v>109</v>
      </c>
      <c r="L749" s="124" t="s">
        <v>109</v>
      </c>
      <c r="M749" s="124" t="s">
        <v>57</v>
      </c>
      <c r="N749" s="124" t="s">
        <v>58</v>
      </c>
      <c r="O749" s="124"/>
      <c r="P749" s="124"/>
      <c r="Q749" s="124"/>
      <c r="R749" s="124">
        <v>0.27</v>
      </c>
      <c r="S749" s="124" t="s">
        <v>48</v>
      </c>
    </row>
    <row r="750" spans="1:19" ht="29.25" x14ac:dyDescent="0.25">
      <c r="A750" s="124">
        <v>85100</v>
      </c>
      <c r="B750" s="124" t="s">
        <v>106</v>
      </c>
      <c r="C750" s="124" t="s">
        <v>49</v>
      </c>
      <c r="D750" s="124" t="s">
        <v>49</v>
      </c>
      <c r="E750" s="124" t="s">
        <v>3303</v>
      </c>
      <c r="F750" s="124" t="s">
        <v>3304</v>
      </c>
      <c r="G750" s="124">
        <v>37.92</v>
      </c>
      <c r="H750" s="124" t="s">
        <v>7</v>
      </c>
      <c r="I750" s="124"/>
      <c r="J750" s="124" t="s">
        <v>109</v>
      </c>
      <c r="K750" s="124"/>
      <c r="L750" s="124"/>
      <c r="M750" s="124" t="s">
        <v>57</v>
      </c>
      <c r="N750" s="124" t="s">
        <v>3305</v>
      </c>
      <c r="O750" s="124"/>
      <c r="P750" s="124" t="s">
        <v>3283</v>
      </c>
      <c r="Q750" s="124"/>
      <c r="R750" s="124">
        <v>28.85</v>
      </c>
      <c r="S750" s="124" t="s">
        <v>3284</v>
      </c>
    </row>
    <row r="751" spans="1:19" ht="29.25" x14ac:dyDescent="0.25">
      <c r="A751" s="124">
        <v>53300</v>
      </c>
      <c r="B751" s="124" t="s">
        <v>106</v>
      </c>
      <c r="C751" s="124" t="s">
        <v>49</v>
      </c>
      <c r="D751" s="124" t="s">
        <v>49</v>
      </c>
      <c r="E751" s="124" t="s">
        <v>1681</v>
      </c>
      <c r="F751" s="124" t="s">
        <v>1682</v>
      </c>
      <c r="G751" s="124">
        <v>14.64</v>
      </c>
      <c r="H751" s="124" t="s">
        <v>7</v>
      </c>
      <c r="I751" s="124" t="s">
        <v>109</v>
      </c>
      <c r="J751" s="124" t="s">
        <v>109</v>
      </c>
      <c r="K751" s="124"/>
      <c r="L751" s="124" t="s">
        <v>915</v>
      </c>
      <c r="M751" s="124" t="s">
        <v>57</v>
      </c>
      <c r="N751" s="124" t="s">
        <v>58</v>
      </c>
      <c r="O751" s="125">
        <v>32143</v>
      </c>
      <c r="P751" s="124"/>
      <c r="Q751" s="124"/>
      <c r="R751" s="124">
        <v>12.76</v>
      </c>
      <c r="S751" s="124" t="s">
        <v>48</v>
      </c>
    </row>
    <row r="752" spans="1:19" ht="29.25" x14ac:dyDescent="0.25">
      <c r="A752" s="124">
        <v>53400</v>
      </c>
      <c r="B752" s="124" t="s">
        <v>106</v>
      </c>
      <c r="C752" s="124" t="s">
        <v>49</v>
      </c>
      <c r="D752" s="124" t="s">
        <v>49</v>
      </c>
      <c r="E752" s="124" t="s">
        <v>2170</v>
      </c>
      <c r="F752" s="124" t="s">
        <v>2171</v>
      </c>
      <c r="G752" s="124">
        <v>17.5</v>
      </c>
      <c r="H752" s="124" t="s">
        <v>7</v>
      </c>
      <c r="I752" s="124" t="s">
        <v>109</v>
      </c>
      <c r="J752" s="124" t="s">
        <v>109</v>
      </c>
      <c r="K752" s="124"/>
      <c r="L752" s="124" t="s">
        <v>915</v>
      </c>
      <c r="M752" s="124" t="s">
        <v>57</v>
      </c>
      <c r="N752" s="124" t="s">
        <v>58</v>
      </c>
      <c r="O752" s="125">
        <v>33970</v>
      </c>
      <c r="P752" s="124"/>
      <c r="Q752" s="124"/>
      <c r="R752" s="124">
        <v>17.41</v>
      </c>
      <c r="S752" s="124" t="s">
        <v>48</v>
      </c>
    </row>
    <row r="753" spans="1:19" ht="43.5" x14ac:dyDescent="0.25">
      <c r="A753" s="124">
        <v>92200</v>
      </c>
      <c r="B753" s="124" t="s">
        <v>106</v>
      </c>
      <c r="C753" s="124" t="s">
        <v>49</v>
      </c>
      <c r="D753" s="124" t="s">
        <v>49</v>
      </c>
      <c r="E753" s="124" t="s">
        <v>2810</v>
      </c>
      <c r="F753" s="124" t="s">
        <v>2811</v>
      </c>
      <c r="G753" s="124">
        <v>40.65</v>
      </c>
      <c r="H753" s="124" t="s">
        <v>43</v>
      </c>
      <c r="I753" s="124" t="s">
        <v>2812</v>
      </c>
      <c r="J753" s="124" t="s">
        <v>384</v>
      </c>
      <c r="K753" s="124" t="s">
        <v>385</v>
      </c>
      <c r="L753" s="124" t="s">
        <v>956</v>
      </c>
      <c r="M753" s="124" t="s">
        <v>46</v>
      </c>
      <c r="N753" s="124" t="s">
        <v>47</v>
      </c>
      <c r="O753" s="125">
        <v>38687</v>
      </c>
      <c r="P753" s="124" t="s">
        <v>2813</v>
      </c>
      <c r="Q753" s="124"/>
      <c r="R753" s="124">
        <v>40.65</v>
      </c>
      <c r="S753" s="124" t="s">
        <v>48</v>
      </c>
    </row>
    <row r="754" spans="1:19" ht="29.25" x14ac:dyDescent="0.25">
      <c r="A754" s="124">
        <v>53700</v>
      </c>
      <c r="B754" s="124" t="s">
        <v>106</v>
      </c>
      <c r="C754" s="124" t="s">
        <v>49</v>
      </c>
      <c r="D754" s="124" t="s">
        <v>49</v>
      </c>
      <c r="E754" s="124" t="s">
        <v>714</v>
      </c>
      <c r="F754" s="124" t="s">
        <v>715</v>
      </c>
      <c r="G754" s="124">
        <v>5</v>
      </c>
      <c r="H754" s="124" t="s">
        <v>7</v>
      </c>
      <c r="I754" s="124" t="s">
        <v>109</v>
      </c>
      <c r="J754" s="124" t="s">
        <v>109</v>
      </c>
      <c r="K754" s="124"/>
      <c r="L754" s="124" t="s">
        <v>259</v>
      </c>
      <c r="M754" s="124" t="s">
        <v>57</v>
      </c>
      <c r="N754" s="124" t="s">
        <v>58</v>
      </c>
      <c r="O754" s="125">
        <v>27760</v>
      </c>
      <c r="P754" s="124"/>
      <c r="Q754" s="124"/>
      <c r="R754" s="124">
        <v>5</v>
      </c>
      <c r="S754" s="124" t="s">
        <v>48</v>
      </c>
    </row>
    <row r="755" spans="1:19" ht="29.25" x14ac:dyDescent="0.25">
      <c r="A755" s="124">
        <v>93700</v>
      </c>
      <c r="B755" s="124" t="s">
        <v>106</v>
      </c>
      <c r="C755" s="124" t="s">
        <v>49</v>
      </c>
      <c r="D755" s="124" t="s">
        <v>49</v>
      </c>
      <c r="E755" s="124" t="s">
        <v>3310</v>
      </c>
      <c r="F755" s="124" t="s">
        <v>3311</v>
      </c>
      <c r="G755" s="124">
        <v>3.2</v>
      </c>
      <c r="H755" s="124" t="s">
        <v>43</v>
      </c>
      <c r="I755" s="124"/>
      <c r="J755" s="124" t="s">
        <v>44</v>
      </c>
      <c r="K755" s="124" t="s">
        <v>1052</v>
      </c>
      <c r="L755" s="124" t="s">
        <v>45</v>
      </c>
      <c r="M755" s="124" t="s">
        <v>46</v>
      </c>
      <c r="N755" s="124" t="s">
        <v>47</v>
      </c>
      <c r="O755" s="124"/>
      <c r="P755" s="124" t="s">
        <v>3258</v>
      </c>
      <c r="Q755" s="124"/>
      <c r="R755" s="124">
        <v>3.5</v>
      </c>
      <c r="S755" s="124" t="s">
        <v>48</v>
      </c>
    </row>
    <row r="756" spans="1:19" ht="29.25" x14ac:dyDescent="0.25">
      <c r="A756" s="124">
        <v>54100</v>
      </c>
      <c r="B756" s="124" t="s">
        <v>106</v>
      </c>
      <c r="C756" s="124" t="s">
        <v>49</v>
      </c>
      <c r="D756" s="124" t="s">
        <v>49</v>
      </c>
      <c r="E756" s="124" t="s">
        <v>1344</v>
      </c>
      <c r="F756" s="124" t="s">
        <v>1345</v>
      </c>
      <c r="G756" s="124">
        <v>175</v>
      </c>
      <c r="H756" s="124" t="s">
        <v>7</v>
      </c>
      <c r="I756" s="124" t="s">
        <v>109</v>
      </c>
      <c r="J756" s="124" t="s">
        <v>1055</v>
      </c>
      <c r="K756" s="124" t="s">
        <v>385</v>
      </c>
      <c r="L756" s="124" t="s">
        <v>1056</v>
      </c>
      <c r="M756" s="124" t="s">
        <v>57</v>
      </c>
      <c r="N756" s="124" t="s">
        <v>58</v>
      </c>
      <c r="O756" s="125">
        <v>31413</v>
      </c>
      <c r="P756" s="124"/>
      <c r="Q756" s="124"/>
      <c r="R756" s="124">
        <v>150</v>
      </c>
      <c r="S756" s="124" t="s">
        <v>48</v>
      </c>
    </row>
    <row r="757" spans="1:19" ht="29.25" x14ac:dyDescent="0.25">
      <c r="A757" s="124">
        <v>54200</v>
      </c>
      <c r="B757" s="124" t="s">
        <v>106</v>
      </c>
      <c r="C757" s="124" t="s">
        <v>49</v>
      </c>
      <c r="D757" s="124" t="s">
        <v>49</v>
      </c>
      <c r="E757" s="124" t="s">
        <v>1346</v>
      </c>
      <c r="F757" s="124" t="s">
        <v>1347</v>
      </c>
      <c r="G757" s="124">
        <v>184</v>
      </c>
      <c r="H757" s="124" t="s">
        <v>7</v>
      </c>
      <c r="I757" s="124" t="s">
        <v>109</v>
      </c>
      <c r="J757" s="124" t="s">
        <v>1055</v>
      </c>
      <c r="K757" s="124" t="s">
        <v>385</v>
      </c>
      <c r="L757" s="124" t="s">
        <v>1056</v>
      </c>
      <c r="M757" s="124" t="s">
        <v>57</v>
      </c>
      <c r="N757" s="124" t="s">
        <v>58</v>
      </c>
      <c r="O757" s="125">
        <v>31413</v>
      </c>
      <c r="P757" s="124"/>
      <c r="Q757" s="124"/>
      <c r="R757" s="124">
        <v>160</v>
      </c>
      <c r="S757" s="124" t="s">
        <v>48</v>
      </c>
    </row>
    <row r="758" spans="1:19" ht="29.25" x14ac:dyDescent="0.25">
      <c r="A758" s="124">
        <v>55100</v>
      </c>
      <c r="B758" s="124" t="s">
        <v>106</v>
      </c>
      <c r="C758" s="124" t="s">
        <v>49</v>
      </c>
      <c r="D758" s="124" t="s">
        <v>49</v>
      </c>
      <c r="E758" s="124" t="s">
        <v>1560</v>
      </c>
      <c r="F758" s="124" t="s">
        <v>1561</v>
      </c>
      <c r="G758" s="124">
        <v>114.8</v>
      </c>
      <c r="H758" s="124" t="s">
        <v>43</v>
      </c>
      <c r="I758" s="124" t="s">
        <v>1562</v>
      </c>
      <c r="J758" s="124" t="s">
        <v>713</v>
      </c>
      <c r="K758" s="124"/>
      <c r="L758" s="124" t="s">
        <v>259</v>
      </c>
      <c r="M758" s="124" t="s">
        <v>46</v>
      </c>
      <c r="N758" s="124" t="s">
        <v>47</v>
      </c>
      <c r="O758" s="125">
        <v>31831</v>
      </c>
      <c r="P758" s="124"/>
      <c r="Q758" s="124"/>
      <c r="R758" s="124">
        <v>127</v>
      </c>
      <c r="S758" s="124" t="s">
        <v>48</v>
      </c>
    </row>
    <row r="759" spans="1:19" ht="29.25" x14ac:dyDescent="0.25">
      <c r="A759" s="124">
        <v>55300</v>
      </c>
      <c r="B759" s="124" t="s">
        <v>106</v>
      </c>
      <c r="C759" s="124" t="s">
        <v>49</v>
      </c>
      <c r="D759" s="124" t="s">
        <v>49</v>
      </c>
      <c r="E759" s="124" t="s">
        <v>1994</v>
      </c>
      <c r="F759" s="124" t="s">
        <v>1995</v>
      </c>
      <c r="G759" s="124">
        <v>2.5</v>
      </c>
      <c r="H759" s="124" t="s">
        <v>43</v>
      </c>
      <c r="I759" s="124" t="s">
        <v>109</v>
      </c>
      <c r="J759" s="124" t="s">
        <v>44</v>
      </c>
      <c r="K759" s="124" t="s">
        <v>44</v>
      </c>
      <c r="L759" s="124" t="s">
        <v>45</v>
      </c>
      <c r="M759" s="124" t="s">
        <v>46</v>
      </c>
      <c r="N759" s="124" t="s">
        <v>47</v>
      </c>
      <c r="O759" s="125">
        <v>32874</v>
      </c>
      <c r="P759" s="124"/>
      <c r="Q759" s="124"/>
      <c r="R759" s="124">
        <v>1.45</v>
      </c>
      <c r="S759" s="124" t="s">
        <v>48</v>
      </c>
    </row>
    <row r="760" spans="1:19" ht="29.25" x14ac:dyDescent="0.25">
      <c r="A760" s="124">
        <v>56300</v>
      </c>
      <c r="B760" s="124" t="s">
        <v>106</v>
      </c>
      <c r="C760" s="124" t="s">
        <v>49</v>
      </c>
      <c r="D760" s="124" t="s">
        <v>49</v>
      </c>
      <c r="E760" s="124" t="s">
        <v>3312</v>
      </c>
      <c r="F760" s="124" t="s">
        <v>3313</v>
      </c>
      <c r="G760" s="124">
        <v>1</v>
      </c>
      <c r="H760" s="124" t="s">
        <v>43</v>
      </c>
      <c r="I760" s="124" t="s">
        <v>109</v>
      </c>
      <c r="J760" s="124" t="s">
        <v>44</v>
      </c>
      <c r="K760" s="124" t="s">
        <v>44</v>
      </c>
      <c r="L760" s="124" t="s">
        <v>45</v>
      </c>
      <c r="M760" s="124" t="s">
        <v>212</v>
      </c>
      <c r="N760" s="124" t="s">
        <v>213</v>
      </c>
      <c r="O760" s="124"/>
      <c r="P760" s="124"/>
      <c r="Q760" s="124"/>
      <c r="R760" s="124">
        <v>1</v>
      </c>
      <c r="S760" s="124" t="s">
        <v>48</v>
      </c>
    </row>
    <row r="761" spans="1:19" ht="29.25" x14ac:dyDescent="0.25">
      <c r="A761" s="124">
        <v>56500</v>
      </c>
      <c r="B761" s="124" t="s">
        <v>106</v>
      </c>
      <c r="C761" s="124" t="s">
        <v>49</v>
      </c>
      <c r="D761" s="124" t="s">
        <v>49</v>
      </c>
      <c r="E761" s="124" t="s">
        <v>913</v>
      </c>
      <c r="F761" s="124" t="s">
        <v>914</v>
      </c>
      <c r="G761" s="124">
        <v>2.9</v>
      </c>
      <c r="H761" s="124" t="s">
        <v>7</v>
      </c>
      <c r="I761" s="124" t="s">
        <v>109</v>
      </c>
      <c r="J761" s="124" t="s">
        <v>109</v>
      </c>
      <c r="K761" s="124"/>
      <c r="L761" s="124" t="s">
        <v>915</v>
      </c>
      <c r="M761" s="124" t="s">
        <v>57</v>
      </c>
      <c r="N761" s="124" t="s">
        <v>58</v>
      </c>
      <c r="O761" s="125">
        <v>30317</v>
      </c>
      <c r="P761" s="124"/>
      <c r="Q761" s="124"/>
      <c r="R761" s="124">
        <v>2.9</v>
      </c>
      <c r="S761" s="124" t="s">
        <v>48</v>
      </c>
    </row>
    <row r="762" spans="1:19" ht="29.25" x14ac:dyDescent="0.25">
      <c r="A762" s="124">
        <v>56600</v>
      </c>
      <c r="B762" s="124" t="s">
        <v>106</v>
      </c>
      <c r="C762" s="124" t="s">
        <v>49</v>
      </c>
      <c r="D762" s="124" t="s">
        <v>49</v>
      </c>
      <c r="E762" s="124" t="s">
        <v>3317</v>
      </c>
      <c r="F762" s="124" t="s">
        <v>3318</v>
      </c>
      <c r="G762" s="124">
        <v>1.25</v>
      </c>
      <c r="H762" s="124" t="s">
        <v>43</v>
      </c>
      <c r="I762" s="124" t="s">
        <v>109</v>
      </c>
      <c r="J762" s="124" t="s">
        <v>44</v>
      </c>
      <c r="K762" s="124" t="s">
        <v>44</v>
      </c>
      <c r="L762" s="124" t="s">
        <v>45</v>
      </c>
      <c r="M762" s="124" t="s">
        <v>46</v>
      </c>
      <c r="N762" s="124" t="s">
        <v>47</v>
      </c>
      <c r="O762" s="124"/>
      <c r="P762" s="124"/>
      <c r="Q762" s="124"/>
      <c r="R762" s="124">
        <v>0.8</v>
      </c>
      <c r="S762" s="124" t="s">
        <v>48</v>
      </c>
    </row>
    <row r="763" spans="1:19" ht="43.5" x14ac:dyDescent="0.25">
      <c r="A763" s="124">
        <v>56900</v>
      </c>
      <c r="B763" s="124" t="s">
        <v>106</v>
      </c>
      <c r="C763" s="124" t="s">
        <v>49</v>
      </c>
      <c r="D763" s="124" t="s">
        <v>49</v>
      </c>
      <c r="E763" s="124" t="s">
        <v>3319</v>
      </c>
      <c r="F763" s="124" t="s">
        <v>3320</v>
      </c>
      <c r="G763" s="124">
        <v>1.2</v>
      </c>
      <c r="H763" s="124" t="s">
        <v>43</v>
      </c>
      <c r="I763" s="124" t="s">
        <v>109</v>
      </c>
      <c r="J763" s="124" t="s">
        <v>807</v>
      </c>
      <c r="K763" s="124"/>
      <c r="L763" s="124" t="s">
        <v>915</v>
      </c>
      <c r="M763" s="124" t="s">
        <v>212</v>
      </c>
      <c r="N763" s="124" t="s">
        <v>213</v>
      </c>
      <c r="O763" s="124"/>
      <c r="P763" s="124"/>
      <c r="Q763" s="124"/>
      <c r="R763" s="124">
        <v>0.05</v>
      </c>
      <c r="S763" s="124" t="s">
        <v>48</v>
      </c>
    </row>
    <row r="764" spans="1:19" ht="29.25" x14ac:dyDescent="0.25">
      <c r="A764" s="124">
        <v>57000</v>
      </c>
      <c r="B764" s="124" t="s">
        <v>106</v>
      </c>
      <c r="C764" s="124" t="s">
        <v>49</v>
      </c>
      <c r="D764" s="124" t="s">
        <v>49</v>
      </c>
      <c r="E764" s="124" t="s">
        <v>3321</v>
      </c>
      <c r="F764" s="124" t="s">
        <v>3322</v>
      </c>
      <c r="G764" s="124">
        <v>1.25</v>
      </c>
      <c r="H764" s="124" t="s">
        <v>43</v>
      </c>
      <c r="I764" s="124" t="s">
        <v>109</v>
      </c>
      <c r="J764" s="124" t="s">
        <v>713</v>
      </c>
      <c r="K764" s="124"/>
      <c r="L764" s="124" t="s">
        <v>259</v>
      </c>
      <c r="M764" s="124" t="s">
        <v>46</v>
      </c>
      <c r="N764" s="124" t="s">
        <v>47</v>
      </c>
      <c r="O764" s="124"/>
      <c r="P764" s="124"/>
      <c r="Q764" s="124"/>
      <c r="R764" s="124">
        <v>0.06</v>
      </c>
      <c r="S764" s="124" t="s">
        <v>48</v>
      </c>
    </row>
    <row r="765" spans="1:19" ht="29.25" x14ac:dyDescent="0.25">
      <c r="A765" s="124">
        <v>94100</v>
      </c>
      <c r="B765" s="124" t="s">
        <v>106</v>
      </c>
      <c r="C765" s="124" t="s">
        <v>49</v>
      </c>
      <c r="D765" s="124" t="s">
        <v>49</v>
      </c>
      <c r="E765" s="124" t="s">
        <v>3325</v>
      </c>
      <c r="F765" s="124" t="s">
        <v>3326</v>
      </c>
      <c r="G765" s="124">
        <v>2.2999999999999998</v>
      </c>
      <c r="H765" s="124" t="s">
        <v>43</v>
      </c>
      <c r="I765" s="124"/>
      <c r="J765" s="124" t="s">
        <v>384</v>
      </c>
      <c r="K765" s="124" t="s">
        <v>1052</v>
      </c>
      <c r="L765" s="124" t="s">
        <v>956</v>
      </c>
      <c r="M765" s="124" t="s">
        <v>46</v>
      </c>
      <c r="N765" s="124" t="s">
        <v>47</v>
      </c>
      <c r="O765" s="124"/>
      <c r="P765" s="124" t="s">
        <v>3266</v>
      </c>
      <c r="Q765" s="124"/>
      <c r="R765" s="124">
        <v>2.2999999999999998</v>
      </c>
      <c r="S765" s="124" t="s">
        <v>48</v>
      </c>
    </row>
    <row r="766" spans="1:19" ht="29.25" x14ac:dyDescent="0.25">
      <c r="A766" s="124">
        <v>57400</v>
      </c>
      <c r="B766" s="124" t="s">
        <v>106</v>
      </c>
      <c r="C766" s="124" t="s">
        <v>49</v>
      </c>
      <c r="D766" s="124" t="s">
        <v>49</v>
      </c>
      <c r="E766" s="124" t="s">
        <v>782</v>
      </c>
      <c r="F766" s="124" t="s">
        <v>783</v>
      </c>
      <c r="G766" s="124">
        <v>50</v>
      </c>
      <c r="H766" s="124" t="s">
        <v>162</v>
      </c>
      <c r="I766" s="124" t="s">
        <v>109</v>
      </c>
      <c r="J766" s="124" t="s">
        <v>109</v>
      </c>
      <c r="K766" s="124" t="s">
        <v>109</v>
      </c>
      <c r="L766" s="124" t="s">
        <v>45</v>
      </c>
      <c r="M766" s="124" t="s">
        <v>57</v>
      </c>
      <c r="N766" s="124" t="s">
        <v>163</v>
      </c>
      <c r="O766" s="125">
        <v>29221</v>
      </c>
      <c r="P766" s="124"/>
      <c r="Q766" s="124"/>
      <c r="R766" s="124">
        <v>18.53</v>
      </c>
      <c r="S766" s="124" t="s">
        <v>48</v>
      </c>
    </row>
    <row r="767" spans="1:19" ht="43.5" x14ac:dyDescent="0.25">
      <c r="A767" s="124">
        <v>57500</v>
      </c>
      <c r="B767" s="124" t="s">
        <v>106</v>
      </c>
      <c r="C767" s="124" t="s">
        <v>49</v>
      </c>
      <c r="D767" s="124" t="s">
        <v>49</v>
      </c>
      <c r="E767" s="124" t="s">
        <v>1526</v>
      </c>
      <c r="F767" s="124" t="s">
        <v>1527</v>
      </c>
      <c r="G767" s="124">
        <v>13</v>
      </c>
      <c r="H767" s="124" t="s">
        <v>43</v>
      </c>
      <c r="I767" s="124" t="s">
        <v>109</v>
      </c>
      <c r="J767" s="124" t="s">
        <v>713</v>
      </c>
      <c r="K767" s="124"/>
      <c r="L767" s="124" t="s">
        <v>259</v>
      </c>
      <c r="M767" s="124" t="s">
        <v>46</v>
      </c>
      <c r="N767" s="124" t="s">
        <v>1455</v>
      </c>
      <c r="O767" s="125">
        <v>31778</v>
      </c>
      <c r="P767" s="124"/>
      <c r="Q767" s="124"/>
      <c r="R767" s="124">
        <v>13</v>
      </c>
      <c r="S767" s="124" t="s">
        <v>48</v>
      </c>
    </row>
    <row r="768" spans="1:19" ht="29.25" x14ac:dyDescent="0.25">
      <c r="A768" s="124">
        <v>58300</v>
      </c>
      <c r="B768" s="124" t="s">
        <v>106</v>
      </c>
      <c r="C768" s="124" t="s">
        <v>49</v>
      </c>
      <c r="D768" s="124" t="s">
        <v>49</v>
      </c>
      <c r="E768" s="124" t="s">
        <v>716</v>
      </c>
      <c r="F768" s="124" t="s">
        <v>717</v>
      </c>
      <c r="G768" s="124">
        <v>35.799999999999997</v>
      </c>
      <c r="H768" s="124" t="s">
        <v>7</v>
      </c>
      <c r="I768" s="124" t="s">
        <v>109</v>
      </c>
      <c r="J768" s="124" t="s">
        <v>109</v>
      </c>
      <c r="K768" s="124"/>
      <c r="L768" s="124" t="s">
        <v>259</v>
      </c>
      <c r="M768" s="124" t="s">
        <v>57</v>
      </c>
      <c r="N768" s="124" t="s">
        <v>58</v>
      </c>
      <c r="O768" s="125">
        <v>27760</v>
      </c>
      <c r="P768" s="124"/>
      <c r="Q768" s="124"/>
      <c r="R768" s="124">
        <v>30.02</v>
      </c>
      <c r="S768" s="124" t="s">
        <v>48</v>
      </c>
    </row>
    <row r="769" spans="1:19" ht="43.5" x14ac:dyDescent="0.25">
      <c r="A769" s="124">
        <v>58400</v>
      </c>
      <c r="B769" s="124" t="s">
        <v>106</v>
      </c>
      <c r="C769" s="124" t="s">
        <v>49</v>
      </c>
      <c r="D769" s="124" t="s">
        <v>49</v>
      </c>
      <c r="E769" s="124" t="s">
        <v>1200</v>
      </c>
      <c r="F769" s="124" t="s">
        <v>1201</v>
      </c>
      <c r="G769" s="124">
        <v>1</v>
      </c>
      <c r="H769" s="124" t="s">
        <v>43</v>
      </c>
      <c r="I769" s="124" t="s">
        <v>109</v>
      </c>
      <c r="J769" s="124" t="s">
        <v>807</v>
      </c>
      <c r="K769" s="124"/>
      <c r="L769" s="124" t="s">
        <v>1202</v>
      </c>
      <c r="M769" s="124" t="s">
        <v>46</v>
      </c>
      <c r="N769" s="124" t="s">
        <v>47</v>
      </c>
      <c r="O769" s="125">
        <v>31048</v>
      </c>
      <c r="P769" s="124"/>
      <c r="Q769" s="124"/>
      <c r="R769" s="124">
        <v>1</v>
      </c>
      <c r="S769" s="124" t="s">
        <v>48</v>
      </c>
    </row>
    <row r="770" spans="1:19" ht="29.25" x14ac:dyDescent="0.25">
      <c r="A770" s="124">
        <v>59700</v>
      </c>
      <c r="B770" s="124" t="s">
        <v>106</v>
      </c>
      <c r="C770" s="124" t="s">
        <v>49</v>
      </c>
      <c r="D770" s="124" t="s">
        <v>49</v>
      </c>
      <c r="E770" s="124" t="s">
        <v>3335</v>
      </c>
      <c r="F770" s="124" t="s">
        <v>3336</v>
      </c>
      <c r="G770" s="124">
        <v>1.1000000000000001</v>
      </c>
      <c r="H770" s="124" t="s">
        <v>43</v>
      </c>
      <c r="I770" s="124" t="s">
        <v>109</v>
      </c>
      <c r="J770" s="124" t="s">
        <v>800</v>
      </c>
      <c r="K770" s="124" t="s">
        <v>800</v>
      </c>
      <c r="L770" s="124" t="s">
        <v>800</v>
      </c>
      <c r="M770" s="124" t="s">
        <v>46</v>
      </c>
      <c r="N770" s="124" t="s">
        <v>47</v>
      </c>
      <c r="O770" s="124"/>
      <c r="P770" s="124"/>
      <c r="Q770" s="124"/>
      <c r="R770" s="124">
        <v>1.1000000000000001</v>
      </c>
      <c r="S770" s="124" t="s">
        <v>48</v>
      </c>
    </row>
    <row r="771" spans="1:19" ht="29.25" x14ac:dyDescent="0.25">
      <c r="A771" s="124">
        <v>94200</v>
      </c>
      <c r="B771" s="124" t="s">
        <v>106</v>
      </c>
      <c r="C771" s="124" t="s">
        <v>49</v>
      </c>
      <c r="D771" s="124" t="s">
        <v>49</v>
      </c>
      <c r="E771" s="124" t="s">
        <v>3339</v>
      </c>
      <c r="F771" s="124" t="s">
        <v>3340</v>
      </c>
      <c r="G771" s="124">
        <v>3.8</v>
      </c>
      <c r="H771" s="124" t="s">
        <v>43</v>
      </c>
      <c r="I771" s="124"/>
      <c r="J771" s="124" t="s">
        <v>44</v>
      </c>
      <c r="K771" s="124" t="s">
        <v>44</v>
      </c>
      <c r="L771" s="124" t="s">
        <v>45</v>
      </c>
      <c r="M771" s="124" t="s">
        <v>46</v>
      </c>
      <c r="N771" s="124" t="s">
        <v>47</v>
      </c>
      <c r="O771" s="124"/>
      <c r="P771" s="124" t="s">
        <v>3266</v>
      </c>
      <c r="Q771" s="124"/>
      <c r="R771" s="124">
        <v>3.8</v>
      </c>
      <c r="S771" s="124" t="s">
        <v>48</v>
      </c>
    </row>
    <row r="772" spans="1:19" ht="29.25" x14ac:dyDescent="0.25">
      <c r="A772" s="124">
        <v>61600</v>
      </c>
      <c r="B772" s="124" t="s">
        <v>106</v>
      </c>
      <c r="C772" s="124" t="s">
        <v>49</v>
      </c>
      <c r="D772" s="124" t="s">
        <v>49</v>
      </c>
      <c r="E772" s="124" t="s">
        <v>1043</v>
      </c>
      <c r="F772" s="124" t="s">
        <v>1044</v>
      </c>
      <c r="G772" s="124">
        <v>13.3</v>
      </c>
      <c r="H772" s="124" t="s">
        <v>7</v>
      </c>
      <c r="I772" s="124" t="s">
        <v>109</v>
      </c>
      <c r="J772" s="124" t="s">
        <v>44</v>
      </c>
      <c r="K772" s="124" t="s">
        <v>44</v>
      </c>
      <c r="L772" s="124" t="s">
        <v>45</v>
      </c>
      <c r="M772" s="124" t="s">
        <v>57</v>
      </c>
      <c r="N772" s="124" t="s">
        <v>58</v>
      </c>
      <c r="O772" s="125">
        <v>30682</v>
      </c>
      <c r="P772" s="124"/>
      <c r="Q772" s="124"/>
      <c r="R772" s="124">
        <v>13.3</v>
      </c>
      <c r="S772" s="124" t="s">
        <v>48</v>
      </c>
    </row>
    <row r="773" spans="1:19" ht="29.25" x14ac:dyDescent="0.25">
      <c r="A773" s="124">
        <v>62000</v>
      </c>
      <c r="B773" s="124" t="s">
        <v>106</v>
      </c>
      <c r="C773" s="124" t="s">
        <v>49</v>
      </c>
      <c r="D773" s="124" t="s">
        <v>49</v>
      </c>
      <c r="E773" s="124" t="s">
        <v>1531</v>
      </c>
      <c r="F773" s="124" t="s">
        <v>1532</v>
      </c>
      <c r="G773" s="124">
        <v>3</v>
      </c>
      <c r="H773" s="124" t="s">
        <v>162</v>
      </c>
      <c r="I773" s="124" t="s">
        <v>1533</v>
      </c>
      <c r="J773" s="124" t="s">
        <v>807</v>
      </c>
      <c r="K773" s="124"/>
      <c r="L773" s="124" t="s">
        <v>915</v>
      </c>
      <c r="M773" s="124" t="s">
        <v>57</v>
      </c>
      <c r="N773" s="124" t="s">
        <v>163</v>
      </c>
      <c r="O773" s="125">
        <v>31778</v>
      </c>
      <c r="P773" s="124"/>
      <c r="Q773" s="124"/>
      <c r="R773" s="124">
        <v>3.75</v>
      </c>
      <c r="S773" s="124" t="s">
        <v>48</v>
      </c>
    </row>
    <row r="774" spans="1:19" ht="29.25" x14ac:dyDescent="0.25">
      <c r="A774" s="124">
        <v>62200</v>
      </c>
      <c r="B774" s="124" t="s">
        <v>106</v>
      </c>
      <c r="C774" s="124" t="s">
        <v>49</v>
      </c>
      <c r="D774" s="124" t="s">
        <v>49</v>
      </c>
      <c r="E774" s="124" t="s">
        <v>1045</v>
      </c>
      <c r="F774" s="124" t="s">
        <v>1046</v>
      </c>
      <c r="G774" s="124">
        <v>30.1</v>
      </c>
      <c r="H774" s="124" t="s">
        <v>7</v>
      </c>
      <c r="I774" s="124" t="s">
        <v>109</v>
      </c>
      <c r="J774" s="124" t="s">
        <v>44</v>
      </c>
      <c r="K774" s="124" t="s">
        <v>44</v>
      </c>
      <c r="L774" s="124" t="s">
        <v>45</v>
      </c>
      <c r="M774" s="124" t="s">
        <v>57</v>
      </c>
      <c r="N774" s="124" t="s">
        <v>58</v>
      </c>
      <c r="O774" s="125">
        <v>30682</v>
      </c>
      <c r="P774" s="124"/>
      <c r="Q774" s="124"/>
      <c r="R774" s="124">
        <v>17.03</v>
      </c>
      <c r="S774" s="124" t="s">
        <v>48</v>
      </c>
    </row>
    <row r="775" spans="1:19" ht="29.25" x14ac:dyDescent="0.25">
      <c r="A775" s="124">
        <v>94300</v>
      </c>
      <c r="B775" s="124" t="s">
        <v>106</v>
      </c>
      <c r="C775" s="124" t="s">
        <v>49</v>
      </c>
      <c r="D775" s="124" t="s">
        <v>49</v>
      </c>
      <c r="E775" s="124" t="s">
        <v>3341</v>
      </c>
      <c r="F775" s="124" t="s">
        <v>3342</v>
      </c>
      <c r="G775" s="124">
        <v>1</v>
      </c>
      <c r="H775" s="124" t="s">
        <v>43</v>
      </c>
      <c r="I775" s="124"/>
      <c r="J775" s="124" t="s">
        <v>109</v>
      </c>
      <c r="K775" s="124" t="s">
        <v>1052</v>
      </c>
      <c r="L775" s="124" t="s">
        <v>915</v>
      </c>
      <c r="M775" s="124" t="s">
        <v>46</v>
      </c>
      <c r="N775" s="124" t="s">
        <v>47</v>
      </c>
      <c r="O775" s="124"/>
      <c r="P775" s="124" t="s">
        <v>3266</v>
      </c>
      <c r="Q775" s="124"/>
      <c r="R775" s="124">
        <v>1.2</v>
      </c>
      <c r="S775" s="124" t="s">
        <v>48</v>
      </c>
    </row>
    <row r="776" spans="1:19" ht="29.25" x14ac:dyDescent="0.25">
      <c r="A776" s="124">
        <v>90200</v>
      </c>
      <c r="B776" s="124" t="s">
        <v>106</v>
      </c>
      <c r="C776" s="124" t="s">
        <v>49</v>
      </c>
      <c r="D776" s="124" t="s">
        <v>49</v>
      </c>
      <c r="E776" s="124" t="s">
        <v>1617</v>
      </c>
      <c r="F776" s="124" t="s">
        <v>1618</v>
      </c>
      <c r="G776" s="124">
        <v>3.75</v>
      </c>
      <c r="H776" s="124" t="s">
        <v>43</v>
      </c>
      <c r="I776" s="124" t="s">
        <v>109</v>
      </c>
      <c r="J776" s="124" t="s">
        <v>44</v>
      </c>
      <c r="K776" s="124" t="s">
        <v>44</v>
      </c>
      <c r="L776" s="124" t="s">
        <v>45</v>
      </c>
      <c r="M776" s="124" t="s">
        <v>46</v>
      </c>
      <c r="N776" s="124" t="s">
        <v>47</v>
      </c>
      <c r="O776" s="125">
        <v>32004</v>
      </c>
      <c r="P776" s="124"/>
      <c r="Q776" s="124"/>
      <c r="R776" s="124">
        <v>3.75</v>
      </c>
      <c r="S776" s="124" t="s">
        <v>48</v>
      </c>
    </row>
    <row r="777" spans="1:19" ht="29.25" x14ac:dyDescent="0.25">
      <c r="A777" s="124">
        <v>64500</v>
      </c>
      <c r="B777" s="124" t="s">
        <v>106</v>
      </c>
      <c r="C777" s="124" t="s">
        <v>49</v>
      </c>
      <c r="D777" s="124" t="s">
        <v>49</v>
      </c>
      <c r="E777" s="124" t="s">
        <v>1047</v>
      </c>
      <c r="F777" s="124" t="s">
        <v>1048</v>
      </c>
      <c r="G777" s="124">
        <v>19.5</v>
      </c>
      <c r="H777" s="124" t="s">
        <v>7</v>
      </c>
      <c r="I777" s="124" t="s">
        <v>109</v>
      </c>
      <c r="J777" s="124" t="s">
        <v>44</v>
      </c>
      <c r="K777" s="124" t="s">
        <v>44</v>
      </c>
      <c r="L777" s="124" t="s">
        <v>45</v>
      </c>
      <c r="M777" s="124" t="s">
        <v>57</v>
      </c>
      <c r="N777" s="124" t="s">
        <v>58</v>
      </c>
      <c r="O777" s="125">
        <v>30682</v>
      </c>
      <c r="P777" s="124"/>
      <c r="Q777" s="124"/>
      <c r="R777" s="124">
        <v>19.53</v>
      </c>
      <c r="S777" s="124" t="s">
        <v>48</v>
      </c>
    </row>
    <row r="778" spans="1:19" ht="29.25" x14ac:dyDescent="0.25">
      <c r="A778" s="124">
        <v>64900</v>
      </c>
      <c r="B778" s="124" t="s">
        <v>106</v>
      </c>
      <c r="C778" s="124" t="s">
        <v>49</v>
      </c>
      <c r="D778" s="124" t="s">
        <v>49</v>
      </c>
      <c r="E778" s="124" t="s">
        <v>1535</v>
      </c>
      <c r="F778" s="124" t="s">
        <v>1536</v>
      </c>
      <c r="G778" s="124">
        <v>5.0999999999999996</v>
      </c>
      <c r="H778" s="124" t="s">
        <v>7</v>
      </c>
      <c r="I778" s="124" t="s">
        <v>109</v>
      </c>
      <c r="J778" s="124" t="s">
        <v>109</v>
      </c>
      <c r="K778" s="124"/>
      <c r="L778" s="124" t="s">
        <v>45</v>
      </c>
      <c r="M778" s="124" t="s">
        <v>57</v>
      </c>
      <c r="N778" s="124" t="s">
        <v>58</v>
      </c>
      <c r="O778" s="125">
        <v>31778</v>
      </c>
      <c r="P778" s="124"/>
      <c r="Q778" s="124"/>
      <c r="R778" s="124">
        <v>5.12</v>
      </c>
      <c r="S778" s="124" t="s">
        <v>48</v>
      </c>
    </row>
    <row r="779" spans="1:19" ht="29.25" x14ac:dyDescent="0.25">
      <c r="A779" s="124">
        <v>65500</v>
      </c>
      <c r="B779" s="124" t="s">
        <v>106</v>
      </c>
      <c r="C779" s="124" t="s">
        <v>49</v>
      </c>
      <c r="D779" s="124" t="s">
        <v>49</v>
      </c>
      <c r="E779" s="124" t="s">
        <v>1050</v>
      </c>
      <c r="F779" s="124" t="s">
        <v>1051</v>
      </c>
      <c r="G779" s="124">
        <v>7.5</v>
      </c>
      <c r="H779" s="124" t="s">
        <v>43</v>
      </c>
      <c r="I779" s="124" t="s">
        <v>109</v>
      </c>
      <c r="J779" s="124" t="s">
        <v>44</v>
      </c>
      <c r="K779" s="124" t="s">
        <v>1052</v>
      </c>
      <c r="L779" s="124" t="s">
        <v>45</v>
      </c>
      <c r="M779" s="124" t="s">
        <v>46</v>
      </c>
      <c r="N779" s="124" t="s">
        <v>47</v>
      </c>
      <c r="O779" s="125">
        <v>30682</v>
      </c>
      <c r="P779" s="124"/>
      <c r="Q779" s="124"/>
      <c r="R779" s="124">
        <v>2.5</v>
      </c>
      <c r="S779" s="124" t="s">
        <v>48</v>
      </c>
    </row>
    <row r="780" spans="1:19" ht="29.25" x14ac:dyDescent="0.25">
      <c r="A780" s="124">
        <v>66400</v>
      </c>
      <c r="B780" s="124" t="s">
        <v>106</v>
      </c>
      <c r="C780" s="124" t="s">
        <v>49</v>
      </c>
      <c r="D780" s="124" t="s">
        <v>49</v>
      </c>
      <c r="E780" s="124" t="s">
        <v>1815</v>
      </c>
      <c r="F780" s="124" t="s">
        <v>1816</v>
      </c>
      <c r="G780" s="124">
        <v>10.6</v>
      </c>
      <c r="H780" s="124" t="s">
        <v>7</v>
      </c>
      <c r="I780" s="124" t="s">
        <v>109</v>
      </c>
      <c r="J780" s="124" t="s">
        <v>713</v>
      </c>
      <c r="K780" s="124"/>
      <c r="L780" s="124" t="s">
        <v>259</v>
      </c>
      <c r="M780" s="124" t="s">
        <v>57</v>
      </c>
      <c r="N780" s="124" t="s">
        <v>58</v>
      </c>
      <c r="O780" s="125">
        <v>32509</v>
      </c>
      <c r="P780" s="124"/>
      <c r="Q780" s="124"/>
      <c r="R780" s="124">
        <v>11.85</v>
      </c>
      <c r="S780" s="124" t="s">
        <v>48</v>
      </c>
    </row>
    <row r="781" spans="1:19" ht="29.25" x14ac:dyDescent="0.25">
      <c r="A781" s="124">
        <v>67500</v>
      </c>
      <c r="B781" s="124" t="s">
        <v>106</v>
      </c>
      <c r="C781" s="124" t="s">
        <v>49</v>
      </c>
      <c r="D781" s="124" t="s">
        <v>49</v>
      </c>
      <c r="E781" s="124" t="s">
        <v>1537</v>
      </c>
      <c r="F781" s="124" t="s">
        <v>1538</v>
      </c>
      <c r="G781" s="124">
        <v>12.9</v>
      </c>
      <c r="H781" s="124" t="s">
        <v>7</v>
      </c>
      <c r="I781" s="124" t="s">
        <v>109</v>
      </c>
      <c r="J781" s="124" t="s">
        <v>109</v>
      </c>
      <c r="K781" s="124"/>
      <c r="L781" s="124" t="s">
        <v>915</v>
      </c>
      <c r="M781" s="124" t="s">
        <v>57</v>
      </c>
      <c r="N781" s="124" t="s">
        <v>58</v>
      </c>
      <c r="O781" s="125">
        <v>31778</v>
      </c>
      <c r="P781" s="124"/>
      <c r="Q781" s="124"/>
      <c r="R781" s="124">
        <v>11.16</v>
      </c>
      <c r="S781" s="124" t="s">
        <v>48</v>
      </c>
    </row>
    <row r="782" spans="1:19" ht="29.25" x14ac:dyDescent="0.25">
      <c r="A782" s="124">
        <v>68000</v>
      </c>
      <c r="B782" s="124" t="s">
        <v>106</v>
      </c>
      <c r="C782" s="124" t="s">
        <v>49</v>
      </c>
      <c r="D782" s="124" t="s">
        <v>49</v>
      </c>
      <c r="E782" s="124" t="s">
        <v>1539</v>
      </c>
      <c r="F782" s="124" t="s">
        <v>1540</v>
      </c>
      <c r="G782" s="124">
        <v>8.9</v>
      </c>
      <c r="H782" s="124" t="s">
        <v>7</v>
      </c>
      <c r="I782" s="124" t="s">
        <v>109</v>
      </c>
      <c r="J782" s="124" t="s">
        <v>44</v>
      </c>
      <c r="K782" s="124" t="s">
        <v>44</v>
      </c>
      <c r="L782" s="124" t="s">
        <v>45</v>
      </c>
      <c r="M782" s="124" t="s">
        <v>57</v>
      </c>
      <c r="N782" s="124" t="s">
        <v>58</v>
      </c>
      <c r="O782" s="125">
        <v>31778</v>
      </c>
      <c r="P782" s="124"/>
      <c r="Q782" s="124"/>
      <c r="R782" s="124">
        <v>9.33</v>
      </c>
      <c r="S782" s="124" t="s">
        <v>48</v>
      </c>
    </row>
    <row r="783" spans="1:19" ht="29.25" x14ac:dyDescent="0.25">
      <c r="A783" s="124">
        <v>68400</v>
      </c>
      <c r="B783" s="124" t="s">
        <v>106</v>
      </c>
      <c r="C783" s="124" t="s">
        <v>49</v>
      </c>
      <c r="D783" s="124" t="s">
        <v>49</v>
      </c>
      <c r="E783" s="124" t="s">
        <v>920</v>
      </c>
      <c r="F783" s="124" t="s">
        <v>921</v>
      </c>
      <c r="G783" s="124">
        <v>100</v>
      </c>
      <c r="H783" s="124" t="s">
        <v>43</v>
      </c>
      <c r="I783" s="124" t="s">
        <v>922</v>
      </c>
      <c r="J783" s="124" t="s">
        <v>800</v>
      </c>
      <c r="K783" s="124" t="s">
        <v>800</v>
      </c>
      <c r="L783" s="124" t="s">
        <v>800</v>
      </c>
      <c r="M783" s="124" t="s">
        <v>46</v>
      </c>
      <c r="N783" s="124" t="s">
        <v>47</v>
      </c>
      <c r="O783" s="125">
        <v>30317</v>
      </c>
      <c r="P783" s="124"/>
      <c r="Q783" s="124"/>
      <c r="R783" s="124">
        <v>100</v>
      </c>
      <c r="S783" s="124" t="s">
        <v>48</v>
      </c>
    </row>
    <row r="784" spans="1:19" ht="29.25" x14ac:dyDescent="0.25">
      <c r="A784" s="124">
        <v>85000</v>
      </c>
      <c r="B784" s="124" t="s">
        <v>106</v>
      </c>
      <c r="C784" s="124" t="s">
        <v>49</v>
      </c>
      <c r="D784" s="124" t="s">
        <v>49</v>
      </c>
      <c r="E784" s="124" t="s">
        <v>3348</v>
      </c>
      <c r="F784" s="124" t="s">
        <v>3349</v>
      </c>
      <c r="G784" s="124">
        <v>14.3</v>
      </c>
      <c r="H784" s="124" t="s">
        <v>7</v>
      </c>
      <c r="I784" s="124"/>
      <c r="J784" s="124" t="s">
        <v>663</v>
      </c>
      <c r="K784" s="124"/>
      <c r="L784" s="124"/>
      <c r="M784" s="124" t="s">
        <v>57</v>
      </c>
      <c r="N784" s="124" t="s">
        <v>3350</v>
      </c>
      <c r="O784" s="124"/>
      <c r="P784" s="124" t="s">
        <v>3283</v>
      </c>
      <c r="Q784" s="124"/>
      <c r="R784" s="124">
        <v>11</v>
      </c>
      <c r="S784" s="124" t="s">
        <v>3284</v>
      </c>
    </row>
    <row r="785" spans="1:19" ht="29.25" x14ac:dyDescent="0.25">
      <c r="A785" s="124">
        <v>35000</v>
      </c>
      <c r="B785" s="124" t="s">
        <v>106</v>
      </c>
      <c r="C785" s="124" t="s">
        <v>49</v>
      </c>
      <c r="D785" s="124" t="s">
        <v>49</v>
      </c>
      <c r="E785" s="124" t="s">
        <v>3352</v>
      </c>
      <c r="F785" s="124" t="s">
        <v>3353</v>
      </c>
      <c r="G785" s="124">
        <v>2.5</v>
      </c>
      <c r="H785" s="124" t="s">
        <v>43</v>
      </c>
      <c r="I785" s="124" t="s">
        <v>109</v>
      </c>
      <c r="J785" s="124" t="s">
        <v>44</v>
      </c>
      <c r="K785" s="124" t="s">
        <v>44</v>
      </c>
      <c r="L785" s="124" t="s">
        <v>45</v>
      </c>
      <c r="M785" s="124" t="s">
        <v>46</v>
      </c>
      <c r="N785" s="124" t="s">
        <v>47</v>
      </c>
      <c r="O785" s="124"/>
      <c r="P785" s="124" t="s">
        <v>3354</v>
      </c>
      <c r="Q785" s="124"/>
      <c r="R785" s="124">
        <v>1.68</v>
      </c>
      <c r="S785" s="124" t="s">
        <v>48</v>
      </c>
    </row>
    <row r="786" spans="1:19" ht="29.25" x14ac:dyDescent="0.25">
      <c r="A786" s="124">
        <v>69600</v>
      </c>
      <c r="B786" s="124" t="s">
        <v>106</v>
      </c>
      <c r="C786" s="124" t="s">
        <v>49</v>
      </c>
      <c r="D786" s="124" t="s">
        <v>49</v>
      </c>
      <c r="E786" s="124" t="s">
        <v>107</v>
      </c>
      <c r="F786" s="124" t="s">
        <v>108</v>
      </c>
      <c r="G786" s="124">
        <v>2.2999999999999998</v>
      </c>
      <c r="H786" s="124" t="s">
        <v>7</v>
      </c>
      <c r="I786" s="124" t="s">
        <v>109</v>
      </c>
      <c r="J786" s="124" t="s">
        <v>109</v>
      </c>
      <c r="K786" s="124"/>
      <c r="L786" s="124" t="s">
        <v>45</v>
      </c>
      <c r="M786" s="124" t="s">
        <v>57</v>
      </c>
      <c r="N786" s="124" t="s">
        <v>58</v>
      </c>
      <c r="O786" s="125">
        <v>3289</v>
      </c>
      <c r="P786" s="124"/>
      <c r="Q786" s="124"/>
      <c r="R786" s="124">
        <v>2.2799999999999998</v>
      </c>
      <c r="S786" s="124" t="s">
        <v>48</v>
      </c>
    </row>
    <row r="787" spans="1:19" ht="29.25" x14ac:dyDescent="0.25">
      <c r="A787" s="124">
        <v>70400</v>
      </c>
      <c r="B787" s="124" t="s">
        <v>106</v>
      </c>
      <c r="C787" s="124" t="s">
        <v>49</v>
      </c>
      <c r="D787" s="124" t="s">
        <v>49</v>
      </c>
      <c r="E787" s="124" t="s">
        <v>1635</v>
      </c>
      <c r="F787" s="124" t="s">
        <v>1636</v>
      </c>
      <c r="G787" s="124">
        <v>360</v>
      </c>
      <c r="H787" s="124" t="s">
        <v>7</v>
      </c>
      <c r="I787" s="124">
        <v>2058</v>
      </c>
      <c r="J787" s="124" t="s">
        <v>713</v>
      </c>
      <c r="K787" s="124" t="s">
        <v>599</v>
      </c>
      <c r="L787" s="124" t="s">
        <v>259</v>
      </c>
      <c r="M787" s="124" t="s">
        <v>57</v>
      </c>
      <c r="N787" s="124" t="s">
        <v>58</v>
      </c>
      <c r="O787" s="125">
        <v>32106</v>
      </c>
      <c r="P787" s="124"/>
      <c r="Q787" s="124"/>
      <c r="R787" s="124">
        <v>300</v>
      </c>
      <c r="S787" s="124" t="s">
        <v>48</v>
      </c>
    </row>
    <row r="788" spans="1:19" ht="29.25" x14ac:dyDescent="0.25">
      <c r="A788" s="124">
        <v>70600</v>
      </c>
      <c r="B788" s="124" t="s">
        <v>106</v>
      </c>
      <c r="C788" s="124" t="s">
        <v>49</v>
      </c>
      <c r="D788" s="124" t="s">
        <v>49</v>
      </c>
      <c r="E788" s="124" t="s">
        <v>923</v>
      </c>
      <c r="F788" s="124" t="s">
        <v>924</v>
      </c>
      <c r="G788" s="124">
        <v>5.8</v>
      </c>
      <c r="H788" s="124" t="s">
        <v>43</v>
      </c>
      <c r="I788" s="124" t="s">
        <v>109</v>
      </c>
      <c r="J788" s="124" t="s">
        <v>44</v>
      </c>
      <c r="K788" s="124" t="s">
        <v>44</v>
      </c>
      <c r="L788" s="124" t="s">
        <v>45</v>
      </c>
      <c r="M788" s="124" t="s">
        <v>46</v>
      </c>
      <c r="N788" s="124" t="s">
        <v>47</v>
      </c>
      <c r="O788" s="125">
        <v>30317</v>
      </c>
      <c r="P788" s="124"/>
      <c r="Q788" s="124"/>
      <c r="R788" s="124">
        <v>5.8</v>
      </c>
      <c r="S788" s="124" t="s">
        <v>48</v>
      </c>
    </row>
    <row r="789" spans="1:19" ht="29.25" x14ac:dyDescent="0.25">
      <c r="A789" s="124">
        <v>70800</v>
      </c>
      <c r="B789" s="124" t="s">
        <v>106</v>
      </c>
      <c r="C789" s="124" t="s">
        <v>49</v>
      </c>
      <c r="D789" s="124" t="s">
        <v>49</v>
      </c>
      <c r="E789" s="124" t="s">
        <v>829</v>
      </c>
      <c r="F789" s="124" t="s">
        <v>830</v>
      </c>
      <c r="G789" s="124">
        <v>5</v>
      </c>
      <c r="H789" s="124" t="s">
        <v>43</v>
      </c>
      <c r="I789" s="124" t="s">
        <v>109</v>
      </c>
      <c r="J789" s="124" t="s">
        <v>44</v>
      </c>
      <c r="K789" s="124" t="s">
        <v>44</v>
      </c>
      <c r="L789" s="124" t="s">
        <v>45</v>
      </c>
      <c r="M789" s="124" t="s">
        <v>46</v>
      </c>
      <c r="N789" s="124" t="s">
        <v>47</v>
      </c>
      <c r="O789" s="125">
        <v>29952</v>
      </c>
      <c r="P789" s="124"/>
      <c r="Q789" s="124"/>
      <c r="R789" s="124">
        <v>2.46</v>
      </c>
      <c r="S789" s="124" t="s">
        <v>48</v>
      </c>
    </row>
    <row r="790" spans="1:19" ht="29.25" x14ac:dyDescent="0.25">
      <c r="A790" s="124">
        <v>71300</v>
      </c>
      <c r="B790" s="124" t="s">
        <v>106</v>
      </c>
      <c r="C790" s="124" t="s">
        <v>49</v>
      </c>
      <c r="D790" s="124" t="s">
        <v>49</v>
      </c>
      <c r="E790" s="124" t="s">
        <v>1352</v>
      </c>
      <c r="F790" s="124" t="s">
        <v>1353</v>
      </c>
      <c r="G790" s="124">
        <v>19.100000000000001</v>
      </c>
      <c r="H790" s="124" t="s">
        <v>43</v>
      </c>
      <c r="I790" s="124" t="s">
        <v>1354</v>
      </c>
      <c r="J790" s="124" t="s">
        <v>713</v>
      </c>
      <c r="K790" s="124"/>
      <c r="L790" s="124" t="s">
        <v>259</v>
      </c>
      <c r="M790" s="124" t="s">
        <v>212</v>
      </c>
      <c r="N790" s="124" t="s">
        <v>213</v>
      </c>
      <c r="O790" s="125">
        <v>31413</v>
      </c>
      <c r="P790" s="124" t="s">
        <v>1355</v>
      </c>
      <c r="Q790" s="124"/>
      <c r="R790" s="124">
        <v>14.9</v>
      </c>
      <c r="S790" s="124" t="s">
        <v>48</v>
      </c>
    </row>
    <row r="791" spans="1:19" ht="29.25" x14ac:dyDescent="0.25">
      <c r="A791" s="124">
        <v>72000</v>
      </c>
      <c r="B791" s="124" t="s">
        <v>106</v>
      </c>
      <c r="C791" s="124" t="s">
        <v>49</v>
      </c>
      <c r="D791" s="124" t="s">
        <v>49</v>
      </c>
      <c r="E791" s="124" t="s">
        <v>1589</v>
      </c>
      <c r="F791" s="124" t="s">
        <v>1590</v>
      </c>
      <c r="G791" s="124">
        <v>57.3</v>
      </c>
      <c r="H791" s="124" t="s">
        <v>43</v>
      </c>
      <c r="I791" s="124" t="s">
        <v>1591</v>
      </c>
      <c r="J791" s="124" t="s">
        <v>713</v>
      </c>
      <c r="K791" s="124"/>
      <c r="L791" s="124" t="s">
        <v>259</v>
      </c>
      <c r="M791" s="124" t="s">
        <v>46</v>
      </c>
      <c r="N791" s="124" t="s">
        <v>47</v>
      </c>
      <c r="O791" s="125">
        <v>31918</v>
      </c>
      <c r="P791" s="124"/>
      <c r="Q791" s="124"/>
      <c r="R791" s="124">
        <v>64.8</v>
      </c>
      <c r="S791" s="124" t="s">
        <v>48</v>
      </c>
    </row>
    <row r="792" spans="1:19" ht="29.25" x14ac:dyDescent="0.25">
      <c r="A792" s="124">
        <v>90000</v>
      </c>
      <c r="B792" s="124" t="s">
        <v>106</v>
      </c>
      <c r="C792" s="124" t="s">
        <v>49</v>
      </c>
      <c r="D792" s="124" t="s">
        <v>49</v>
      </c>
      <c r="E792" s="124" t="s">
        <v>1359</v>
      </c>
      <c r="F792" s="124" t="s">
        <v>1360</v>
      </c>
      <c r="G792" s="124">
        <v>69.099999999999994</v>
      </c>
      <c r="H792" s="124" t="s">
        <v>43</v>
      </c>
      <c r="I792" s="124" t="s">
        <v>109</v>
      </c>
      <c r="J792" s="124" t="s">
        <v>800</v>
      </c>
      <c r="K792" s="124" t="s">
        <v>800</v>
      </c>
      <c r="L792" s="124" t="s">
        <v>800</v>
      </c>
      <c r="M792" s="124" t="s">
        <v>46</v>
      </c>
      <c r="N792" s="124" t="s">
        <v>47</v>
      </c>
      <c r="O792" s="125">
        <v>31416</v>
      </c>
      <c r="P792" s="124"/>
      <c r="Q792" s="124"/>
      <c r="R792" s="124">
        <v>69.099999999999994</v>
      </c>
      <c r="S792" s="124" t="s">
        <v>48</v>
      </c>
    </row>
    <row r="793" spans="1:19" ht="29.25" x14ac:dyDescent="0.25">
      <c r="A793" s="124">
        <v>73000</v>
      </c>
      <c r="B793" s="124" t="s">
        <v>106</v>
      </c>
      <c r="C793" s="124" t="s">
        <v>49</v>
      </c>
      <c r="D793" s="124" t="s">
        <v>49</v>
      </c>
      <c r="E793" s="124" t="s">
        <v>925</v>
      </c>
      <c r="F793" s="124" t="s">
        <v>926</v>
      </c>
      <c r="G793" s="124">
        <v>1</v>
      </c>
      <c r="H793" s="124" t="s">
        <v>43</v>
      </c>
      <c r="I793" s="124" t="s">
        <v>109</v>
      </c>
      <c r="J793" s="124" t="s">
        <v>800</v>
      </c>
      <c r="K793" s="124" t="s">
        <v>800</v>
      </c>
      <c r="L793" s="124" t="s">
        <v>800</v>
      </c>
      <c r="M793" s="124" t="s">
        <v>46</v>
      </c>
      <c r="N793" s="124" t="s">
        <v>47</v>
      </c>
      <c r="O793" s="125">
        <v>30317</v>
      </c>
      <c r="P793" s="124"/>
      <c r="Q793" s="124"/>
      <c r="R793" s="124">
        <v>1</v>
      </c>
      <c r="S793" s="124" t="s">
        <v>48</v>
      </c>
    </row>
    <row r="794" spans="1:19" ht="29.25" x14ac:dyDescent="0.25">
      <c r="A794" s="124">
        <v>73300</v>
      </c>
      <c r="B794" s="124" t="s">
        <v>106</v>
      </c>
      <c r="C794" s="124" t="s">
        <v>49</v>
      </c>
      <c r="D794" s="124" t="s">
        <v>49</v>
      </c>
      <c r="E794" s="124" t="s">
        <v>1821</v>
      </c>
      <c r="F794" s="124" t="s">
        <v>1822</v>
      </c>
      <c r="G794" s="124">
        <v>18.600000000000001</v>
      </c>
      <c r="H794" s="124" t="s">
        <v>7</v>
      </c>
      <c r="I794" s="124" t="s">
        <v>109</v>
      </c>
      <c r="J794" s="124" t="s">
        <v>44</v>
      </c>
      <c r="K794" s="124" t="s">
        <v>44</v>
      </c>
      <c r="L794" s="124" t="s">
        <v>45</v>
      </c>
      <c r="M794" s="124" t="s">
        <v>57</v>
      </c>
      <c r="N794" s="124" t="s">
        <v>58</v>
      </c>
      <c r="O794" s="125">
        <v>32509</v>
      </c>
      <c r="P794" s="124"/>
      <c r="Q794" s="124"/>
      <c r="R794" s="124">
        <v>12.3</v>
      </c>
      <c r="S794" s="124" t="s">
        <v>48</v>
      </c>
    </row>
    <row r="795" spans="1:19" ht="29.25" x14ac:dyDescent="0.25">
      <c r="A795" s="124">
        <v>73400</v>
      </c>
      <c r="B795" s="124" t="s">
        <v>106</v>
      </c>
      <c r="C795" s="124" t="s">
        <v>49</v>
      </c>
      <c r="D795" s="124" t="s">
        <v>49</v>
      </c>
      <c r="E795" s="124" t="s">
        <v>390</v>
      </c>
      <c r="F795" s="124" t="s">
        <v>391</v>
      </c>
      <c r="G795" s="124">
        <v>0.4</v>
      </c>
      <c r="H795" s="124" t="s">
        <v>7</v>
      </c>
      <c r="I795" s="124" t="s">
        <v>109</v>
      </c>
      <c r="J795" s="124" t="s">
        <v>109</v>
      </c>
      <c r="K795" s="124"/>
      <c r="L795" s="124"/>
      <c r="M795" s="124" t="s">
        <v>57</v>
      </c>
      <c r="N795" s="124" t="s">
        <v>58</v>
      </c>
      <c r="O795" s="125">
        <v>19725</v>
      </c>
      <c r="P795" s="124"/>
      <c r="Q795" s="124"/>
      <c r="R795" s="124">
        <v>0.4</v>
      </c>
      <c r="S795" s="124" t="s">
        <v>48</v>
      </c>
    </row>
    <row r="796" spans="1:19" ht="29.25" x14ac:dyDescent="0.25">
      <c r="A796" s="124">
        <v>73600</v>
      </c>
      <c r="B796" s="124" t="s">
        <v>106</v>
      </c>
      <c r="C796" s="124" t="s">
        <v>49</v>
      </c>
      <c r="D796" s="124" t="s">
        <v>49</v>
      </c>
      <c r="E796" s="124" t="s">
        <v>1207</v>
      </c>
      <c r="F796" s="124" t="s">
        <v>1208</v>
      </c>
      <c r="G796" s="124">
        <v>316.39999999999998</v>
      </c>
      <c r="H796" s="124" t="s">
        <v>7</v>
      </c>
      <c r="I796" s="124" t="s">
        <v>109</v>
      </c>
      <c r="J796" s="124" t="s">
        <v>800</v>
      </c>
      <c r="K796" s="124" t="s">
        <v>800</v>
      </c>
      <c r="L796" s="124" t="s">
        <v>800</v>
      </c>
      <c r="M796" s="124" t="s">
        <v>57</v>
      </c>
      <c r="N796" s="124" t="s">
        <v>58</v>
      </c>
      <c r="O796" s="125">
        <v>31048</v>
      </c>
      <c r="P796" s="124"/>
      <c r="Q796" s="124"/>
      <c r="R796" s="124">
        <v>316.39999999999998</v>
      </c>
      <c r="S796" s="124" t="s">
        <v>48</v>
      </c>
    </row>
    <row r="797" spans="1:19" ht="29.25" x14ac:dyDescent="0.25">
      <c r="A797" s="124">
        <v>73800</v>
      </c>
      <c r="B797" s="124" t="s">
        <v>106</v>
      </c>
      <c r="C797" s="124" t="s">
        <v>49</v>
      </c>
      <c r="D797" s="124" t="s">
        <v>49</v>
      </c>
      <c r="E797" s="124" t="s">
        <v>927</v>
      </c>
      <c r="F797" s="124" t="s">
        <v>928</v>
      </c>
      <c r="G797" s="124">
        <v>0.6</v>
      </c>
      <c r="H797" s="124" t="s">
        <v>7</v>
      </c>
      <c r="I797" s="124" t="s">
        <v>109</v>
      </c>
      <c r="J797" s="124" t="s">
        <v>109</v>
      </c>
      <c r="K797" s="124"/>
      <c r="L797" s="124"/>
      <c r="M797" s="124" t="s">
        <v>57</v>
      </c>
      <c r="N797" s="124" t="s">
        <v>58</v>
      </c>
      <c r="O797" s="125">
        <v>30317</v>
      </c>
      <c r="P797" s="124"/>
      <c r="Q797" s="124"/>
      <c r="R797" s="124">
        <v>0.46</v>
      </c>
      <c r="S797" s="124" t="s">
        <v>48</v>
      </c>
    </row>
    <row r="798" spans="1:19" ht="29.25" x14ac:dyDescent="0.25">
      <c r="A798" s="124">
        <v>93800</v>
      </c>
      <c r="B798" s="124" t="s">
        <v>106</v>
      </c>
      <c r="C798" s="124" t="s">
        <v>49</v>
      </c>
      <c r="D798" s="124" t="s">
        <v>49</v>
      </c>
      <c r="E798" s="124" t="s">
        <v>3362</v>
      </c>
      <c r="F798" s="124" t="s">
        <v>3363</v>
      </c>
      <c r="G798" s="124">
        <v>2.9</v>
      </c>
      <c r="H798" s="124" t="s">
        <v>43</v>
      </c>
      <c r="I798" s="124"/>
      <c r="J798" s="124" t="s">
        <v>44</v>
      </c>
      <c r="K798" s="124" t="s">
        <v>1052</v>
      </c>
      <c r="L798" s="124" t="s">
        <v>45</v>
      </c>
      <c r="M798" s="124" t="s">
        <v>46</v>
      </c>
      <c r="N798" s="124" t="s">
        <v>47</v>
      </c>
      <c r="O798" s="124"/>
      <c r="P798" s="124" t="s">
        <v>3266</v>
      </c>
      <c r="Q798" s="124"/>
      <c r="R798" s="124">
        <v>2.9</v>
      </c>
      <c r="S798" s="124" t="s">
        <v>48</v>
      </c>
    </row>
    <row r="799" spans="1:19" ht="29.25" x14ac:dyDescent="0.25">
      <c r="A799" s="124">
        <v>74400</v>
      </c>
      <c r="B799" s="124" t="s">
        <v>106</v>
      </c>
      <c r="C799" s="124" t="s">
        <v>49</v>
      </c>
      <c r="D799" s="124" t="s">
        <v>49</v>
      </c>
      <c r="E799" s="124" t="s">
        <v>1637</v>
      </c>
      <c r="F799" s="124" t="s">
        <v>1638</v>
      </c>
      <c r="G799" s="124">
        <v>416.6</v>
      </c>
      <c r="H799" s="124" t="s">
        <v>7</v>
      </c>
      <c r="I799" s="124">
        <v>2053</v>
      </c>
      <c r="J799" s="124" t="s">
        <v>713</v>
      </c>
      <c r="K799" s="124"/>
      <c r="L799" s="124" t="s">
        <v>259</v>
      </c>
      <c r="M799" s="124" t="s">
        <v>57</v>
      </c>
      <c r="N799" s="124" t="s">
        <v>58</v>
      </c>
      <c r="O799" s="125">
        <v>32115</v>
      </c>
      <c r="P799" s="124"/>
      <c r="Q799" s="124"/>
      <c r="R799" s="124">
        <v>340</v>
      </c>
      <c r="S799" s="124" t="s">
        <v>48</v>
      </c>
    </row>
    <row r="800" spans="1:19" ht="29.25" x14ac:dyDescent="0.25">
      <c r="A800" s="124">
        <v>79400</v>
      </c>
      <c r="B800" s="124" t="s">
        <v>311</v>
      </c>
      <c r="C800" s="124" t="s">
        <v>40</v>
      </c>
      <c r="D800" s="124" t="s">
        <v>49</v>
      </c>
      <c r="E800" s="124" t="s">
        <v>582</v>
      </c>
      <c r="F800" s="124" t="s">
        <v>583</v>
      </c>
      <c r="G800" s="124">
        <v>14</v>
      </c>
      <c r="H800" s="124" t="s">
        <v>43</v>
      </c>
      <c r="I800" s="124" t="s">
        <v>501</v>
      </c>
      <c r="J800" s="124" t="s">
        <v>44</v>
      </c>
      <c r="K800" s="124" t="s">
        <v>561</v>
      </c>
      <c r="L800" s="124" t="s">
        <v>45</v>
      </c>
      <c r="M800" s="124" t="s">
        <v>46</v>
      </c>
      <c r="N800" s="124" t="s">
        <v>47</v>
      </c>
      <c r="O800" s="125">
        <v>24473</v>
      </c>
      <c r="P800" s="124"/>
      <c r="Q800" s="124"/>
      <c r="R800" s="124">
        <v>14.4</v>
      </c>
      <c r="S800" s="124" t="s">
        <v>48</v>
      </c>
    </row>
    <row r="801" spans="1:19" ht="29.25" x14ac:dyDescent="0.25">
      <c r="A801" s="124">
        <v>80700</v>
      </c>
      <c r="B801" s="124" t="s">
        <v>311</v>
      </c>
      <c r="C801" s="124" t="s">
        <v>40</v>
      </c>
      <c r="D801" s="124" t="s">
        <v>49</v>
      </c>
      <c r="E801" s="124" t="s">
        <v>2547</v>
      </c>
      <c r="F801" s="124" t="s">
        <v>2548</v>
      </c>
      <c r="G801" s="124">
        <v>36</v>
      </c>
      <c r="H801" s="124" t="s">
        <v>7</v>
      </c>
      <c r="I801" s="124" t="s">
        <v>2542</v>
      </c>
      <c r="J801" s="124" t="s">
        <v>314</v>
      </c>
      <c r="K801" s="124" t="s">
        <v>599</v>
      </c>
      <c r="L801" s="124" t="s">
        <v>259</v>
      </c>
      <c r="M801" s="124" t="s">
        <v>57</v>
      </c>
      <c r="N801" s="124" t="s">
        <v>58</v>
      </c>
      <c r="O801" s="125">
        <v>37420</v>
      </c>
      <c r="P801" s="124" t="s">
        <v>2549</v>
      </c>
      <c r="Q801" s="124"/>
      <c r="R801" s="124">
        <v>44</v>
      </c>
      <c r="S801" s="124" t="s">
        <v>48</v>
      </c>
    </row>
    <row r="802" spans="1:19" x14ac:dyDescent="0.25">
      <c r="A802" s="126">
        <v>102</v>
      </c>
      <c r="B802" s="126" t="s">
        <v>39</v>
      </c>
      <c r="C802" s="126" t="s">
        <v>49</v>
      </c>
      <c r="D802" s="126" t="s">
        <v>40</v>
      </c>
      <c r="E802" s="126"/>
      <c r="F802" s="126" t="s">
        <v>1146</v>
      </c>
      <c r="G802" s="126"/>
      <c r="H802" s="126" t="s">
        <v>43</v>
      </c>
      <c r="I802" s="126" t="s">
        <v>1145</v>
      </c>
      <c r="J802" s="126" t="s">
        <v>713</v>
      </c>
      <c r="K802" s="126" t="s">
        <v>599</v>
      </c>
      <c r="L802" s="126" t="s">
        <v>259</v>
      </c>
      <c r="M802" s="126" t="s">
        <v>212</v>
      </c>
      <c r="N802" s="126" t="s">
        <v>213</v>
      </c>
      <c r="O802" s="127">
        <v>31048</v>
      </c>
      <c r="P802" s="126"/>
      <c r="Q802" s="126"/>
      <c r="R802" s="126">
        <v>21.45</v>
      </c>
      <c r="S802" s="126" t="s">
        <v>48</v>
      </c>
    </row>
    <row r="803" spans="1:19" x14ac:dyDescent="0.25">
      <c r="A803" s="126">
        <v>103</v>
      </c>
      <c r="B803" s="126" t="s">
        <v>39</v>
      </c>
      <c r="C803" s="126" t="s">
        <v>49</v>
      </c>
      <c r="D803" s="126" t="s">
        <v>40</v>
      </c>
      <c r="E803" s="126"/>
      <c r="F803" s="126" t="s">
        <v>1296</v>
      </c>
      <c r="G803" s="126"/>
      <c r="H803" s="126" t="s">
        <v>43</v>
      </c>
      <c r="I803" s="126" t="s">
        <v>1145</v>
      </c>
      <c r="J803" s="126" t="s">
        <v>713</v>
      </c>
      <c r="K803" s="126" t="s">
        <v>599</v>
      </c>
      <c r="L803" s="126" t="s">
        <v>259</v>
      </c>
      <c r="M803" s="126" t="s">
        <v>212</v>
      </c>
      <c r="N803" s="126" t="s">
        <v>213</v>
      </c>
      <c r="O803" s="127">
        <v>31413</v>
      </c>
      <c r="P803" s="126"/>
      <c r="Q803" s="126"/>
      <c r="R803" s="126">
        <v>21.45</v>
      </c>
      <c r="S803" s="126" t="s">
        <v>48</v>
      </c>
    </row>
    <row r="804" spans="1:19" x14ac:dyDescent="0.25">
      <c r="A804" s="126">
        <v>104</v>
      </c>
      <c r="B804" s="126" t="s">
        <v>39</v>
      </c>
      <c r="C804" s="126" t="s">
        <v>49</v>
      </c>
      <c r="D804" s="126" t="s">
        <v>40</v>
      </c>
      <c r="E804" s="126"/>
      <c r="F804" s="126" t="s">
        <v>1147</v>
      </c>
      <c r="G804" s="126"/>
      <c r="H804" s="126" t="s">
        <v>43</v>
      </c>
      <c r="I804" s="126" t="s">
        <v>1145</v>
      </c>
      <c r="J804" s="126" t="s">
        <v>713</v>
      </c>
      <c r="K804" s="126" t="s">
        <v>599</v>
      </c>
      <c r="L804" s="126" t="s">
        <v>259</v>
      </c>
      <c r="M804" s="126" t="s">
        <v>212</v>
      </c>
      <c r="N804" s="126" t="s">
        <v>213</v>
      </c>
      <c r="O804" s="127">
        <v>31048</v>
      </c>
      <c r="P804" s="126"/>
      <c r="Q804" s="126"/>
      <c r="R804" s="126">
        <v>3</v>
      </c>
      <c r="S804" s="126" t="s">
        <v>48</v>
      </c>
    </row>
    <row r="805" spans="1:19" x14ac:dyDescent="0.25">
      <c r="A805" s="126">
        <v>105</v>
      </c>
      <c r="B805" s="126" t="s">
        <v>39</v>
      </c>
      <c r="C805" s="126" t="s">
        <v>49</v>
      </c>
      <c r="D805" s="126" t="s">
        <v>40</v>
      </c>
      <c r="E805" s="126"/>
      <c r="F805" s="126" t="s">
        <v>1148</v>
      </c>
      <c r="G805" s="126"/>
      <c r="H805" s="126" t="s">
        <v>43</v>
      </c>
      <c r="I805" s="126" t="s">
        <v>1145</v>
      </c>
      <c r="J805" s="126" t="s">
        <v>713</v>
      </c>
      <c r="K805" s="126" t="s">
        <v>599</v>
      </c>
      <c r="L805" s="126" t="s">
        <v>259</v>
      </c>
      <c r="M805" s="126" t="s">
        <v>212</v>
      </c>
      <c r="N805" s="126" t="s">
        <v>213</v>
      </c>
      <c r="O805" s="127">
        <v>31048</v>
      </c>
      <c r="P805" s="126"/>
      <c r="Q805" s="126"/>
      <c r="R805" s="126">
        <v>3</v>
      </c>
      <c r="S805" s="126" t="s">
        <v>48</v>
      </c>
    </row>
    <row r="806" spans="1:19" x14ac:dyDescent="0.25">
      <c r="A806" s="126">
        <v>106</v>
      </c>
      <c r="B806" s="126" t="s">
        <v>39</v>
      </c>
      <c r="C806" s="126" t="s">
        <v>49</v>
      </c>
      <c r="D806" s="126" t="s">
        <v>40</v>
      </c>
      <c r="E806" s="126"/>
      <c r="F806" s="126" t="s">
        <v>1297</v>
      </c>
      <c r="G806" s="126"/>
      <c r="H806" s="126" t="s">
        <v>43</v>
      </c>
      <c r="I806" s="126" t="s">
        <v>1145</v>
      </c>
      <c r="J806" s="126" t="s">
        <v>713</v>
      </c>
      <c r="K806" s="126" t="s">
        <v>599</v>
      </c>
      <c r="L806" s="126" t="s">
        <v>259</v>
      </c>
      <c r="M806" s="126" t="s">
        <v>212</v>
      </c>
      <c r="N806" s="126" t="s">
        <v>213</v>
      </c>
      <c r="O806" s="127">
        <v>31413</v>
      </c>
      <c r="P806" s="126"/>
      <c r="Q806" s="126"/>
      <c r="R806" s="126">
        <v>3</v>
      </c>
      <c r="S806" s="126" t="s">
        <v>48</v>
      </c>
    </row>
    <row r="807" spans="1:19" x14ac:dyDescent="0.25">
      <c r="A807" s="126">
        <v>201</v>
      </c>
      <c r="B807" s="126" t="s">
        <v>39</v>
      </c>
      <c r="C807" s="126" t="s">
        <v>49</v>
      </c>
      <c r="D807" s="126" t="s">
        <v>40</v>
      </c>
      <c r="E807" s="126"/>
      <c r="F807" s="126" t="s">
        <v>1149</v>
      </c>
      <c r="G807" s="126"/>
      <c r="H807" s="126" t="s">
        <v>43</v>
      </c>
      <c r="I807" s="126" t="s">
        <v>1145</v>
      </c>
      <c r="J807" s="126" t="s">
        <v>713</v>
      </c>
      <c r="K807" s="126" t="s">
        <v>599</v>
      </c>
      <c r="L807" s="126" t="s">
        <v>259</v>
      </c>
      <c r="M807" s="126" t="s">
        <v>212</v>
      </c>
      <c r="N807" s="126" t="s">
        <v>213</v>
      </c>
      <c r="O807" s="127">
        <v>31048</v>
      </c>
      <c r="P807" s="126"/>
      <c r="Q807" s="126"/>
      <c r="R807" s="126">
        <v>3.17</v>
      </c>
      <c r="S807" s="126" t="s">
        <v>48</v>
      </c>
    </row>
    <row r="808" spans="1:19" x14ac:dyDescent="0.25">
      <c r="A808" s="126">
        <v>202</v>
      </c>
      <c r="B808" s="126" t="s">
        <v>39</v>
      </c>
      <c r="C808" s="126" t="s">
        <v>49</v>
      </c>
      <c r="D808" s="126" t="s">
        <v>40</v>
      </c>
      <c r="E808" s="126"/>
      <c r="F808" s="126" t="s">
        <v>1150</v>
      </c>
      <c r="G808" s="126"/>
      <c r="H808" s="126" t="s">
        <v>43</v>
      </c>
      <c r="I808" s="126" t="s">
        <v>1145</v>
      </c>
      <c r="J808" s="126" t="s">
        <v>713</v>
      </c>
      <c r="K808" s="126" t="s">
        <v>599</v>
      </c>
      <c r="L808" s="126" t="s">
        <v>259</v>
      </c>
      <c r="M808" s="126" t="s">
        <v>212</v>
      </c>
      <c r="N808" s="126" t="s">
        <v>213</v>
      </c>
      <c r="O808" s="127">
        <v>31048</v>
      </c>
      <c r="P808" s="126"/>
      <c r="Q808" s="126"/>
      <c r="R808" s="126">
        <v>3.17</v>
      </c>
      <c r="S808" s="126" t="s">
        <v>48</v>
      </c>
    </row>
    <row r="809" spans="1:19" x14ac:dyDescent="0.25">
      <c r="A809" s="126">
        <v>203</v>
      </c>
      <c r="B809" s="126" t="s">
        <v>39</v>
      </c>
      <c r="C809" s="126" t="s">
        <v>49</v>
      </c>
      <c r="D809" s="126" t="s">
        <v>40</v>
      </c>
      <c r="E809" s="126"/>
      <c r="F809" s="126" t="s">
        <v>1151</v>
      </c>
      <c r="G809" s="126"/>
      <c r="H809" s="126" t="s">
        <v>43</v>
      </c>
      <c r="I809" s="126" t="s">
        <v>1145</v>
      </c>
      <c r="J809" s="126" t="s">
        <v>713</v>
      </c>
      <c r="K809" s="126" t="s">
        <v>599</v>
      </c>
      <c r="L809" s="126" t="s">
        <v>259</v>
      </c>
      <c r="M809" s="126" t="s">
        <v>212</v>
      </c>
      <c r="N809" s="126" t="s">
        <v>213</v>
      </c>
      <c r="O809" s="127">
        <v>31048</v>
      </c>
      <c r="P809" s="126"/>
      <c r="Q809" s="126"/>
      <c r="R809" s="126">
        <v>3.17</v>
      </c>
      <c r="S809" s="126" t="s">
        <v>48</v>
      </c>
    </row>
    <row r="810" spans="1:19" x14ac:dyDescent="0.25">
      <c r="A810" s="126">
        <v>101</v>
      </c>
      <c r="B810" s="126" t="s">
        <v>39</v>
      </c>
      <c r="C810" s="126" t="s">
        <v>49</v>
      </c>
      <c r="D810" s="126" t="s">
        <v>40</v>
      </c>
      <c r="E810" s="126"/>
      <c r="F810" s="126" t="s">
        <v>1152</v>
      </c>
      <c r="G810" s="126"/>
      <c r="H810" s="126" t="s">
        <v>43</v>
      </c>
      <c r="I810" s="126" t="s">
        <v>1145</v>
      </c>
      <c r="J810" s="126" t="s">
        <v>713</v>
      </c>
      <c r="K810" s="126" t="s">
        <v>599</v>
      </c>
      <c r="L810" s="126" t="s">
        <v>259</v>
      </c>
      <c r="M810" s="126" t="s">
        <v>212</v>
      </c>
      <c r="N810" s="126" t="s">
        <v>213</v>
      </c>
      <c r="O810" s="127">
        <v>31048</v>
      </c>
      <c r="P810" s="126"/>
      <c r="Q810" s="126"/>
      <c r="R810" s="126">
        <v>21.45</v>
      </c>
      <c r="S810" s="126" t="s">
        <v>48</v>
      </c>
    </row>
    <row r="811" spans="1:19" x14ac:dyDescent="0.25">
      <c r="A811" s="126">
        <v>1401</v>
      </c>
      <c r="B811" s="126" t="s">
        <v>39</v>
      </c>
      <c r="C811" s="126" t="s">
        <v>40</v>
      </c>
      <c r="D811" s="126" t="s">
        <v>40</v>
      </c>
      <c r="E811" s="126"/>
      <c r="F811" s="126" t="s">
        <v>53</v>
      </c>
      <c r="G811" s="126"/>
      <c r="H811" s="126" t="s">
        <v>43</v>
      </c>
      <c r="I811" s="126" t="s">
        <v>6</v>
      </c>
      <c r="J811" s="126" t="s">
        <v>44</v>
      </c>
      <c r="K811" s="126" t="s">
        <v>44</v>
      </c>
      <c r="L811" s="126" t="s">
        <v>45</v>
      </c>
      <c r="M811" s="126" t="s">
        <v>46</v>
      </c>
      <c r="N811" s="126" t="s">
        <v>47</v>
      </c>
      <c r="O811" s="127">
        <v>732</v>
      </c>
      <c r="P811" s="126"/>
      <c r="Q811" s="126" t="s">
        <v>52</v>
      </c>
      <c r="R811" s="126">
        <v>1</v>
      </c>
      <c r="S811" s="126" t="s">
        <v>48</v>
      </c>
    </row>
    <row r="812" spans="1:19" x14ac:dyDescent="0.25">
      <c r="A812" s="126">
        <v>1402</v>
      </c>
      <c r="B812" s="126" t="s">
        <v>39</v>
      </c>
      <c r="C812" s="126" t="s">
        <v>40</v>
      </c>
      <c r="D812" s="126" t="s">
        <v>40</v>
      </c>
      <c r="E812" s="126"/>
      <c r="F812" s="126" t="s">
        <v>54</v>
      </c>
      <c r="G812" s="126"/>
      <c r="H812" s="126" t="s">
        <v>43</v>
      </c>
      <c r="I812" s="126" t="s">
        <v>6</v>
      </c>
      <c r="J812" s="126" t="s">
        <v>44</v>
      </c>
      <c r="K812" s="126" t="s">
        <v>44</v>
      </c>
      <c r="L812" s="126" t="s">
        <v>45</v>
      </c>
      <c r="M812" s="126" t="s">
        <v>46</v>
      </c>
      <c r="N812" s="126" t="s">
        <v>47</v>
      </c>
      <c r="O812" s="127">
        <v>732</v>
      </c>
      <c r="P812" s="126"/>
      <c r="Q812" s="126" t="s">
        <v>52</v>
      </c>
      <c r="R812" s="126">
        <v>1</v>
      </c>
      <c r="S812" s="126" t="s">
        <v>48</v>
      </c>
    </row>
    <row r="813" spans="1:19" x14ac:dyDescent="0.25">
      <c r="A813" s="126">
        <v>2923</v>
      </c>
      <c r="B813" s="126" t="s">
        <v>39</v>
      </c>
      <c r="C813" s="126" t="s">
        <v>40</v>
      </c>
      <c r="D813" s="126" t="s">
        <v>40</v>
      </c>
      <c r="E813" s="126" t="s">
        <v>400</v>
      </c>
      <c r="F813" s="126" t="s">
        <v>401</v>
      </c>
      <c r="G813" s="126">
        <v>10.8</v>
      </c>
      <c r="H813" s="126" t="s">
        <v>7</v>
      </c>
      <c r="I813" s="126" t="s">
        <v>7</v>
      </c>
      <c r="J813" s="126" t="s">
        <v>44</v>
      </c>
      <c r="K813" s="126" t="s">
        <v>44</v>
      </c>
      <c r="L813" s="126" t="s">
        <v>45</v>
      </c>
      <c r="M813" s="126" t="s">
        <v>57</v>
      </c>
      <c r="N813" s="126" t="s">
        <v>58</v>
      </c>
      <c r="O813" s="127">
        <v>20455</v>
      </c>
      <c r="P813" s="126"/>
      <c r="Q813" s="126"/>
      <c r="R813" s="126">
        <v>10.5</v>
      </c>
      <c r="S813" s="126" t="s">
        <v>48</v>
      </c>
    </row>
    <row r="814" spans="1:19" x14ac:dyDescent="0.25">
      <c r="A814" s="126">
        <v>2901</v>
      </c>
      <c r="B814" s="126" t="s">
        <v>39</v>
      </c>
      <c r="C814" s="126" t="s">
        <v>40</v>
      </c>
      <c r="D814" s="126" t="s">
        <v>40</v>
      </c>
      <c r="E814" s="126" t="s">
        <v>136</v>
      </c>
      <c r="F814" s="126" t="s">
        <v>137</v>
      </c>
      <c r="G814" s="126">
        <v>19.8</v>
      </c>
      <c r="H814" s="126" t="s">
        <v>7</v>
      </c>
      <c r="I814" s="126" t="s">
        <v>7</v>
      </c>
      <c r="J814" s="126" t="s">
        <v>44</v>
      </c>
      <c r="K814" s="126" t="s">
        <v>44</v>
      </c>
      <c r="L814" s="126" t="s">
        <v>45</v>
      </c>
      <c r="M814" s="126" t="s">
        <v>57</v>
      </c>
      <c r="N814" s="126" t="s">
        <v>58</v>
      </c>
      <c r="O814" s="127">
        <v>4750</v>
      </c>
      <c r="P814" s="126"/>
      <c r="Q814" s="126"/>
      <c r="R814" s="126">
        <v>21</v>
      </c>
      <c r="S814" s="126" t="s">
        <v>48</v>
      </c>
    </row>
    <row r="815" spans="1:19" x14ac:dyDescent="0.25">
      <c r="A815" s="126">
        <v>2902</v>
      </c>
      <c r="B815" s="126" t="s">
        <v>39</v>
      </c>
      <c r="C815" s="126" t="s">
        <v>40</v>
      </c>
      <c r="D815" s="126" t="s">
        <v>40</v>
      </c>
      <c r="E815" s="126" t="s">
        <v>138</v>
      </c>
      <c r="F815" s="126" t="s">
        <v>139</v>
      </c>
      <c r="G815" s="126">
        <v>15.8</v>
      </c>
      <c r="H815" s="126" t="s">
        <v>7</v>
      </c>
      <c r="I815" s="126" t="s">
        <v>7</v>
      </c>
      <c r="J815" s="126" t="s">
        <v>44</v>
      </c>
      <c r="K815" s="126" t="s">
        <v>44</v>
      </c>
      <c r="L815" s="126" t="s">
        <v>45</v>
      </c>
      <c r="M815" s="126" t="s">
        <v>57</v>
      </c>
      <c r="N815" s="126" t="s">
        <v>58</v>
      </c>
      <c r="O815" s="127">
        <v>4750</v>
      </c>
      <c r="P815" s="126"/>
      <c r="Q815" s="126"/>
      <c r="R815" s="126">
        <v>17</v>
      </c>
      <c r="S815" s="126" t="s">
        <v>48</v>
      </c>
    </row>
    <row r="816" spans="1:19" x14ac:dyDescent="0.25">
      <c r="A816" s="126">
        <v>2903</v>
      </c>
      <c r="B816" s="126" t="s">
        <v>39</v>
      </c>
      <c r="C816" s="126" t="s">
        <v>40</v>
      </c>
      <c r="D816" s="126" t="s">
        <v>40</v>
      </c>
      <c r="E816" s="126" t="s">
        <v>231</v>
      </c>
      <c r="F816" s="126" t="s">
        <v>232</v>
      </c>
      <c r="G816" s="126">
        <v>21.6</v>
      </c>
      <c r="H816" s="126" t="s">
        <v>7</v>
      </c>
      <c r="I816" s="126" t="s">
        <v>7</v>
      </c>
      <c r="J816" s="126" t="s">
        <v>44</v>
      </c>
      <c r="K816" s="126" t="s">
        <v>44</v>
      </c>
      <c r="L816" s="126" t="s">
        <v>45</v>
      </c>
      <c r="M816" s="126" t="s">
        <v>57</v>
      </c>
      <c r="N816" s="126" t="s">
        <v>58</v>
      </c>
      <c r="O816" s="127">
        <v>8402</v>
      </c>
      <c r="P816" s="126"/>
      <c r="Q816" s="126"/>
      <c r="R816" s="126">
        <v>21</v>
      </c>
      <c r="S816" s="126" t="s">
        <v>48</v>
      </c>
    </row>
    <row r="817" spans="1:19" x14ac:dyDescent="0.25">
      <c r="A817" s="126">
        <v>2904</v>
      </c>
      <c r="B817" s="126" t="s">
        <v>39</v>
      </c>
      <c r="C817" s="126" t="s">
        <v>40</v>
      </c>
      <c r="D817" s="126" t="s">
        <v>40</v>
      </c>
      <c r="E817" s="126" t="s">
        <v>245</v>
      </c>
      <c r="F817" s="126" t="s">
        <v>246</v>
      </c>
      <c r="G817" s="126">
        <v>31.2</v>
      </c>
      <c r="H817" s="126" t="s">
        <v>7</v>
      </c>
      <c r="I817" s="126" t="s">
        <v>7</v>
      </c>
      <c r="J817" s="126" t="s">
        <v>44</v>
      </c>
      <c r="K817" s="126" t="s">
        <v>44</v>
      </c>
      <c r="L817" s="126" t="s">
        <v>45</v>
      </c>
      <c r="M817" s="126" t="s">
        <v>57</v>
      </c>
      <c r="N817" s="126" t="s">
        <v>58</v>
      </c>
      <c r="O817" s="127">
        <v>9133</v>
      </c>
      <c r="P817" s="126"/>
      <c r="Q817" s="126"/>
      <c r="R817" s="126">
        <v>31.2</v>
      </c>
      <c r="S817" s="126" t="s">
        <v>48</v>
      </c>
    </row>
    <row r="818" spans="1:19" x14ac:dyDescent="0.25">
      <c r="A818" s="126">
        <v>2905</v>
      </c>
      <c r="B818" s="126" t="s">
        <v>39</v>
      </c>
      <c r="C818" s="126" t="s">
        <v>40</v>
      </c>
      <c r="D818" s="126" t="s">
        <v>40</v>
      </c>
      <c r="E818" s="126" t="s">
        <v>263</v>
      </c>
      <c r="F818" s="126" t="s">
        <v>264</v>
      </c>
      <c r="G818" s="126">
        <v>55</v>
      </c>
      <c r="H818" s="126" t="s">
        <v>7</v>
      </c>
      <c r="I818" s="126" t="s">
        <v>7</v>
      </c>
      <c r="J818" s="126" t="s">
        <v>44</v>
      </c>
      <c r="K818" s="126" t="s">
        <v>44</v>
      </c>
      <c r="L818" s="126" t="s">
        <v>45</v>
      </c>
      <c r="M818" s="126" t="s">
        <v>57</v>
      </c>
      <c r="N818" s="126" t="s">
        <v>58</v>
      </c>
      <c r="O818" s="127">
        <v>10228</v>
      </c>
      <c r="P818" s="126"/>
      <c r="Q818" s="126"/>
      <c r="R818" s="126">
        <v>49.3</v>
      </c>
      <c r="S818" s="126" t="s">
        <v>48</v>
      </c>
    </row>
    <row r="819" spans="1:19" x14ac:dyDescent="0.25">
      <c r="A819" s="126">
        <v>2906</v>
      </c>
      <c r="B819" s="126" t="s">
        <v>39</v>
      </c>
      <c r="C819" s="126" t="s">
        <v>40</v>
      </c>
      <c r="D819" s="126" t="s">
        <v>40</v>
      </c>
      <c r="E819" s="126" t="s">
        <v>265</v>
      </c>
      <c r="F819" s="126" t="s">
        <v>266</v>
      </c>
      <c r="G819" s="126">
        <v>55</v>
      </c>
      <c r="H819" s="126" t="s">
        <v>7</v>
      </c>
      <c r="I819" s="126" t="s">
        <v>7</v>
      </c>
      <c r="J819" s="126" t="s">
        <v>44</v>
      </c>
      <c r="K819" s="126" t="s">
        <v>44</v>
      </c>
      <c r="L819" s="126" t="s">
        <v>45</v>
      </c>
      <c r="M819" s="126" t="s">
        <v>57</v>
      </c>
      <c r="N819" s="126" t="s">
        <v>58</v>
      </c>
      <c r="O819" s="127">
        <v>10228</v>
      </c>
      <c r="P819" s="126"/>
      <c r="Q819" s="126"/>
      <c r="R819" s="126">
        <v>49.2</v>
      </c>
      <c r="S819" s="126" t="s">
        <v>48</v>
      </c>
    </row>
    <row r="820" spans="1:19" x14ac:dyDescent="0.25">
      <c r="A820" s="126">
        <v>2907</v>
      </c>
      <c r="B820" s="126" t="s">
        <v>39</v>
      </c>
      <c r="C820" s="126" t="s">
        <v>40</v>
      </c>
      <c r="D820" s="126" t="s">
        <v>40</v>
      </c>
      <c r="E820" s="126" t="s">
        <v>140</v>
      </c>
      <c r="F820" s="126" t="s">
        <v>141</v>
      </c>
      <c r="G820" s="126">
        <v>15.8</v>
      </c>
      <c r="H820" s="126" t="s">
        <v>7</v>
      </c>
      <c r="I820" s="126" t="s">
        <v>7</v>
      </c>
      <c r="J820" s="126" t="s">
        <v>44</v>
      </c>
      <c r="K820" s="126" t="s">
        <v>44</v>
      </c>
      <c r="L820" s="126" t="s">
        <v>45</v>
      </c>
      <c r="M820" s="126" t="s">
        <v>57</v>
      </c>
      <c r="N820" s="126" t="s">
        <v>58</v>
      </c>
      <c r="O820" s="127">
        <v>4750</v>
      </c>
      <c r="P820" s="126"/>
      <c r="Q820" s="126"/>
      <c r="R820" s="126">
        <v>20</v>
      </c>
      <c r="S820" s="126" t="s">
        <v>48</v>
      </c>
    </row>
    <row r="821" spans="1:19" x14ac:dyDescent="0.25">
      <c r="A821" s="126">
        <v>2908</v>
      </c>
      <c r="B821" s="126" t="s">
        <v>39</v>
      </c>
      <c r="C821" s="126" t="s">
        <v>40</v>
      </c>
      <c r="D821" s="126" t="s">
        <v>40</v>
      </c>
      <c r="E821" s="126" t="s">
        <v>157</v>
      </c>
      <c r="F821" s="126" t="s">
        <v>158</v>
      </c>
      <c r="G821" s="126">
        <v>15.8</v>
      </c>
      <c r="H821" s="126" t="s">
        <v>7</v>
      </c>
      <c r="I821" s="126" t="s">
        <v>7</v>
      </c>
      <c r="J821" s="126" t="s">
        <v>44</v>
      </c>
      <c r="K821" s="126" t="s">
        <v>44</v>
      </c>
      <c r="L821" s="126" t="s">
        <v>45</v>
      </c>
      <c r="M821" s="126" t="s">
        <v>57</v>
      </c>
      <c r="N821" s="126" t="s">
        <v>58</v>
      </c>
      <c r="O821" s="127">
        <v>5115</v>
      </c>
      <c r="P821" s="126"/>
      <c r="Q821" s="126"/>
      <c r="R821" s="126">
        <v>20</v>
      </c>
      <c r="S821" s="126" t="s">
        <v>48</v>
      </c>
    </row>
    <row r="822" spans="1:19" x14ac:dyDescent="0.25">
      <c r="A822" s="126">
        <v>2909</v>
      </c>
      <c r="B822" s="126" t="s">
        <v>39</v>
      </c>
      <c r="C822" s="126" t="s">
        <v>40</v>
      </c>
      <c r="D822" s="126" t="s">
        <v>40</v>
      </c>
      <c r="E822" s="126" t="s">
        <v>188</v>
      </c>
      <c r="F822" s="126" t="s">
        <v>189</v>
      </c>
      <c r="G822" s="126">
        <v>17.5</v>
      </c>
      <c r="H822" s="126" t="s">
        <v>7</v>
      </c>
      <c r="I822" s="126" t="s">
        <v>7</v>
      </c>
      <c r="J822" s="126" t="s">
        <v>44</v>
      </c>
      <c r="K822" s="126" t="s">
        <v>44</v>
      </c>
      <c r="L822" s="126" t="s">
        <v>45</v>
      </c>
      <c r="M822" s="126" t="s">
        <v>57</v>
      </c>
      <c r="N822" s="126" t="s">
        <v>58</v>
      </c>
      <c r="O822" s="127">
        <v>7672</v>
      </c>
      <c r="P822" s="126"/>
      <c r="Q822" s="126"/>
      <c r="R822" s="126">
        <v>16.899999999999999</v>
      </c>
      <c r="S822" s="126" t="s">
        <v>48</v>
      </c>
    </row>
    <row r="823" spans="1:19" x14ac:dyDescent="0.25">
      <c r="A823" s="126">
        <v>2910</v>
      </c>
      <c r="B823" s="126" t="s">
        <v>39</v>
      </c>
      <c r="C823" s="126" t="s">
        <v>40</v>
      </c>
      <c r="D823" s="126" t="s">
        <v>40</v>
      </c>
      <c r="E823" s="126" t="s">
        <v>247</v>
      </c>
      <c r="F823" s="126" t="s">
        <v>248</v>
      </c>
      <c r="G823" s="126">
        <v>17.5</v>
      </c>
      <c r="H823" s="126" t="s">
        <v>7</v>
      </c>
      <c r="I823" s="126" t="s">
        <v>7</v>
      </c>
      <c r="J823" s="126" t="s">
        <v>44</v>
      </c>
      <c r="K823" s="126" t="s">
        <v>44</v>
      </c>
      <c r="L823" s="126" t="s">
        <v>45</v>
      </c>
      <c r="M823" s="126" t="s">
        <v>57</v>
      </c>
      <c r="N823" s="126" t="s">
        <v>58</v>
      </c>
      <c r="O823" s="127">
        <v>9133</v>
      </c>
      <c r="P823" s="126"/>
      <c r="Q823" s="126"/>
      <c r="R823" s="126">
        <v>18.8</v>
      </c>
      <c r="S823" s="126" t="s">
        <v>48</v>
      </c>
    </row>
    <row r="824" spans="1:19" x14ac:dyDescent="0.25">
      <c r="A824" s="126">
        <v>2911</v>
      </c>
      <c r="B824" s="126" t="s">
        <v>39</v>
      </c>
      <c r="C824" s="126" t="s">
        <v>40</v>
      </c>
      <c r="D824" s="126" t="s">
        <v>40</v>
      </c>
      <c r="E824" s="126" t="s">
        <v>233</v>
      </c>
      <c r="F824" s="126" t="s">
        <v>234</v>
      </c>
      <c r="G824" s="126">
        <v>34</v>
      </c>
      <c r="H824" s="126" t="s">
        <v>7</v>
      </c>
      <c r="I824" s="126" t="s">
        <v>7</v>
      </c>
      <c r="J824" s="126" t="s">
        <v>44</v>
      </c>
      <c r="K824" s="126" t="s">
        <v>44</v>
      </c>
      <c r="L824" s="126" t="s">
        <v>45</v>
      </c>
      <c r="M824" s="126" t="s">
        <v>57</v>
      </c>
      <c r="N824" s="126" t="s">
        <v>58</v>
      </c>
      <c r="O824" s="127">
        <v>8402</v>
      </c>
      <c r="P824" s="126"/>
      <c r="Q824" s="126"/>
      <c r="R824" s="126">
        <v>34.5</v>
      </c>
      <c r="S824" s="126" t="s">
        <v>48</v>
      </c>
    </row>
    <row r="825" spans="1:19" x14ac:dyDescent="0.25">
      <c r="A825" s="126">
        <v>2912</v>
      </c>
      <c r="B825" s="126" t="s">
        <v>39</v>
      </c>
      <c r="C825" s="126" t="s">
        <v>40</v>
      </c>
      <c r="D825" s="126" t="s">
        <v>40</v>
      </c>
      <c r="E825" s="126" t="s">
        <v>235</v>
      </c>
      <c r="F825" s="126" t="s">
        <v>236</v>
      </c>
      <c r="G825" s="126">
        <v>34</v>
      </c>
      <c r="H825" s="126" t="s">
        <v>7</v>
      </c>
      <c r="I825" s="126" t="s">
        <v>7</v>
      </c>
      <c r="J825" s="126" t="s">
        <v>44</v>
      </c>
      <c r="K825" s="126" t="s">
        <v>44</v>
      </c>
      <c r="L825" s="126" t="s">
        <v>45</v>
      </c>
      <c r="M825" s="126" t="s">
        <v>57</v>
      </c>
      <c r="N825" s="126" t="s">
        <v>58</v>
      </c>
      <c r="O825" s="127">
        <v>8402</v>
      </c>
      <c r="P825" s="126"/>
      <c r="Q825" s="126"/>
      <c r="R825" s="126">
        <v>34.5</v>
      </c>
      <c r="S825" s="126" t="s">
        <v>48</v>
      </c>
    </row>
    <row r="826" spans="1:19" x14ac:dyDescent="0.25">
      <c r="A826" s="126">
        <v>2913</v>
      </c>
      <c r="B826" s="126" t="s">
        <v>39</v>
      </c>
      <c r="C826" s="126" t="s">
        <v>40</v>
      </c>
      <c r="D826" s="126" t="s">
        <v>40</v>
      </c>
      <c r="E826" s="126" t="s">
        <v>237</v>
      </c>
      <c r="F826" s="126" t="s">
        <v>238</v>
      </c>
      <c r="G826" s="126">
        <v>34</v>
      </c>
      <c r="H826" s="126" t="s">
        <v>7</v>
      </c>
      <c r="I826" s="126" t="s">
        <v>7</v>
      </c>
      <c r="J826" s="126" t="s">
        <v>44</v>
      </c>
      <c r="K826" s="126" t="s">
        <v>44</v>
      </c>
      <c r="L826" s="126" t="s">
        <v>45</v>
      </c>
      <c r="M826" s="126" t="s">
        <v>57</v>
      </c>
      <c r="N826" s="126" t="s">
        <v>58</v>
      </c>
      <c r="O826" s="127">
        <v>8402</v>
      </c>
      <c r="P826" s="126"/>
      <c r="Q826" s="126"/>
      <c r="R826" s="126">
        <v>34.299999999999997</v>
      </c>
      <c r="S826" s="126" t="s">
        <v>48</v>
      </c>
    </row>
    <row r="827" spans="1:19" x14ac:dyDescent="0.25">
      <c r="A827" s="126">
        <v>2914</v>
      </c>
      <c r="B827" s="126" t="s">
        <v>39</v>
      </c>
      <c r="C827" s="126" t="s">
        <v>40</v>
      </c>
      <c r="D827" s="126" t="s">
        <v>40</v>
      </c>
      <c r="E827" s="126" t="s">
        <v>350</v>
      </c>
      <c r="F827" s="126" t="s">
        <v>351</v>
      </c>
      <c r="G827" s="126">
        <v>36</v>
      </c>
      <c r="H827" s="126" t="s">
        <v>7</v>
      </c>
      <c r="I827" s="126" t="s">
        <v>7</v>
      </c>
      <c r="J827" s="126" t="s">
        <v>44</v>
      </c>
      <c r="K827" s="126" t="s">
        <v>44</v>
      </c>
      <c r="L827" s="126" t="s">
        <v>45</v>
      </c>
      <c r="M827" s="126" t="s">
        <v>57</v>
      </c>
      <c r="N827" s="126" t="s">
        <v>58</v>
      </c>
      <c r="O827" s="127">
        <v>17533</v>
      </c>
      <c r="P827" s="126"/>
      <c r="Q827" s="126"/>
      <c r="R827" s="126">
        <v>40.5</v>
      </c>
      <c r="S827" s="126" t="s">
        <v>48</v>
      </c>
    </row>
    <row r="828" spans="1:19" x14ac:dyDescent="0.25">
      <c r="A828" s="126">
        <v>2915</v>
      </c>
      <c r="B828" s="126" t="s">
        <v>39</v>
      </c>
      <c r="C828" s="126" t="s">
        <v>40</v>
      </c>
      <c r="D828" s="126" t="s">
        <v>40</v>
      </c>
      <c r="E828" s="126" t="s">
        <v>768</v>
      </c>
      <c r="F828" s="126" t="s">
        <v>769</v>
      </c>
      <c r="G828" s="126"/>
      <c r="H828" s="126" t="s">
        <v>7</v>
      </c>
      <c r="I828" s="126" t="s">
        <v>7</v>
      </c>
      <c r="J828" s="126" t="s">
        <v>44</v>
      </c>
      <c r="K828" s="126" t="s">
        <v>44</v>
      </c>
      <c r="L828" s="126" t="s">
        <v>45</v>
      </c>
      <c r="M828" s="126" t="s">
        <v>57</v>
      </c>
      <c r="N828" s="126" t="s">
        <v>58</v>
      </c>
      <c r="O828" s="127">
        <v>29221</v>
      </c>
      <c r="P828" s="126"/>
      <c r="Q828" s="126"/>
      <c r="R828" s="126">
        <v>38.1</v>
      </c>
      <c r="S828" s="126" t="s">
        <v>48</v>
      </c>
    </row>
    <row r="829" spans="1:19" x14ac:dyDescent="0.25">
      <c r="A829" s="126">
        <v>2916</v>
      </c>
      <c r="B829" s="126" t="s">
        <v>39</v>
      </c>
      <c r="C829" s="126" t="s">
        <v>40</v>
      </c>
      <c r="D829" s="126" t="s">
        <v>40</v>
      </c>
      <c r="E829" s="126" t="s">
        <v>375</v>
      </c>
      <c r="F829" s="126" t="s">
        <v>376</v>
      </c>
      <c r="G829" s="126">
        <v>50</v>
      </c>
      <c r="H829" s="126" t="s">
        <v>7</v>
      </c>
      <c r="I829" s="126" t="s">
        <v>7</v>
      </c>
      <c r="J829" s="126" t="s">
        <v>44</v>
      </c>
      <c r="K829" s="126" t="s">
        <v>44</v>
      </c>
      <c r="L829" s="126" t="s">
        <v>45</v>
      </c>
      <c r="M829" s="126" t="s">
        <v>57</v>
      </c>
      <c r="N829" s="126" t="s">
        <v>58</v>
      </c>
      <c r="O829" s="127">
        <v>18629</v>
      </c>
      <c r="P829" s="126"/>
      <c r="Q829" s="126"/>
      <c r="R829" s="126">
        <v>50.1</v>
      </c>
      <c r="S829" s="126" t="s">
        <v>48</v>
      </c>
    </row>
    <row r="830" spans="1:19" x14ac:dyDescent="0.25">
      <c r="A830" s="126">
        <v>2917</v>
      </c>
      <c r="B830" s="126" t="s">
        <v>39</v>
      </c>
      <c r="C830" s="126" t="s">
        <v>40</v>
      </c>
      <c r="D830" s="126" t="s">
        <v>40</v>
      </c>
      <c r="E830" s="126" t="s">
        <v>377</v>
      </c>
      <c r="F830" s="126" t="s">
        <v>378</v>
      </c>
      <c r="G830" s="126">
        <v>50</v>
      </c>
      <c r="H830" s="126" t="s">
        <v>7</v>
      </c>
      <c r="I830" s="126" t="s">
        <v>7</v>
      </c>
      <c r="J830" s="126" t="s">
        <v>44</v>
      </c>
      <c r="K830" s="126" t="s">
        <v>44</v>
      </c>
      <c r="L830" s="126" t="s">
        <v>45</v>
      </c>
      <c r="M830" s="126" t="s">
        <v>57</v>
      </c>
      <c r="N830" s="126" t="s">
        <v>58</v>
      </c>
      <c r="O830" s="127">
        <v>18629</v>
      </c>
      <c r="P830" s="126"/>
      <c r="Q830" s="126"/>
      <c r="R830" s="126">
        <v>50.1</v>
      </c>
      <c r="S830" s="126" t="s">
        <v>48</v>
      </c>
    </row>
    <row r="831" spans="1:19" x14ac:dyDescent="0.25">
      <c r="A831" s="126">
        <v>2918</v>
      </c>
      <c r="B831" s="126" t="s">
        <v>39</v>
      </c>
      <c r="C831" s="126" t="s">
        <v>40</v>
      </c>
      <c r="D831" s="126" t="s">
        <v>40</v>
      </c>
      <c r="E831" s="126" t="s">
        <v>190</v>
      </c>
      <c r="F831" s="126" t="s">
        <v>191</v>
      </c>
      <c r="G831" s="126">
        <v>30</v>
      </c>
      <c r="H831" s="126" t="s">
        <v>7</v>
      </c>
      <c r="I831" s="126" t="s">
        <v>7</v>
      </c>
      <c r="J831" s="126" t="s">
        <v>44</v>
      </c>
      <c r="K831" s="126" t="s">
        <v>44</v>
      </c>
      <c r="L831" s="126" t="s">
        <v>45</v>
      </c>
      <c r="M831" s="126" t="s">
        <v>57</v>
      </c>
      <c r="N831" s="126" t="s">
        <v>58</v>
      </c>
      <c r="O831" s="127">
        <v>7672</v>
      </c>
      <c r="P831" s="126"/>
      <c r="Q831" s="126"/>
      <c r="R831" s="126">
        <v>25.8</v>
      </c>
      <c r="S831" s="126" t="s">
        <v>48</v>
      </c>
    </row>
    <row r="832" spans="1:19" x14ac:dyDescent="0.25">
      <c r="A832" s="126">
        <v>2919</v>
      </c>
      <c r="B832" s="126" t="s">
        <v>39</v>
      </c>
      <c r="C832" s="126" t="s">
        <v>40</v>
      </c>
      <c r="D832" s="126" t="s">
        <v>40</v>
      </c>
      <c r="E832" s="126" t="s">
        <v>277</v>
      </c>
      <c r="F832" s="126" t="s">
        <v>278</v>
      </c>
      <c r="G832" s="126">
        <v>45</v>
      </c>
      <c r="H832" s="126" t="s">
        <v>7</v>
      </c>
      <c r="I832" s="126" t="s">
        <v>7</v>
      </c>
      <c r="J832" s="126" t="s">
        <v>44</v>
      </c>
      <c r="K832" s="126" t="s">
        <v>44</v>
      </c>
      <c r="L832" s="126" t="s">
        <v>45</v>
      </c>
      <c r="M832" s="126" t="s">
        <v>57</v>
      </c>
      <c r="N832" s="126" t="s">
        <v>58</v>
      </c>
      <c r="O832" s="127">
        <v>10594</v>
      </c>
      <c r="P832" s="126"/>
      <c r="Q832" s="126"/>
      <c r="R832" s="126">
        <v>38.700000000000003</v>
      </c>
      <c r="S832" s="126" t="s">
        <v>48</v>
      </c>
    </row>
    <row r="833" spans="1:19" ht="29.25" x14ac:dyDescent="0.25">
      <c r="A833" s="126">
        <v>2921</v>
      </c>
      <c r="B833" s="126" t="s">
        <v>39</v>
      </c>
      <c r="C833" s="126" t="s">
        <v>40</v>
      </c>
      <c r="D833" s="126" t="s">
        <v>40</v>
      </c>
      <c r="E833" s="126" t="s">
        <v>448</v>
      </c>
      <c r="F833" s="126" t="s">
        <v>449</v>
      </c>
      <c r="G833" s="126">
        <v>95</v>
      </c>
      <c r="H833" s="126" t="s">
        <v>7</v>
      </c>
      <c r="I833" s="126" t="s">
        <v>7</v>
      </c>
      <c r="J833" s="126" t="s">
        <v>44</v>
      </c>
      <c r="K833" s="126" t="s">
        <v>44</v>
      </c>
      <c r="L833" s="126" t="s">
        <v>45</v>
      </c>
      <c r="M833" s="126" t="s">
        <v>57</v>
      </c>
      <c r="N833" s="126" t="s">
        <v>58</v>
      </c>
      <c r="O833" s="127">
        <v>21916</v>
      </c>
      <c r="P833" s="126"/>
      <c r="Q833" s="126"/>
      <c r="R833" s="126">
        <v>93.5</v>
      </c>
      <c r="S833" s="126" t="s">
        <v>48</v>
      </c>
    </row>
    <row r="834" spans="1:19" ht="29.25" x14ac:dyDescent="0.25">
      <c r="A834" s="126">
        <v>2922</v>
      </c>
      <c r="B834" s="126" t="s">
        <v>39</v>
      </c>
      <c r="C834" s="126" t="s">
        <v>40</v>
      </c>
      <c r="D834" s="126" t="s">
        <v>40</v>
      </c>
      <c r="E834" s="126" t="s">
        <v>450</v>
      </c>
      <c r="F834" s="126" t="s">
        <v>451</v>
      </c>
      <c r="G834" s="126">
        <v>95</v>
      </c>
      <c r="H834" s="126" t="s">
        <v>7</v>
      </c>
      <c r="I834" s="126" t="s">
        <v>7</v>
      </c>
      <c r="J834" s="126" t="s">
        <v>44</v>
      </c>
      <c r="K834" s="126" t="s">
        <v>44</v>
      </c>
      <c r="L834" s="126" t="s">
        <v>45</v>
      </c>
      <c r="M834" s="126" t="s">
        <v>57</v>
      </c>
      <c r="N834" s="126" t="s">
        <v>58</v>
      </c>
      <c r="O834" s="127">
        <v>21916</v>
      </c>
      <c r="P834" s="126"/>
      <c r="Q834" s="126"/>
      <c r="R834" s="126">
        <v>93.5</v>
      </c>
      <c r="S834" s="126" t="s">
        <v>48</v>
      </c>
    </row>
    <row r="835" spans="1:19" x14ac:dyDescent="0.25">
      <c r="A835" s="126">
        <v>3101</v>
      </c>
      <c r="B835" s="126" t="s">
        <v>39</v>
      </c>
      <c r="C835" s="126" t="s">
        <v>40</v>
      </c>
      <c r="D835" s="126" t="s">
        <v>40</v>
      </c>
      <c r="E835" s="126"/>
      <c r="F835" s="126" t="s">
        <v>99</v>
      </c>
      <c r="G835" s="126"/>
      <c r="H835" s="126" t="s">
        <v>7</v>
      </c>
      <c r="I835" s="126" t="s">
        <v>7</v>
      </c>
      <c r="J835" s="126" t="s">
        <v>44</v>
      </c>
      <c r="K835" s="126" t="s">
        <v>44</v>
      </c>
      <c r="L835" s="126" t="s">
        <v>45</v>
      </c>
      <c r="M835" s="126" t="s">
        <v>57</v>
      </c>
      <c r="N835" s="126" t="s">
        <v>58</v>
      </c>
      <c r="O835" s="127">
        <v>2923</v>
      </c>
      <c r="P835" s="126"/>
      <c r="Q835" s="126"/>
      <c r="R835" s="126">
        <v>2.73</v>
      </c>
      <c r="S835" s="126" t="s">
        <v>48</v>
      </c>
    </row>
    <row r="836" spans="1:19" x14ac:dyDescent="0.25">
      <c r="A836" s="126">
        <v>3102</v>
      </c>
      <c r="B836" s="126" t="s">
        <v>39</v>
      </c>
      <c r="C836" s="126" t="s">
        <v>40</v>
      </c>
      <c r="D836" s="126" t="s">
        <v>40</v>
      </c>
      <c r="E836" s="126"/>
      <c r="F836" s="126" t="s">
        <v>100</v>
      </c>
      <c r="G836" s="126"/>
      <c r="H836" s="126" t="s">
        <v>7</v>
      </c>
      <c r="I836" s="126" t="s">
        <v>7</v>
      </c>
      <c r="J836" s="126" t="s">
        <v>44</v>
      </c>
      <c r="K836" s="126" t="s">
        <v>44</v>
      </c>
      <c r="L836" s="126" t="s">
        <v>45</v>
      </c>
      <c r="M836" s="126" t="s">
        <v>57</v>
      </c>
      <c r="N836" s="126" t="s">
        <v>58</v>
      </c>
      <c r="O836" s="127">
        <v>2923</v>
      </c>
      <c r="P836" s="126"/>
      <c r="Q836" s="126"/>
      <c r="R836" s="126">
        <v>2.73</v>
      </c>
      <c r="S836" s="126" t="s">
        <v>48</v>
      </c>
    </row>
    <row r="837" spans="1:19" x14ac:dyDescent="0.25">
      <c r="A837" s="126">
        <v>3103</v>
      </c>
      <c r="B837" s="126" t="s">
        <v>39</v>
      </c>
      <c r="C837" s="126" t="s">
        <v>40</v>
      </c>
      <c r="D837" s="126" t="s">
        <v>40</v>
      </c>
      <c r="E837" s="126"/>
      <c r="F837" s="126" t="s">
        <v>128</v>
      </c>
      <c r="G837" s="126"/>
      <c r="H837" s="126" t="s">
        <v>7</v>
      </c>
      <c r="I837" s="126" t="s">
        <v>7</v>
      </c>
      <c r="J837" s="126" t="s">
        <v>44</v>
      </c>
      <c r="K837" s="126" t="s">
        <v>44</v>
      </c>
      <c r="L837" s="126" t="s">
        <v>45</v>
      </c>
      <c r="M837" s="126" t="s">
        <v>57</v>
      </c>
      <c r="N837" s="126" t="s">
        <v>58</v>
      </c>
      <c r="O837" s="127">
        <v>4019</v>
      </c>
      <c r="P837" s="126"/>
      <c r="Q837" s="126"/>
      <c r="R837" s="126">
        <v>2.73</v>
      </c>
      <c r="S837" s="126" t="s">
        <v>48</v>
      </c>
    </row>
    <row r="838" spans="1:19" x14ac:dyDescent="0.25">
      <c r="A838" s="126">
        <v>3104</v>
      </c>
      <c r="B838" s="126" t="s">
        <v>39</v>
      </c>
      <c r="C838" s="126" t="s">
        <v>40</v>
      </c>
      <c r="D838" s="126" t="s">
        <v>40</v>
      </c>
      <c r="E838" s="126"/>
      <c r="F838" s="126" t="s">
        <v>334</v>
      </c>
      <c r="G838" s="126"/>
      <c r="H838" s="126" t="s">
        <v>7</v>
      </c>
      <c r="I838" s="126" t="s">
        <v>7</v>
      </c>
      <c r="J838" s="126" t="s">
        <v>44</v>
      </c>
      <c r="K838" s="126" t="s">
        <v>44</v>
      </c>
      <c r="L838" s="126" t="s">
        <v>45</v>
      </c>
      <c r="M838" s="126" t="s">
        <v>57</v>
      </c>
      <c r="N838" s="126" t="s">
        <v>58</v>
      </c>
      <c r="O838" s="127">
        <v>15707</v>
      </c>
      <c r="P838" s="126"/>
      <c r="Q838" s="126"/>
      <c r="R838" s="126">
        <v>2</v>
      </c>
      <c r="S838" s="126" t="s">
        <v>48</v>
      </c>
    </row>
    <row r="839" spans="1:19" x14ac:dyDescent="0.25">
      <c r="A839" s="126">
        <v>3105</v>
      </c>
      <c r="B839" s="126" t="s">
        <v>39</v>
      </c>
      <c r="C839" s="126" t="s">
        <v>40</v>
      </c>
      <c r="D839" s="126" t="s">
        <v>40</v>
      </c>
      <c r="E839" s="126"/>
      <c r="F839" s="126" t="s">
        <v>179</v>
      </c>
      <c r="G839" s="126"/>
      <c r="H839" s="126" t="s">
        <v>7</v>
      </c>
      <c r="I839" s="126" t="s">
        <v>7</v>
      </c>
      <c r="J839" s="126" t="s">
        <v>44</v>
      </c>
      <c r="K839" s="126" t="s">
        <v>44</v>
      </c>
      <c r="L839" s="126" t="s">
        <v>45</v>
      </c>
      <c r="M839" s="126" t="s">
        <v>57</v>
      </c>
      <c r="N839" s="126" t="s">
        <v>58</v>
      </c>
      <c r="O839" s="127">
        <v>6941</v>
      </c>
      <c r="P839" s="126"/>
      <c r="Q839" s="126"/>
      <c r="R839" s="126">
        <v>1.8</v>
      </c>
      <c r="S839" s="126" t="s">
        <v>48</v>
      </c>
    </row>
    <row r="840" spans="1:19" x14ac:dyDescent="0.25">
      <c r="A840" s="126">
        <v>3106</v>
      </c>
      <c r="B840" s="126" t="s">
        <v>39</v>
      </c>
      <c r="C840" s="126" t="s">
        <v>40</v>
      </c>
      <c r="D840" s="126" t="s">
        <v>40</v>
      </c>
      <c r="E840" s="126"/>
      <c r="F840" s="126" t="s">
        <v>142</v>
      </c>
      <c r="G840" s="126"/>
      <c r="H840" s="126" t="s">
        <v>7</v>
      </c>
      <c r="I840" s="126" t="s">
        <v>7</v>
      </c>
      <c r="J840" s="126" t="s">
        <v>44</v>
      </c>
      <c r="K840" s="126" t="s">
        <v>44</v>
      </c>
      <c r="L840" s="126" t="s">
        <v>45</v>
      </c>
      <c r="M840" s="126" t="s">
        <v>57</v>
      </c>
      <c r="N840" s="126" t="s">
        <v>58</v>
      </c>
      <c r="O840" s="127">
        <v>4750</v>
      </c>
      <c r="P840" s="126"/>
      <c r="Q840" s="126"/>
      <c r="R840" s="126">
        <v>2.2000000000000002</v>
      </c>
      <c r="S840" s="126" t="s">
        <v>48</v>
      </c>
    </row>
    <row r="841" spans="1:19" x14ac:dyDescent="0.25">
      <c r="A841" s="126">
        <v>3201</v>
      </c>
      <c r="B841" s="126" t="s">
        <v>39</v>
      </c>
      <c r="C841" s="126" t="s">
        <v>40</v>
      </c>
      <c r="D841" s="126" t="s">
        <v>40</v>
      </c>
      <c r="E841" s="126"/>
      <c r="F841" s="126" t="s">
        <v>143</v>
      </c>
      <c r="G841" s="126"/>
      <c r="H841" s="126" t="s">
        <v>7</v>
      </c>
      <c r="I841" s="126" t="s">
        <v>7</v>
      </c>
      <c r="J841" s="126" t="s">
        <v>44</v>
      </c>
      <c r="K841" s="126" t="s">
        <v>44</v>
      </c>
      <c r="L841" s="126" t="s">
        <v>45</v>
      </c>
      <c r="M841" s="126" t="s">
        <v>57</v>
      </c>
      <c r="N841" s="126" t="s">
        <v>58</v>
      </c>
      <c r="O841" s="127">
        <v>4750</v>
      </c>
      <c r="P841" s="126"/>
      <c r="Q841" s="126"/>
      <c r="R841" s="126">
        <v>2.6</v>
      </c>
      <c r="S841" s="126" t="s">
        <v>48</v>
      </c>
    </row>
    <row r="842" spans="1:19" x14ac:dyDescent="0.25">
      <c r="A842" s="126">
        <v>3202</v>
      </c>
      <c r="B842" s="126" t="s">
        <v>39</v>
      </c>
      <c r="C842" s="126" t="s">
        <v>40</v>
      </c>
      <c r="D842" s="126" t="s">
        <v>40</v>
      </c>
      <c r="E842" s="126"/>
      <c r="F842" s="126" t="s">
        <v>144</v>
      </c>
      <c r="G842" s="126"/>
      <c r="H842" s="126" t="s">
        <v>7</v>
      </c>
      <c r="I842" s="126" t="s">
        <v>7</v>
      </c>
      <c r="J842" s="126" t="s">
        <v>44</v>
      </c>
      <c r="K842" s="126" t="s">
        <v>44</v>
      </c>
      <c r="L842" s="126" t="s">
        <v>45</v>
      </c>
      <c r="M842" s="126" t="s">
        <v>57</v>
      </c>
      <c r="N842" s="126" t="s">
        <v>58</v>
      </c>
      <c r="O842" s="127">
        <v>4750</v>
      </c>
      <c r="P842" s="126"/>
      <c r="Q842" s="126"/>
      <c r="R842" s="126">
        <v>2.6</v>
      </c>
      <c r="S842" s="126" t="s">
        <v>48</v>
      </c>
    </row>
    <row r="843" spans="1:19" x14ac:dyDescent="0.25">
      <c r="A843" s="126">
        <v>3203</v>
      </c>
      <c r="B843" s="126" t="s">
        <v>39</v>
      </c>
      <c r="C843" s="126" t="s">
        <v>40</v>
      </c>
      <c r="D843" s="126" t="s">
        <v>40</v>
      </c>
      <c r="E843" s="126"/>
      <c r="F843" s="126" t="s">
        <v>145</v>
      </c>
      <c r="G843" s="126"/>
      <c r="H843" s="126" t="s">
        <v>7</v>
      </c>
      <c r="I843" s="126" t="s">
        <v>7</v>
      </c>
      <c r="J843" s="126" t="s">
        <v>44</v>
      </c>
      <c r="K843" s="126" t="s">
        <v>44</v>
      </c>
      <c r="L843" s="126" t="s">
        <v>45</v>
      </c>
      <c r="M843" s="126" t="s">
        <v>57</v>
      </c>
      <c r="N843" s="126" t="s">
        <v>58</v>
      </c>
      <c r="O843" s="127">
        <v>4750</v>
      </c>
      <c r="P843" s="126"/>
      <c r="Q843" s="126"/>
      <c r="R843" s="126">
        <v>2.7</v>
      </c>
      <c r="S843" s="126" t="s">
        <v>48</v>
      </c>
    </row>
    <row r="844" spans="1:19" x14ac:dyDescent="0.25">
      <c r="A844" s="126">
        <v>3204</v>
      </c>
      <c r="B844" s="126" t="s">
        <v>39</v>
      </c>
      <c r="C844" s="126" t="s">
        <v>40</v>
      </c>
      <c r="D844" s="126" t="s">
        <v>40</v>
      </c>
      <c r="E844" s="126"/>
      <c r="F844" s="126" t="s">
        <v>79</v>
      </c>
      <c r="G844" s="126"/>
      <c r="H844" s="126" t="s">
        <v>7</v>
      </c>
      <c r="I844" s="126" t="s">
        <v>7</v>
      </c>
      <c r="J844" s="126" t="s">
        <v>44</v>
      </c>
      <c r="K844" s="126" t="s">
        <v>44</v>
      </c>
      <c r="L844" s="126" t="s">
        <v>45</v>
      </c>
      <c r="M844" s="126" t="s">
        <v>57</v>
      </c>
      <c r="N844" s="126" t="s">
        <v>58</v>
      </c>
      <c r="O844" s="127">
        <v>1828</v>
      </c>
      <c r="P844" s="126"/>
      <c r="Q844" s="126"/>
      <c r="R844" s="126">
        <v>1</v>
      </c>
      <c r="S844" s="126" t="s">
        <v>48</v>
      </c>
    </row>
    <row r="845" spans="1:19" x14ac:dyDescent="0.25">
      <c r="A845" s="126">
        <v>3205</v>
      </c>
      <c r="B845" s="126" t="s">
        <v>39</v>
      </c>
      <c r="C845" s="126" t="s">
        <v>40</v>
      </c>
      <c r="D845" s="126" t="s">
        <v>40</v>
      </c>
      <c r="E845" s="126"/>
      <c r="F845" s="126" t="s">
        <v>80</v>
      </c>
      <c r="G845" s="126"/>
      <c r="H845" s="126" t="s">
        <v>7</v>
      </c>
      <c r="I845" s="126" t="s">
        <v>7</v>
      </c>
      <c r="J845" s="126" t="s">
        <v>44</v>
      </c>
      <c r="K845" s="126" t="s">
        <v>44</v>
      </c>
      <c r="L845" s="126" t="s">
        <v>45</v>
      </c>
      <c r="M845" s="126" t="s">
        <v>57</v>
      </c>
      <c r="N845" s="126" t="s">
        <v>58</v>
      </c>
      <c r="O845" s="127">
        <v>1828</v>
      </c>
      <c r="P845" s="126"/>
      <c r="Q845" s="126"/>
      <c r="R845" s="126">
        <v>1</v>
      </c>
      <c r="S845" s="126" t="s">
        <v>48</v>
      </c>
    </row>
    <row r="846" spans="1:19" x14ac:dyDescent="0.25">
      <c r="A846" s="126">
        <v>3206</v>
      </c>
      <c r="B846" s="126" t="s">
        <v>39</v>
      </c>
      <c r="C846" s="126" t="s">
        <v>40</v>
      </c>
      <c r="D846" s="126" t="s">
        <v>40</v>
      </c>
      <c r="E846" s="126"/>
      <c r="F846" s="126" t="s">
        <v>81</v>
      </c>
      <c r="G846" s="126"/>
      <c r="H846" s="126" t="s">
        <v>7</v>
      </c>
      <c r="I846" s="126" t="s">
        <v>7</v>
      </c>
      <c r="J846" s="126" t="s">
        <v>44</v>
      </c>
      <c r="K846" s="126" t="s">
        <v>44</v>
      </c>
      <c r="L846" s="126" t="s">
        <v>45</v>
      </c>
      <c r="M846" s="126" t="s">
        <v>57</v>
      </c>
      <c r="N846" s="126" t="s">
        <v>58</v>
      </c>
      <c r="O846" s="127">
        <v>2193</v>
      </c>
      <c r="P846" s="126"/>
      <c r="Q846" s="126"/>
      <c r="R846" s="126">
        <v>2</v>
      </c>
      <c r="S846" s="126" t="s">
        <v>48</v>
      </c>
    </row>
    <row r="847" spans="1:19" x14ac:dyDescent="0.25">
      <c r="A847" s="126">
        <v>3207</v>
      </c>
      <c r="B847" s="126" t="s">
        <v>39</v>
      </c>
      <c r="C847" s="126" t="s">
        <v>40</v>
      </c>
      <c r="D847" s="126" t="s">
        <v>40</v>
      </c>
      <c r="E847" s="126"/>
      <c r="F847" s="126" t="s">
        <v>85</v>
      </c>
      <c r="G847" s="126"/>
      <c r="H847" s="126" t="s">
        <v>7</v>
      </c>
      <c r="I847" s="126" t="s">
        <v>7</v>
      </c>
      <c r="J847" s="126" t="s">
        <v>44</v>
      </c>
      <c r="K847" s="126" t="s">
        <v>44</v>
      </c>
      <c r="L847" s="126" t="s">
        <v>45</v>
      </c>
      <c r="M847" s="126" t="s">
        <v>57</v>
      </c>
      <c r="N847" s="126" t="s">
        <v>58</v>
      </c>
      <c r="O847" s="127">
        <v>2558</v>
      </c>
      <c r="P847" s="126"/>
      <c r="Q847" s="126"/>
      <c r="R847" s="126">
        <v>2</v>
      </c>
      <c r="S847" s="126" t="s">
        <v>48</v>
      </c>
    </row>
    <row r="848" spans="1:19" x14ac:dyDescent="0.25">
      <c r="A848" s="126">
        <v>3208</v>
      </c>
      <c r="B848" s="126" t="s">
        <v>39</v>
      </c>
      <c r="C848" s="126" t="s">
        <v>40</v>
      </c>
      <c r="D848" s="126" t="s">
        <v>40</v>
      </c>
      <c r="E848" s="126"/>
      <c r="F848" s="126" t="s">
        <v>103</v>
      </c>
      <c r="G848" s="126"/>
      <c r="H848" s="126" t="s">
        <v>7</v>
      </c>
      <c r="I848" s="126" t="s">
        <v>7</v>
      </c>
      <c r="J848" s="126" t="s">
        <v>44</v>
      </c>
      <c r="K848" s="126" t="s">
        <v>44</v>
      </c>
      <c r="L848" s="126" t="s">
        <v>45</v>
      </c>
      <c r="M848" s="126" t="s">
        <v>57</v>
      </c>
      <c r="N848" s="126" t="s">
        <v>58</v>
      </c>
      <c r="O848" s="127">
        <v>3289</v>
      </c>
      <c r="P848" s="126"/>
      <c r="Q848" s="126"/>
      <c r="R848" s="126">
        <v>2</v>
      </c>
      <c r="S848" s="126" t="s">
        <v>48</v>
      </c>
    </row>
    <row r="849" spans="1:19" ht="29.25" x14ac:dyDescent="0.25">
      <c r="A849" s="126">
        <v>84701</v>
      </c>
      <c r="B849" s="126" t="s">
        <v>39</v>
      </c>
      <c r="C849" s="126" t="s">
        <v>40</v>
      </c>
      <c r="D849" s="126" t="s">
        <v>40</v>
      </c>
      <c r="E849" s="126"/>
      <c r="F849" s="126" t="s">
        <v>3168</v>
      </c>
      <c r="G849" s="126"/>
      <c r="H849" s="126" t="s">
        <v>7</v>
      </c>
      <c r="I849" s="126" t="s">
        <v>3167</v>
      </c>
      <c r="J849" s="126" t="s">
        <v>314</v>
      </c>
      <c r="K849" s="126" t="s">
        <v>599</v>
      </c>
      <c r="L849" s="126" t="s">
        <v>1202</v>
      </c>
      <c r="M849" s="126" t="s">
        <v>57</v>
      </c>
      <c r="N849" s="126" t="s">
        <v>58</v>
      </c>
      <c r="O849" s="126"/>
      <c r="P849" s="126"/>
      <c r="Q849" s="126"/>
      <c r="R849" s="126">
        <v>4</v>
      </c>
      <c r="S849" s="126" t="s">
        <v>48</v>
      </c>
    </row>
    <row r="850" spans="1:19" ht="29.25" x14ac:dyDescent="0.25">
      <c r="A850" s="126">
        <v>84702</v>
      </c>
      <c r="B850" s="126" t="s">
        <v>39</v>
      </c>
      <c r="C850" s="126" t="s">
        <v>40</v>
      </c>
      <c r="D850" s="126" t="s">
        <v>40</v>
      </c>
      <c r="E850" s="126"/>
      <c r="F850" s="126" t="s">
        <v>3169</v>
      </c>
      <c r="G850" s="126"/>
      <c r="H850" s="126" t="s">
        <v>7</v>
      </c>
      <c r="I850" s="126" t="s">
        <v>3167</v>
      </c>
      <c r="J850" s="126" t="s">
        <v>314</v>
      </c>
      <c r="K850" s="126" t="s">
        <v>599</v>
      </c>
      <c r="L850" s="126" t="s">
        <v>1202</v>
      </c>
      <c r="M850" s="126" t="s">
        <v>57</v>
      </c>
      <c r="N850" s="126" t="s">
        <v>58</v>
      </c>
      <c r="O850" s="126"/>
      <c r="P850" s="126"/>
      <c r="Q850" s="126"/>
      <c r="R850" s="126">
        <v>4</v>
      </c>
      <c r="S850" s="126" t="s">
        <v>48</v>
      </c>
    </row>
    <row r="851" spans="1:19" x14ac:dyDescent="0.25">
      <c r="A851" s="126">
        <v>3501</v>
      </c>
      <c r="B851" s="126" t="s">
        <v>39</v>
      </c>
      <c r="C851" s="126" t="s">
        <v>40</v>
      </c>
      <c r="D851" s="126" t="s">
        <v>40</v>
      </c>
      <c r="E851" s="126"/>
      <c r="F851" s="126" t="s">
        <v>66</v>
      </c>
      <c r="G851" s="126"/>
      <c r="H851" s="126" t="s">
        <v>7</v>
      </c>
      <c r="I851" s="126" t="s">
        <v>7</v>
      </c>
      <c r="J851" s="126" t="s">
        <v>44</v>
      </c>
      <c r="K851" s="126" t="s">
        <v>44</v>
      </c>
      <c r="L851" s="126" t="s">
        <v>45</v>
      </c>
      <c r="M851" s="126" t="s">
        <v>57</v>
      </c>
      <c r="N851" s="126" t="s">
        <v>58</v>
      </c>
      <c r="O851" s="127">
        <v>1462</v>
      </c>
      <c r="P851" s="126"/>
      <c r="Q851" s="126"/>
      <c r="R851" s="126">
        <v>2.1</v>
      </c>
      <c r="S851" s="126" t="s">
        <v>48</v>
      </c>
    </row>
    <row r="852" spans="1:19" x14ac:dyDescent="0.25">
      <c r="A852" s="126">
        <v>3502</v>
      </c>
      <c r="B852" s="126" t="s">
        <v>39</v>
      </c>
      <c r="C852" s="126" t="s">
        <v>40</v>
      </c>
      <c r="D852" s="126" t="s">
        <v>40</v>
      </c>
      <c r="E852" s="126"/>
      <c r="F852" s="126" t="s">
        <v>67</v>
      </c>
      <c r="G852" s="126"/>
      <c r="H852" s="126" t="s">
        <v>7</v>
      </c>
      <c r="I852" s="126" t="s">
        <v>7</v>
      </c>
      <c r="J852" s="126" t="s">
        <v>44</v>
      </c>
      <c r="K852" s="126" t="s">
        <v>44</v>
      </c>
      <c r="L852" s="126" t="s">
        <v>45</v>
      </c>
      <c r="M852" s="126" t="s">
        <v>57</v>
      </c>
      <c r="N852" s="126" t="s">
        <v>58</v>
      </c>
      <c r="O852" s="127">
        <v>1462</v>
      </c>
      <c r="P852" s="126"/>
      <c r="Q852" s="126"/>
      <c r="R852" s="126">
        <v>2.5</v>
      </c>
      <c r="S852" s="126" t="s">
        <v>48</v>
      </c>
    </row>
    <row r="853" spans="1:19" x14ac:dyDescent="0.25">
      <c r="A853" s="126">
        <v>3503</v>
      </c>
      <c r="B853" s="126" t="s">
        <v>39</v>
      </c>
      <c r="C853" s="126" t="s">
        <v>40</v>
      </c>
      <c r="D853" s="126" t="s">
        <v>40</v>
      </c>
      <c r="E853" s="126"/>
      <c r="F853" s="126" t="s">
        <v>310</v>
      </c>
      <c r="G853" s="126"/>
      <c r="H853" s="126" t="s">
        <v>7</v>
      </c>
      <c r="I853" s="126" t="s">
        <v>7</v>
      </c>
      <c r="J853" s="126" t="s">
        <v>44</v>
      </c>
      <c r="K853" s="126" t="s">
        <v>44</v>
      </c>
      <c r="L853" s="126" t="s">
        <v>45</v>
      </c>
      <c r="M853" s="126" t="s">
        <v>57</v>
      </c>
      <c r="N853" s="126" t="s">
        <v>58</v>
      </c>
      <c r="O853" s="127">
        <v>11689</v>
      </c>
      <c r="P853" s="126"/>
      <c r="Q853" s="126"/>
      <c r="R853" s="126">
        <v>6.4</v>
      </c>
      <c r="S853" s="126" t="s">
        <v>48</v>
      </c>
    </row>
    <row r="854" spans="1:19" x14ac:dyDescent="0.25">
      <c r="A854" s="126">
        <v>3901</v>
      </c>
      <c r="B854" s="126" t="s">
        <v>39</v>
      </c>
      <c r="C854" s="126" t="s">
        <v>40</v>
      </c>
      <c r="D854" s="126" t="s">
        <v>40</v>
      </c>
      <c r="E854" s="126" t="s">
        <v>269</v>
      </c>
      <c r="F854" s="126" t="s">
        <v>270</v>
      </c>
      <c r="G854" s="126">
        <v>33</v>
      </c>
      <c r="H854" s="126" t="s">
        <v>43</v>
      </c>
      <c r="I854" s="126" t="s">
        <v>6</v>
      </c>
      <c r="J854" s="126" t="s">
        <v>44</v>
      </c>
      <c r="K854" s="126" t="s">
        <v>44</v>
      </c>
      <c r="L854" s="126" t="s">
        <v>45</v>
      </c>
      <c r="M854" s="126" t="s">
        <v>46</v>
      </c>
      <c r="N854" s="126" t="s">
        <v>47</v>
      </c>
      <c r="O854" s="127">
        <v>10228</v>
      </c>
      <c r="P854" s="126"/>
      <c r="Q854" s="126" t="s">
        <v>194</v>
      </c>
      <c r="R854" s="126">
        <v>33</v>
      </c>
      <c r="S854" s="126" t="s">
        <v>48</v>
      </c>
    </row>
    <row r="855" spans="1:19" x14ac:dyDescent="0.25">
      <c r="A855" s="126">
        <v>3902</v>
      </c>
      <c r="B855" s="126" t="s">
        <v>39</v>
      </c>
      <c r="C855" s="126" t="s">
        <v>40</v>
      </c>
      <c r="D855" s="126" t="s">
        <v>40</v>
      </c>
      <c r="E855" s="126" t="s">
        <v>271</v>
      </c>
      <c r="F855" s="126" t="s">
        <v>272</v>
      </c>
      <c r="G855" s="126">
        <v>32.5</v>
      </c>
      <c r="H855" s="126" t="s">
        <v>43</v>
      </c>
      <c r="I855" s="126" t="s">
        <v>6</v>
      </c>
      <c r="J855" s="126" t="s">
        <v>44</v>
      </c>
      <c r="K855" s="126" t="s">
        <v>44</v>
      </c>
      <c r="L855" s="126" t="s">
        <v>45</v>
      </c>
      <c r="M855" s="126" t="s">
        <v>46</v>
      </c>
      <c r="N855" s="126" t="s">
        <v>47</v>
      </c>
      <c r="O855" s="127">
        <v>10228</v>
      </c>
      <c r="P855" s="126"/>
      <c r="Q855" s="126" t="s">
        <v>194</v>
      </c>
      <c r="R855" s="126">
        <v>32.5</v>
      </c>
      <c r="S855" s="126" t="s">
        <v>48</v>
      </c>
    </row>
    <row r="856" spans="1:19" ht="29.25" x14ac:dyDescent="0.25">
      <c r="A856" s="126">
        <v>36600</v>
      </c>
      <c r="B856" s="126" t="s">
        <v>106</v>
      </c>
      <c r="C856" s="126" t="s">
        <v>49</v>
      </c>
      <c r="D856" s="126" t="s">
        <v>40</v>
      </c>
      <c r="E856" s="126" t="s">
        <v>2019</v>
      </c>
      <c r="F856" s="126" t="s">
        <v>2020</v>
      </c>
      <c r="G856" s="126">
        <v>22.7</v>
      </c>
      <c r="H856" s="126" t="s">
        <v>7</v>
      </c>
      <c r="I856" s="126">
        <v>2206</v>
      </c>
      <c r="J856" s="126" t="s">
        <v>713</v>
      </c>
      <c r="K856" s="126" t="s">
        <v>385</v>
      </c>
      <c r="L856" s="126" t="s">
        <v>259</v>
      </c>
      <c r="M856" s="126" t="s">
        <v>57</v>
      </c>
      <c r="N856" s="126" t="s">
        <v>58</v>
      </c>
      <c r="O856" s="127">
        <v>32938</v>
      </c>
      <c r="P856" s="126"/>
      <c r="Q856" s="126"/>
      <c r="R856" s="126">
        <v>20.76</v>
      </c>
      <c r="S856" s="126" t="s">
        <v>48</v>
      </c>
    </row>
    <row r="857" spans="1:19" ht="29.25" x14ac:dyDescent="0.25">
      <c r="A857" s="126">
        <v>2500</v>
      </c>
      <c r="B857" s="126" t="s">
        <v>39</v>
      </c>
      <c r="C857" s="126" t="s">
        <v>49</v>
      </c>
      <c r="D857" s="126" t="s">
        <v>40</v>
      </c>
      <c r="E857" s="126" t="s">
        <v>1964</v>
      </c>
      <c r="F857" s="126" t="s">
        <v>1965</v>
      </c>
      <c r="G857" s="126">
        <v>17.5</v>
      </c>
      <c r="H857" s="126" t="s">
        <v>7</v>
      </c>
      <c r="I857" s="126" t="s">
        <v>1966</v>
      </c>
      <c r="J857" s="126" t="s">
        <v>713</v>
      </c>
      <c r="K857" s="126" t="s">
        <v>385</v>
      </c>
      <c r="L857" s="126" t="s">
        <v>259</v>
      </c>
      <c r="M857" s="126" t="s">
        <v>57</v>
      </c>
      <c r="N857" s="126" t="s">
        <v>58</v>
      </c>
      <c r="O857" s="127">
        <v>32874</v>
      </c>
      <c r="P857" s="126"/>
      <c r="Q857" s="126"/>
      <c r="R857" s="126">
        <v>21.4</v>
      </c>
      <c r="S857" s="126" t="s">
        <v>48</v>
      </c>
    </row>
    <row r="858" spans="1:19" ht="29.25" x14ac:dyDescent="0.25">
      <c r="A858" s="126">
        <v>38100</v>
      </c>
      <c r="B858" s="126" t="s">
        <v>106</v>
      </c>
      <c r="C858" s="126" t="s">
        <v>49</v>
      </c>
      <c r="D858" s="126" t="s">
        <v>40</v>
      </c>
      <c r="E858" s="126" t="s">
        <v>1761</v>
      </c>
      <c r="F858" s="126" t="s">
        <v>1762</v>
      </c>
      <c r="G858" s="126">
        <v>11.5</v>
      </c>
      <c r="H858" s="126" t="s">
        <v>43</v>
      </c>
      <c r="I858" s="126" t="s">
        <v>1763</v>
      </c>
      <c r="J858" s="126" t="s">
        <v>663</v>
      </c>
      <c r="K858" s="126" t="s">
        <v>385</v>
      </c>
      <c r="L858" s="126" t="s">
        <v>663</v>
      </c>
      <c r="M858" s="126" t="s">
        <v>46</v>
      </c>
      <c r="N858" s="126" t="s">
        <v>47</v>
      </c>
      <c r="O858" s="127">
        <v>32392</v>
      </c>
      <c r="P858" s="126" t="s">
        <v>1757</v>
      </c>
      <c r="Q858" s="126"/>
      <c r="R858" s="126">
        <v>11.5</v>
      </c>
      <c r="S858" s="126" t="s">
        <v>48</v>
      </c>
    </row>
    <row r="859" spans="1:19" ht="29.25" x14ac:dyDescent="0.25">
      <c r="A859" s="126">
        <v>38200</v>
      </c>
      <c r="B859" s="126" t="s">
        <v>106</v>
      </c>
      <c r="C859" s="126" t="s">
        <v>49</v>
      </c>
      <c r="D859" s="126" t="s">
        <v>40</v>
      </c>
      <c r="E859" s="126" t="s">
        <v>1754</v>
      </c>
      <c r="F859" s="126" t="s">
        <v>1755</v>
      </c>
      <c r="G859" s="126">
        <v>11.5</v>
      </c>
      <c r="H859" s="126" t="s">
        <v>43</v>
      </c>
      <c r="I859" s="126" t="s">
        <v>1756</v>
      </c>
      <c r="J859" s="126" t="s">
        <v>663</v>
      </c>
      <c r="K859" s="126" t="s">
        <v>385</v>
      </c>
      <c r="L859" s="126" t="s">
        <v>663</v>
      </c>
      <c r="M859" s="126" t="s">
        <v>46</v>
      </c>
      <c r="N859" s="126" t="s">
        <v>47</v>
      </c>
      <c r="O859" s="127">
        <v>32388</v>
      </c>
      <c r="P859" s="126" t="s">
        <v>1757</v>
      </c>
      <c r="Q859" s="126"/>
      <c r="R859" s="126">
        <v>11.5</v>
      </c>
      <c r="S859" s="126" t="s">
        <v>48</v>
      </c>
    </row>
    <row r="860" spans="1:19" x14ac:dyDescent="0.25">
      <c r="A860" s="126">
        <v>4401</v>
      </c>
      <c r="B860" s="126" t="s">
        <v>39</v>
      </c>
      <c r="C860" s="126" t="s">
        <v>40</v>
      </c>
      <c r="D860" s="126" t="s">
        <v>40</v>
      </c>
      <c r="E860" s="126" t="s">
        <v>865</v>
      </c>
      <c r="F860" s="126" t="s">
        <v>866</v>
      </c>
      <c r="G860" s="126">
        <v>3.3</v>
      </c>
      <c r="H860" s="126" t="s">
        <v>43</v>
      </c>
      <c r="I860" s="126" t="s">
        <v>292</v>
      </c>
      <c r="J860" s="126" t="s">
        <v>44</v>
      </c>
      <c r="K860" s="126" t="s">
        <v>44</v>
      </c>
      <c r="L860" s="126" t="s">
        <v>45</v>
      </c>
      <c r="M860" s="126" t="s">
        <v>46</v>
      </c>
      <c r="N860" s="126" t="s">
        <v>47</v>
      </c>
      <c r="O860" s="127">
        <v>30317</v>
      </c>
      <c r="P860" s="126"/>
      <c r="Q860" s="126" t="s">
        <v>293</v>
      </c>
      <c r="R860" s="126">
        <v>3.33</v>
      </c>
      <c r="S860" s="126" t="s">
        <v>48</v>
      </c>
    </row>
    <row r="861" spans="1:19" x14ac:dyDescent="0.25">
      <c r="A861" s="126">
        <v>4402</v>
      </c>
      <c r="B861" s="126" t="s">
        <v>39</v>
      </c>
      <c r="C861" s="126" t="s">
        <v>40</v>
      </c>
      <c r="D861" s="126" t="s">
        <v>40</v>
      </c>
      <c r="E861" s="126" t="s">
        <v>867</v>
      </c>
      <c r="F861" s="126" t="s">
        <v>868</v>
      </c>
      <c r="G861" s="126">
        <v>3.3</v>
      </c>
      <c r="H861" s="126" t="s">
        <v>43</v>
      </c>
      <c r="I861" s="126" t="s">
        <v>292</v>
      </c>
      <c r="J861" s="126" t="s">
        <v>44</v>
      </c>
      <c r="K861" s="126" t="s">
        <v>44</v>
      </c>
      <c r="L861" s="126" t="s">
        <v>45</v>
      </c>
      <c r="M861" s="126" t="s">
        <v>46</v>
      </c>
      <c r="N861" s="126" t="s">
        <v>47</v>
      </c>
      <c r="O861" s="127">
        <v>30317</v>
      </c>
      <c r="P861" s="126"/>
      <c r="Q861" s="126" t="s">
        <v>293</v>
      </c>
      <c r="R861" s="126">
        <v>3.33</v>
      </c>
      <c r="S861" s="126" t="s">
        <v>48</v>
      </c>
    </row>
    <row r="862" spans="1:19" x14ac:dyDescent="0.25">
      <c r="A862" s="126">
        <v>4403</v>
      </c>
      <c r="B862" s="126" t="s">
        <v>39</v>
      </c>
      <c r="C862" s="126" t="s">
        <v>40</v>
      </c>
      <c r="D862" s="126" t="s">
        <v>40</v>
      </c>
      <c r="E862" s="126" t="s">
        <v>869</v>
      </c>
      <c r="F862" s="126" t="s">
        <v>870</v>
      </c>
      <c r="G862" s="126">
        <v>3.7</v>
      </c>
      <c r="H862" s="126" t="s">
        <v>43</v>
      </c>
      <c r="I862" s="126" t="s">
        <v>292</v>
      </c>
      <c r="J862" s="126" t="s">
        <v>44</v>
      </c>
      <c r="K862" s="126" t="s">
        <v>44</v>
      </c>
      <c r="L862" s="126" t="s">
        <v>45</v>
      </c>
      <c r="M862" s="126" t="s">
        <v>46</v>
      </c>
      <c r="N862" s="126" t="s">
        <v>47</v>
      </c>
      <c r="O862" s="127">
        <v>30317</v>
      </c>
      <c r="P862" s="126"/>
      <c r="Q862" s="126" t="s">
        <v>293</v>
      </c>
      <c r="R862" s="126">
        <v>3.33</v>
      </c>
      <c r="S862" s="126" t="s">
        <v>48</v>
      </c>
    </row>
    <row r="863" spans="1:19" x14ac:dyDescent="0.25">
      <c r="A863" s="126">
        <v>4601</v>
      </c>
      <c r="B863" s="126" t="s">
        <v>39</v>
      </c>
      <c r="C863" s="126" t="s">
        <v>40</v>
      </c>
      <c r="D863" s="126" t="s">
        <v>40</v>
      </c>
      <c r="E863" s="126" t="s">
        <v>195</v>
      </c>
      <c r="F863" s="126" t="s">
        <v>196</v>
      </c>
      <c r="G863" s="126">
        <v>25</v>
      </c>
      <c r="H863" s="126" t="s">
        <v>43</v>
      </c>
      <c r="I863" s="126" t="s">
        <v>6</v>
      </c>
      <c r="J863" s="126" t="s">
        <v>44</v>
      </c>
      <c r="K863" s="126" t="s">
        <v>44</v>
      </c>
      <c r="L863" s="126" t="s">
        <v>45</v>
      </c>
      <c r="M863" s="126" t="s">
        <v>46</v>
      </c>
      <c r="N863" s="126" t="s">
        <v>47</v>
      </c>
      <c r="O863" s="127">
        <v>7672</v>
      </c>
      <c r="P863" s="126"/>
      <c r="Q863" s="126" t="s">
        <v>194</v>
      </c>
      <c r="R863" s="126">
        <v>24</v>
      </c>
      <c r="S863" s="126" t="s">
        <v>48</v>
      </c>
    </row>
    <row r="864" spans="1:19" x14ac:dyDescent="0.25">
      <c r="A864" s="126">
        <v>4602</v>
      </c>
      <c r="B864" s="126" t="s">
        <v>39</v>
      </c>
      <c r="C864" s="126" t="s">
        <v>40</v>
      </c>
      <c r="D864" s="126" t="s">
        <v>40</v>
      </c>
      <c r="E864" s="126" t="s">
        <v>241</v>
      </c>
      <c r="F864" s="126" t="s">
        <v>242</v>
      </c>
      <c r="G864" s="126">
        <v>25</v>
      </c>
      <c r="H864" s="126" t="s">
        <v>43</v>
      </c>
      <c r="I864" s="126" t="s">
        <v>6</v>
      </c>
      <c r="J864" s="126" t="s">
        <v>44</v>
      </c>
      <c r="K864" s="126" t="s">
        <v>44</v>
      </c>
      <c r="L864" s="126" t="s">
        <v>45</v>
      </c>
      <c r="M864" s="126" t="s">
        <v>46</v>
      </c>
      <c r="N864" s="126" t="s">
        <v>47</v>
      </c>
      <c r="O864" s="127">
        <v>8767</v>
      </c>
      <c r="P864" s="126"/>
      <c r="Q864" s="126" t="s">
        <v>194</v>
      </c>
      <c r="R864" s="126">
        <v>24</v>
      </c>
      <c r="S864" s="126" t="s">
        <v>48</v>
      </c>
    </row>
    <row r="865" spans="1:19" x14ac:dyDescent="0.25">
      <c r="A865" s="126">
        <v>4701</v>
      </c>
      <c r="B865" s="126" t="s">
        <v>39</v>
      </c>
      <c r="C865" s="126" t="s">
        <v>40</v>
      </c>
      <c r="D865" s="126" t="s">
        <v>40</v>
      </c>
      <c r="E865" s="126" t="s">
        <v>421</v>
      </c>
      <c r="F865" s="126" t="s">
        <v>422</v>
      </c>
      <c r="G865" s="126">
        <v>61</v>
      </c>
      <c r="H865" s="126" t="s">
        <v>43</v>
      </c>
      <c r="I865" s="126" t="s">
        <v>6</v>
      </c>
      <c r="J865" s="126" t="s">
        <v>44</v>
      </c>
      <c r="K865" s="126" t="s">
        <v>44</v>
      </c>
      <c r="L865" s="126" t="s">
        <v>45</v>
      </c>
      <c r="M865" s="126" t="s">
        <v>46</v>
      </c>
      <c r="N865" s="126" t="s">
        <v>47</v>
      </c>
      <c r="O865" s="127">
        <v>21186</v>
      </c>
      <c r="P865" s="126"/>
      <c r="Q865" s="126" t="s">
        <v>194</v>
      </c>
      <c r="R865" s="126">
        <v>61</v>
      </c>
      <c r="S865" s="126" t="s">
        <v>48</v>
      </c>
    </row>
    <row r="866" spans="1:19" x14ac:dyDescent="0.25">
      <c r="A866" s="126">
        <v>4702</v>
      </c>
      <c r="B866" s="126" t="s">
        <v>39</v>
      </c>
      <c r="C866" s="126" t="s">
        <v>40</v>
      </c>
      <c r="D866" s="126" t="s">
        <v>40</v>
      </c>
      <c r="E866" s="126" t="s">
        <v>423</v>
      </c>
      <c r="F866" s="126" t="s">
        <v>424</v>
      </c>
      <c r="G866" s="126">
        <v>61</v>
      </c>
      <c r="H866" s="126" t="s">
        <v>43</v>
      </c>
      <c r="I866" s="126" t="s">
        <v>6</v>
      </c>
      <c r="J866" s="126" t="s">
        <v>44</v>
      </c>
      <c r="K866" s="126" t="s">
        <v>44</v>
      </c>
      <c r="L866" s="126" t="s">
        <v>45</v>
      </c>
      <c r="M866" s="126" t="s">
        <v>46</v>
      </c>
      <c r="N866" s="126" t="s">
        <v>47</v>
      </c>
      <c r="O866" s="127">
        <v>21186</v>
      </c>
      <c r="P866" s="126"/>
      <c r="Q866" s="126" t="s">
        <v>194</v>
      </c>
      <c r="R866" s="126">
        <v>61</v>
      </c>
      <c r="S866" s="126" t="s">
        <v>48</v>
      </c>
    </row>
    <row r="867" spans="1:19" ht="29.25" x14ac:dyDescent="0.25">
      <c r="A867" s="126">
        <v>83901</v>
      </c>
      <c r="B867" s="126" t="s">
        <v>39</v>
      </c>
      <c r="C867" s="126" t="s">
        <v>40</v>
      </c>
      <c r="D867" s="126" t="s">
        <v>40</v>
      </c>
      <c r="E867" s="126" t="s">
        <v>2684</v>
      </c>
      <c r="F867" s="126" t="s">
        <v>2685</v>
      </c>
      <c r="G867" s="126">
        <v>181.5</v>
      </c>
      <c r="H867" s="126" t="s">
        <v>162</v>
      </c>
      <c r="I867" s="126" t="s">
        <v>2683</v>
      </c>
      <c r="J867" s="126" t="s">
        <v>384</v>
      </c>
      <c r="K867" s="126" t="s">
        <v>599</v>
      </c>
      <c r="L867" s="126" t="s">
        <v>259</v>
      </c>
      <c r="M867" s="126" t="s">
        <v>57</v>
      </c>
      <c r="N867" s="126" t="s">
        <v>163</v>
      </c>
      <c r="O867" s="127">
        <v>37824</v>
      </c>
      <c r="P867" s="126"/>
      <c r="Q867" s="126"/>
      <c r="R867" s="126">
        <v>181.5</v>
      </c>
      <c r="S867" s="126" t="s">
        <v>48</v>
      </c>
    </row>
    <row r="868" spans="1:19" ht="29.25" x14ac:dyDescent="0.25">
      <c r="A868" s="126">
        <v>83902</v>
      </c>
      <c r="B868" s="126" t="s">
        <v>39</v>
      </c>
      <c r="C868" s="126" t="s">
        <v>40</v>
      </c>
      <c r="D868" s="126" t="s">
        <v>40</v>
      </c>
      <c r="E868" s="126" t="s">
        <v>2686</v>
      </c>
      <c r="F868" s="126" t="s">
        <v>2687</v>
      </c>
      <c r="G868" s="126">
        <v>155</v>
      </c>
      <c r="H868" s="126" t="s">
        <v>162</v>
      </c>
      <c r="I868" s="126" t="s">
        <v>2683</v>
      </c>
      <c r="J868" s="126" t="s">
        <v>384</v>
      </c>
      <c r="K868" s="126" t="s">
        <v>385</v>
      </c>
      <c r="L868" s="126" t="s">
        <v>731</v>
      </c>
      <c r="M868" s="126" t="s">
        <v>57</v>
      </c>
      <c r="N868" s="126" t="s">
        <v>163</v>
      </c>
      <c r="O868" s="127">
        <v>37824</v>
      </c>
      <c r="P868" s="126"/>
      <c r="Q868" s="126"/>
      <c r="R868" s="126">
        <v>155</v>
      </c>
      <c r="S868" s="126" t="s">
        <v>48</v>
      </c>
    </row>
    <row r="869" spans="1:19" x14ac:dyDescent="0.25">
      <c r="A869" s="126">
        <v>4901</v>
      </c>
      <c r="B869" s="126" t="s">
        <v>39</v>
      </c>
      <c r="C869" s="126" t="s">
        <v>40</v>
      </c>
      <c r="D869" s="126" t="s">
        <v>40</v>
      </c>
      <c r="E869" s="126" t="s">
        <v>2485</v>
      </c>
      <c r="F869" s="126" t="s">
        <v>2486</v>
      </c>
      <c r="G869" s="126"/>
      <c r="H869" s="126" t="s">
        <v>7</v>
      </c>
      <c r="I869" s="126" t="s">
        <v>2472</v>
      </c>
      <c r="J869" s="126" t="s">
        <v>314</v>
      </c>
      <c r="K869" s="126" t="s">
        <v>599</v>
      </c>
      <c r="L869" s="126" t="s">
        <v>259</v>
      </c>
      <c r="M869" s="126" t="s">
        <v>57</v>
      </c>
      <c r="N869" s="126" t="s">
        <v>58</v>
      </c>
      <c r="O869" s="127">
        <v>37145</v>
      </c>
      <c r="P869" s="126"/>
      <c r="Q869" s="126"/>
      <c r="R869" s="126">
        <v>10.75</v>
      </c>
      <c r="S869" s="126" t="s">
        <v>48</v>
      </c>
    </row>
    <row r="870" spans="1:19" x14ac:dyDescent="0.25">
      <c r="A870" s="126">
        <v>4902</v>
      </c>
      <c r="B870" s="126" t="s">
        <v>39</v>
      </c>
      <c r="C870" s="126" t="s">
        <v>40</v>
      </c>
      <c r="D870" s="126" t="s">
        <v>40</v>
      </c>
      <c r="E870" s="126" t="s">
        <v>2498</v>
      </c>
      <c r="F870" s="126" t="s">
        <v>2499</v>
      </c>
      <c r="G870" s="126"/>
      <c r="H870" s="126" t="s">
        <v>7</v>
      </c>
      <c r="I870" s="126" t="s">
        <v>2472</v>
      </c>
      <c r="J870" s="126" t="s">
        <v>314</v>
      </c>
      <c r="K870" s="126" t="s">
        <v>599</v>
      </c>
      <c r="L870" s="126" t="s">
        <v>259</v>
      </c>
      <c r="M870" s="126" t="s">
        <v>57</v>
      </c>
      <c r="N870" s="126" t="s">
        <v>58</v>
      </c>
      <c r="O870" s="127">
        <v>37151</v>
      </c>
      <c r="P870" s="126"/>
      <c r="Q870" s="126"/>
      <c r="R870" s="126">
        <v>10.75</v>
      </c>
      <c r="S870" s="126" t="s">
        <v>48</v>
      </c>
    </row>
    <row r="871" spans="1:19" x14ac:dyDescent="0.25">
      <c r="A871" s="126">
        <v>4903</v>
      </c>
      <c r="B871" s="126" t="s">
        <v>39</v>
      </c>
      <c r="C871" s="126" t="s">
        <v>40</v>
      </c>
      <c r="D871" s="126" t="s">
        <v>40</v>
      </c>
      <c r="E871" s="126" t="s">
        <v>2487</v>
      </c>
      <c r="F871" s="126" t="s">
        <v>2488</v>
      </c>
      <c r="G871" s="126"/>
      <c r="H871" s="126" t="s">
        <v>7</v>
      </c>
      <c r="I871" s="126" t="s">
        <v>2472</v>
      </c>
      <c r="J871" s="126" t="s">
        <v>314</v>
      </c>
      <c r="K871" s="126" t="s">
        <v>599</v>
      </c>
      <c r="L871" s="126" t="s">
        <v>259</v>
      </c>
      <c r="M871" s="126" t="s">
        <v>57</v>
      </c>
      <c r="N871" s="126" t="s">
        <v>58</v>
      </c>
      <c r="O871" s="127">
        <v>37145</v>
      </c>
      <c r="P871" s="126"/>
      <c r="Q871" s="126"/>
      <c r="R871" s="126">
        <v>10.75</v>
      </c>
      <c r="S871" s="126" t="s">
        <v>48</v>
      </c>
    </row>
    <row r="872" spans="1:19" x14ac:dyDescent="0.25">
      <c r="A872" s="126">
        <v>4904</v>
      </c>
      <c r="B872" s="126" t="s">
        <v>39</v>
      </c>
      <c r="C872" s="126" t="s">
        <v>40</v>
      </c>
      <c r="D872" s="126" t="s">
        <v>40</v>
      </c>
      <c r="E872" s="126" t="s">
        <v>2489</v>
      </c>
      <c r="F872" s="126" t="s">
        <v>2490</v>
      </c>
      <c r="G872" s="126"/>
      <c r="H872" s="126" t="s">
        <v>7</v>
      </c>
      <c r="I872" s="126" t="s">
        <v>2472</v>
      </c>
      <c r="J872" s="126" t="s">
        <v>314</v>
      </c>
      <c r="K872" s="126" t="s">
        <v>599</v>
      </c>
      <c r="L872" s="126" t="s">
        <v>259</v>
      </c>
      <c r="M872" s="126" t="s">
        <v>57</v>
      </c>
      <c r="N872" s="126" t="s">
        <v>58</v>
      </c>
      <c r="O872" s="127">
        <v>37145</v>
      </c>
      <c r="P872" s="126"/>
      <c r="Q872" s="126"/>
      <c r="R872" s="126">
        <v>10.75</v>
      </c>
      <c r="S872" s="126" t="s">
        <v>48</v>
      </c>
    </row>
    <row r="873" spans="1:19" x14ac:dyDescent="0.25">
      <c r="A873" s="126">
        <v>5201</v>
      </c>
      <c r="B873" s="126" t="s">
        <v>39</v>
      </c>
      <c r="C873" s="126" t="s">
        <v>40</v>
      </c>
      <c r="D873" s="126" t="s">
        <v>40</v>
      </c>
      <c r="E873" s="126" t="s">
        <v>2383</v>
      </c>
      <c r="F873" s="126" t="s">
        <v>2384</v>
      </c>
      <c r="G873" s="126"/>
      <c r="H873" s="126" t="s">
        <v>43</v>
      </c>
      <c r="I873" s="126" t="s">
        <v>2382</v>
      </c>
      <c r="J873" s="126" t="s">
        <v>384</v>
      </c>
      <c r="K873" s="126" t="s">
        <v>315</v>
      </c>
      <c r="L873" s="126" t="s">
        <v>259</v>
      </c>
      <c r="M873" s="126" t="s">
        <v>46</v>
      </c>
      <c r="N873" s="126" t="s">
        <v>47</v>
      </c>
      <c r="O873" s="127">
        <v>37055</v>
      </c>
      <c r="P873" s="126"/>
      <c r="Q873" s="126"/>
      <c r="R873" s="126">
        <v>3</v>
      </c>
      <c r="S873" s="126" t="s">
        <v>48</v>
      </c>
    </row>
    <row r="874" spans="1:19" x14ac:dyDescent="0.25">
      <c r="A874" s="126">
        <v>5210</v>
      </c>
      <c r="B874" s="126" t="s">
        <v>39</v>
      </c>
      <c r="C874" s="126" t="s">
        <v>40</v>
      </c>
      <c r="D874" s="126" t="s">
        <v>40</v>
      </c>
      <c r="E874" s="126" t="s">
        <v>2385</v>
      </c>
      <c r="F874" s="126" t="s">
        <v>2386</v>
      </c>
      <c r="G874" s="126"/>
      <c r="H874" s="126" t="s">
        <v>43</v>
      </c>
      <c r="I874" s="126" t="s">
        <v>2382</v>
      </c>
      <c r="J874" s="126" t="s">
        <v>384</v>
      </c>
      <c r="K874" s="126" t="s">
        <v>315</v>
      </c>
      <c r="L874" s="126" t="s">
        <v>259</v>
      </c>
      <c r="M874" s="126" t="s">
        <v>46</v>
      </c>
      <c r="N874" s="126" t="s">
        <v>47</v>
      </c>
      <c r="O874" s="127">
        <v>37055</v>
      </c>
      <c r="P874" s="126"/>
      <c r="Q874" s="126"/>
      <c r="R874" s="126">
        <v>3</v>
      </c>
      <c r="S874" s="126" t="s">
        <v>48</v>
      </c>
    </row>
    <row r="875" spans="1:19" x14ac:dyDescent="0.25">
      <c r="A875" s="126">
        <v>5211</v>
      </c>
      <c r="B875" s="126" t="s">
        <v>39</v>
      </c>
      <c r="C875" s="126" t="s">
        <v>40</v>
      </c>
      <c r="D875" s="126" t="s">
        <v>40</v>
      </c>
      <c r="E875" s="126" t="s">
        <v>2387</v>
      </c>
      <c r="F875" s="126" t="s">
        <v>2388</v>
      </c>
      <c r="G875" s="126"/>
      <c r="H875" s="126" t="s">
        <v>43</v>
      </c>
      <c r="I875" s="126" t="s">
        <v>2382</v>
      </c>
      <c r="J875" s="126" t="s">
        <v>384</v>
      </c>
      <c r="K875" s="126" t="s">
        <v>315</v>
      </c>
      <c r="L875" s="126" t="s">
        <v>259</v>
      </c>
      <c r="M875" s="126" t="s">
        <v>46</v>
      </c>
      <c r="N875" s="126" t="s">
        <v>47</v>
      </c>
      <c r="O875" s="127">
        <v>37055</v>
      </c>
      <c r="P875" s="126"/>
      <c r="Q875" s="126"/>
      <c r="R875" s="126">
        <v>3</v>
      </c>
      <c r="S875" s="126" t="s">
        <v>48</v>
      </c>
    </row>
    <row r="876" spans="1:19" x14ac:dyDescent="0.25">
      <c r="A876" s="126">
        <v>5212</v>
      </c>
      <c r="B876" s="126" t="s">
        <v>39</v>
      </c>
      <c r="C876" s="126" t="s">
        <v>40</v>
      </c>
      <c r="D876" s="126" t="s">
        <v>40</v>
      </c>
      <c r="E876" s="126" t="s">
        <v>2389</v>
      </c>
      <c r="F876" s="126" t="s">
        <v>2390</v>
      </c>
      <c r="G876" s="126"/>
      <c r="H876" s="126" t="s">
        <v>43</v>
      </c>
      <c r="I876" s="126" t="s">
        <v>2382</v>
      </c>
      <c r="J876" s="126" t="s">
        <v>384</v>
      </c>
      <c r="K876" s="126" t="s">
        <v>315</v>
      </c>
      <c r="L876" s="126" t="s">
        <v>259</v>
      </c>
      <c r="M876" s="126" t="s">
        <v>46</v>
      </c>
      <c r="N876" s="126" t="s">
        <v>47</v>
      </c>
      <c r="O876" s="127">
        <v>37055</v>
      </c>
      <c r="P876" s="126"/>
      <c r="Q876" s="126"/>
      <c r="R876" s="126">
        <v>3</v>
      </c>
      <c r="S876" s="126" t="s">
        <v>48</v>
      </c>
    </row>
    <row r="877" spans="1:19" x14ac:dyDescent="0.25">
      <c r="A877" s="126">
        <v>5213</v>
      </c>
      <c r="B877" s="126" t="s">
        <v>39</v>
      </c>
      <c r="C877" s="126" t="s">
        <v>40</v>
      </c>
      <c r="D877" s="126" t="s">
        <v>40</v>
      </c>
      <c r="E877" s="126" t="s">
        <v>2391</v>
      </c>
      <c r="F877" s="126" t="s">
        <v>2392</v>
      </c>
      <c r="G877" s="126"/>
      <c r="H877" s="126" t="s">
        <v>43</v>
      </c>
      <c r="I877" s="126" t="s">
        <v>2382</v>
      </c>
      <c r="J877" s="126" t="s">
        <v>384</v>
      </c>
      <c r="K877" s="126" t="s">
        <v>315</v>
      </c>
      <c r="L877" s="126" t="s">
        <v>259</v>
      </c>
      <c r="M877" s="126" t="s">
        <v>46</v>
      </c>
      <c r="N877" s="126" t="s">
        <v>47</v>
      </c>
      <c r="O877" s="127">
        <v>37055</v>
      </c>
      <c r="P877" s="126"/>
      <c r="Q877" s="126"/>
      <c r="R877" s="126">
        <v>3</v>
      </c>
      <c r="S877" s="126" t="s">
        <v>48</v>
      </c>
    </row>
    <row r="878" spans="1:19" x14ac:dyDescent="0.25">
      <c r="A878" s="126">
        <v>5214</v>
      </c>
      <c r="B878" s="126" t="s">
        <v>39</v>
      </c>
      <c r="C878" s="126" t="s">
        <v>40</v>
      </c>
      <c r="D878" s="126" t="s">
        <v>40</v>
      </c>
      <c r="E878" s="126" t="s">
        <v>2393</v>
      </c>
      <c r="F878" s="126" t="s">
        <v>2394</v>
      </c>
      <c r="G878" s="126"/>
      <c r="H878" s="126" t="s">
        <v>43</v>
      </c>
      <c r="I878" s="126" t="s">
        <v>2382</v>
      </c>
      <c r="J878" s="126" t="s">
        <v>384</v>
      </c>
      <c r="K878" s="126" t="s">
        <v>315</v>
      </c>
      <c r="L878" s="126" t="s">
        <v>259</v>
      </c>
      <c r="M878" s="126" t="s">
        <v>46</v>
      </c>
      <c r="N878" s="126" t="s">
        <v>47</v>
      </c>
      <c r="O878" s="127">
        <v>37055</v>
      </c>
      <c r="P878" s="126"/>
      <c r="Q878" s="126"/>
      <c r="R878" s="126">
        <v>3</v>
      </c>
      <c r="S878" s="126" t="s">
        <v>48</v>
      </c>
    </row>
    <row r="879" spans="1:19" x14ac:dyDescent="0.25">
      <c r="A879" s="126">
        <v>5215</v>
      </c>
      <c r="B879" s="126" t="s">
        <v>39</v>
      </c>
      <c r="C879" s="126" t="s">
        <v>40</v>
      </c>
      <c r="D879" s="126" t="s">
        <v>40</v>
      </c>
      <c r="E879" s="126" t="s">
        <v>2395</v>
      </c>
      <c r="F879" s="126" t="s">
        <v>2396</v>
      </c>
      <c r="G879" s="126"/>
      <c r="H879" s="126" t="s">
        <v>43</v>
      </c>
      <c r="I879" s="126" t="s">
        <v>2382</v>
      </c>
      <c r="J879" s="126" t="s">
        <v>384</v>
      </c>
      <c r="K879" s="126" t="s">
        <v>315</v>
      </c>
      <c r="L879" s="126" t="s">
        <v>259</v>
      </c>
      <c r="M879" s="126" t="s">
        <v>46</v>
      </c>
      <c r="N879" s="126" t="s">
        <v>47</v>
      </c>
      <c r="O879" s="127">
        <v>37055</v>
      </c>
      <c r="P879" s="126"/>
      <c r="Q879" s="126"/>
      <c r="R879" s="126">
        <v>3</v>
      </c>
      <c r="S879" s="126" t="s">
        <v>48</v>
      </c>
    </row>
    <row r="880" spans="1:19" x14ac:dyDescent="0.25">
      <c r="A880" s="126">
        <v>5216</v>
      </c>
      <c r="B880" s="126" t="s">
        <v>39</v>
      </c>
      <c r="C880" s="126" t="s">
        <v>40</v>
      </c>
      <c r="D880" s="126" t="s">
        <v>40</v>
      </c>
      <c r="E880" s="126" t="s">
        <v>2397</v>
      </c>
      <c r="F880" s="126" t="s">
        <v>2398</v>
      </c>
      <c r="G880" s="126"/>
      <c r="H880" s="126" t="s">
        <v>43</v>
      </c>
      <c r="I880" s="126" t="s">
        <v>2382</v>
      </c>
      <c r="J880" s="126" t="s">
        <v>384</v>
      </c>
      <c r="K880" s="126" t="s">
        <v>315</v>
      </c>
      <c r="L880" s="126" t="s">
        <v>259</v>
      </c>
      <c r="M880" s="126" t="s">
        <v>46</v>
      </c>
      <c r="N880" s="126" t="s">
        <v>47</v>
      </c>
      <c r="O880" s="127">
        <v>37055</v>
      </c>
      <c r="P880" s="126"/>
      <c r="Q880" s="126"/>
      <c r="R880" s="126">
        <v>3</v>
      </c>
      <c r="S880" s="126" t="s">
        <v>48</v>
      </c>
    </row>
    <row r="881" spans="1:19" x14ac:dyDescent="0.25">
      <c r="A881" s="126">
        <v>5202</v>
      </c>
      <c r="B881" s="126" t="s">
        <v>39</v>
      </c>
      <c r="C881" s="126" t="s">
        <v>40</v>
      </c>
      <c r="D881" s="126" t="s">
        <v>40</v>
      </c>
      <c r="E881" s="126" t="s">
        <v>2399</v>
      </c>
      <c r="F881" s="126" t="s">
        <v>2400</v>
      </c>
      <c r="G881" s="126"/>
      <c r="H881" s="126" t="s">
        <v>43</v>
      </c>
      <c r="I881" s="126" t="s">
        <v>2382</v>
      </c>
      <c r="J881" s="126" t="s">
        <v>384</v>
      </c>
      <c r="K881" s="126" t="s">
        <v>315</v>
      </c>
      <c r="L881" s="126" t="s">
        <v>259</v>
      </c>
      <c r="M881" s="126" t="s">
        <v>46</v>
      </c>
      <c r="N881" s="126" t="s">
        <v>47</v>
      </c>
      <c r="O881" s="127">
        <v>37055</v>
      </c>
      <c r="P881" s="126"/>
      <c r="Q881" s="126"/>
      <c r="R881" s="126">
        <v>3</v>
      </c>
      <c r="S881" s="126" t="s">
        <v>48</v>
      </c>
    </row>
    <row r="882" spans="1:19" x14ac:dyDescent="0.25">
      <c r="A882" s="126">
        <v>5203</v>
      </c>
      <c r="B882" s="126" t="s">
        <v>39</v>
      </c>
      <c r="C882" s="126" t="s">
        <v>40</v>
      </c>
      <c r="D882" s="126" t="s">
        <v>40</v>
      </c>
      <c r="E882" s="126" t="s">
        <v>2401</v>
      </c>
      <c r="F882" s="126" t="s">
        <v>2402</v>
      </c>
      <c r="G882" s="126"/>
      <c r="H882" s="126" t="s">
        <v>43</v>
      </c>
      <c r="I882" s="126" t="s">
        <v>2382</v>
      </c>
      <c r="J882" s="126" t="s">
        <v>384</v>
      </c>
      <c r="K882" s="126" t="s">
        <v>315</v>
      </c>
      <c r="L882" s="126" t="s">
        <v>259</v>
      </c>
      <c r="M882" s="126" t="s">
        <v>46</v>
      </c>
      <c r="N882" s="126" t="s">
        <v>47</v>
      </c>
      <c r="O882" s="127">
        <v>37055</v>
      </c>
      <c r="P882" s="126"/>
      <c r="Q882" s="126"/>
      <c r="R882" s="126">
        <v>3</v>
      </c>
      <c r="S882" s="126" t="s">
        <v>48</v>
      </c>
    </row>
    <row r="883" spans="1:19" x14ac:dyDescent="0.25">
      <c r="A883" s="126">
        <v>5204</v>
      </c>
      <c r="B883" s="126" t="s">
        <v>39</v>
      </c>
      <c r="C883" s="126" t="s">
        <v>40</v>
      </c>
      <c r="D883" s="126" t="s">
        <v>40</v>
      </c>
      <c r="E883" s="126" t="s">
        <v>2403</v>
      </c>
      <c r="F883" s="126" t="s">
        <v>2404</v>
      </c>
      <c r="G883" s="126"/>
      <c r="H883" s="126" t="s">
        <v>43</v>
      </c>
      <c r="I883" s="126" t="s">
        <v>2382</v>
      </c>
      <c r="J883" s="126" t="s">
        <v>384</v>
      </c>
      <c r="K883" s="126" t="s">
        <v>315</v>
      </c>
      <c r="L883" s="126" t="s">
        <v>259</v>
      </c>
      <c r="M883" s="126" t="s">
        <v>46</v>
      </c>
      <c r="N883" s="126" t="s">
        <v>47</v>
      </c>
      <c r="O883" s="127">
        <v>37055</v>
      </c>
      <c r="P883" s="126"/>
      <c r="Q883" s="126"/>
      <c r="R883" s="126">
        <v>3</v>
      </c>
      <c r="S883" s="126" t="s">
        <v>48</v>
      </c>
    </row>
    <row r="884" spans="1:19" x14ac:dyDescent="0.25">
      <c r="A884" s="126">
        <v>5205</v>
      </c>
      <c r="B884" s="126" t="s">
        <v>39</v>
      </c>
      <c r="C884" s="126" t="s">
        <v>40</v>
      </c>
      <c r="D884" s="126" t="s">
        <v>40</v>
      </c>
      <c r="E884" s="126" t="s">
        <v>2405</v>
      </c>
      <c r="F884" s="126" t="s">
        <v>2406</v>
      </c>
      <c r="G884" s="126"/>
      <c r="H884" s="126" t="s">
        <v>43</v>
      </c>
      <c r="I884" s="126" t="s">
        <v>2382</v>
      </c>
      <c r="J884" s="126" t="s">
        <v>384</v>
      </c>
      <c r="K884" s="126" t="s">
        <v>315</v>
      </c>
      <c r="L884" s="126" t="s">
        <v>259</v>
      </c>
      <c r="M884" s="126" t="s">
        <v>46</v>
      </c>
      <c r="N884" s="126" t="s">
        <v>47</v>
      </c>
      <c r="O884" s="127">
        <v>37055</v>
      </c>
      <c r="P884" s="126"/>
      <c r="Q884" s="126"/>
      <c r="R884" s="126">
        <v>3</v>
      </c>
      <c r="S884" s="126" t="s">
        <v>48</v>
      </c>
    </row>
    <row r="885" spans="1:19" x14ac:dyDescent="0.25">
      <c r="A885" s="126">
        <v>5206</v>
      </c>
      <c r="B885" s="126" t="s">
        <v>39</v>
      </c>
      <c r="C885" s="126" t="s">
        <v>40</v>
      </c>
      <c r="D885" s="126" t="s">
        <v>40</v>
      </c>
      <c r="E885" s="126" t="s">
        <v>2407</v>
      </c>
      <c r="F885" s="126" t="s">
        <v>2408</v>
      </c>
      <c r="G885" s="126"/>
      <c r="H885" s="126" t="s">
        <v>43</v>
      </c>
      <c r="I885" s="126" t="s">
        <v>2382</v>
      </c>
      <c r="J885" s="126" t="s">
        <v>384</v>
      </c>
      <c r="K885" s="126" t="s">
        <v>315</v>
      </c>
      <c r="L885" s="126" t="s">
        <v>259</v>
      </c>
      <c r="M885" s="126" t="s">
        <v>46</v>
      </c>
      <c r="N885" s="126" t="s">
        <v>47</v>
      </c>
      <c r="O885" s="127">
        <v>37055</v>
      </c>
      <c r="P885" s="126"/>
      <c r="Q885" s="126"/>
      <c r="R885" s="126">
        <v>3</v>
      </c>
      <c r="S885" s="126" t="s">
        <v>48</v>
      </c>
    </row>
    <row r="886" spans="1:19" x14ac:dyDescent="0.25">
      <c r="A886" s="126">
        <v>5207</v>
      </c>
      <c r="B886" s="126" t="s">
        <v>39</v>
      </c>
      <c r="C886" s="126" t="s">
        <v>40</v>
      </c>
      <c r="D886" s="126" t="s">
        <v>40</v>
      </c>
      <c r="E886" s="126" t="s">
        <v>2409</v>
      </c>
      <c r="F886" s="126" t="s">
        <v>2410</v>
      </c>
      <c r="G886" s="126"/>
      <c r="H886" s="126" t="s">
        <v>43</v>
      </c>
      <c r="I886" s="126" t="s">
        <v>2382</v>
      </c>
      <c r="J886" s="126" t="s">
        <v>384</v>
      </c>
      <c r="K886" s="126" t="s">
        <v>315</v>
      </c>
      <c r="L886" s="126" t="s">
        <v>259</v>
      </c>
      <c r="M886" s="126" t="s">
        <v>46</v>
      </c>
      <c r="N886" s="126" t="s">
        <v>47</v>
      </c>
      <c r="O886" s="127">
        <v>37055</v>
      </c>
      <c r="P886" s="126"/>
      <c r="Q886" s="126"/>
      <c r="R886" s="126">
        <v>3</v>
      </c>
      <c r="S886" s="126" t="s">
        <v>48</v>
      </c>
    </row>
    <row r="887" spans="1:19" x14ac:dyDescent="0.25">
      <c r="A887" s="126">
        <v>5208</v>
      </c>
      <c r="B887" s="126" t="s">
        <v>39</v>
      </c>
      <c r="C887" s="126" t="s">
        <v>40</v>
      </c>
      <c r="D887" s="126" t="s">
        <v>40</v>
      </c>
      <c r="E887" s="126" t="s">
        <v>2411</v>
      </c>
      <c r="F887" s="126" t="s">
        <v>2412</v>
      </c>
      <c r="G887" s="126"/>
      <c r="H887" s="126" t="s">
        <v>43</v>
      </c>
      <c r="I887" s="126" t="s">
        <v>2382</v>
      </c>
      <c r="J887" s="126" t="s">
        <v>384</v>
      </c>
      <c r="K887" s="126" t="s">
        <v>315</v>
      </c>
      <c r="L887" s="126" t="s">
        <v>259</v>
      </c>
      <c r="M887" s="126" t="s">
        <v>46</v>
      </c>
      <c r="N887" s="126" t="s">
        <v>47</v>
      </c>
      <c r="O887" s="127">
        <v>37055</v>
      </c>
      <c r="P887" s="126"/>
      <c r="Q887" s="126"/>
      <c r="R887" s="126">
        <v>3</v>
      </c>
      <c r="S887" s="126" t="s">
        <v>48</v>
      </c>
    </row>
    <row r="888" spans="1:19" x14ac:dyDescent="0.25">
      <c r="A888" s="126">
        <v>5209</v>
      </c>
      <c r="B888" s="126" t="s">
        <v>39</v>
      </c>
      <c r="C888" s="126" t="s">
        <v>40</v>
      </c>
      <c r="D888" s="126" t="s">
        <v>40</v>
      </c>
      <c r="E888" s="126" t="s">
        <v>2413</v>
      </c>
      <c r="F888" s="126" t="s">
        <v>2414</v>
      </c>
      <c r="G888" s="126"/>
      <c r="H888" s="126" t="s">
        <v>43</v>
      </c>
      <c r="I888" s="126" t="s">
        <v>2382</v>
      </c>
      <c r="J888" s="126" t="s">
        <v>384</v>
      </c>
      <c r="K888" s="126" t="s">
        <v>315</v>
      </c>
      <c r="L888" s="126" t="s">
        <v>259</v>
      </c>
      <c r="M888" s="126" t="s">
        <v>46</v>
      </c>
      <c r="N888" s="126" t="s">
        <v>47</v>
      </c>
      <c r="O888" s="127">
        <v>37055</v>
      </c>
      <c r="P888" s="126"/>
      <c r="Q888" s="126"/>
      <c r="R888" s="126">
        <v>3</v>
      </c>
      <c r="S888" s="126" t="s">
        <v>48</v>
      </c>
    </row>
    <row r="889" spans="1:19" x14ac:dyDescent="0.25">
      <c r="A889" s="126">
        <v>5801</v>
      </c>
      <c r="B889" s="126" t="s">
        <v>39</v>
      </c>
      <c r="C889" s="126" t="s">
        <v>40</v>
      </c>
      <c r="D889" s="126" t="s">
        <v>40</v>
      </c>
      <c r="E889" s="126" t="s">
        <v>3172</v>
      </c>
      <c r="F889" s="126" t="s">
        <v>3173</v>
      </c>
      <c r="G889" s="126">
        <v>126.5</v>
      </c>
      <c r="H889" s="126" t="s">
        <v>43</v>
      </c>
      <c r="I889" s="126" t="s">
        <v>879</v>
      </c>
      <c r="J889" s="126" t="s">
        <v>44</v>
      </c>
      <c r="K889" s="126" t="s">
        <v>44</v>
      </c>
      <c r="L889" s="126" t="s">
        <v>45</v>
      </c>
      <c r="M889" s="126" t="s">
        <v>46</v>
      </c>
      <c r="N889" s="126" t="s">
        <v>47</v>
      </c>
      <c r="O889" s="126"/>
      <c r="P889" s="126"/>
      <c r="Q889" s="126"/>
      <c r="R889" s="126">
        <v>126.5</v>
      </c>
      <c r="S889" s="126" t="s">
        <v>48</v>
      </c>
    </row>
    <row r="890" spans="1:19" x14ac:dyDescent="0.25">
      <c r="A890" s="126">
        <v>5802</v>
      </c>
      <c r="B890" s="126" t="s">
        <v>39</v>
      </c>
      <c r="C890" s="126" t="s">
        <v>40</v>
      </c>
      <c r="D890" s="126" t="s">
        <v>40</v>
      </c>
      <c r="E890" s="126" t="s">
        <v>3174</v>
      </c>
      <c r="F890" s="126" t="s">
        <v>3175</v>
      </c>
      <c r="G890" s="126">
        <v>126</v>
      </c>
      <c r="H890" s="126" t="s">
        <v>43</v>
      </c>
      <c r="I890" s="126" t="s">
        <v>879</v>
      </c>
      <c r="J890" s="126" t="s">
        <v>44</v>
      </c>
      <c r="K890" s="126" t="s">
        <v>44</v>
      </c>
      <c r="L890" s="126" t="s">
        <v>45</v>
      </c>
      <c r="M890" s="126" t="s">
        <v>46</v>
      </c>
      <c r="N890" s="126" t="s">
        <v>47</v>
      </c>
      <c r="O890" s="126"/>
      <c r="P890" s="126"/>
      <c r="Q890" s="126"/>
      <c r="R890" s="126">
        <v>126</v>
      </c>
      <c r="S890" s="126" t="s">
        <v>48</v>
      </c>
    </row>
    <row r="891" spans="1:19" ht="29.25" x14ac:dyDescent="0.25">
      <c r="A891" s="126">
        <v>42301</v>
      </c>
      <c r="B891" s="126" t="s">
        <v>39</v>
      </c>
      <c r="C891" s="126" t="s">
        <v>49</v>
      </c>
      <c r="D891" s="126" t="s">
        <v>40</v>
      </c>
      <c r="E891" s="126" t="s">
        <v>3179</v>
      </c>
      <c r="F891" s="126" t="s">
        <v>3180</v>
      </c>
      <c r="G891" s="126"/>
      <c r="H891" s="126" t="s">
        <v>43</v>
      </c>
      <c r="I891" s="126" t="s">
        <v>3178</v>
      </c>
      <c r="J891" s="126" t="s">
        <v>713</v>
      </c>
      <c r="K891" s="126" t="s">
        <v>599</v>
      </c>
      <c r="L891" s="126" t="s">
        <v>259</v>
      </c>
      <c r="M891" s="126" t="s">
        <v>46</v>
      </c>
      <c r="N891" s="126" t="s">
        <v>793</v>
      </c>
      <c r="O891" s="126"/>
      <c r="P891" s="126"/>
      <c r="Q891" s="126"/>
      <c r="R891" s="126">
        <v>22</v>
      </c>
      <c r="S891" s="126" t="s">
        <v>48</v>
      </c>
    </row>
    <row r="892" spans="1:19" ht="29.25" x14ac:dyDescent="0.25">
      <c r="A892" s="126">
        <v>42302</v>
      </c>
      <c r="B892" s="126" t="s">
        <v>39</v>
      </c>
      <c r="C892" s="126" t="s">
        <v>49</v>
      </c>
      <c r="D892" s="126" t="s">
        <v>40</v>
      </c>
      <c r="E892" s="126" t="s">
        <v>3181</v>
      </c>
      <c r="F892" s="126" t="s">
        <v>3180</v>
      </c>
      <c r="G892" s="126"/>
      <c r="H892" s="126" t="s">
        <v>43</v>
      </c>
      <c r="I892" s="126" t="s">
        <v>3178</v>
      </c>
      <c r="J892" s="126" t="s">
        <v>713</v>
      </c>
      <c r="K892" s="126" t="s">
        <v>385</v>
      </c>
      <c r="L892" s="126" t="s">
        <v>731</v>
      </c>
      <c r="M892" s="126" t="s">
        <v>46</v>
      </c>
      <c r="N892" s="126" t="s">
        <v>793</v>
      </c>
      <c r="O892" s="126"/>
      <c r="P892" s="126"/>
      <c r="Q892" s="126"/>
      <c r="R892" s="126">
        <v>3.8</v>
      </c>
      <c r="S892" s="126" t="s">
        <v>48</v>
      </c>
    </row>
    <row r="893" spans="1:19" x14ac:dyDescent="0.25">
      <c r="A893" s="126">
        <v>6501</v>
      </c>
      <c r="B893" s="126" t="s">
        <v>39</v>
      </c>
      <c r="C893" s="126" t="s">
        <v>40</v>
      </c>
      <c r="D893" s="126" t="s">
        <v>40</v>
      </c>
      <c r="E893" s="126" t="s">
        <v>725</v>
      </c>
      <c r="F893" s="126" t="s">
        <v>726</v>
      </c>
      <c r="G893" s="126">
        <v>73</v>
      </c>
      <c r="H893" s="126" t="s">
        <v>7</v>
      </c>
      <c r="I893" s="126" t="s">
        <v>723</v>
      </c>
      <c r="J893" s="126" t="s">
        <v>384</v>
      </c>
      <c r="K893" s="126" t="s">
        <v>599</v>
      </c>
      <c r="L893" s="126" t="s">
        <v>259</v>
      </c>
      <c r="M893" s="126" t="s">
        <v>57</v>
      </c>
      <c r="N893" s="126" t="s">
        <v>58</v>
      </c>
      <c r="O893" s="127">
        <v>28491</v>
      </c>
      <c r="P893" s="126"/>
      <c r="Q893" s="126"/>
      <c r="R893" s="126">
        <v>73</v>
      </c>
      <c r="S893" s="126" t="s">
        <v>48</v>
      </c>
    </row>
    <row r="894" spans="1:19" x14ac:dyDescent="0.25">
      <c r="A894" s="126">
        <v>6502</v>
      </c>
      <c r="B894" s="126" t="s">
        <v>39</v>
      </c>
      <c r="C894" s="126" t="s">
        <v>40</v>
      </c>
      <c r="D894" s="126" t="s">
        <v>40</v>
      </c>
      <c r="E894" s="126" t="s">
        <v>727</v>
      </c>
      <c r="F894" s="126" t="s">
        <v>728</v>
      </c>
      <c r="G894" s="126">
        <v>73</v>
      </c>
      <c r="H894" s="126" t="s">
        <v>7</v>
      </c>
      <c r="I894" s="126" t="s">
        <v>723</v>
      </c>
      <c r="J894" s="126" t="s">
        <v>384</v>
      </c>
      <c r="K894" s="126" t="s">
        <v>599</v>
      </c>
      <c r="L894" s="126" t="s">
        <v>259</v>
      </c>
      <c r="M894" s="126" t="s">
        <v>57</v>
      </c>
      <c r="N894" s="126" t="s">
        <v>58</v>
      </c>
      <c r="O894" s="127">
        <v>28491</v>
      </c>
      <c r="P894" s="126"/>
      <c r="Q894" s="126"/>
      <c r="R894" s="126">
        <v>73</v>
      </c>
      <c r="S894" s="126" t="s">
        <v>48</v>
      </c>
    </row>
    <row r="895" spans="1:19" x14ac:dyDescent="0.25">
      <c r="A895" s="126">
        <v>6503</v>
      </c>
      <c r="B895" s="126" t="s">
        <v>39</v>
      </c>
      <c r="C895" s="126" t="s">
        <v>40</v>
      </c>
      <c r="D895" s="126" t="s">
        <v>40</v>
      </c>
      <c r="E895" s="126" t="s">
        <v>729</v>
      </c>
      <c r="F895" s="126" t="s">
        <v>730</v>
      </c>
      <c r="G895" s="126">
        <v>110</v>
      </c>
      <c r="H895" s="126" t="s">
        <v>7</v>
      </c>
      <c r="I895" s="126" t="s">
        <v>723</v>
      </c>
      <c r="J895" s="126" t="s">
        <v>384</v>
      </c>
      <c r="K895" s="126" t="s">
        <v>385</v>
      </c>
      <c r="L895" s="126" t="s">
        <v>731</v>
      </c>
      <c r="M895" s="126" t="s">
        <v>57</v>
      </c>
      <c r="N895" s="126" t="s">
        <v>58</v>
      </c>
      <c r="O895" s="127">
        <v>28491</v>
      </c>
      <c r="P895" s="126"/>
      <c r="Q895" s="126"/>
      <c r="R895" s="126">
        <v>110</v>
      </c>
      <c r="S895" s="126" t="s">
        <v>48</v>
      </c>
    </row>
    <row r="896" spans="1:19" x14ac:dyDescent="0.25">
      <c r="A896" s="126">
        <v>6601</v>
      </c>
      <c r="B896" s="126" t="s">
        <v>39</v>
      </c>
      <c r="C896" s="126" t="s">
        <v>40</v>
      </c>
      <c r="D896" s="126" t="s">
        <v>40</v>
      </c>
      <c r="E896" s="126" t="s">
        <v>734</v>
      </c>
      <c r="F896" s="126" t="s">
        <v>735</v>
      </c>
      <c r="G896" s="126">
        <v>73</v>
      </c>
      <c r="H896" s="126" t="s">
        <v>7</v>
      </c>
      <c r="I896" s="126" t="s">
        <v>723</v>
      </c>
      <c r="J896" s="126" t="s">
        <v>384</v>
      </c>
      <c r="K896" s="126" t="s">
        <v>599</v>
      </c>
      <c r="L896" s="126" t="s">
        <v>259</v>
      </c>
      <c r="M896" s="126" t="s">
        <v>57</v>
      </c>
      <c r="N896" s="126" t="s">
        <v>58</v>
      </c>
      <c r="O896" s="127">
        <v>28491</v>
      </c>
      <c r="P896" s="126"/>
      <c r="Q896" s="126"/>
      <c r="R896" s="126">
        <v>73</v>
      </c>
      <c r="S896" s="126" t="s">
        <v>48</v>
      </c>
    </row>
    <row r="897" spans="1:19" x14ac:dyDescent="0.25">
      <c r="A897" s="126">
        <v>6602</v>
      </c>
      <c r="B897" s="126" t="s">
        <v>39</v>
      </c>
      <c r="C897" s="126" t="s">
        <v>40</v>
      </c>
      <c r="D897" s="126" t="s">
        <v>40</v>
      </c>
      <c r="E897" s="126" t="s">
        <v>736</v>
      </c>
      <c r="F897" s="126" t="s">
        <v>737</v>
      </c>
      <c r="G897" s="126">
        <v>73</v>
      </c>
      <c r="H897" s="126" t="s">
        <v>7</v>
      </c>
      <c r="I897" s="126" t="s">
        <v>723</v>
      </c>
      <c r="J897" s="126" t="s">
        <v>384</v>
      </c>
      <c r="K897" s="126" t="s">
        <v>599</v>
      </c>
      <c r="L897" s="126" t="s">
        <v>259</v>
      </c>
      <c r="M897" s="126" t="s">
        <v>57</v>
      </c>
      <c r="N897" s="126" t="s">
        <v>58</v>
      </c>
      <c r="O897" s="127">
        <v>28491</v>
      </c>
      <c r="P897" s="126"/>
      <c r="Q897" s="126"/>
      <c r="R897" s="126">
        <v>73</v>
      </c>
      <c r="S897" s="126" t="s">
        <v>48</v>
      </c>
    </row>
    <row r="898" spans="1:19" x14ac:dyDescent="0.25">
      <c r="A898" s="126">
        <v>6603</v>
      </c>
      <c r="B898" s="126" t="s">
        <v>39</v>
      </c>
      <c r="C898" s="126" t="s">
        <v>40</v>
      </c>
      <c r="D898" s="126" t="s">
        <v>40</v>
      </c>
      <c r="E898" s="126" t="s">
        <v>738</v>
      </c>
      <c r="F898" s="126" t="s">
        <v>739</v>
      </c>
      <c r="G898" s="126">
        <v>110</v>
      </c>
      <c r="H898" s="126" t="s">
        <v>7</v>
      </c>
      <c r="I898" s="126" t="s">
        <v>723</v>
      </c>
      <c r="J898" s="126" t="s">
        <v>384</v>
      </c>
      <c r="K898" s="126" t="s">
        <v>385</v>
      </c>
      <c r="L898" s="126" t="s">
        <v>731</v>
      </c>
      <c r="M898" s="126" t="s">
        <v>57</v>
      </c>
      <c r="N898" s="126" t="s">
        <v>58</v>
      </c>
      <c r="O898" s="127">
        <v>28491</v>
      </c>
      <c r="P898" s="126"/>
      <c r="Q898" s="126"/>
      <c r="R898" s="126">
        <v>110</v>
      </c>
      <c r="S898" s="126" t="s">
        <v>48</v>
      </c>
    </row>
    <row r="899" spans="1:19" ht="29.25" x14ac:dyDescent="0.25">
      <c r="A899" s="126">
        <v>43101</v>
      </c>
      <c r="B899" s="126" t="s">
        <v>106</v>
      </c>
      <c r="C899" s="126" t="s">
        <v>49</v>
      </c>
      <c r="D899" s="126" t="s">
        <v>40</v>
      </c>
      <c r="E899" s="126" t="s">
        <v>1950</v>
      </c>
      <c r="F899" s="126" t="s">
        <v>1951</v>
      </c>
      <c r="G899" s="126">
        <v>35</v>
      </c>
      <c r="H899" s="126" t="s">
        <v>7</v>
      </c>
      <c r="I899" s="126"/>
      <c r="J899" s="126" t="s">
        <v>663</v>
      </c>
      <c r="K899" s="126" t="s">
        <v>385</v>
      </c>
      <c r="L899" s="126" t="s">
        <v>663</v>
      </c>
      <c r="M899" s="126" t="s">
        <v>57</v>
      </c>
      <c r="N899" s="126" t="s">
        <v>58</v>
      </c>
      <c r="O899" s="127">
        <v>32865</v>
      </c>
      <c r="P899" s="126"/>
      <c r="Q899" s="126"/>
      <c r="R899" s="126">
        <v>22.5</v>
      </c>
      <c r="S899" s="126" t="s">
        <v>48</v>
      </c>
    </row>
    <row r="900" spans="1:19" ht="29.25" x14ac:dyDescent="0.25">
      <c r="A900" s="126">
        <v>43102</v>
      </c>
      <c r="B900" s="126" t="s">
        <v>106</v>
      </c>
      <c r="C900" s="126" t="s">
        <v>49</v>
      </c>
      <c r="D900" s="126" t="s">
        <v>40</v>
      </c>
      <c r="E900" s="126" t="s">
        <v>1952</v>
      </c>
      <c r="F900" s="126" t="s">
        <v>1953</v>
      </c>
      <c r="G900" s="126">
        <v>32</v>
      </c>
      <c r="H900" s="126" t="s">
        <v>7</v>
      </c>
      <c r="I900" s="126"/>
      <c r="J900" s="126" t="s">
        <v>663</v>
      </c>
      <c r="K900" s="126" t="s">
        <v>385</v>
      </c>
      <c r="L900" s="126" t="s">
        <v>663</v>
      </c>
      <c r="M900" s="126" t="s">
        <v>57</v>
      </c>
      <c r="N900" s="126" t="s">
        <v>58</v>
      </c>
      <c r="O900" s="127">
        <v>32865</v>
      </c>
      <c r="P900" s="126"/>
      <c r="Q900" s="126"/>
      <c r="R900" s="126">
        <v>22.5</v>
      </c>
      <c r="S900" s="126" t="s">
        <v>48</v>
      </c>
    </row>
    <row r="901" spans="1:19" ht="29.25" x14ac:dyDescent="0.25">
      <c r="A901" s="126">
        <v>43103</v>
      </c>
      <c r="B901" s="126" t="s">
        <v>106</v>
      </c>
      <c r="C901" s="126" t="s">
        <v>49</v>
      </c>
      <c r="D901" s="126" t="s">
        <v>40</v>
      </c>
      <c r="E901" s="126" t="s">
        <v>1954</v>
      </c>
      <c r="F901" s="126" t="s">
        <v>1955</v>
      </c>
      <c r="G901" s="126">
        <v>32</v>
      </c>
      <c r="H901" s="126" t="s">
        <v>7</v>
      </c>
      <c r="I901" s="126"/>
      <c r="J901" s="126" t="s">
        <v>663</v>
      </c>
      <c r="K901" s="126" t="s">
        <v>385</v>
      </c>
      <c r="L901" s="126" t="s">
        <v>663</v>
      </c>
      <c r="M901" s="126" t="s">
        <v>57</v>
      </c>
      <c r="N901" s="126" t="s">
        <v>58</v>
      </c>
      <c r="O901" s="127">
        <v>32865</v>
      </c>
      <c r="P901" s="126"/>
      <c r="Q901" s="126"/>
      <c r="R901" s="126">
        <v>22.5</v>
      </c>
      <c r="S901" s="126" t="s">
        <v>48</v>
      </c>
    </row>
    <row r="902" spans="1:19" x14ac:dyDescent="0.25">
      <c r="A902" s="126">
        <v>7101</v>
      </c>
      <c r="B902" s="126" t="s">
        <v>39</v>
      </c>
      <c r="C902" s="126" t="s">
        <v>40</v>
      </c>
      <c r="D902" s="126" t="s">
        <v>40</v>
      </c>
      <c r="E902" s="126" t="s">
        <v>364</v>
      </c>
      <c r="F902" s="126" t="s">
        <v>365</v>
      </c>
      <c r="G902" s="126">
        <v>35.200000000000003</v>
      </c>
      <c r="H902" s="126" t="s">
        <v>43</v>
      </c>
      <c r="I902" s="126" t="s">
        <v>6</v>
      </c>
      <c r="J902" s="126" t="s">
        <v>44</v>
      </c>
      <c r="K902" s="126" t="s">
        <v>44</v>
      </c>
      <c r="L902" s="126" t="s">
        <v>45</v>
      </c>
      <c r="M902" s="126" t="s">
        <v>46</v>
      </c>
      <c r="N902" s="126" t="s">
        <v>47</v>
      </c>
      <c r="O902" s="127">
        <v>17899</v>
      </c>
      <c r="P902" s="126"/>
      <c r="Q902" s="126" t="s">
        <v>194</v>
      </c>
      <c r="R902" s="126">
        <v>35.200000000000003</v>
      </c>
      <c r="S902" s="126" t="s">
        <v>48</v>
      </c>
    </row>
    <row r="903" spans="1:19" x14ac:dyDescent="0.25">
      <c r="A903" s="126">
        <v>7102</v>
      </c>
      <c r="B903" s="126" t="s">
        <v>39</v>
      </c>
      <c r="C903" s="126" t="s">
        <v>40</v>
      </c>
      <c r="D903" s="126" t="s">
        <v>40</v>
      </c>
      <c r="E903" s="126" t="s">
        <v>369</v>
      </c>
      <c r="F903" s="126" t="s">
        <v>370</v>
      </c>
      <c r="G903" s="126">
        <v>35.200000000000003</v>
      </c>
      <c r="H903" s="126" t="s">
        <v>43</v>
      </c>
      <c r="I903" s="126" t="s">
        <v>6</v>
      </c>
      <c r="J903" s="126" t="s">
        <v>44</v>
      </c>
      <c r="K903" s="126" t="s">
        <v>44</v>
      </c>
      <c r="L903" s="126" t="s">
        <v>45</v>
      </c>
      <c r="M903" s="126" t="s">
        <v>46</v>
      </c>
      <c r="N903" s="126" t="s">
        <v>47</v>
      </c>
      <c r="O903" s="127">
        <v>18264</v>
      </c>
      <c r="P903" s="126"/>
      <c r="Q903" s="126" t="s">
        <v>194</v>
      </c>
      <c r="R903" s="126">
        <v>35.200000000000003</v>
      </c>
      <c r="S903" s="126" t="s">
        <v>48</v>
      </c>
    </row>
    <row r="904" spans="1:19" ht="29.25" x14ac:dyDescent="0.25">
      <c r="A904" s="126">
        <v>4201</v>
      </c>
      <c r="B904" s="126" t="s">
        <v>39</v>
      </c>
      <c r="C904" s="126" t="s">
        <v>40</v>
      </c>
      <c r="D904" s="126" t="s">
        <v>40</v>
      </c>
      <c r="E904" s="126" t="s">
        <v>2428</v>
      </c>
      <c r="F904" s="126" t="s">
        <v>2429</v>
      </c>
      <c r="G904" s="126">
        <v>15</v>
      </c>
      <c r="H904" s="126" t="s">
        <v>7</v>
      </c>
      <c r="I904" s="126" t="s">
        <v>2426</v>
      </c>
      <c r="J904" s="126" t="s">
        <v>384</v>
      </c>
      <c r="K904" s="126" t="s">
        <v>385</v>
      </c>
      <c r="L904" s="126" t="s">
        <v>956</v>
      </c>
      <c r="M904" s="126" t="s">
        <v>57</v>
      </c>
      <c r="N904" s="126" t="s">
        <v>58</v>
      </c>
      <c r="O904" s="127">
        <v>37104</v>
      </c>
      <c r="P904" s="126" t="s">
        <v>2427</v>
      </c>
      <c r="Q904" s="126"/>
      <c r="R904" s="126">
        <v>15</v>
      </c>
      <c r="S904" s="126" t="s">
        <v>48</v>
      </c>
    </row>
    <row r="905" spans="1:19" ht="29.25" x14ac:dyDescent="0.25">
      <c r="A905" s="126">
        <v>4202</v>
      </c>
      <c r="B905" s="126" t="s">
        <v>39</v>
      </c>
      <c r="C905" s="126" t="s">
        <v>40</v>
      </c>
      <c r="D905" s="126" t="s">
        <v>40</v>
      </c>
      <c r="E905" s="126" t="s">
        <v>2430</v>
      </c>
      <c r="F905" s="126" t="s">
        <v>2431</v>
      </c>
      <c r="G905" s="126">
        <v>15</v>
      </c>
      <c r="H905" s="126" t="s">
        <v>7</v>
      </c>
      <c r="I905" s="126" t="s">
        <v>2426</v>
      </c>
      <c r="J905" s="126" t="s">
        <v>384</v>
      </c>
      <c r="K905" s="126" t="s">
        <v>385</v>
      </c>
      <c r="L905" s="126" t="s">
        <v>956</v>
      </c>
      <c r="M905" s="126" t="s">
        <v>57</v>
      </c>
      <c r="N905" s="126" t="s">
        <v>58</v>
      </c>
      <c r="O905" s="127">
        <v>37104</v>
      </c>
      <c r="P905" s="126" t="s">
        <v>2427</v>
      </c>
      <c r="Q905" s="126"/>
      <c r="R905" s="126">
        <v>15</v>
      </c>
      <c r="S905" s="126" t="s">
        <v>48</v>
      </c>
    </row>
    <row r="906" spans="1:19" ht="29.25" x14ac:dyDescent="0.25">
      <c r="A906" s="126">
        <v>91301</v>
      </c>
      <c r="B906" s="126" t="s">
        <v>39</v>
      </c>
      <c r="C906" s="126" t="s">
        <v>40</v>
      </c>
      <c r="D906" s="126" t="s">
        <v>40</v>
      </c>
      <c r="E906" s="126" t="s">
        <v>2734</v>
      </c>
      <c r="F906" s="126" t="s">
        <v>2735</v>
      </c>
      <c r="G906" s="126">
        <v>21.6</v>
      </c>
      <c r="H906" s="126" t="s">
        <v>7</v>
      </c>
      <c r="I906" s="126" t="s">
        <v>2733</v>
      </c>
      <c r="J906" s="126" t="s">
        <v>384</v>
      </c>
      <c r="K906" s="126" t="s">
        <v>599</v>
      </c>
      <c r="L906" s="126" t="s">
        <v>259</v>
      </c>
      <c r="M906" s="126" t="s">
        <v>57</v>
      </c>
      <c r="N906" s="126" t="s">
        <v>58</v>
      </c>
      <c r="O906" s="127">
        <v>38411</v>
      </c>
      <c r="P906" s="126"/>
      <c r="Q906" s="126"/>
      <c r="R906" s="126">
        <v>23.8</v>
      </c>
      <c r="S906" s="126" t="s">
        <v>48</v>
      </c>
    </row>
    <row r="907" spans="1:19" ht="29.25" x14ac:dyDescent="0.25">
      <c r="A907" s="126">
        <v>91302</v>
      </c>
      <c r="B907" s="126" t="s">
        <v>39</v>
      </c>
      <c r="C907" s="126" t="s">
        <v>40</v>
      </c>
      <c r="D907" s="126" t="s">
        <v>40</v>
      </c>
      <c r="E907" s="126" t="s">
        <v>2736</v>
      </c>
      <c r="F907" s="126" t="s">
        <v>2737</v>
      </c>
      <c r="G907" s="126">
        <v>6.4</v>
      </c>
      <c r="H907" s="126" t="s">
        <v>7</v>
      </c>
      <c r="I907" s="126" t="s">
        <v>2733</v>
      </c>
      <c r="J907" s="126" t="s">
        <v>384</v>
      </c>
      <c r="K907" s="126" t="s">
        <v>385</v>
      </c>
      <c r="L907" s="126" t="s">
        <v>731</v>
      </c>
      <c r="M907" s="126" t="s">
        <v>57</v>
      </c>
      <c r="N907" s="126" t="s">
        <v>58</v>
      </c>
      <c r="O907" s="127">
        <v>38411</v>
      </c>
      <c r="P907" s="126"/>
      <c r="Q907" s="126"/>
      <c r="R907" s="126">
        <v>8.4700000000000006</v>
      </c>
      <c r="S907" s="126" t="s">
        <v>48</v>
      </c>
    </row>
    <row r="908" spans="1:19" ht="29.25" x14ac:dyDescent="0.25">
      <c r="A908" s="126">
        <v>65506</v>
      </c>
      <c r="B908" s="126" t="s">
        <v>106</v>
      </c>
      <c r="C908" s="126" t="s">
        <v>49</v>
      </c>
      <c r="D908" s="126" t="s">
        <v>40</v>
      </c>
      <c r="E908" s="126"/>
      <c r="F908" s="126" t="s">
        <v>1709</v>
      </c>
      <c r="G908" s="126"/>
      <c r="H908" s="126" t="s">
        <v>43</v>
      </c>
      <c r="I908" s="126" t="s">
        <v>1710</v>
      </c>
      <c r="J908" s="126" t="s">
        <v>44</v>
      </c>
      <c r="K908" s="126" t="s">
        <v>44</v>
      </c>
      <c r="L908" s="126" t="s">
        <v>45</v>
      </c>
      <c r="M908" s="126" t="s">
        <v>46</v>
      </c>
      <c r="N908" s="126" t="s">
        <v>47</v>
      </c>
      <c r="O908" s="127">
        <v>32226</v>
      </c>
      <c r="P908" s="126" t="s">
        <v>1711</v>
      </c>
      <c r="Q908" s="126"/>
      <c r="R908" s="126">
        <v>0.33</v>
      </c>
      <c r="S908" s="126" t="s">
        <v>48</v>
      </c>
    </row>
    <row r="909" spans="1:19" ht="57.75" x14ac:dyDescent="0.25">
      <c r="A909" s="126">
        <v>65507</v>
      </c>
      <c r="B909" s="126" t="s">
        <v>106</v>
      </c>
      <c r="C909" s="126" t="s">
        <v>49</v>
      </c>
      <c r="D909" s="126" t="s">
        <v>40</v>
      </c>
      <c r="E909" s="126"/>
      <c r="F909" s="126" t="s">
        <v>1083</v>
      </c>
      <c r="G909" s="126">
        <v>1.5</v>
      </c>
      <c r="H909" s="126" t="s">
        <v>43</v>
      </c>
      <c r="I909" s="126" t="s">
        <v>1084</v>
      </c>
      <c r="J909" s="126" t="s">
        <v>44</v>
      </c>
      <c r="K909" s="126" t="s">
        <v>44</v>
      </c>
      <c r="L909" s="126" t="s">
        <v>45</v>
      </c>
      <c r="M909" s="126" t="s">
        <v>46</v>
      </c>
      <c r="N909" s="126" t="s">
        <v>47</v>
      </c>
      <c r="O909" s="127">
        <v>30798</v>
      </c>
      <c r="P909" s="126" t="s">
        <v>1085</v>
      </c>
      <c r="Q909" s="126"/>
      <c r="R909" s="126">
        <v>1.5</v>
      </c>
      <c r="S909" s="126" t="s">
        <v>48</v>
      </c>
    </row>
    <row r="910" spans="1:19" ht="29.25" x14ac:dyDescent="0.25">
      <c r="A910" s="126">
        <v>7501</v>
      </c>
      <c r="B910" s="126" t="s">
        <v>39</v>
      </c>
      <c r="C910" s="126" t="s">
        <v>49</v>
      </c>
      <c r="D910" s="126" t="s">
        <v>40</v>
      </c>
      <c r="E910" s="126" t="s">
        <v>1970</v>
      </c>
      <c r="F910" s="126" t="s">
        <v>1971</v>
      </c>
      <c r="G910" s="126">
        <v>32</v>
      </c>
      <c r="H910" s="126" t="s">
        <v>7</v>
      </c>
      <c r="I910" s="126" t="s">
        <v>1969</v>
      </c>
      <c r="J910" s="126" t="s">
        <v>807</v>
      </c>
      <c r="K910" s="126" t="s">
        <v>385</v>
      </c>
      <c r="L910" s="126" t="s">
        <v>808</v>
      </c>
      <c r="M910" s="126" t="s">
        <v>57</v>
      </c>
      <c r="N910" s="126" t="s">
        <v>58</v>
      </c>
      <c r="O910" s="127">
        <v>32874</v>
      </c>
      <c r="P910" s="126"/>
      <c r="Q910" s="126"/>
      <c r="R910" s="126">
        <v>32</v>
      </c>
      <c r="S910" s="126" t="s">
        <v>48</v>
      </c>
    </row>
    <row r="911" spans="1:19" ht="29.25" x14ac:dyDescent="0.25">
      <c r="A911" s="126">
        <v>7502</v>
      </c>
      <c r="B911" s="126" t="s">
        <v>39</v>
      </c>
      <c r="C911" s="126" t="s">
        <v>49</v>
      </c>
      <c r="D911" s="126" t="s">
        <v>40</v>
      </c>
      <c r="E911" s="126" t="s">
        <v>2164</v>
      </c>
      <c r="F911" s="126" t="s">
        <v>2165</v>
      </c>
      <c r="G911" s="126">
        <v>26</v>
      </c>
      <c r="H911" s="126" t="s">
        <v>7</v>
      </c>
      <c r="I911" s="126" t="s">
        <v>1969</v>
      </c>
      <c r="J911" s="126" t="s">
        <v>807</v>
      </c>
      <c r="K911" s="126" t="s">
        <v>385</v>
      </c>
      <c r="L911" s="126" t="s">
        <v>808</v>
      </c>
      <c r="M911" s="126" t="s">
        <v>57</v>
      </c>
      <c r="N911" s="126" t="s">
        <v>58</v>
      </c>
      <c r="O911" s="127">
        <v>33970</v>
      </c>
      <c r="P911" s="126"/>
      <c r="Q911" s="126"/>
      <c r="R911" s="126">
        <v>26</v>
      </c>
      <c r="S911" s="126" t="s">
        <v>48</v>
      </c>
    </row>
    <row r="912" spans="1:19" x14ac:dyDescent="0.25">
      <c r="A912" s="126">
        <v>7601</v>
      </c>
      <c r="B912" s="126" t="s">
        <v>39</v>
      </c>
      <c r="C912" s="126" t="s">
        <v>40</v>
      </c>
      <c r="D912" s="126" t="s">
        <v>40</v>
      </c>
      <c r="E912" s="126" t="s">
        <v>2555</v>
      </c>
      <c r="F912" s="126" t="s">
        <v>2556</v>
      </c>
      <c r="G912" s="126"/>
      <c r="H912" s="126" t="s">
        <v>43</v>
      </c>
      <c r="I912" s="126" t="s">
        <v>2554</v>
      </c>
      <c r="J912" s="126" t="s">
        <v>384</v>
      </c>
      <c r="K912" s="126" t="s">
        <v>599</v>
      </c>
      <c r="L912" s="126" t="s">
        <v>259</v>
      </c>
      <c r="M912" s="126" t="s">
        <v>46</v>
      </c>
      <c r="N912" s="126" t="s">
        <v>47</v>
      </c>
      <c r="O912" s="127">
        <v>37424</v>
      </c>
      <c r="P912" s="126"/>
      <c r="Q912" s="126"/>
      <c r="R912" s="126">
        <v>212.5</v>
      </c>
      <c r="S912" s="126" t="s">
        <v>48</v>
      </c>
    </row>
    <row r="913" spans="1:19" x14ac:dyDescent="0.25">
      <c r="A913" s="126">
        <v>7602</v>
      </c>
      <c r="B913" s="126" t="s">
        <v>39</v>
      </c>
      <c r="C913" s="126" t="s">
        <v>40</v>
      </c>
      <c r="D913" s="126" t="s">
        <v>40</v>
      </c>
      <c r="E913" s="126" t="s">
        <v>2557</v>
      </c>
      <c r="F913" s="126" t="s">
        <v>2558</v>
      </c>
      <c r="G913" s="126"/>
      <c r="H913" s="126" t="s">
        <v>43</v>
      </c>
      <c r="I913" s="126" t="s">
        <v>2554</v>
      </c>
      <c r="J913" s="126" t="s">
        <v>384</v>
      </c>
      <c r="K913" s="126" t="s">
        <v>599</v>
      </c>
      <c r="L913" s="126" t="s">
        <v>259</v>
      </c>
      <c r="M913" s="126" t="s">
        <v>46</v>
      </c>
      <c r="N913" s="126" t="s">
        <v>47</v>
      </c>
      <c r="O913" s="127">
        <v>37424</v>
      </c>
      <c r="P913" s="126"/>
      <c r="Q913" s="126"/>
      <c r="R913" s="126">
        <v>212.5</v>
      </c>
      <c r="S913" s="126" t="s">
        <v>48</v>
      </c>
    </row>
    <row r="914" spans="1:19" x14ac:dyDescent="0.25">
      <c r="A914" s="126">
        <v>7603</v>
      </c>
      <c r="B914" s="126" t="s">
        <v>39</v>
      </c>
      <c r="C914" s="126" t="s">
        <v>40</v>
      </c>
      <c r="D914" s="126" t="s">
        <v>40</v>
      </c>
      <c r="E914" s="126" t="s">
        <v>2559</v>
      </c>
      <c r="F914" s="126" t="s">
        <v>2560</v>
      </c>
      <c r="G914" s="126"/>
      <c r="H914" s="126" t="s">
        <v>43</v>
      </c>
      <c r="I914" s="126" t="s">
        <v>2554</v>
      </c>
      <c r="J914" s="126" t="s">
        <v>384</v>
      </c>
      <c r="K914" s="126" t="s">
        <v>599</v>
      </c>
      <c r="L914" s="126" t="s">
        <v>259</v>
      </c>
      <c r="M914" s="126" t="s">
        <v>46</v>
      </c>
      <c r="N914" s="126" t="s">
        <v>47</v>
      </c>
      <c r="O914" s="127">
        <v>37424</v>
      </c>
      <c r="P914" s="126"/>
      <c r="Q914" s="126"/>
      <c r="R914" s="126">
        <v>212.5</v>
      </c>
      <c r="S914" s="126" t="s">
        <v>48</v>
      </c>
    </row>
    <row r="915" spans="1:19" x14ac:dyDescent="0.25">
      <c r="A915" s="126">
        <v>7604</v>
      </c>
      <c r="B915" s="126" t="s">
        <v>39</v>
      </c>
      <c r="C915" s="126" t="s">
        <v>40</v>
      </c>
      <c r="D915" s="126" t="s">
        <v>40</v>
      </c>
      <c r="E915" s="126" t="s">
        <v>2561</v>
      </c>
      <c r="F915" s="126" t="s">
        <v>2562</v>
      </c>
      <c r="G915" s="126">
        <v>306</v>
      </c>
      <c r="H915" s="126" t="s">
        <v>43</v>
      </c>
      <c r="I915" s="126" t="s">
        <v>2554</v>
      </c>
      <c r="J915" s="126" t="s">
        <v>384</v>
      </c>
      <c r="K915" s="126" t="s">
        <v>385</v>
      </c>
      <c r="L915" s="126" t="s">
        <v>731</v>
      </c>
      <c r="M915" s="126" t="s">
        <v>46</v>
      </c>
      <c r="N915" s="126" t="s">
        <v>47</v>
      </c>
      <c r="O915" s="127">
        <v>37424</v>
      </c>
      <c r="P915" s="126"/>
      <c r="Q915" s="126"/>
      <c r="R915" s="126">
        <v>306</v>
      </c>
      <c r="S915" s="126" t="s">
        <v>48</v>
      </c>
    </row>
    <row r="916" spans="1:19" x14ac:dyDescent="0.25">
      <c r="A916" s="126">
        <v>7701</v>
      </c>
      <c r="B916" s="126" t="s">
        <v>39</v>
      </c>
      <c r="C916" s="126" t="s">
        <v>40</v>
      </c>
      <c r="D916" s="126" t="s">
        <v>40</v>
      </c>
      <c r="E916" s="126" t="s">
        <v>675</v>
      </c>
      <c r="F916" s="126" t="s">
        <v>676</v>
      </c>
      <c r="G916" s="126">
        <v>60</v>
      </c>
      <c r="H916" s="126" t="s">
        <v>7</v>
      </c>
      <c r="I916" s="126" t="s">
        <v>560</v>
      </c>
      <c r="J916" s="126" t="s">
        <v>44</v>
      </c>
      <c r="K916" s="126" t="s">
        <v>44</v>
      </c>
      <c r="L916" s="126" t="s">
        <v>45</v>
      </c>
      <c r="M916" s="126" t="s">
        <v>57</v>
      </c>
      <c r="N916" s="126" t="s">
        <v>58</v>
      </c>
      <c r="O916" s="127">
        <v>26299</v>
      </c>
      <c r="P916" s="126"/>
      <c r="Q916" s="126"/>
      <c r="R916" s="126">
        <v>60</v>
      </c>
      <c r="S916" s="126" t="s">
        <v>48</v>
      </c>
    </row>
    <row r="917" spans="1:19" x14ac:dyDescent="0.25">
      <c r="A917" s="126">
        <v>7702</v>
      </c>
      <c r="B917" s="126" t="s">
        <v>39</v>
      </c>
      <c r="C917" s="126" t="s">
        <v>40</v>
      </c>
      <c r="D917" s="126" t="s">
        <v>40</v>
      </c>
      <c r="E917" s="126" t="s">
        <v>704</v>
      </c>
      <c r="F917" s="126" t="s">
        <v>705</v>
      </c>
      <c r="G917" s="126">
        <v>60</v>
      </c>
      <c r="H917" s="126" t="s">
        <v>7</v>
      </c>
      <c r="I917" s="126" t="s">
        <v>560</v>
      </c>
      <c r="J917" s="126" t="s">
        <v>44</v>
      </c>
      <c r="K917" s="126" t="s">
        <v>44</v>
      </c>
      <c r="L917" s="126" t="s">
        <v>45</v>
      </c>
      <c r="M917" s="126" t="s">
        <v>57</v>
      </c>
      <c r="N917" s="126" t="s">
        <v>58</v>
      </c>
      <c r="O917" s="127">
        <v>27760</v>
      </c>
      <c r="P917" s="126"/>
      <c r="Q917" s="126"/>
      <c r="R917" s="126">
        <v>60</v>
      </c>
      <c r="S917" s="126" t="s">
        <v>48</v>
      </c>
    </row>
    <row r="918" spans="1:19" x14ac:dyDescent="0.25">
      <c r="A918" s="126">
        <v>7703</v>
      </c>
      <c r="B918" s="126" t="s">
        <v>39</v>
      </c>
      <c r="C918" s="126" t="s">
        <v>40</v>
      </c>
      <c r="D918" s="126" t="s">
        <v>40</v>
      </c>
      <c r="E918" s="126" t="s">
        <v>2194</v>
      </c>
      <c r="F918" s="126" t="s">
        <v>2195</v>
      </c>
      <c r="G918" s="126">
        <v>80</v>
      </c>
      <c r="H918" s="126" t="s">
        <v>7</v>
      </c>
      <c r="I918" s="126" t="s">
        <v>560</v>
      </c>
      <c r="J918" s="126" t="s">
        <v>44</v>
      </c>
      <c r="K918" s="126" t="s">
        <v>44</v>
      </c>
      <c r="L918" s="126" t="s">
        <v>45</v>
      </c>
      <c r="M918" s="126" t="s">
        <v>57</v>
      </c>
      <c r="N918" s="126" t="s">
        <v>58</v>
      </c>
      <c r="O918" s="127">
        <v>34335</v>
      </c>
      <c r="P918" s="126"/>
      <c r="Q918" s="126"/>
      <c r="R918" s="126">
        <v>80</v>
      </c>
      <c r="S918" s="126" t="s">
        <v>48</v>
      </c>
    </row>
    <row r="919" spans="1:19" x14ac:dyDescent="0.25">
      <c r="A919" s="126">
        <v>7704</v>
      </c>
      <c r="B919" s="126" t="s">
        <v>39</v>
      </c>
      <c r="C919" s="126" t="s">
        <v>40</v>
      </c>
      <c r="D919" s="126" t="s">
        <v>40</v>
      </c>
      <c r="E919" s="126" t="s">
        <v>2196</v>
      </c>
      <c r="F919" s="126" t="s">
        <v>2197</v>
      </c>
      <c r="G919" s="126">
        <v>80</v>
      </c>
      <c r="H919" s="126" t="s">
        <v>7</v>
      </c>
      <c r="I919" s="126" t="s">
        <v>560</v>
      </c>
      <c r="J919" s="126" t="s">
        <v>44</v>
      </c>
      <c r="K919" s="126" t="s">
        <v>44</v>
      </c>
      <c r="L919" s="126" t="s">
        <v>45</v>
      </c>
      <c r="M919" s="126" t="s">
        <v>57</v>
      </c>
      <c r="N919" s="126" t="s">
        <v>58</v>
      </c>
      <c r="O919" s="127">
        <v>34335</v>
      </c>
      <c r="P919" s="126"/>
      <c r="Q919" s="126"/>
      <c r="R919" s="126">
        <v>80</v>
      </c>
      <c r="S919" s="126" t="s">
        <v>48</v>
      </c>
    </row>
    <row r="920" spans="1:19" ht="43.5" x14ac:dyDescent="0.25">
      <c r="A920" s="126">
        <v>8001</v>
      </c>
      <c r="B920" s="126" t="s">
        <v>39</v>
      </c>
      <c r="C920" s="126" t="s">
        <v>40</v>
      </c>
      <c r="D920" s="126" t="s">
        <v>40</v>
      </c>
      <c r="E920" s="126" t="s">
        <v>2308</v>
      </c>
      <c r="F920" s="126" t="s">
        <v>2309</v>
      </c>
      <c r="G920" s="126">
        <v>3.3</v>
      </c>
      <c r="H920" s="126" t="s">
        <v>7</v>
      </c>
      <c r="I920" s="126" t="s">
        <v>765</v>
      </c>
      <c r="J920" s="126" t="s">
        <v>44</v>
      </c>
      <c r="K920" s="126" t="s">
        <v>561</v>
      </c>
      <c r="L920" s="126" t="s">
        <v>45</v>
      </c>
      <c r="M920" s="126" t="s">
        <v>57</v>
      </c>
      <c r="N920" s="126" t="s">
        <v>58</v>
      </c>
      <c r="O920" s="127">
        <v>36892</v>
      </c>
      <c r="P920" s="126" t="s">
        <v>2310</v>
      </c>
      <c r="Q920" s="126"/>
      <c r="R920" s="126">
        <v>3.3</v>
      </c>
      <c r="S920" s="126" t="s">
        <v>48</v>
      </c>
    </row>
    <row r="921" spans="1:19" ht="43.5" x14ac:dyDescent="0.25">
      <c r="A921" s="126">
        <v>8010</v>
      </c>
      <c r="B921" s="126" t="s">
        <v>39</v>
      </c>
      <c r="C921" s="126" t="s">
        <v>40</v>
      </c>
      <c r="D921" s="126" t="s">
        <v>40</v>
      </c>
      <c r="E921" s="126" t="s">
        <v>2311</v>
      </c>
      <c r="F921" s="126" t="s">
        <v>2312</v>
      </c>
      <c r="G921" s="126">
        <v>3.3</v>
      </c>
      <c r="H921" s="126" t="s">
        <v>7</v>
      </c>
      <c r="I921" s="126" t="s">
        <v>765</v>
      </c>
      <c r="J921" s="126" t="s">
        <v>44</v>
      </c>
      <c r="K921" s="126" t="s">
        <v>561</v>
      </c>
      <c r="L921" s="126" t="s">
        <v>45</v>
      </c>
      <c r="M921" s="126" t="s">
        <v>57</v>
      </c>
      <c r="N921" s="126" t="s">
        <v>58</v>
      </c>
      <c r="O921" s="127">
        <v>36892</v>
      </c>
      <c r="P921" s="126" t="s">
        <v>2310</v>
      </c>
      <c r="Q921" s="126"/>
      <c r="R921" s="126">
        <v>3.3</v>
      </c>
      <c r="S921" s="126" t="s">
        <v>48</v>
      </c>
    </row>
    <row r="922" spans="1:19" ht="43.5" x14ac:dyDescent="0.25">
      <c r="A922" s="126">
        <v>8011</v>
      </c>
      <c r="B922" s="126" t="s">
        <v>39</v>
      </c>
      <c r="C922" s="126" t="s">
        <v>40</v>
      </c>
      <c r="D922" s="126" t="s">
        <v>40</v>
      </c>
      <c r="E922" s="126" t="s">
        <v>2313</v>
      </c>
      <c r="F922" s="126" t="s">
        <v>2314</v>
      </c>
      <c r="G922" s="126">
        <v>3.3</v>
      </c>
      <c r="H922" s="126" t="s">
        <v>7</v>
      </c>
      <c r="I922" s="126" t="s">
        <v>765</v>
      </c>
      <c r="J922" s="126" t="s">
        <v>44</v>
      </c>
      <c r="K922" s="126" t="s">
        <v>561</v>
      </c>
      <c r="L922" s="126" t="s">
        <v>45</v>
      </c>
      <c r="M922" s="126" t="s">
        <v>57</v>
      </c>
      <c r="N922" s="126" t="s">
        <v>58</v>
      </c>
      <c r="O922" s="127">
        <v>36892</v>
      </c>
      <c r="P922" s="126" t="s">
        <v>2310</v>
      </c>
      <c r="Q922" s="126"/>
      <c r="R922" s="126">
        <v>3.3</v>
      </c>
      <c r="S922" s="126" t="s">
        <v>48</v>
      </c>
    </row>
    <row r="923" spans="1:19" ht="43.5" x14ac:dyDescent="0.25">
      <c r="A923" s="126">
        <v>8012</v>
      </c>
      <c r="B923" s="126" t="s">
        <v>39</v>
      </c>
      <c r="C923" s="126" t="s">
        <v>40</v>
      </c>
      <c r="D923" s="126" t="s">
        <v>40</v>
      </c>
      <c r="E923" s="126" t="s">
        <v>2315</v>
      </c>
      <c r="F923" s="126" t="s">
        <v>2316</v>
      </c>
      <c r="G923" s="126">
        <v>3.3</v>
      </c>
      <c r="H923" s="126" t="s">
        <v>7</v>
      </c>
      <c r="I923" s="126" t="s">
        <v>765</v>
      </c>
      <c r="J923" s="126" t="s">
        <v>44</v>
      </c>
      <c r="K923" s="126" t="s">
        <v>561</v>
      </c>
      <c r="L923" s="126" t="s">
        <v>45</v>
      </c>
      <c r="M923" s="126" t="s">
        <v>57</v>
      </c>
      <c r="N923" s="126" t="s">
        <v>58</v>
      </c>
      <c r="O923" s="127">
        <v>36892</v>
      </c>
      <c r="P923" s="126" t="s">
        <v>2310</v>
      </c>
      <c r="Q923" s="126"/>
      <c r="R923" s="126">
        <v>3.3</v>
      </c>
      <c r="S923" s="126" t="s">
        <v>48</v>
      </c>
    </row>
    <row r="924" spans="1:19" ht="43.5" x14ac:dyDescent="0.25">
      <c r="A924" s="126">
        <v>8002</v>
      </c>
      <c r="B924" s="126" t="s">
        <v>39</v>
      </c>
      <c r="C924" s="126" t="s">
        <v>40</v>
      </c>
      <c r="D924" s="126" t="s">
        <v>40</v>
      </c>
      <c r="E924" s="126" t="s">
        <v>2317</v>
      </c>
      <c r="F924" s="126" t="s">
        <v>2318</v>
      </c>
      <c r="G924" s="126">
        <v>3.3</v>
      </c>
      <c r="H924" s="126" t="s">
        <v>7</v>
      </c>
      <c r="I924" s="126" t="s">
        <v>765</v>
      </c>
      <c r="J924" s="126" t="s">
        <v>44</v>
      </c>
      <c r="K924" s="126" t="s">
        <v>561</v>
      </c>
      <c r="L924" s="126" t="s">
        <v>45</v>
      </c>
      <c r="M924" s="126" t="s">
        <v>57</v>
      </c>
      <c r="N924" s="126" t="s">
        <v>58</v>
      </c>
      <c r="O924" s="127">
        <v>36892</v>
      </c>
      <c r="P924" s="126" t="s">
        <v>2310</v>
      </c>
      <c r="Q924" s="126"/>
      <c r="R924" s="126">
        <v>3.3</v>
      </c>
      <c r="S924" s="126" t="s">
        <v>48</v>
      </c>
    </row>
    <row r="925" spans="1:19" ht="43.5" x14ac:dyDescent="0.25">
      <c r="A925" s="126">
        <v>8003</v>
      </c>
      <c r="B925" s="126" t="s">
        <v>39</v>
      </c>
      <c r="C925" s="126" t="s">
        <v>40</v>
      </c>
      <c r="D925" s="126" t="s">
        <v>40</v>
      </c>
      <c r="E925" s="126" t="s">
        <v>2319</v>
      </c>
      <c r="F925" s="126" t="s">
        <v>2320</v>
      </c>
      <c r="G925" s="126">
        <v>3.3</v>
      </c>
      <c r="H925" s="126" t="s">
        <v>7</v>
      </c>
      <c r="I925" s="126" t="s">
        <v>765</v>
      </c>
      <c r="J925" s="126" t="s">
        <v>44</v>
      </c>
      <c r="K925" s="126" t="s">
        <v>561</v>
      </c>
      <c r="L925" s="126" t="s">
        <v>45</v>
      </c>
      <c r="M925" s="126" t="s">
        <v>57</v>
      </c>
      <c r="N925" s="126" t="s">
        <v>58</v>
      </c>
      <c r="O925" s="127">
        <v>36892</v>
      </c>
      <c r="P925" s="126" t="s">
        <v>2310</v>
      </c>
      <c r="Q925" s="126"/>
      <c r="R925" s="126">
        <v>3.3</v>
      </c>
      <c r="S925" s="126" t="s">
        <v>48</v>
      </c>
    </row>
    <row r="926" spans="1:19" ht="43.5" x14ac:dyDescent="0.25">
      <c r="A926" s="126">
        <v>8004</v>
      </c>
      <c r="B926" s="126" t="s">
        <v>39</v>
      </c>
      <c r="C926" s="126" t="s">
        <v>40</v>
      </c>
      <c r="D926" s="126" t="s">
        <v>40</v>
      </c>
      <c r="E926" s="126" t="s">
        <v>2321</v>
      </c>
      <c r="F926" s="126" t="s">
        <v>2322</v>
      </c>
      <c r="G926" s="126">
        <v>3.3</v>
      </c>
      <c r="H926" s="126" t="s">
        <v>7</v>
      </c>
      <c r="I926" s="126" t="s">
        <v>765</v>
      </c>
      <c r="J926" s="126" t="s">
        <v>44</v>
      </c>
      <c r="K926" s="126" t="s">
        <v>561</v>
      </c>
      <c r="L926" s="126" t="s">
        <v>45</v>
      </c>
      <c r="M926" s="126" t="s">
        <v>57</v>
      </c>
      <c r="N926" s="126" t="s">
        <v>58</v>
      </c>
      <c r="O926" s="127">
        <v>36892</v>
      </c>
      <c r="P926" s="126" t="s">
        <v>2310</v>
      </c>
      <c r="Q926" s="126"/>
      <c r="R926" s="126">
        <v>3.3</v>
      </c>
      <c r="S926" s="126" t="s">
        <v>48</v>
      </c>
    </row>
    <row r="927" spans="1:19" ht="43.5" x14ac:dyDescent="0.25">
      <c r="A927" s="126">
        <v>8005</v>
      </c>
      <c r="B927" s="126" t="s">
        <v>39</v>
      </c>
      <c r="C927" s="126" t="s">
        <v>40</v>
      </c>
      <c r="D927" s="126" t="s">
        <v>40</v>
      </c>
      <c r="E927" s="126" t="s">
        <v>2323</v>
      </c>
      <c r="F927" s="126" t="s">
        <v>2324</v>
      </c>
      <c r="G927" s="126">
        <v>3.3</v>
      </c>
      <c r="H927" s="126" t="s">
        <v>7</v>
      </c>
      <c r="I927" s="126" t="s">
        <v>765</v>
      </c>
      <c r="J927" s="126" t="s">
        <v>44</v>
      </c>
      <c r="K927" s="126" t="s">
        <v>561</v>
      </c>
      <c r="L927" s="126" t="s">
        <v>45</v>
      </c>
      <c r="M927" s="126" t="s">
        <v>57</v>
      </c>
      <c r="N927" s="126" t="s">
        <v>58</v>
      </c>
      <c r="O927" s="127">
        <v>36892</v>
      </c>
      <c r="P927" s="126" t="s">
        <v>2310</v>
      </c>
      <c r="Q927" s="126"/>
      <c r="R927" s="126">
        <v>3.3</v>
      </c>
      <c r="S927" s="126" t="s">
        <v>48</v>
      </c>
    </row>
    <row r="928" spans="1:19" ht="43.5" x14ac:dyDescent="0.25">
      <c r="A928" s="126">
        <v>8006</v>
      </c>
      <c r="B928" s="126" t="s">
        <v>39</v>
      </c>
      <c r="C928" s="126" t="s">
        <v>40</v>
      </c>
      <c r="D928" s="126" t="s">
        <v>40</v>
      </c>
      <c r="E928" s="126" t="s">
        <v>2325</v>
      </c>
      <c r="F928" s="126" t="s">
        <v>2326</v>
      </c>
      <c r="G928" s="126">
        <v>3.3</v>
      </c>
      <c r="H928" s="126" t="s">
        <v>7</v>
      </c>
      <c r="I928" s="126" t="s">
        <v>765</v>
      </c>
      <c r="J928" s="126" t="s">
        <v>44</v>
      </c>
      <c r="K928" s="126" t="s">
        <v>561</v>
      </c>
      <c r="L928" s="126" t="s">
        <v>45</v>
      </c>
      <c r="M928" s="126" t="s">
        <v>57</v>
      </c>
      <c r="N928" s="126" t="s">
        <v>58</v>
      </c>
      <c r="O928" s="127">
        <v>36892</v>
      </c>
      <c r="P928" s="126" t="s">
        <v>2310</v>
      </c>
      <c r="Q928" s="126"/>
      <c r="R928" s="126">
        <v>3.3</v>
      </c>
      <c r="S928" s="126" t="s">
        <v>48</v>
      </c>
    </row>
    <row r="929" spans="1:19" ht="43.5" x14ac:dyDescent="0.25">
      <c r="A929" s="126">
        <v>8007</v>
      </c>
      <c r="B929" s="126" t="s">
        <v>39</v>
      </c>
      <c r="C929" s="126" t="s">
        <v>40</v>
      </c>
      <c r="D929" s="126" t="s">
        <v>40</v>
      </c>
      <c r="E929" s="126" t="s">
        <v>2327</v>
      </c>
      <c r="F929" s="126" t="s">
        <v>2328</v>
      </c>
      <c r="G929" s="126">
        <v>3.3</v>
      </c>
      <c r="H929" s="126" t="s">
        <v>7</v>
      </c>
      <c r="I929" s="126" t="s">
        <v>765</v>
      </c>
      <c r="J929" s="126" t="s">
        <v>44</v>
      </c>
      <c r="K929" s="126" t="s">
        <v>561</v>
      </c>
      <c r="L929" s="126" t="s">
        <v>45</v>
      </c>
      <c r="M929" s="126" t="s">
        <v>57</v>
      </c>
      <c r="N929" s="126" t="s">
        <v>58</v>
      </c>
      <c r="O929" s="127">
        <v>36892</v>
      </c>
      <c r="P929" s="126" t="s">
        <v>2310</v>
      </c>
      <c r="Q929" s="126"/>
      <c r="R929" s="126">
        <v>3.3</v>
      </c>
      <c r="S929" s="126" t="s">
        <v>48</v>
      </c>
    </row>
    <row r="930" spans="1:19" ht="43.5" x14ac:dyDescent="0.25">
      <c r="A930" s="126">
        <v>8008</v>
      </c>
      <c r="B930" s="126" t="s">
        <v>39</v>
      </c>
      <c r="C930" s="126" t="s">
        <v>40</v>
      </c>
      <c r="D930" s="126" t="s">
        <v>40</v>
      </c>
      <c r="E930" s="126" t="s">
        <v>2329</v>
      </c>
      <c r="F930" s="126" t="s">
        <v>2330</v>
      </c>
      <c r="G930" s="126">
        <v>3.3</v>
      </c>
      <c r="H930" s="126" t="s">
        <v>7</v>
      </c>
      <c r="I930" s="126" t="s">
        <v>765</v>
      </c>
      <c r="J930" s="126" t="s">
        <v>44</v>
      </c>
      <c r="K930" s="126" t="s">
        <v>561</v>
      </c>
      <c r="L930" s="126" t="s">
        <v>45</v>
      </c>
      <c r="M930" s="126" t="s">
        <v>57</v>
      </c>
      <c r="N930" s="126" t="s">
        <v>58</v>
      </c>
      <c r="O930" s="127">
        <v>36892</v>
      </c>
      <c r="P930" s="126" t="s">
        <v>2310</v>
      </c>
      <c r="Q930" s="126"/>
      <c r="R930" s="126">
        <v>3.3</v>
      </c>
      <c r="S930" s="126" t="s">
        <v>48</v>
      </c>
    </row>
    <row r="931" spans="1:19" ht="43.5" x14ac:dyDescent="0.25">
      <c r="A931" s="126">
        <v>8009</v>
      </c>
      <c r="B931" s="126" t="s">
        <v>39</v>
      </c>
      <c r="C931" s="126" t="s">
        <v>40</v>
      </c>
      <c r="D931" s="126" t="s">
        <v>40</v>
      </c>
      <c r="E931" s="126" t="s">
        <v>2331</v>
      </c>
      <c r="F931" s="126" t="s">
        <v>2332</v>
      </c>
      <c r="G931" s="126">
        <v>3.3</v>
      </c>
      <c r="H931" s="126" t="s">
        <v>7</v>
      </c>
      <c r="I931" s="126" t="s">
        <v>765</v>
      </c>
      <c r="J931" s="126" t="s">
        <v>44</v>
      </c>
      <c r="K931" s="126" t="s">
        <v>561</v>
      </c>
      <c r="L931" s="126" t="s">
        <v>45</v>
      </c>
      <c r="M931" s="126" t="s">
        <v>57</v>
      </c>
      <c r="N931" s="126" t="s">
        <v>58</v>
      </c>
      <c r="O931" s="127">
        <v>36892</v>
      </c>
      <c r="P931" s="126" t="s">
        <v>2310</v>
      </c>
      <c r="Q931" s="126"/>
      <c r="R931" s="126">
        <v>3.3</v>
      </c>
      <c r="S931" s="126" t="s">
        <v>48</v>
      </c>
    </row>
    <row r="932" spans="1:19" ht="29.25" x14ac:dyDescent="0.25">
      <c r="A932" s="126">
        <v>91401</v>
      </c>
      <c r="B932" s="126" t="s">
        <v>39</v>
      </c>
      <c r="C932" s="126" t="s">
        <v>40</v>
      </c>
      <c r="D932" s="126" t="s">
        <v>40</v>
      </c>
      <c r="E932" s="126" t="s">
        <v>2742</v>
      </c>
      <c r="F932" s="126" t="s">
        <v>2743</v>
      </c>
      <c r="G932" s="126">
        <v>50.4</v>
      </c>
      <c r="H932" s="126" t="s">
        <v>43</v>
      </c>
      <c r="I932" s="126" t="s">
        <v>2740</v>
      </c>
      <c r="J932" s="126" t="s">
        <v>384</v>
      </c>
      <c r="K932" s="126" t="s">
        <v>599</v>
      </c>
      <c r="L932" s="126" t="s">
        <v>259</v>
      </c>
      <c r="M932" s="126" t="s">
        <v>46</v>
      </c>
      <c r="N932" s="126" t="s">
        <v>2741</v>
      </c>
      <c r="O932" s="127">
        <v>38435</v>
      </c>
      <c r="P932" s="126"/>
      <c r="Q932" s="126"/>
      <c r="R932" s="126">
        <v>50.4</v>
      </c>
      <c r="S932" s="126" t="s">
        <v>48</v>
      </c>
    </row>
    <row r="933" spans="1:19" ht="29.25" x14ac:dyDescent="0.25">
      <c r="A933" s="126">
        <v>91402</v>
      </c>
      <c r="B933" s="126" t="s">
        <v>39</v>
      </c>
      <c r="C933" s="126" t="s">
        <v>40</v>
      </c>
      <c r="D933" s="126" t="s">
        <v>40</v>
      </c>
      <c r="E933" s="126" t="s">
        <v>2744</v>
      </c>
      <c r="F933" s="126" t="s">
        <v>2745</v>
      </c>
      <c r="G933" s="126">
        <v>50.4</v>
      </c>
      <c r="H933" s="126" t="s">
        <v>43</v>
      </c>
      <c r="I933" s="126" t="s">
        <v>2740</v>
      </c>
      <c r="J933" s="126" t="s">
        <v>384</v>
      </c>
      <c r="K933" s="126" t="s">
        <v>599</v>
      </c>
      <c r="L933" s="126" t="s">
        <v>259</v>
      </c>
      <c r="M933" s="126" t="s">
        <v>46</v>
      </c>
      <c r="N933" s="126" t="s">
        <v>2741</v>
      </c>
      <c r="O933" s="127">
        <v>38435</v>
      </c>
      <c r="P933" s="126"/>
      <c r="Q933" s="126"/>
      <c r="R933" s="126">
        <v>50.4</v>
      </c>
      <c r="S933" s="126" t="s">
        <v>48</v>
      </c>
    </row>
    <row r="934" spans="1:19" ht="29.25" x14ac:dyDescent="0.25">
      <c r="A934" s="126">
        <v>91403</v>
      </c>
      <c r="B934" s="126" t="s">
        <v>39</v>
      </c>
      <c r="C934" s="126" t="s">
        <v>40</v>
      </c>
      <c r="D934" s="126" t="s">
        <v>40</v>
      </c>
      <c r="E934" s="126" t="s">
        <v>2746</v>
      </c>
      <c r="F934" s="126" t="s">
        <v>2747</v>
      </c>
      <c r="G934" s="126">
        <v>53.6</v>
      </c>
      <c r="H934" s="126" t="s">
        <v>43</v>
      </c>
      <c r="I934" s="126" t="s">
        <v>2740</v>
      </c>
      <c r="J934" s="126" t="s">
        <v>384</v>
      </c>
      <c r="K934" s="126" t="s">
        <v>385</v>
      </c>
      <c r="L934" s="126" t="s">
        <v>731</v>
      </c>
      <c r="M934" s="126" t="s">
        <v>46</v>
      </c>
      <c r="N934" s="126" t="s">
        <v>2741</v>
      </c>
      <c r="O934" s="127">
        <v>38435</v>
      </c>
      <c r="P934" s="126"/>
      <c r="Q934" s="126"/>
      <c r="R934" s="126">
        <v>53.6</v>
      </c>
      <c r="S934" s="126" t="s">
        <v>48</v>
      </c>
    </row>
    <row r="935" spans="1:19" x14ac:dyDescent="0.25">
      <c r="A935" s="126">
        <v>8401</v>
      </c>
      <c r="B935" s="126" t="s">
        <v>39</v>
      </c>
      <c r="C935" s="126" t="s">
        <v>40</v>
      </c>
      <c r="D935" s="126" t="s">
        <v>40</v>
      </c>
      <c r="E935" s="126" t="s">
        <v>2473</v>
      </c>
      <c r="F935" s="126" t="s">
        <v>2474</v>
      </c>
      <c r="G935" s="126">
        <v>10.8</v>
      </c>
      <c r="H935" s="126" t="s">
        <v>7</v>
      </c>
      <c r="I935" s="126" t="s">
        <v>2472</v>
      </c>
      <c r="J935" s="126" t="s">
        <v>314</v>
      </c>
      <c r="K935" s="126" t="s">
        <v>599</v>
      </c>
      <c r="L935" s="126" t="s">
        <v>259</v>
      </c>
      <c r="M935" s="126" t="s">
        <v>57</v>
      </c>
      <c r="N935" s="126" t="s">
        <v>58</v>
      </c>
      <c r="O935" s="127">
        <v>37117</v>
      </c>
      <c r="P935" s="126"/>
      <c r="Q935" s="126"/>
      <c r="R935" s="126">
        <v>10.75</v>
      </c>
      <c r="S935" s="126" t="s">
        <v>48</v>
      </c>
    </row>
    <row r="936" spans="1:19" x14ac:dyDescent="0.25">
      <c r="A936" s="126">
        <v>8402</v>
      </c>
      <c r="B936" s="126" t="s">
        <v>39</v>
      </c>
      <c r="C936" s="126" t="s">
        <v>40</v>
      </c>
      <c r="D936" s="126" t="s">
        <v>40</v>
      </c>
      <c r="E936" s="126" t="s">
        <v>2475</v>
      </c>
      <c r="F936" s="126" t="s">
        <v>2476</v>
      </c>
      <c r="G936" s="126">
        <v>10.8</v>
      </c>
      <c r="H936" s="126" t="s">
        <v>7</v>
      </c>
      <c r="I936" s="126" t="s">
        <v>2472</v>
      </c>
      <c r="J936" s="126" t="s">
        <v>314</v>
      </c>
      <c r="K936" s="126" t="s">
        <v>599</v>
      </c>
      <c r="L936" s="126" t="s">
        <v>259</v>
      </c>
      <c r="M936" s="126" t="s">
        <v>57</v>
      </c>
      <c r="N936" s="126" t="s">
        <v>58</v>
      </c>
      <c r="O936" s="127">
        <v>37117</v>
      </c>
      <c r="P936" s="126"/>
      <c r="Q936" s="126"/>
      <c r="R936" s="126">
        <v>10.75</v>
      </c>
      <c r="S936" s="126" t="s">
        <v>48</v>
      </c>
    </row>
    <row r="937" spans="1:19" x14ac:dyDescent="0.25">
      <c r="A937" s="126">
        <v>8403</v>
      </c>
      <c r="B937" s="126" t="s">
        <v>39</v>
      </c>
      <c r="C937" s="126" t="s">
        <v>40</v>
      </c>
      <c r="D937" s="126" t="s">
        <v>40</v>
      </c>
      <c r="E937" s="126" t="s">
        <v>2477</v>
      </c>
      <c r="F937" s="126" t="s">
        <v>2478</v>
      </c>
      <c r="G937" s="126">
        <v>10.8</v>
      </c>
      <c r="H937" s="126" t="s">
        <v>7</v>
      </c>
      <c r="I937" s="126" t="s">
        <v>2472</v>
      </c>
      <c r="J937" s="126" t="s">
        <v>314</v>
      </c>
      <c r="K937" s="126" t="s">
        <v>599</v>
      </c>
      <c r="L937" s="126" t="s">
        <v>259</v>
      </c>
      <c r="M937" s="126" t="s">
        <v>57</v>
      </c>
      <c r="N937" s="126" t="s">
        <v>58</v>
      </c>
      <c r="O937" s="127">
        <v>37117</v>
      </c>
      <c r="P937" s="126"/>
      <c r="Q937" s="126"/>
      <c r="R937" s="126">
        <v>10.75</v>
      </c>
      <c r="S937" s="126" t="s">
        <v>48</v>
      </c>
    </row>
    <row r="938" spans="1:19" x14ac:dyDescent="0.25">
      <c r="A938" s="126">
        <v>8404</v>
      </c>
      <c r="B938" s="126" t="s">
        <v>39</v>
      </c>
      <c r="C938" s="126" t="s">
        <v>40</v>
      </c>
      <c r="D938" s="126" t="s">
        <v>40</v>
      </c>
      <c r="E938" s="126" t="s">
        <v>2479</v>
      </c>
      <c r="F938" s="126" t="s">
        <v>2480</v>
      </c>
      <c r="G938" s="126">
        <v>10.8</v>
      </c>
      <c r="H938" s="126" t="s">
        <v>7</v>
      </c>
      <c r="I938" s="126" t="s">
        <v>2472</v>
      </c>
      <c r="J938" s="126" t="s">
        <v>314</v>
      </c>
      <c r="K938" s="126" t="s">
        <v>599</v>
      </c>
      <c r="L938" s="126" t="s">
        <v>259</v>
      </c>
      <c r="M938" s="126" t="s">
        <v>57</v>
      </c>
      <c r="N938" s="126" t="s">
        <v>58</v>
      </c>
      <c r="O938" s="127">
        <v>37117</v>
      </c>
      <c r="P938" s="126"/>
      <c r="Q938" s="126"/>
      <c r="R938" s="126">
        <v>10.75</v>
      </c>
      <c r="S938" s="126" t="s">
        <v>48</v>
      </c>
    </row>
    <row r="939" spans="1:19" x14ac:dyDescent="0.25">
      <c r="A939" s="126">
        <v>8501</v>
      </c>
      <c r="B939" s="126" t="s">
        <v>39</v>
      </c>
      <c r="C939" s="126" t="s">
        <v>40</v>
      </c>
      <c r="D939" s="126" t="s">
        <v>40</v>
      </c>
      <c r="E939" s="126" t="s">
        <v>149</v>
      </c>
      <c r="F939" s="126" t="s">
        <v>150</v>
      </c>
      <c r="G939" s="126">
        <v>13</v>
      </c>
      <c r="H939" s="126" t="s">
        <v>43</v>
      </c>
      <c r="I939" s="126" t="s">
        <v>6</v>
      </c>
      <c r="J939" s="126" t="s">
        <v>44</v>
      </c>
      <c r="K939" s="126" t="s">
        <v>44</v>
      </c>
      <c r="L939" s="126" t="s">
        <v>45</v>
      </c>
      <c r="M939" s="126" t="s">
        <v>46</v>
      </c>
      <c r="N939" s="126" t="s">
        <v>47</v>
      </c>
      <c r="O939" s="127">
        <v>4750</v>
      </c>
      <c r="P939" s="126"/>
      <c r="Q939" s="126" t="s">
        <v>148</v>
      </c>
      <c r="R939" s="126">
        <v>13.3</v>
      </c>
      <c r="S939" s="126" t="s">
        <v>48</v>
      </c>
    </row>
    <row r="940" spans="1:19" x14ac:dyDescent="0.25">
      <c r="A940" s="126">
        <v>8502</v>
      </c>
      <c r="B940" s="126" t="s">
        <v>39</v>
      </c>
      <c r="C940" s="126" t="s">
        <v>40</v>
      </c>
      <c r="D940" s="126" t="s">
        <v>40</v>
      </c>
      <c r="E940" s="126" t="s">
        <v>151</v>
      </c>
      <c r="F940" s="126" t="s">
        <v>152</v>
      </c>
      <c r="G940" s="126">
        <v>13</v>
      </c>
      <c r="H940" s="126" t="s">
        <v>43</v>
      </c>
      <c r="I940" s="126" t="s">
        <v>6</v>
      </c>
      <c r="J940" s="126" t="s">
        <v>44</v>
      </c>
      <c r="K940" s="126" t="s">
        <v>44</v>
      </c>
      <c r="L940" s="126" t="s">
        <v>45</v>
      </c>
      <c r="M940" s="126" t="s">
        <v>46</v>
      </c>
      <c r="N940" s="126" t="s">
        <v>47</v>
      </c>
      <c r="O940" s="127">
        <v>4750</v>
      </c>
      <c r="P940" s="126"/>
      <c r="Q940" s="126" t="s">
        <v>148</v>
      </c>
      <c r="R940" s="126">
        <v>13.3</v>
      </c>
      <c r="S940" s="126" t="s">
        <v>48</v>
      </c>
    </row>
    <row r="941" spans="1:19" x14ac:dyDescent="0.25">
      <c r="A941" s="126">
        <v>8601</v>
      </c>
      <c r="B941" s="126" t="s">
        <v>39</v>
      </c>
      <c r="C941" s="126" t="s">
        <v>40</v>
      </c>
      <c r="D941" s="126" t="s">
        <v>40</v>
      </c>
      <c r="E941" s="126" t="s">
        <v>223</v>
      </c>
      <c r="F941" s="126" t="s">
        <v>224</v>
      </c>
      <c r="G941" s="126">
        <v>12.9</v>
      </c>
      <c r="H941" s="126" t="s">
        <v>43</v>
      </c>
      <c r="I941" s="126" t="s">
        <v>6</v>
      </c>
      <c r="J941" s="126" t="s">
        <v>44</v>
      </c>
      <c r="K941" s="126" t="s">
        <v>44</v>
      </c>
      <c r="L941" s="126" t="s">
        <v>45</v>
      </c>
      <c r="M941" s="126" t="s">
        <v>46</v>
      </c>
      <c r="N941" s="126" t="s">
        <v>47</v>
      </c>
      <c r="O941" s="127">
        <v>8037</v>
      </c>
      <c r="P941" s="126"/>
      <c r="Q941" s="126" t="s">
        <v>148</v>
      </c>
      <c r="R941" s="126">
        <v>13.3</v>
      </c>
      <c r="S941" s="126" t="s">
        <v>48</v>
      </c>
    </row>
    <row r="942" spans="1:19" x14ac:dyDescent="0.25">
      <c r="A942" s="126">
        <v>8602</v>
      </c>
      <c r="B942" s="126" t="s">
        <v>39</v>
      </c>
      <c r="C942" s="126" t="s">
        <v>40</v>
      </c>
      <c r="D942" s="126" t="s">
        <v>40</v>
      </c>
      <c r="E942" s="126" t="s">
        <v>273</v>
      </c>
      <c r="F942" s="126" t="s">
        <v>274</v>
      </c>
      <c r="G942" s="126">
        <v>16</v>
      </c>
      <c r="H942" s="126" t="s">
        <v>43</v>
      </c>
      <c r="I942" s="126" t="s">
        <v>6</v>
      </c>
      <c r="J942" s="126" t="s">
        <v>44</v>
      </c>
      <c r="K942" s="126" t="s">
        <v>44</v>
      </c>
      <c r="L942" s="126" t="s">
        <v>45</v>
      </c>
      <c r="M942" s="126" t="s">
        <v>46</v>
      </c>
      <c r="N942" s="126" t="s">
        <v>47</v>
      </c>
      <c r="O942" s="127">
        <v>10228</v>
      </c>
      <c r="P942" s="126"/>
      <c r="Q942" s="126" t="s">
        <v>148</v>
      </c>
      <c r="R942" s="126">
        <v>14.1</v>
      </c>
      <c r="S942" s="126" t="s">
        <v>48</v>
      </c>
    </row>
    <row r="943" spans="1:19" x14ac:dyDescent="0.25">
      <c r="A943" s="126">
        <v>89903</v>
      </c>
      <c r="B943" s="126" t="s">
        <v>39</v>
      </c>
      <c r="C943" s="126" t="s">
        <v>49</v>
      </c>
      <c r="D943" s="126" t="s">
        <v>40</v>
      </c>
      <c r="E943" s="126" t="s">
        <v>3186</v>
      </c>
      <c r="F943" s="126" t="s">
        <v>3187</v>
      </c>
      <c r="G943" s="126">
        <v>1.35</v>
      </c>
      <c r="H943" s="126" t="s">
        <v>7</v>
      </c>
      <c r="I943" s="126" t="s">
        <v>2720</v>
      </c>
      <c r="J943" s="126" t="s">
        <v>807</v>
      </c>
      <c r="K943" s="126" t="s">
        <v>315</v>
      </c>
      <c r="L943" s="126" t="s">
        <v>915</v>
      </c>
      <c r="M943" s="126" t="s">
        <v>57</v>
      </c>
      <c r="N943" s="126" t="s">
        <v>58</v>
      </c>
      <c r="O943" s="126"/>
      <c r="P943" s="126" t="s">
        <v>3188</v>
      </c>
      <c r="Q943" s="126"/>
      <c r="R943" s="126">
        <v>1.35</v>
      </c>
      <c r="S943" s="126" t="s">
        <v>48</v>
      </c>
    </row>
    <row r="944" spans="1:19" x14ac:dyDescent="0.25">
      <c r="A944" s="126">
        <v>89901</v>
      </c>
      <c r="B944" s="126" t="s">
        <v>39</v>
      </c>
      <c r="C944" s="126" t="s">
        <v>49</v>
      </c>
      <c r="D944" s="126" t="s">
        <v>40</v>
      </c>
      <c r="E944" s="126"/>
      <c r="F944" s="126" t="s">
        <v>2721</v>
      </c>
      <c r="G944" s="126">
        <v>1.35</v>
      </c>
      <c r="H944" s="126" t="s">
        <v>7</v>
      </c>
      <c r="I944" s="126" t="s">
        <v>2720</v>
      </c>
      <c r="J944" s="126" t="s">
        <v>807</v>
      </c>
      <c r="K944" s="126" t="s">
        <v>315</v>
      </c>
      <c r="L944" s="126" t="s">
        <v>915</v>
      </c>
      <c r="M944" s="126" t="s">
        <v>57</v>
      </c>
      <c r="N944" s="126" t="s">
        <v>58</v>
      </c>
      <c r="O944" s="127">
        <v>38103</v>
      </c>
      <c r="P944" s="126"/>
      <c r="Q944" s="126"/>
      <c r="R944" s="126">
        <v>1.35</v>
      </c>
      <c r="S944" s="126" t="s">
        <v>48</v>
      </c>
    </row>
    <row r="945" spans="1:19" x14ac:dyDescent="0.25">
      <c r="A945" s="126">
        <v>89902</v>
      </c>
      <c r="B945" s="126" t="s">
        <v>39</v>
      </c>
      <c r="C945" s="126" t="s">
        <v>49</v>
      </c>
      <c r="D945" s="126" t="s">
        <v>40</v>
      </c>
      <c r="E945" s="126"/>
      <c r="F945" s="126" t="s">
        <v>2722</v>
      </c>
      <c r="G945" s="126">
        <v>1.35</v>
      </c>
      <c r="H945" s="126" t="s">
        <v>7</v>
      </c>
      <c r="I945" s="126" t="s">
        <v>2720</v>
      </c>
      <c r="J945" s="126" t="s">
        <v>807</v>
      </c>
      <c r="K945" s="126" t="s">
        <v>315</v>
      </c>
      <c r="L945" s="126" t="s">
        <v>915</v>
      </c>
      <c r="M945" s="126" t="s">
        <v>57</v>
      </c>
      <c r="N945" s="126" t="s">
        <v>58</v>
      </c>
      <c r="O945" s="127">
        <v>38103</v>
      </c>
      <c r="P945" s="126"/>
      <c r="Q945" s="126"/>
      <c r="R945" s="126">
        <v>1.35</v>
      </c>
      <c r="S945" s="126" t="s">
        <v>48</v>
      </c>
    </row>
    <row r="946" spans="1:19" x14ac:dyDescent="0.25">
      <c r="A946" s="126">
        <v>9601</v>
      </c>
      <c r="B946" s="126" t="s">
        <v>39</v>
      </c>
      <c r="C946" s="126" t="s">
        <v>40</v>
      </c>
      <c r="D946" s="126" t="s">
        <v>40</v>
      </c>
      <c r="E946" s="126" t="s">
        <v>354</v>
      </c>
      <c r="F946" s="126" t="s">
        <v>355</v>
      </c>
      <c r="G946" s="126">
        <v>31.7</v>
      </c>
      <c r="H946" s="126" t="s">
        <v>43</v>
      </c>
      <c r="I946" s="126" t="s">
        <v>6</v>
      </c>
      <c r="J946" s="126" t="s">
        <v>44</v>
      </c>
      <c r="K946" s="126" t="s">
        <v>44</v>
      </c>
      <c r="L946" s="126" t="s">
        <v>45</v>
      </c>
      <c r="M946" s="126" t="s">
        <v>46</v>
      </c>
      <c r="N946" s="126" t="s">
        <v>47</v>
      </c>
      <c r="O946" s="127">
        <v>17533</v>
      </c>
      <c r="P946" s="126"/>
      <c r="Q946" s="126" t="s">
        <v>293</v>
      </c>
      <c r="R946" s="126">
        <v>31.7</v>
      </c>
      <c r="S946" s="126" t="s">
        <v>48</v>
      </c>
    </row>
    <row r="947" spans="1:19" x14ac:dyDescent="0.25">
      <c r="A947" s="126">
        <v>9602</v>
      </c>
      <c r="B947" s="126" t="s">
        <v>39</v>
      </c>
      <c r="C947" s="126" t="s">
        <v>40</v>
      </c>
      <c r="D947" s="126" t="s">
        <v>40</v>
      </c>
      <c r="E947" s="126" t="s">
        <v>356</v>
      </c>
      <c r="F947" s="126" t="s">
        <v>357</v>
      </c>
      <c r="G947" s="126">
        <v>31.7</v>
      </c>
      <c r="H947" s="126" t="s">
        <v>43</v>
      </c>
      <c r="I947" s="126" t="s">
        <v>6</v>
      </c>
      <c r="J947" s="126" t="s">
        <v>44</v>
      </c>
      <c r="K947" s="126" t="s">
        <v>44</v>
      </c>
      <c r="L947" s="126" t="s">
        <v>45</v>
      </c>
      <c r="M947" s="126" t="s">
        <v>46</v>
      </c>
      <c r="N947" s="126" t="s">
        <v>47</v>
      </c>
      <c r="O947" s="127">
        <v>17533</v>
      </c>
      <c r="P947" s="126"/>
      <c r="Q947" s="126" t="s">
        <v>293</v>
      </c>
      <c r="R947" s="126">
        <v>31.7</v>
      </c>
      <c r="S947" s="126" t="s">
        <v>48</v>
      </c>
    </row>
    <row r="948" spans="1:19" x14ac:dyDescent="0.25">
      <c r="A948" s="126">
        <v>9603</v>
      </c>
      <c r="B948" s="126" t="s">
        <v>39</v>
      </c>
      <c r="C948" s="126" t="s">
        <v>40</v>
      </c>
      <c r="D948" s="126" t="s">
        <v>40</v>
      </c>
      <c r="E948" s="126" t="s">
        <v>358</v>
      </c>
      <c r="F948" s="126" t="s">
        <v>359</v>
      </c>
      <c r="G948" s="126">
        <v>38.1</v>
      </c>
      <c r="H948" s="126" t="s">
        <v>43</v>
      </c>
      <c r="I948" s="126" t="s">
        <v>6</v>
      </c>
      <c r="J948" s="126" t="s">
        <v>44</v>
      </c>
      <c r="K948" s="126" t="s">
        <v>44</v>
      </c>
      <c r="L948" s="126" t="s">
        <v>45</v>
      </c>
      <c r="M948" s="126" t="s">
        <v>46</v>
      </c>
      <c r="N948" s="126" t="s">
        <v>47</v>
      </c>
      <c r="O948" s="127">
        <v>17533</v>
      </c>
      <c r="P948" s="126"/>
      <c r="Q948" s="126" t="s">
        <v>293</v>
      </c>
      <c r="R948" s="126">
        <v>38.1</v>
      </c>
      <c r="S948" s="126" t="s">
        <v>48</v>
      </c>
    </row>
    <row r="949" spans="1:19" ht="29.25" x14ac:dyDescent="0.25">
      <c r="A949" s="126">
        <v>84101</v>
      </c>
      <c r="B949" s="126" t="s">
        <v>39</v>
      </c>
      <c r="C949" s="126" t="s">
        <v>40</v>
      </c>
      <c r="D949" s="126" t="s">
        <v>40</v>
      </c>
      <c r="E949" s="126" t="s">
        <v>2691</v>
      </c>
      <c r="F949" s="126" t="s">
        <v>2692</v>
      </c>
      <c r="G949" s="126">
        <v>168</v>
      </c>
      <c r="H949" s="126" t="s">
        <v>43</v>
      </c>
      <c r="I949" s="126" t="s">
        <v>2690</v>
      </c>
      <c r="J949" s="126" t="s">
        <v>384</v>
      </c>
      <c r="K949" s="126" t="s">
        <v>599</v>
      </c>
      <c r="L949" s="126" t="s">
        <v>259</v>
      </c>
      <c r="M949" s="126" t="s">
        <v>212</v>
      </c>
      <c r="N949" s="126" t="s">
        <v>213</v>
      </c>
      <c r="O949" s="127">
        <v>37826</v>
      </c>
      <c r="P949" s="126"/>
      <c r="Q949" s="126"/>
      <c r="R949" s="126">
        <v>169</v>
      </c>
      <c r="S949" s="126" t="s">
        <v>48</v>
      </c>
    </row>
    <row r="950" spans="1:19" ht="29.25" x14ac:dyDescent="0.25">
      <c r="A950" s="126">
        <v>84102</v>
      </c>
      <c r="B950" s="126" t="s">
        <v>39</v>
      </c>
      <c r="C950" s="126" t="s">
        <v>40</v>
      </c>
      <c r="D950" s="126" t="s">
        <v>40</v>
      </c>
      <c r="E950" s="126" t="s">
        <v>2693</v>
      </c>
      <c r="F950" s="126" t="s">
        <v>2694</v>
      </c>
      <c r="G950" s="126">
        <v>168</v>
      </c>
      <c r="H950" s="126" t="s">
        <v>43</v>
      </c>
      <c r="I950" s="126" t="s">
        <v>2690</v>
      </c>
      <c r="J950" s="126" t="s">
        <v>384</v>
      </c>
      <c r="K950" s="126" t="s">
        <v>599</v>
      </c>
      <c r="L950" s="126" t="s">
        <v>259</v>
      </c>
      <c r="M950" s="126" t="s">
        <v>212</v>
      </c>
      <c r="N950" s="126" t="s">
        <v>213</v>
      </c>
      <c r="O950" s="127">
        <v>37826</v>
      </c>
      <c r="P950" s="126"/>
      <c r="Q950" s="126"/>
      <c r="R950" s="126">
        <v>169</v>
      </c>
      <c r="S950" s="126" t="s">
        <v>48</v>
      </c>
    </row>
    <row r="951" spans="1:19" ht="29.25" x14ac:dyDescent="0.25">
      <c r="A951" s="126">
        <v>84103</v>
      </c>
      <c r="B951" s="126" t="s">
        <v>39</v>
      </c>
      <c r="C951" s="126" t="s">
        <v>40</v>
      </c>
      <c r="D951" s="126" t="s">
        <v>40</v>
      </c>
      <c r="E951" s="126" t="s">
        <v>2695</v>
      </c>
      <c r="F951" s="126" t="s">
        <v>2696</v>
      </c>
      <c r="G951" s="126">
        <v>213</v>
      </c>
      <c r="H951" s="126" t="s">
        <v>43</v>
      </c>
      <c r="I951" s="126" t="s">
        <v>2690</v>
      </c>
      <c r="J951" s="126" t="s">
        <v>384</v>
      </c>
      <c r="K951" s="126" t="s">
        <v>385</v>
      </c>
      <c r="L951" s="126" t="s">
        <v>731</v>
      </c>
      <c r="M951" s="126" t="s">
        <v>212</v>
      </c>
      <c r="N951" s="126" t="s">
        <v>213</v>
      </c>
      <c r="O951" s="127">
        <v>37826</v>
      </c>
      <c r="P951" s="126"/>
      <c r="Q951" s="126"/>
      <c r="R951" s="126">
        <v>223</v>
      </c>
      <c r="S951" s="126" t="s">
        <v>48</v>
      </c>
    </row>
    <row r="952" spans="1:19" x14ac:dyDescent="0.25">
      <c r="A952" s="126">
        <v>11301</v>
      </c>
      <c r="B952" s="126" t="s">
        <v>39</v>
      </c>
      <c r="C952" s="126" t="s">
        <v>40</v>
      </c>
      <c r="D952" s="126" t="s">
        <v>40</v>
      </c>
      <c r="E952" s="126"/>
      <c r="F952" s="126" t="s">
        <v>169</v>
      </c>
      <c r="G952" s="126"/>
      <c r="H952" s="126" t="s">
        <v>7</v>
      </c>
      <c r="I952" s="126" t="s">
        <v>7</v>
      </c>
      <c r="J952" s="126" t="s">
        <v>44</v>
      </c>
      <c r="K952" s="126" t="s">
        <v>44</v>
      </c>
      <c r="L952" s="126" t="s">
        <v>45</v>
      </c>
      <c r="M952" s="126" t="s">
        <v>57</v>
      </c>
      <c r="N952" s="126" t="s">
        <v>58</v>
      </c>
      <c r="O952" s="127">
        <v>6211</v>
      </c>
      <c r="P952" s="126"/>
      <c r="Q952" s="126"/>
      <c r="R952" s="126">
        <v>0.9</v>
      </c>
      <c r="S952" s="126" t="s">
        <v>48</v>
      </c>
    </row>
    <row r="953" spans="1:19" x14ac:dyDescent="0.25">
      <c r="A953" s="126">
        <v>11302</v>
      </c>
      <c r="B953" s="126" t="s">
        <v>39</v>
      </c>
      <c r="C953" s="126" t="s">
        <v>40</v>
      </c>
      <c r="D953" s="126" t="s">
        <v>40</v>
      </c>
      <c r="E953" s="126"/>
      <c r="F953" s="126" t="s">
        <v>170</v>
      </c>
      <c r="G953" s="126"/>
      <c r="H953" s="126" t="s">
        <v>7</v>
      </c>
      <c r="I953" s="126" t="s">
        <v>7</v>
      </c>
      <c r="J953" s="126" t="s">
        <v>44</v>
      </c>
      <c r="K953" s="126" t="s">
        <v>44</v>
      </c>
      <c r="L953" s="126" t="s">
        <v>45</v>
      </c>
      <c r="M953" s="126" t="s">
        <v>57</v>
      </c>
      <c r="N953" s="126" t="s">
        <v>58</v>
      </c>
      <c r="O953" s="127">
        <v>6211</v>
      </c>
      <c r="P953" s="126"/>
      <c r="Q953" s="126"/>
      <c r="R953" s="126">
        <v>0.98</v>
      </c>
      <c r="S953" s="126" t="s">
        <v>48</v>
      </c>
    </row>
    <row r="954" spans="1:19" x14ac:dyDescent="0.25">
      <c r="A954" s="126">
        <v>11303</v>
      </c>
      <c r="B954" s="126" t="s">
        <v>39</v>
      </c>
      <c r="C954" s="126" t="s">
        <v>40</v>
      </c>
      <c r="D954" s="126" t="s">
        <v>40</v>
      </c>
      <c r="E954" s="126"/>
      <c r="F954" s="126" t="s">
        <v>70</v>
      </c>
      <c r="G954" s="126"/>
      <c r="H954" s="126" t="s">
        <v>7</v>
      </c>
      <c r="I954" s="126" t="s">
        <v>7</v>
      </c>
      <c r="J954" s="126" t="s">
        <v>44</v>
      </c>
      <c r="K954" s="126" t="s">
        <v>44</v>
      </c>
      <c r="L954" s="126" t="s">
        <v>45</v>
      </c>
      <c r="M954" s="126" t="s">
        <v>57</v>
      </c>
      <c r="N954" s="126" t="s">
        <v>58</v>
      </c>
      <c r="O954" s="127">
        <v>1462</v>
      </c>
      <c r="P954" s="126"/>
      <c r="Q954" s="126"/>
      <c r="R954" s="126">
        <v>0.34</v>
      </c>
      <c r="S954" s="126" t="s">
        <v>48</v>
      </c>
    </row>
    <row r="955" spans="1:19" x14ac:dyDescent="0.25">
      <c r="A955" s="126">
        <v>11304</v>
      </c>
      <c r="B955" s="126" t="s">
        <v>39</v>
      </c>
      <c r="C955" s="126" t="s">
        <v>40</v>
      </c>
      <c r="D955" s="126" t="s">
        <v>40</v>
      </c>
      <c r="E955" s="126"/>
      <c r="F955" s="126" t="s">
        <v>70</v>
      </c>
      <c r="G955" s="126"/>
      <c r="H955" s="126" t="s">
        <v>7</v>
      </c>
      <c r="I955" s="126" t="s">
        <v>7</v>
      </c>
      <c r="J955" s="126" t="s">
        <v>44</v>
      </c>
      <c r="K955" s="126" t="s">
        <v>44</v>
      </c>
      <c r="L955" s="126" t="s">
        <v>45</v>
      </c>
      <c r="M955" s="126" t="s">
        <v>57</v>
      </c>
      <c r="N955" s="126" t="s">
        <v>58</v>
      </c>
      <c r="O955" s="127">
        <v>1462</v>
      </c>
      <c r="P955" s="126"/>
      <c r="Q955" s="126"/>
      <c r="R955" s="126">
        <v>0.34</v>
      </c>
      <c r="S955" s="126" t="s">
        <v>48</v>
      </c>
    </row>
    <row r="956" spans="1:19" x14ac:dyDescent="0.25">
      <c r="A956" s="126">
        <v>11602</v>
      </c>
      <c r="B956" s="126" t="s">
        <v>39</v>
      </c>
      <c r="C956" s="126" t="s">
        <v>40</v>
      </c>
      <c r="D956" s="126" t="s">
        <v>40</v>
      </c>
      <c r="E956" s="126" t="s">
        <v>1972</v>
      </c>
      <c r="F956" s="126" t="s">
        <v>1973</v>
      </c>
      <c r="G956" s="126">
        <v>7.5</v>
      </c>
      <c r="H956" s="126" t="s">
        <v>43</v>
      </c>
      <c r="I956" s="126" t="s">
        <v>1974</v>
      </c>
      <c r="J956" s="126" t="s">
        <v>384</v>
      </c>
      <c r="K956" s="126" t="s">
        <v>385</v>
      </c>
      <c r="L956" s="126" t="s">
        <v>731</v>
      </c>
      <c r="M956" s="126" t="s">
        <v>46</v>
      </c>
      <c r="N956" s="126" t="s">
        <v>47</v>
      </c>
      <c r="O956" s="127">
        <v>32874</v>
      </c>
      <c r="P956" s="126"/>
      <c r="Q956" s="126"/>
      <c r="R956" s="126">
        <v>7.5</v>
      </c>
      <c r="S956" s="126" t="s">
        <v>48</v>
      </c>
    </row>
    <row r="957" spans="1:19" ht="43.5" x14ac:dyDescent="0.25">
      <c r="A957" s="126">
        <v>11603</v>
      </c>
      <c r="B957" s="126" t="s">
        <v>39</v>
      </c>
      <c r="C957" s="126" t="s">
        <v>40</v>
      </c>
      <c r="D957" s="126" t="s">
        <v>40</v>
      </c>
      <c r="E957" s="126" t="s">
        <v>3199</v>
      </c>
      <c r="F957" s="126" t="s">
        <v>3200</v>
      </c>
      <c r="G957" s="126">
        <v>46.5</v>
      </c>
      <c r="H957" s="126" t="s">
        <v>43</v>
      </c>
      <c r="I957" s="126" t="s">
        <v>1974</v>
      </c>
      <c r="J957" s="126" t="s">
        <v>384</v>
      </c>
      <c r="K957" s="126" t="s">
        <v>599</v>
      </c>
      <c r="L957" s="126" t="s">
        <v>259</v>
      </c>
      <c r="M957" s="126" t="s">
        <v>46</v>
      </c>
      <c r="N957" s="126" t="s">
        <v>47</v>
      </c>
      <c r="O957" s="126"/>
      <c r="P957" s="126" t="s">
        <v>3201</v>
      </c>
      <c r="Q957" s="126"/>
      <c r="R957" s="126">
        <v>46.5</v>
      </c>
      <c r="S957" s="126" t="s">
        <v>48</v>
      </c>
    </row>
    <row r="958" spans="1:19" ht="29.25" x14ac:dyDescent="0.25">
      <c r="A958" s="126">
        <v>11700</v>
      </c>
      <c r="B958" s="126" t="s">
        <v>39</v>
      </c>
      <c r="C958" s="126" t="s">
        <v>40</v>
      </c>
      <c r="D958" s="126" t="s">
        <v>40</v>
      </c>
      <c r="E958" s="126" t="s">
        <v>2481</v>
      </c>
      <c r="F958" s="126" t="s">
        <v>2482</v>
      </c>
      <c r="G958" s="126">
        <v>21</v>
      </c>
      <c r="H958" s="126" t="s">
        <v>43</v>
      </c>
      <c r="I958" s="126" t="s">
        <v>1974</v>
      </c>
      <c r="J958" s="126" t="s">
        <v>314</v>
      </c>
      <c r="K958" s="126" t="s">
        <v>599</v>
      </c>
      <c r="L958" s="126" t="s">
        <v>259</v>
      </c>
      <c r="M958" s="126" t="s">
        <v>46</v>
      </c>
      <c r="N958" s="126" t="s">
        <v>47</v>
      </c>
      <c r="O958" s="127">
        <v>37119</v>
      </c>
      <c r="P958" s="126"/>
      <c r="Q958" s="126"/>
      <c r="R958" s="126">
        <v>21</v>
      </c>
      <c r="S958" s="126" t="s">
        <v>48</v>
      </c>
    </row>
    <row r="959" spans="1:19" ht="29.25" x14ac:dyDescent="0.25">
      <c r="A959" s="126">
        <v>93301</v>
      </c>
      <c r="B959" s="126" t="s">
        <v>39</v>
      </c>
      <c r="C959" s="126" t="s">
        <v>40</v>
      </c>
      <c r="D959" s="126" t="s">
        <v>40</v>
      </c>
      <c r="E959" s="126" t="s">
        <v>2872</v>
      </c>
      <c r="F959" s="126" t="s">
        <v>2873</v>
      </c>
      <c r="G959" s="126">
        <v>0.23</v>
      </c>
      <c r="H959" s="126" t="s">
        <v>43</v>
      </c>
      <c r="I959" s="126" t="s">
        <v>2871</v>
      </c>
      <c r="J959" s="126" t="s">
        <v>314</v>
      </c>
      <c r="K959" s="126" t="s">
        <v>2299</v>
      </c>
      <c r="L959" s="126" t="s">
        <v>259</v>
      </c>
      <c r="M959" s="126" t="s">
        <v>46</v>
      </c>
      <c r="N959" s="126" t="s">
        <v>47</v>
      </c>
      <c r="O959" s="127">
        <v>38959</v>
      </c>
      <c r="P959" s="126"/>
      <c r="Q959" s="126"/>
      <c r="R959" s="126">
        <v>0.23</v>
      </c>
      <c r="S959" s="126" t="s">
        <v>48</v>
      </c>
    </row>
    <row r="960" spans="1:19" ht="29.25" x14ac:dyDescent="0.25">
      <c r="A960" s="126">
        <v>12100</v>
      </c>
      <c r="B960" s="126" t="s">
        <v>39</v>
      </c>
      <c r="C960" s="126" t="s">
        <v>40</v>
      </c>
      <c r="D960" s="126" t="s">
        <v>40</v>
      </c>
      <c r="E960" s="126" t="s">
        <v>2517</v>
      </c>
      <c r="F960" s="126" t="s">
        <v>2518</v>
      </c>
      <c r="G960" s="126">
        <v>46</v>
      </c>
      <c r="H960" s="126" t="s">
        <v>43</v>
      </c>
      <c r="I960" s="126" t="s">
        <v>2519</v>
      </c>
      <c r="J960" s="126" t="s">
        <v>314</v>
      </c>
      <c r="K960" s="126" t="s">
        <v>599</v>
      </c>
      <c r="L960" s="126" t="s">
        <v>259</v>
      </c>
      <c r="M960" s="126" t="s">
        <v>212</v>
      </c>
      <c r="N960" s="126" t="s">
        <v>213</v>
      </c>
      <c r="O960" s="127">
        <v>37252</v>
      </c>
      <c r="P960" s="126"/>
      <c r="Q960" s="126"/>
      <c r="R960" s="126">
        <v>46</v>
      </c>
      <c r="S960" s="126" t="s">
        <v>48</v>
      </c>
    </row>
    <row r="961" spans="1:19" ht="29.25" x14ac:dyDescent="0.25">
      <c r="A961" s="126">
        <v>92301</v>
      </c>
      <c r="B961" s="126" t="s">
        <v>39</v>
      </c>
      <c r="C961" s="126" t="s">
        <v>40</v>
      </c>
      <c r="D961" s="126" t="s">
        <v>40</v>
      </c>
      <c r="E961" s="126" t="s">
        <v>2792</v>
      </c>
      <c r="F961" s="126" t="s">
        <v>2793</v>
      </c>
      <c r="G961" s="126">
        <v>0.3</v>
      </c>
      <c r="H961" s="126" t="s">
        <v>43</v>
      </c>
      <c r="I961" s="126" t="s">
        <v>2519</v>
      </c>
      <c r="J961" s="126" t="s">
        <v>314</v>
      </c>
      <c r="K961" s="126" t="s">
        <v>315</v>
      </c>
      <c r="L961" s="126" t="s">
        <v>259</v>
      </c>
      <c r="M961" s="126" t="s">
        <v>212</v>
      </c>
      <c r="N961" s="126" t="s">
        <v>213</v>
      </c>
      <c r="O961" s="127">
        <v>38574</v>
      </c>
      <c r="P961" s="126"/>
      <c r="Q961" s="126"/>
      <c r="R961" s="126">
        <v>0.35</v>
      </c>
      <c r="S961" s="126" t="s">
        <v>48</v>
      </c>
    </row>
    <row r="962" spans="1:19" ht="29.25" x14ac:dyDescent="0.25">
      <c r="A962" s="126">
        <v>12201</v>
      </c>
      <c r="B962" s="126" t="s">
        <v>39</v>
      </c>
      <c r="C962" s="126" t="s">
        <v>49</v>
      </c>
      <c r="D962" s="126" t="s">
        <v>40</v>
      </c>
      <c r="E962" s="126"/>
      <c r="F962" s="126" t="s">
        <v>1488</v>
      </c>
      <c r="G962" s="126"/>
      <c r="H962" s="126" t="s">
        <v>7</v>
      </c>
      <c r="I962" s="126" t="s">
        <v>1487</v>
      </c>
      <c r="J962" s="126" t="s">
        <v>713</v>
      </c>
      <c r="K962" s="126" t="s">
        <v>599</v>
      </c>
      <c r="L962" s="126" t="s">
        <v>259</v>
      </c>
      <c r="M962" s="126" t="s">
        <v>57</v>
      </c>
      <c r="N962" s="126" t="s">
        <v>58</v>
      </c>
      <c r="O962" s="127">
        <v>31778</v>
      </c>
      <c r="P962" s="126"/>
      <c r="Q962" s="126"/>
      <c r="R962" s="126">
        <v>3.5</v>
      </c>
      <c r="S962" s="126" t="s">
        <v>48</v>
      </c>
    </row>
    <row r="963" spans="1:19" ht="29.25" x14ac:dyDescent="0.25">
      <c r="A963" s="126">
        <v>12202</v>
      </c>
      <c r="B963" s="126" t="s">
        <v>39</v>
      </c>
      <c r="C963" s="126" t="s">
        <v>49</v>
      </c>
      <c r="D963" s="126" t="s">
        <v>40</v>
      </c>
      <c r="E963" s="126"/>
      <c r="F963" s="126" t="s">
        <v>1489</v>
      </c>
      <c r="G963" s="126"/>
      <c r="H963" s="126" t="s">
        <v>7</v>
      </c>
      <c r="I963" s="126" t="s">
        <v>1487</v>
      </c>
      <c r="J963" s="126" t="s">
        <v>713</v>
      </c>
      <c r="K963" s="126" t="s">
        <v>599</v>
      </c>
      <c r="L963" s="126" t="s">
        <v>259</v>
      </c>
      <c r="M963" s="126" t="s">
        <v>57</v>
      </c>
      <c r="N963" s="126" t="s">
        <v>58</v>
      </c>
      <c r="O963" s="127">
        <v>31778</v>
      </c>
      <c r="P963" s="126"/>
      <c r="Q963" s="126"/>
      <c r="R963" s="126">
        <v>3.5</v>
      </c>
      <c r="S963" s="126" t="s">
        <v>48</v>
      </c>
    </row>
    <row r="964" spans="1:19" ht="29.25" x14ac:dyDescent="0.25">
      <c r="A964" s="126">
        <v>12203</v>
      </c>
      <c r="B964" s="126" t="s">
        <v>39</v>
      </c>
      <c r="C964" s="126" t="s">
        <v>49</v>
      </c>
      <c r="D964" s="126" t="s">
        <v>40</v>
      </c>
      <c r="E964" s="126"/>
      <c r="F964" s="126" t="s">
        <v>1490</v>
      </c>
      <c r="G964" s="126"/>
      <c r="H964" s="126" t="s">
        <v>7</v>
      </c>
      <c r="I964" s="126" t="s">
        <v>1487</v>
      </c>
      <c r="J964" s="126" t="s">
        <v>713</v>
      </c>
      <c r="K964" s="126" t="s">
        <v>599</v>
      </c>
      <c r="L964" s="126" t="s">
        <v>259</v>
      </c>
      <c r="M964" s="126" t="s">
        <v>57</v>
      </c>
      <c r="N964" s="126" t="s">
        <v>58</v>
      </c>
      <c r="O964" s="127">
        <v>31778</v>
      </c>
      <c r="P964" s="126"/>
      <c r="Q964" s="126"/>
      <c r="R964" s="126">
        <v>3.5</v>
      </c>
      <c r="S964" s="126" t="s">
        <v>48</v>
      </c>
    </row>
    <row r="965" spans="1:19" ht="29.25" x14ac:dyDescent="0.25">
      <c r="A965" s="126">
        <v>12204</v>
      </c>
      <c r="B965" s="126" t="s">
        <v>39</v>
      </c>
      <c r="C965" s="126" t="s">
        <v>49</v>
      </c>
      <c r="D965" s="126" t="s">
        <v>40</v>
      </c>
      <c r="E965" s="126"/>
      <c r="F965" s="126" t="s">
        <v>1491</v>
      </c>
      <c r="G965" s="126"/>
      <c r="H965" s="126" t="s">
        <v>7</v>
      </c>
      <c r="I965" s="126" t="s">
        <v>1487</v>
      </c>
      <c r="J965" s="126" t="s">
        <v>713</v>
      </c>
      <c r="K965" s="126" t="s">
        <v>599</v>
      </c>
      <c r="L965" s="126" t="s">
        <v>259</v>
      </c>
      <c r="M965" s="126" t="s">
        <v>57</v>
      </c>
      <c r="N965" s="126" t="s">
        <v>58</v>
      </c>
      <c r="O965" s="127">
        <v>31778</v>
      </c>
      <c r="P965" s="126"/>
      <c r="Q965" s="126"/>
      <c r="R965" s="126">
        <v>3.5</v>
      </c>
      <c r="S965" s="126" t="s">
        <v>48</v>
      </c>
    </row>
    <row r="966" spans="1:19" ht="29.25" x14ac:dyDescent="0.25">
      <c r="A966" s="126">
        <v>12205</v>
      </c>
      <c r="B966" s="126" t="s">
        <v>39</v>
      </c>
      <c r="C966" s="126" t="s">
        <v>49</v>
      </c>
      <c r="D966" s="126" t="s">
        <v>40</v>
      </c>
      <c r="E966" s="126"/>
      <c r="F966" s="126" t="s">
        <v>1492</v>
      </c>
      <c r="G966" s="126"/>
      <c r="H966" s="126" t="s">
        <v>7</v>
      </c>
      <c r="I966" s="126" t="s">
        <v>1487</v>
      </c>
      <c r="J966" s="126" t="s">
        <v>713</v>
      </c>
      <c r="K966" s="126" t="s">
        <v>599</v>
      </c>
      <c r="L966" s="126" t="s">
        <v>259</v>
      </c>
      <c r="M966" s="126" t="s">
        <v>57</v>
      </c>
      <c r="N966" s="126" t="s">
        <v>58</v>
      </c>
      <c r="O966" s="127">
        <v>31778</v>
      </c>
      <c r="P966" s="126"/>
      <c r="Q966" s="126"/>
      <c r="R966" s="126">
        <v>3.5</v>
      </c>
      <c r="S966" s="126" t="s">
        <v>48</v>
      </c>
    </row>
    <row r="967" spans="1:19" ht="29.25" x14ac:dyDescent="0.25">
      <c r="A967" s="126">
        <v>47800</v>
      </c>
      <c r="B967" s="126" t="s">
        <v>106</v>
      </c>
      <c r="C967" s="126" t="s">
        <v>49</v>
      </c>
      <c r="D967" s="126" t="s">
        <v>40</v>
      </c>
      <c r="E967" s="126" t="s">
        <v>1890</v>
      </c>
      <c r="F967" s="126" t="s">
        <v>1891</v>
      </c>
      <c r="G967" s="126">
        <v>11.5</v>
      </c>
      <c r="H967" s="126" t="s">
        <v>43</v>
      </c>
      <c r="I967" s="126" t="s">
        <v>1892</v>
      </c>
      <c r="J967" s="126" t="s">
        <v>663</v>
      </c>
      <c r="K967" s="126" t="s">
        <v>385</v>
      </c>
      <c r="L967" s="126" t="s">
        <v>663</v>
      </c>
      <c r="M967" s="126" t="s">
        <v>46</v>
      </c>
      <c r="N967" s="126" t="s">
        <v>47</v>
      </c>
      <c r="O967" s="127">
        <v>32675</v>
      </c>
      <c r="P967" s="126" t="s">
        <v>1880</v>
      </c>
      <c r="Q967" s="126"/>
      <c r="R967" s="126">
        <v>11.5</v>
      </c>
      <c r="S967" s="126" t="s">
        <v>48</v>
      </c>
    </row>
    <row r="968" spans="1:19" ht="29.25" x14ac:dyDescent="0.25">
      <c r="A968" s="126">
        <v>47900</v>
      </c>
      <c r="B968" s="126" t="s">
        <v>106</v>
      </c>
      <c r="C968" s="126" t="s">
        <v>49</v>
      </c>
      <c r="D968" s="126" t="s">
        <v>40</v>
      </c>
      <c r="E968" s="126" t="s">
        <v>1877</v>
      </c>
      <c r="F968" s="126" t="s">
        <v>1878</v>
      </c>
      <c r="G968" s="126">
        <v>11.5</v>
      </c>
      <c r="H968" s="126" t="s">
        <v>43</v>
      </c>
      <c r="I968" s="126" t="s">
        <v>1879</v>
      </c>
      <c r="J968" s="126" t="s">
        <v>663</v>
      </c>
      <c r="K968" s="126" t="s">
        <v>385</v>
      </c>
      <c r="L968" s="126" t="s">
        <v>663</v>
      </c>
      <c r="M968" s="126" t="s">
        <v>46</v>
      </c>
      <c r="N968" s="126" t="s">
        <v>47</v>
      </c>
      <c r="O968" s="127">
        <v>32656</v>
      </c>
      <c r="P968" s="126" t="s">
        <v>1880</v>
      </c>
      <c r="Q968" s="126"/>
      <c r="R968" s="126">
        <v>11.5</v>
      </c>
      <c r="S968" s="126" t="s">
        <v>48</v>
      </c>
    </row>
    <row r="969" spans="1:19" ht="29.25" x14ac:dyDescent="0.25">
      <c r="A969" s="126">
        <v>48001</v>
      </c>
      <c r="B969" s="126" t="s">
        <v>106</v>
      </c>
      <c r="C969" s="126" t="s">
        <v>49</v>
      </c>
      <c r="D969" s="126" t="s">
        <v>40</v>
      </c>
      <c r="E969" s="126" t="s">
        <v>1072</v>
      </c>
      <c r="F969" s="126" t="s">
        <v>1073</v>
      </c>
      <c r="G969" s="126"/>
      <c r="H969" s="126" t="s">
        <v>43</v>
      </c>
      <c r="I969" s="126" t="s">
        <v>1071</v>
      </c>
      <c r="J969" s="126" t="s">
        <v>663</v>
      </c>
      <c r="K969" s="126" t="s">
        <v>385</v>
      </c>
      <c r="L969" s="126" t="s">
        <v>663</v>
      </c>
      <c r="M969" s="126" t="s">
        <v>46</v>
      </c>
      <c r="N969" s="126" t="s">
        <v>47</v>
      </c>
      <c r="O969" s="127">
        <v>30755</v>
      </c>
      <c r="P969" s="126"/>
      <c r="Q969" s="126"/>
      <c r="R969" s="126">
        <v>51.9</v>
      </c>
      <c r="S969" s="126" t="s">
        <v>48</v>
      </c>
    </row>
    <row r="970" spans="1:19" ht="29.25" x14ac:dyDescent="0.25">
      <c r="A970" s="126">
        <v>48002</v>
      </c>
      <c r="B970" s="126" t="s">
        <v>106</v>
      </c>
      <c r="C970" s="126" t="s">
        <v>49</v>
      </c>
      <c r="D970" s="126" t="s">
        <v>40</v>
      </c>
      <c r="E970" s="126" t="s">
        <v>1074</v>
      </c>
      <c r="F970" s="126" t="s">
        <v>1075</v>
      </c>
      <c r="G970" s="126"/>
      <c r="H970" s="126" t="s">
        <v>43</v>
      </c>
      <c r="I970" s="126" t="s">
        <v>1071</v>
      </c>
      <c r="J970" s="126" t="s">
        <v>663</v>
      </c>
      <c r="K970" s="126" t="s">
        <v>385</v>
      </c>
      <c r="L970" s="126" t="s">
        <v>663</v>
      </c>
      <c r="M970" s="126" t="s">
        <v>46</v>
      </c>
      <c r="N970" s="126" t="s">
        <v>47</v>
      </c>
      <c r="O970" s="127">
        <v>30755</v>
      </c>
      <c r="P970" s="126"/>
      <c r="Q970" s="126"/>
      <c r="R970" s="126">
        <v>51.9</v>
      </c>
      <c r="S970" s="126" t="s">
        <v>48</v>
      </c>
    </row>
    <row r="971" spans="1:19" x14ac:dyDescent="0.25">
      <c r="A971" s="126">
        <v>13501</v>
      </c>
      <c r="B971" s="126" t="s">
        <v>39</v>
      </c>
      <c r="C971" s="126" t="s">
        <v>40</v>
      </c>
      <c r="D971" s="126" t="s">
        <v>40</v>
      </c>
      <c r="E971" s="126" t="s">
        <v>664</v>
      </c>
      <c r="F971" s="126" t="s">
        <v>665</v>
      </c>
      <c r="G971" s="126">
        <v>55</v>
      </c>
      <c r="H971" s="126" t="s">
        <v>43</v>
      </c>
      <c r="I971" s="126" t="s">
        <v>662</v>
      </c>
      <c r="J971" s="126" t="s">
        <v>663</v>
      </c>
      <c r="K971" s="126" t="s">
        <v>385</v>
      </c>
      <c r="L971" s="126" t="s">
        <v>663</v>
      </c>
      <c r="M971" s="126" t="s">
        <v>46</v>
      </c>
      <c r="N971" s="126" t="s">
        <v>47</v>
      </c>
      <c r="O971" s="127">
        <v>25934</v>
      </c>
      <c r="P971" s="126"/>
      <c r="Q971" s="126"/>
      <c r="R971" s="126">
        <v>55</v>
      </c>
      <c r="S971" s="126" t="s">
        <v>48</v>
      </c>
    </row>
    <row r="972" spans="1:19" x14ac:dyDescent="0.25">
      <c r="A972" s="126">
        <v>13502</v>
      </c>
      <c r="B972" s="126" t="s">
        <v>39</v>
      </c>
      <c r="C972" s="126" t="s">
        <v>40</v>
      </c>
      <c r="D972" s="126" t="s">
        <v>40</v>
      </c>
      <c r="E972" s="126" t="s">
        <v>666</v>
      </c>
      <c r="F972" s="126" t="s">
        <v>667</v>
      </c>
      <c r="G972" s="126">
        <v>55</v>
      </c>
      <c r="H972" s="126" t="s">
        <v>43</v>
      </c>
      <c r="I972" s="126" t="s">
        <v>662</v>
      </c>
      <c r="J972" s="126" t="s">
        <v>663</v>
      </c>
      <c r="K972" s="126" t="s">
        <v>385</v>
      </c>
      <c r="L972" s="126" t="s">
        <v>663</v>
      </c>
      <c r="M972" s="126" t="s">
        <v>46</v>
      </c>
      <c r="N972" s="126" t="s">
        <v>47</v>
      </c>
      <c r="O972" s="127">
        <v>25934</v>
      </c>
      <c r="P972" s="126"/>
      <c r="Q972" s="126"/>
      <c r="R972" s="126">
        <v>55</v>
      </c>
      <c r="S972" s="126" t="s">
        <v>48</v>
      </c>
    </row>
    <row r="973" spans="1:19" x14ac:dyDescent="0.25">
      <c r="A973" s="126">
        <v>13601</v>
      </c>
      <c r="B973" s="126" t="s">
        <v>39</v>
      </c>
      <c r="C973" s="126" t="s">
        <v>40</v>
      </c>
      <c r="D973" s="126" t="s">
        <v>40</v>
      </c>
      <c r="E973" s="126" t="s">
        <v>679</v>
      </c>
      <c r="F973" s="126" t="s">
        <v>680</v>
      </c>
      <c r="G973" s="126">
        <v>55</v>
      </c>
      <c r="H973" s="126" t="s">
        <v>43</v>
      </c>
      <c r="I973" s="126" t="s">
        <v>662</v>
      </c>
      <c r="J973" s="126" t="s">
        <v>663</v>
      </c>
      <c r="K973" s="126" t="s">
        <v>385</v>
      </c>
      <c r="L973" s="126" t="s">
        <v>663</v>
      </c>
      <c r="M973" s="126" t="s">
        <v>46</v>
      </c>
      <c r="N973" s="126" t="s">
        <v>47</v>
      </c>
      <c r="O973" s="127">
        <v>26299</v>
      </c>
      <c r="P973" s="126"/>
      <c r="Q973" s="126"/>
      <c r="R973" s="126">
        <v>55</v>
      </c>
      <c r="S973" s="126" t="s">
        <v>48</v>
      </c>
    </row>
    <row r="974" spans="1:19" x14ac:dyDescent="0.25">
      <c r="A974" s="126">
        <v>13602</v>
      </c>
      <c r="B974" s="126" t="s">
        <v>39</v>
      </c>
      <c r="C974" s="126" t="s">
        <v>40</v>
      </c>
      <c r="D974" s="126" t="s">
        <v>40</v>
      </c>
      <c r="E974" s="126" t="s">
        <v>681</v>
      </c>
      <c r="F974" s="126" t="s">
        <v>682</v>
      </c>
      <c r="G974" s="126">
        <v>55</v>
      </c>
      <c r="H974" s="126" t="s">
        <v>43</v>
      </c>
      <c r="I974" s="126" t="s">
        <v>662</v>
      </c>
      <c r="J974" s="126" t="s">
        <v>663</v>
      </c>
      <c r="K974" s="126" t="s">
        <v>385</v>
      </c>
      <c r="L974" s="126" t="s">
        <v>663</v>
      </c>
      <c r="M974" s="126" t="s">
        <v>46</v>
      </c>
      <c r="N974" s="126" t="s">
        <v>47</v>
      </c>
      <c r="O974" s="127">
        <v>26299</v>
      </c>
      <c r="P974" s="126"/>
      <c r="Q974" s="126"/>
      <c r="R974" s="126">
        <v>55</v>
      </c>
      <c r="S974" s="126" t="s">
        <v>48</v>
      </c>
    </row>
    <row r="975" spans="1:19" x14ac:dyDescent="0.25">
      <c r="A975" s="126">
        <v>48101</v>
      </c>
      <c r="B975" s="126" t="s">
        <v>39</v>
      </c>
      <c r="C975" s="126" t="s">
        <v>49</v>
      </c>
      <c r="D975" s="126" t="s">
        <v>40</v>
      </c>
      <c r="E975" s="126" t="s">
        <v>1497</v>
      </c>
      <c r="F975" s="126" t="s">
        <v>1498</v>
      </c>
      <c r="G975" s="126">
        <v>95</v>
      </c>
      <c r="H975" s="126" t="s">
        <v>43</v>
      </c>
      <c r="I975" s="126" t="s">
        <v>1499</v>
      </c>
      <c r="J975" s="126" t="s">
        <v>713</v>
      </c>
      <c r="K975" s="126" t="s">
        <v>599</v>
      </c>
      <c r="L975" s="126" t="s">
        <v>259</v>
      </c>
      <c r="M975" s="126" t="s">
        <v>46</v>
      </c>
      <c r="N975" s="126" t="s">
        <v>47</v>
      </c>
      <c r="O975" s="127">
        <v>31778</v>
      </c>
      <c r="P975" s="126"/>
      <c r="Q975" s="126"/>
      <c r="R975" s="126">
        <v>95</v>
      </c>
      <c r="S975" s="126" t="s">
        <v>48</v>
      </c>
    </row>
    <row r="976" spans="1:19" x14ac:dyDescent="0.25">
      <c r="A976" s="126">
        <v>48102</v>
      </c>
      <c r="B976" s="126" t="s">
        <v>39</v>
      </c>
      <c r="C976" s="126" t="s">
        <v>49</v>
      </c>
      <c r="D976" s="126" t="s">
        <v>40</v>
      </c>
      <c r="E976" s="126" t="s">
        <v>1500</v>
      </c>
      <c r="F976" s="126" t="s">
        <v>1501</v>
      </c>
      <c r="G976" s="126">
        <v>45</v>
      </c>
      <c r="H976" s="126" t="s">
        <v>43</v>
      </c>
      <c r="I976" s="126" t="s">
        <v>1499</v>
      </c>
      <c r="J976" s="126" t="s">
        <v>713</v>
      </c>
      <c r="K976" s="126" t="s">
        <v>385</v>
      </c>
      <c r="L976" s="126" t="s">
        <v>731</v>
      </c>
      <c r="M976" s="126" t="s">
        <v>46</v>
      </c>
      <c r="N976" s="126" t="s">
        <v>47</v>
      </c>
      <c r="O976" s="127">
        <v>31778</v>
      </c>
      <c r="P976" s="126"/>
      <c r="Q976" s="126"/>
      <c r="R976" s="126">
        <v>45</v>
      </c>
      <c r="S976" s="126" t="s">
        <v>48</v>
      </c>
    </row>
    <row r="977" spans="1:19" x14ac:dyDescent="0.25">
      <c r="A977" s="126">
        <v>14001</v>
      </c>
      <c r="B977" s="126" t="s">
        <v>39</v>
      </c>
      <c r="C977" s="126" t="s">
        <v>40</v>
      </c>
      <c r="D977" s="126" t="s">
        <v>40</v>
      </c>
      <c r="E977" s="126" t="s">
        <v>2526</v>
      </c>
      <c r="F977" s="126" t="s">
        <v>2527</v>
      </c>
      <c r="G977" s="126">
        <v>49.9</v>
      </c>
      <c r="H977" s="126" t="s">
        <v>43</v>
      </c>
      <c r="I977" s="126" t="s">
        <v>662</v>
      </c>
      <c r="J977" s="126" t="s">
        <v>314</v>
      </c>
      <c r="K977" s="126" t="s">
        <v>599</v>
      </c>
      <c r="L977" s="126" t="s">
        <v>259</v>
      </c>
      <c r="M977" s="126" t="s">
        <v>46</v>
      </c>
      <c r="N977" s="126" t="s">
        <v>47</v>
      </c>
      <c r="O977" s="127">
        <v>37285</v>
      </c>
      <c r="P977" s="126"/>
      <c r="Q977" s="126"/>
      <c r="R977" s="126">
        <v>49.9</v>
      </c>
      <c r="S977" s="126" t="s">
        <v>48</v>
      </c>
    </row>
    <row r="978" spans="1:19" x14ac:dyDescent="0.25">
      <c r="A978" s="126">
        <v>14002</v>
      </c>
      <c r="B978" s="126" t="s">
        <v>39</v>
      </c>
      <c r="C978" s="126" t="s">
        <v>40</v>
      </c>
      <c r="D978" s="126" t="s">
        <v>40</v>
      </c>
      <c r="E978" s="126" t="s">
        <v>2528</v>
      </c>
      <c r="F978" s="126" t="s">
        <v>2529</v>
      </c>
      <c r="G978" s="126">
        <v>49.9</v>
      </c>
      <c r="H978" s="126" t="s">
        <v>43</v>
      </c>
      <c r="I978" s="126" t="s">
        <v>662</v>
      </c>
      <c r="J978" s="126" t="s">
        <v>314</v>
      </c>
      <c r="K978" s="126" t="s">
        <v>599</v>
      </c>
      <c r="L978" s="126" t="s">
        <v>259</v>
      </c>
      <c r="M978" s="126" t="s">
        <v>46</v>
      </c>
      <c r="N978" s="126" t="s">
        <v>47</v>
      </c>
      <c r="O978" s="127">
        <v>37285</v>
      </c>
      <c r="P978" s="126"/>
      <c r="Q978" s="126"/>
      <c r="R978" s="126">
        <v>49.9</v>
      </c>
      <c r="S978" s="126" t="s">
        <v>48</v>
      </c>
    </row>
    <row r="979" spans="1:19" ht="29.25" x14ac:dyDescent="0.25">
      <c r="A979" s="126">
        <v>11800</v>
      </c>
      <c r="B979" s="126" t="s">
        <v>39</v>
      </c>
      <c r="C979" s="126" t="s">
        <v>49</v>
      </c>
      <c r="D979" s="126" t="s">
        <v>40</v>
      </c>
      <c r="E979" s="126" t="s">
        <v>3205</v>
      </c>
      <c r="F979" s="126" t="s">
        <v>3206</v>
      </c>
      <c r="G979" s="126">
        <v>6.75</v>
      </c>
      <c r="H979" s="126" t="s">
        <v>7</v>
      </c>
      <c r="I979" s="126" t="s">
        <v>3204</v>
      </c>
      <c r="J979" s="126" t="s">
        <v>800</v>
      </c>
      <c r="K979" s="126" t="s">
        <v>800</v>
      </c>
      <c r="L979" s="126" t="s">
        <v>800</v>
      </c>
      <c r="M979" s="126" t="s">
        <v>57</v>
      </c>
      <c r="N979" s="126" t="s">
        <v>58</v>
      </c>
      <c r="O979" s="126"/>
      <c r="P979" s="126"/>
      <c r="Q979" s="126"/>
      <c r="R979" s="126">
        <v>6.75</v>
      </c>
      <c r="S979" s="126" t="s">
        <v>48</v>
      </c>
    </row>
    <row r="980" spans="1:19" ht="29.25" x14ac:dyDescent="0.25">
      <c r="A980" s="126">
        <v>11900</v>
      </c>
      <c r="B980" s="126" t="s">
        <v>39</v>
      </c>
      <c r="C980" s="126" t="s">
        <v>49</v>
      </c>
      <c r="D980" s="126" t="s">
        <v>40</v>
      </c>
      <c r="E980" s="126" t="s">
        <v>3207</v>
      </c>
      <c r="F980" s="126" t="s">
        <v>3208</v>
      </c>
      <c r="G980" s="126">
        <v>6.75</v>
      </c>
      <c r="H980" s="126" t="s">
        <v>7</v>
      </c>
      <c r="I980" s="126" t="s">
        <v>3204</v>
      </c>
      <c r="J980" s="126" t="s">
        <v>800</v>
      </c>
      <c r="K980" s="126" t="s">
        <v>800</v>
      </c>
      <c r="L980" s="126" t="s">
        <v>800</v>
      </c>
      <c r="M980" s="126" t="s">
        <v>57</v>
      </c>
      <c r="N980" s="126" t="s">
        <v>58</v>
      </c>
      <c r="O980" s="126"/>
      <c r="P980" s="126"/>
      <c r="Q980" s="126"/>
      <c r="R980" s="126">
        <v>3</v>
      </c>
      <c r="S980" s="126" t="s">
        <v>48</v>
      </c>
    </row>
    <row r="981" spans="1:19" ht="29.25" x14ac:dyDescent="0.25">
      <c r="A981" s="126">
        <v>12000</v>
      </c>
      <c r="B981" s="126" t="s">
        <v>39</v>
      </c>
      <c r="C981" s="126" t="s">
        <v>49</v>
      </c>
      <c r="D981" s="126" t="s">
        <v>40</v>
      </c>
      <c r="E981" s="126" t="s">
        <v>3209</v>
      </c>
      <c r="F981" s="126" t="s">
        <v>3210</v>
      </c>
      <c r="G981" s="126">
        <v>3</v>
      </c>
      <c r="H981" s="126" t="s">
        <v>7</v>
      </c>
      <c r="I981" s="126" t="s">
        <v>3204</v>
      </c>
      <c r="J981" s="126" t="s">
        <v>800</v>
      </c>
      <c r="K981" s="126" t="s">
        <v>800</v>
      </c>
      <c r="L981" s="126" t="s">
        <v>800</v>
      </c>
      <c r="M981" s="126" t="s">
        <v>57</v>
      </c>
      <c r="N981" s="126" t="s">
        <v>58</v>
      </c>
      <c r="O981" s="126"/>
      <c r="P981" s="126"/>
      <c r="Q981" s="126"/>
      <c r="R981" s="126">
        <v>6.75</v>
      </c>
      <c r="S981" s="126" t="s">
        <v>48</v>
      </c>
    </row>
    <row r="982" spans="1:19" x14ac:dyDescent="0.25">
      <c r="A982" s="126">
        <v>14401</v>
      </c>
      <c r="B982" s="126" t="s">
        <v>39</v>
      </c>
      <c r="C982" s="126" t="s">
        <v>40</v>
      </c>
      <c r="D982" s="126" t="s">
        <v>40</v>
      </c>
      <c r="E982" s="126" t="s">
        <v>2336</v>
      </c>
      <c r="F982" s="126" t="s">
        <v>2337</v>
      </c>
      <c r="G982" s="126">
        <v>48</v>
      </c>
      <c r="H982" s="126" t="s">
        <v>43</v>
      </c>
      <c r="I982" s="126" t="s">
        <v>2338</v>
      </c>
      <c r="J982" s="126" t="s">
        <v>314</v>
      </c>
      <c r="K982" s="126" t="s">
        <v>599</v>
      </c>
      <c r="L982" s="126" t="s">
        <v>259</v>
      </c>
      <c r="M982" s="126" t="s">
        <v>46</v>
      </c>
      <c r="N982" s="126" t="s">
        <v>47</v>
      </c>
      <c r="O982" s="127">
        <v>36892</v>
      </c>
      <c r="P982" s="126"/>
      <c r="Q982" s="126"/>
      <c r="R982" s="126">
        <v>48</v>
      </c>
      <c r="S982" s="126" t="s">
        <v>48</v>
      </c>
    </row>
    <row r="983" spans="1:19" x14ac:dyDescent="0.25">
      <c r="A983" s="126">
        <v>14402</v>
      </c>
      <c r="B983" s="126" t="s">
        <v>39</v>
      </c>
      <c r="C983" s="126" t="s">
        <v>40</v>
      </c>
      <c r="D983" s="126" t="s">
        <v>40</v>
      </c>
      <c r="E983" s="126" t="s">
        <v>2339</v>
      </c>
      <c r="F983" s="126" t="s">
        <v>2340</v>
      </c>
      <c r="G983" s="126">
        <v>48</v>
      </c>
      <c r="H983" s="126" t="s">
        <v>43</v>
      </c>
      <c r="I983" s="126" t="s">
        <v>2338</v>
      </c>
      <c r="J983" s="126" t="s">
        <v>314</v>
      </c>
      <c r="K983" s="126" t="s">
        <v>599</v>
      </c>
      <c r="L983" s="126" t="s">
        <v>259</v>
      </c>
      <c r="M983" s="126" t="s">
        <v>46</v>
      </c>
      <c r="N983" s="126" t="s">
        <v>47</v>
      </c>
      <c r="O983" s="127">
        <v>36892</v>
      </c>
      <c r="P983" s="126"/>
      <c r="Q983" s="126"/>
      <c r="R983" s="126">
        <v>48</v>
      </c>
      <c r="S983" s="126" t="s">
        <v>48</v>
      </c>
    </row>
    <row r="984" spans="1:19" x14ac:dyDescent="0.25">
      <c r="A984" s="126">
        <v>14501</v>
      </c>
      <c r="B984" s="126" t="s">
        <v>39</v>
      </c>
      <c r="C984" s="126" t="s">
        <v>40</v>
      </c>
      <c r="D984" s="126" t="s">
        <v>40</v>
      </c>
      <c r="E984" s="126" t="s">
        <v>429</v>
      </c>
      <c r="F984" s="126" t="s">
        <v>430</v>
      </c>
      <c r="G984" s="126">
        <v>72</v>
      </c>
      <c r="H984" s="126" t="s">
        <v>43</v>
      </c>
      <c r="I984" s="126" t="s">
        <v>6</v>
      </c>
      <c r="J984" s="126" t="s">
        <v>44</v>
      </c>
      <c r="K984" s="126" t="s">
        <v>44</v>
      </c>
      <c r="L984" s="126" t="s">
        <v>45</v>
      </c>
      <c r="M984" s="126" t="s">
        <v>46</v>
      </c>
      <c r="N984" s="126" t="s">
        <v>47</v>
      </c>
      <c r="O984" s="127">
        <v>21186</v>
      </c>
      <c r="P984" s="126"/>
      <c r="Q984" s="126" t="s">
        <v>262</v>
      </c>
      <c r="R984" s="126">
        <v>72</v>
      </c>
      <c r="S984" s="126" t="s">
        <v>48</v>
      </c>
    </row>
    <row r="985" spans="1:19" x14ac:dyDescent="0.25">
      <c r="A985" s="126">
        <v>14502</v>
      </c>
      <c r="B985" s="126" t="s">
        <v>39</v>
      </c>
      <c r="C985" s="126" t="s">
        <v>40</v>
      </c>
      <c r="D985" s="126" t="s">
        <v>40</v>
      </c>
      <c r="E985" s="126" t="s">
        <v>431</v>
      </c>
      <c r="F985" s="126" t="s">
        <v>432</v>
      </c>
      <c r="G985" s="126">
        <v>72</v>
      </c>
      <c r="H985" s="126" t="s">
        <v>43</v>
      </c>
      <c r="I985" s="126" t="s">
        <v>6</v>
      </c>
      <c r="J985" s="126" t="s">
        <v>44</v>
      </c>
      <c r="K985" s="126" t="s">
        <v>44</v>
      </c>
      <c r="L985" s="126" t="s">
        <v>45</v>
      </c>
      <c r="M985" s="126" t="s">
        <v>46</v>
      </c>
      <c r="N985" s="126" t="s">
        <v>47</v>
      </c>
      <c r="O985" s="127">
        <v>21186</v>
      </c>
      <c r="P985" s="126"/>
      <c r="Q985" s="126" t="s">
        <v>262</v>
      </c>
      <c r="R985" s="126">
        <v>72</v>
      </c>
      <c r="S985" s="126" t="s">
        <v>48</v>
      </c>
    </row>
    <row r="986" spans="1:19" x14ac:dyDescent="0.25">
      <c r="A986" s="126">
        <v>14701</v>
      </c>
      <c r="B986" s="126" t="s">
        <v>39</v>
      </c>
      <c r="C986" s="126" t="s">
        <v>40</v>
      </c>
      <c r="D986" s="126" t="s">
        <v>40</v>
      </c>
      <c r="E986" s="126" t="s">
        <v>201</v>
      </c>
      <c r="F986" s="126" t="s">
        <v>202</v>
      </c>
      <c r="G986" s="126"/>
      <c r="H986" s="126" t="s">
        <v>43</v>
      </c>
      <c r="I986" s="126" t="s">
        <v>6</v>
      </c>
      <c r="J986" s="126" t="s">
        <v>44</v>
      </c>
      <c r="K986" s="126" t="s">
        <v>44</v>
      </c>
      <c r="L986" s="126" t="s">
        <v>45</v>
      </c>
      <c r="M986" s="126" t="s">
        <v>46</v>
      </c>
      <c r="N986" s="126" t="s">
        <v>47</v>
      </c>
      <c r="O986" s="127">
        <v>7672</v>
      </c>
      <c r="P986" s="126"/>
      <c r="Q986" s="126" t="s">
        <v>194</v>
      </c>
      <c r="R986" s="126">
        <v>2.4</v>
      </c>
      <c r="S986" s="126" t="s">
        <v>48</v>
      </c>
    </row>
    <row r="987" spans="1:19" x14ac:dyDescent="0.25">
      <c r="A987" s="126">
        <v>14702</v>
      </c>
      <c r="B987" s="126" t="s">
        <v>39</v>
      </c>
      <c r="C987" s="126" t="s">
        <v>40</v>
      </c>
      <c r="D987" s="126" t="s">
        <v>40</v>
      </c>
      <c r="E987" s="126" t="s">
        <v>203</v>
      </c>
      <c r="F987" s="126" t="s">
        <v>204</v>
      </c>
      <c r="G987" s="126"/>
      <c r="H987" s="126" t="s">
        <v>43</v>
      </c>
      <c r="I987" s="126" t="s">
        <v>6</v>
      </c>
      <c r="J987" s="126" t="s">
        <v>44</v>
      </c>
      <c r="K987" s="126" t="s">
        <v>44</v>
      </c>
      <c r="L987" s="126" t="s">
        <v>45</v>
      </c>
      <c r="M987" s="126" t="s">
        <v>46</v>
      </c>
      <c r="N987" s="126" t="s">
        <v>47</v>
      </c>
      <c r="O987" s="127">
        <v>7672</v>
      </c>
      <c r="P987" s="126"/>
      <c r="Q987" s="126" t="s">
        <v>194</v>
      </c>
      <c r="R987" s="126">
        <v>2.4</v>
      </c>
      <c r="S987" s="126" t="s">
        <v>48</v>
      </c>
    </row>
    <row r="988" spans="1:19" x14ac:dyDescent="0.25">
      <c r="A988" s="126">
        <v>14800</v>
      </c>
      <c r="B988" s="126" t="s">
        <v>39</v>
      </c>
      <c r="C988" s="126" t="s">
        <v>40</v>
      </c>
      <c r="D988" s="126" t="s">
        <v>40</v>
      </c>
      <c r="E988" s="126" t="s">
        <v>1665</v>
      </c>
      <c r="F988" s="126" t="s">
        <v>1666</v>
      </c>
      <c r="G988" s="126">
        <v>82.3</v>
      </c>
      <c r="H988" s="126" t="s">
        <v>7</v>
      </c>
      <c r="I988" s="126" t="s">
        <v>1667</v>
      </c>
      <c r="J988" s="126" t="s">
        <v>384</v>
      </c>
      <c r="K988" s="126" t="s">
        <v>599</v>
      </c>
      <c r="L988" s="126" t="s">
        <v>259</v>
      </c>
      <c r="M988" s="126" t="s">
        <v>57</v>
      </c>
      <c r="N988" s="126" t="s">
        <v>58</v>
      </c>
      <c r="O988" s="127">
        <v>32143</v>
      </c>
      <c r="P988" s="126"/>
      <c r="Q988" s="126"/>
      <c r="R988" s="126">
        <v>82.35</v>
      </c>
      <c r="S988" s="126" t="s">
        <v>48</v>
      </c>
    </row>
    <row r="989" spans="1:19" x14ac:dyDescent="0.25">
      <c r="A989" s="126">
        <v>14901</v>
      </c>
      <c r="B989" s="126" t="s">
        <v>39</v>
      </c>
      <c r="C989" s="126" t="s">
        <v>40</v>
      </c>
      <c r="D989" s="126" t="s">
        <v>40</v>
      </c>
      <c r="E989" s="126" t="s">
        <v>2418</v>
      </c>
      <c r="F989" s="126" t="s">
        <v>2419</v>
      </c>
      <c r="G989" s="126">
        <v>13.6</v>
      </c>
      <c r="H989" s="126" t="s">
        <v>7</v>
      </c>
      <c r="I989" s="126" t="s">
        <v>1667</v>
      </c>
      <c r="J989" s="126" t="s">
        <v>384</v>
      </c>
      <c r="K989" s="126" t="s">
        <v>385</v>
      </c>
      <c r="L989" s="126" t="s">
        <v>731</v>
      </c>
      <c r="M989" s="126" t="s">
        <v>57</v>
      </c>
      <c r="N989" s="126" t="s">
        <v>58</v>
      </c>
      <c r="O989" s="127">
        <v>37056</v>
      </c>
      <c r="P989" s="126"/>
      <c r="Q989" s="126"/>
      <c r="R989" s="126">
        <v>13.6</v>
      </c>
      <c r="S989" s="126" t="s">
        <v>48</v>
      </c>
    </row>
    <row r="990" spans="1:19" x14ac:dyDescent="0.25">
      <c r="A990" s="126">
        <v>14902</v>
      </c>
      <c r="B990" s="126" t="s">
        <v>39</v>
      </c>
      <c r="C990" s="126" t="s">
        <v>40</v>
      </c>
      <c r="D990" s="126" t="s">
        <v>40</v>
      </c>
      <c r="E990" s="126" t="s">
        <v>2420</v>
      </c>
      <c r="F990" s="126" t="s">
        <v>2421</v>
      </c>
      <c r="G990" s="126">
        <v>11.5</v>
      </c>
      <c r="H990" s="126" t="s">
        <v>7</v>
      </c>
      <c r="I990" s="126" t="s">
        <v>1667</v>
      </c>
      <c r="J990" s="126" t="s">
        <v>384</v>
      </c>
      <c r="K990" s="126" t="s">
        <v>385</v>
      </c>
      <c r="L990" s="126" t="s">
        <v>731</v>
      </c>
      <c r="M990" s="126" t="s">
        <v>57</v>
      </c>
      <c r="N990" s="126" t="s">
        <v>58</v>
      </c>
      <c r="O990" s="127">
        <v>37056</v>
      </c>
      <c r="P990" s="126"/>
      <c r="Q990" s="126"/>
      <c r="R990" s="126">
        <v>11.5</v>
      </c>
      <c r="S990" s="126" t="s">
        <v>48</v>
      </c>
    </row>
    <row r="991" spans="1:19" ht="29.25" x14ac:dyDescent="0.25">
      <c r="A991" s="126">
        <v>82801</v>
      </c>
      <c r="B991" s="126" t="s">
        <v>39</v>
      </c>
      <c r="C991" s="126" t="s">
        <v>40</v>
      </c>
      <c r="D991" s="126" t="s">
        <v>40</v>
      </c>
      <c r="E991" s="126"/>
      <c r="F991" s="126" t="s">
        <v>2644</v>
      </c>
      <c r="G991" s="126"/>
      <c r="H991" s="126" t="s">
        <v>7</v>
      </c>
      <c r="I991" s="126" t="s">
        <v>2643</v>
      </c>
      <c r="J991" s="126" t="s">
        <v>384</v>
      </c>
      <c r="K991" s="126" t="s">
        <v>599</v>
      </c>
      <c r="L991" s="126" t="s">
        <v>259</v>
      </c>
      <c r="M991" s="126" t="s">
        <v>57</v>
      </c>
      <c r="N991" s="126" t="s">
        <v>58</v>
      </c>
      <c r="O991" s="127">
        <v>37732</v>
      </c>
      <c r="P991" s="126"/>
      <c r="Q991" s="126"/>
      <c r="R991" s="126">
        <v>177.3</v>
      </c>
      <c r="S991" s="126" t="s">
        <v>48</v>
      </c>
    </row>
    <row r="992" spans="1:19" ht="29.25" x14ac:dyDescent="0.25">
      <c r="A992" s="126">
        <v>82802</v>
      </c>
      <c r="B992" s="126" t="s">
        <v>39</v>
      </c>
      <c r="C992" s="126" t="s">
        <v>40</v>
      </c>
      <c r="D992" s="126" t="s">
        <v>40</v>
      </c>
      <c r="E992" s="126"/>
      <c r="F992" s="126" t="s">
        <v>2645</v>
      </c>
      <c r="G992" s="126"/>
      <c r="H992" s="126" t="s">
        <v>7</v>
      </c>
      <c r="I992" s="126" t="s">
        <v>2643</v>
      </c>
      <c r="J992" s="126" t="s">
        <v>384</v>
      </c>
      <c r="K992" s="126" t="s">
        <v>599</v>
      </c>
      <c r="L992" s="126" t="s">
        <v>259</v>
      </c>
      <c r="M992" s="126" t="s">
        <v>57</v>
      </c>
      <c r="N992" s="126" t="s">
        <v>58</v>
      </c>
      <c r="O992" s="127">
        <v>37732</v>
      </c>
      <c r="P992" s="126"/>
      <c r="Q992" s="126"/>
      <c r="R992" s="126">
        <v>177.3</v>
      </c>
      <c r="S992" s="126" t="s">
        <v>48</v>
      </c>
    </row>
    <row r="993" spans="1:19" ht="29.25" x14ac:dyDescent="0.25">
      <c r="A993" s="126">
        <v>82803</v>
      </c>
      <c r="B993" s="126" t="s">
        <v>39</v>
      </c>
      <c r="C993" s="126" t="s">
        <v>40</v>
      </c>
      <c r="D993" s="126" t="s">
        <v>40</v>
      </c>
      <c r="E993" s="126"/>
      <c r="F993" s="126" t="s">
        <v>2646</v>
      </c>
      <c r="G993" s="126"/>
      <c r="H993" s="126" t="s">
        <v>7</v>
      </c>
      <c r="I993" s="126" t="s">
        <v>2643</v>
      </c>
      <c r="J993" s="126" t="s">
        <v>384</v>
      </c>
      <c r="K993" s="126" t="s">
        <v>599</v>
      </c>
      <c r="L993" s="126" t="s">
        <v>259</v>
      </c>
      <c r="M993" s="126" t="s">
        <v>57</v>
      </c>
      <c r="N993" s="126" t="s">
        <v>58</v>
      </c>
      <c r="O993" s="127">
        <v>37732</v>
      </c>
      <c r="P993" s="126"/>
      <c r="Q993" s="126"/>
      <c r="R993" s="126">
        <v>177.3</v>
      </c>
      <c r="S993" s="126" t="s">
        <v>48</v>
      </c>
    </row>
    <row r="994" spans="1:19" ht="29.25" x14ac:dyDescent="0.25">
      <c r="A994" s="126">
        <v>82804</v>
      </c>
      <c r="B994" s="126" t="s">
        <v>39</v>
      </c>
      <c r="C994" s="126" t="s">
        <v>40</v>
      </c>
      <c r="D994" s="126" t="s">
        <v>40</v>
      </c>
      <c r="E994" s="126"/>
      <c r="F994" s="126" t="s">
        <v>2647</v>
      </c>
      <c r="G994" s="126"/>
      <c r="H994" s="126" t="s">
        <v>7</v>
      </c>
      <c r="I994" s="126" t="s">
        <v>2643</v>
      </c>
      <c r="J994" s="126" t="s">
        <v>384</v>
      </c>
      <c r="K994" s="126" t="s">
        <v>385</v>
      </c>
      <c r="L994" s="126" t="s">
        <v>731</v>
      </c>
      <c r="M994" s="126" t="s">
        <v>57</v>
      </c>
      <c r="N994" s="126" t="s">
        <v>58</v>
      </c>
      <c r="O994" s="127">
        <v>37732</v>
      </c>
      <c r="P994" s="126"/>
      <c r="Q994" s="126"/>
      <c r="R994" s="126">
        <v>323</v>
      </c>
      <c r="S994" s="126" t="s">
        <v>48</v>
      </c>
    </row>
    <row r="995" spans="1:19" x14ac:dyDescent="0.25">
      <c r="A995" s="126">
        <v>16901</v>
      </c>
      <c r="B995" s="126" t="s">
        <v>39</v>
      </c>
      <c r="C995" s="126" t="s">
        <v>40</v>
      </c>
      <c r="D995" s="126" t="s">
        <v>40</v>
      </c>
      <c r="E995" s="126" t="s">
        <v>604</v>
      </c>
      <c r="F995" s="126" t="s">
        <v>605</v>
      </c>
      <c r="G995" s="126">
        <v>141.6</v>
      </c>
      <c r="H995" s="126" t="s">
        <v>43</v>
      </c>
      <c r="I995" s="126" t="s">
        <v>560</v>
      </c>
      <c r="J995" s="126" t="s">
        <v>44</v>
      </c>
      <c r="K995" s="126" t="s">
        <v>44</v>
      </c>
      <c r="L995" s="126" t="s">
        <v>45</v>
      </c>
      <c r="M995" s="126" t="s">
        <v>46</v>
      </c>
      <c r="N995" s="126" t="s">
        <v>47</v>
      </c>
      <c r="O995" s="127">
        <v>24838</v>
      </c>
      <c r="P995" s="126"/>
      <c r="Q995" s="126"/>
      <c r="R995" s="126">
        <v>141.6</v>
      </c>
      <c r="S995" s="126" t="s">
        <v>48</v>
      </c>
    </row>
    <row r="996" spans="1:19" x14ac:dyDescent="0.25">
      <c r="A996" s="126">
        <v>16902</v>
      </c>
      <c r="B996" s="126" t="s">
        <v>39</v>
      </c>
      <c r="C996" s="126" t="s">
        <v>40</v>
      </c>
      <c r="D996" s="126" t="s">
        <v>40</v>
      </c>
      <c r="E996" s="126" t="s">
        <v>606</v>
      </c>
      <c r="F996" s="126" t="s">
        <v>607</v>
      </c>
      <c r="G996" s="126">
        <v>132.19999999999999</v>
      </c>
      <c r="H996" s="126" t="s">
        <v>43</v>
      </c>
      <c r="I996" s="126" t="s">
        <v>560</v>
      </c>
      <c r="J996" s="126" t="s">
        <v>44</v>
      </c>
      <c r="K996" s="126" t="s">
        <v>561</v>
      </c>
      <c r="L996" s="126" t="s">
        <v>45</v>
      </c>
      <c r="M996" s="126" t="s">
        <v>46</v>
      </c>
      <c r="N996" s="126" t="s">
        <v>47</v>
      </c>
      <c r="O996" s="127">
        <v>24838</v>
      </c>
      <c r="P996" s="126"/>
      <c r="Q996" s="126"/>
      <c r="R996" s="126">
        <v>132.19999999999999</v>
      </c>
      <c r="S996" s="126" t="s">
        <v>48</v>
      </c>
    </row>
    <row r="997" spans="1:19" x14ac:dyDescent="0.25">
      <c r="A997" s="126">
        <v>16903</v>
      </c>
      <c r="B997" s="126" t="s">
        <v>39</v>
      </c>
      <c r="C997" s="126" t="s">
        <v>40</v>
      </c>
      <c r="D997" s="126" t="s">
        <v>40</v>
      </c>
      <c r="E997" s="126" t="s">
        <v>608</v>
      </c>
      <c r="F997" s="126" t="s">
        <v>609</v>
      </c>
      <c r="G997" s="126">
        <v>141.6</v>
      </c>
      <c r="H997" s="126" t="s">
        <v>43</v>
      </c>
      <c r="I997" s="126" t="s">
        <v>560</v>
      </c>
      <c r="J997" s="126" t="s">
        <v>44</v>
      </c>
      <c r="K997" s="126" t="s">
        <v>44</v>
      </c>
      <c r="L997" s="126" t="s">
        <v>45</v>
      </c>
      <c r="M997" s="126" t="s">
        <v>46</v>
      </c>
      <c r="N997" s="126" t="s">
        <v>47</v>
      </c>
      <c r="O997" s="127">
        <v>24838</v>
      </c>
      <c r="P997" s="126"/>
      <c r="Q997" s="126"/>
      <c r="R997" s="126">
        <v>141.6</v>
      </c>
      <c r="S997" s="126" t="s">
        <v>48</v>
      </c>
    </row>
    <row r="998" spans="1:19" x14ac:dyDescent="0.25">
      <c r="A998" s="126">
        <v>16904</v>
      </c>
      <c r="B998" s="126" t="s">
        <v>39</v>
      </c>
      <c r="C998" s="126" t="s">
        <v>40</v>
      </c>
      <c r="D998" s="126" t="s">
        <v>40</v>
      </c>
      <c r="E998" s="126" t="s">
        <v>610</v>
      </c>
      <c r="F998" s="126" t="s">
        <v>611</v>
      </c>
      <c r="G998" s="126">
        <v>132.19999999999999</v>
      </c>
      <c r="H998" s="126" t="s">
        <v>43</v>
      </c>
      <c r="I998" s="126" t="s">
        <v>560</v>
      </c>
      <c r="J998" s="126" t="s">
        <v>44</v>
      </c>
      <c r="K998" s="126" t="s">
        <v>561</v>
      </c>
      <c r="L998" s="126" t="s">
        <v>45</v>
      </c>
      <c r="M998" s="126" t="s">
        <v>46</v>
      </c>
      <c r="N998" s="126" t="s">
        <v>47</v>
      </c>
      <c r="O998" s="127">
        <v>24838</v>
      </c>
      <c r="P998" s="126"/>
      <c r="Q998" s="126"/>
      <c r="R998" s="126">
        <v>132.19999999999999</v>
      </c>
      <c r="S998" s="126" t="s">
        <v>48</v>
      </c>
    </row>
    <row r="999" spans="1:19" x14ac:dyDescent="0.25">
      <c r="A999" s="126">
        <v>16905</v>
      </c>
      <c r="B999" s="126" t="s">
        <v>39</v>
      </c>
      <c r="C999" s="126" t="s">
        <v>40</v>
      </c>
      <c r="D999" s="126" t="s">
        <v>40</v>
      </c>
      <c r="E999" s="126" t="s">
        <v>612</v>
      </c>
      <c r="F999" s="126" t="s">
        <v>613</v>
      </c>
      <c r="G999" s="126">
        <v>141.6</v>
      </c>
      <c r="H999" s="126" t="s">
        <v>43</v>
      </c>
      <c r="I999" s="126" t="s">
        <v>560</v>
      </c>
      <c r="J999" s="126" t="s">
        <v>44</v>
      </c>
      <c r="K999" s="126" t="s">
        <v>44</v>
      </c>
      <c r="L999" s="126" t="s">
        <v>45</v>
      </c>
      <c r="M999" s="126" t="s">
        <v>46</v>
      </c>
      <c r="N999" s="126" t="s">
        <v>47</v>
      </c>
      <c r="O999" s="127">
        <v>24838</v>
      </c>
      <c r="P999" s="126"/>
      <c r="Q999" s="126"/>
      <c r="R999" s="126">
        <v>141.6</v>
      </c>
      <c r="S999" s="126" t="s">
        <v>48</v>
      </c>
    </row>
    <row r="1000" spans="1:19" x14ac:dyDescent="0.25">
      <c r="A1000" s="126">
        <v>16906</v>
      </c>
      <c r="B1000" s="126" t="s">
        <v>39</v>
      </c>
      <c r="C1000" s="126" t="s">
        <v>40</v>
      </c>
      <c r="D1000" s="126" t="s">
        <v>40</v>
      </c>
      <c r="E1000" s="126" t="s">
        <v>614</v>
      </c>
      <c r="F1000" s="126" t="s">
        <v>615</v>
      </c>
      <c r="G1000" s="126">
        <v>132.19999999999999</v>
      </c>
      <c r="H1000" s="126" t="s">
        <v>43</v>
      </c>
      <c r="I1000" s="126" t="s">
        <v>560</v>
      </c>
      <c r="J1000" s="126" t="s">
        <v>44</v>
      </c>
      <c r="K1000" s="126" t="s">
        <v>561</v>
      </c>
      <c r="L1000" s="126" t="s">
        <v>45</v>
      </c>
      <c r="M1000" s="126" t="s">
        <v>46</v>
      </c>
      <c r="N1000" s="126" t="s">
        <v>47</v>
      </c>
      <c r="O1000" s="127">
        <v>24838</v>
      </c>
      <c r="P1000" s="126"/>
      <c r="Q1000" s="126"/>
      <c r="R1000" s="126">
        <v>132.19999999999999</v>
      </c>
      <c r="S1000" s="126" t="s">
        <v>48</v>
      </c>
    </row>
    <row r="1001" spans="1:19" x14ac:dyDescent="0.25">
      <c r="A1001" s="126">
        <v>16907</v>
      </c>
      <c r="B1001" s="126" t="s">
        <v>39</v>
      </c>
      <c r="C1001" s="126" t="s">
        <v>40</v>
      </c>
      <c r="D1001" s="126" t="s">
        <v>40</v>
      </c>
      <c r="E1001" s="126" t="s">
        <v>616</v>
      </c>
      <c r="F1001" s="126" t="s">
        <v>617</v>
      </c>
      <c r="G1001" s="126">
        <v>36</v>
      </c>
      <c r="H1001" s="126" t="s">
        <v>43</v>
      </c>
      <c r="I1001" s="126" t="s">
        <v>560</v>
      </c>
      <c r="J1001" s="126" t="s">
        <v>44</v>
      </c>
      <c r="K1001" s="126" t="s">
        <v>44</v>
      </c>
      <c r="L1001" s="126" t="s">
        <v>45</v>
      </c>
      <c r="M1001" s="126" t="s">
        <v>46</v>
      </c>
      <c r="N1001" s="126" t="s">
        <v>47</v>
      </c>
      <c r="O1001" s="127">
        <v>24838</v>
      </c>
      <c r="P1001" s="126"/>
      <c r="Q1001" s="126"/>
      <c r="R1001" s="126">
        <v>36</v>
      </c>
      <c r="S1001" s="126" t="s">
        <v>48</v>
      </c>
    </row>
    <row r="1002" spans="1:19" x14ac:dyDescent="0.25">
      <c r="A1002" s="126">
        <v>16908</v>
      </c>
      <c r="B1002" s="126" t="s">
        <v>39</v>
      </c>
      <c r="C1002" s="126" t="s">
        <v>40</v>
      </c>
      <c r="D1002" s="126" t="s">
        <v>40</v>
      </c>
      <c r="E1002" s="126" t="s">
        <v>618</v>
      </c>
      <c r="F1002" s="126" t="s">
        <v>619</v>
      </c>
      <c r="G1002" s="126">
        <v>28</v>
      </c>
      <c r="H1002" s="126" t="s">
        <v>43</v>
      </c>
      <c r="I1002" s="126" t="s">
        <v>560</v>
      </c>
      <c r="J1002" s="126" t="s">
        <v>44</v>
      </c>
      <c r="K1002" s="126" t="s">
        <v>561</v>
      </c>
      <c r="L1002" s="126" t="s">
        <v>45</v>
      </c>
      <c r="M1002" s="126" t="s">
        <v>46</v>
      </c>
      <c r="N1002" s="126" t="s">
        <v>47</v>
      </c>
      <c r="O1002" s="127">
        <v>24838</v>
      </c>
      <c r="P1002" s="126"/>
      <c r="Q1002" s="126"/>
      <c r="R1002" s="126">
        <v>28</v>
      </c>
      <c r="S1002" s="126" t="s">
        <v>48</v>
      </c>
    </row>
    <row r="1003" spans="1:19" x14ac:dyDescent="0.25">
      <c r="A1003" s="126">
        <v>16909</v>
      </c>
      <c r="B1003" s="126" t="s">
        <v>39</v>
      </c>
      <c r="C1003" s="126" t="s">
        <v>40</v>
      </c>
      <c r="D1003" s="126" t="s">
        <v>40</v>
      </c>
      <c r="E1003" s="126" t="s">
        <v>620</v>
      </c>
      <c r="F1003" s="126" t="s">
        <v>621</v>
      </c>
      <c r="G1003" s="126">
        <v>28</v>
      </c>
      <c r="H1003" s="126" t="s">
        <v>43</v>
      </c>
      <c r="I1003" s="126" t="s">
        <v>560</v>
      </c>
      <c r="J1003" s="126" t="s">
        <v>44</v>
      </c>
      <c r="K1003" s="126" t="s">
        <v>561</v>
      </c>
      <c r="L1003" s="126" t="s">
        <v>45</v>
      </c>
      <c r="M1003" s="126" t="s">
        <v>46</v>
      </c>
      <c r="N1003" s="126" t="s">
        <v>47</v>
      </c>
      <c r="O1003" s="127">
        <v>24838</v>
      </c>
      <c r="P1003" s="126"/>
      <c r="Q1003" s="126"/>
      <c r="R1003" s="126">
        <v>28</v>
      </c>
      <c r="S1003" s="126" t="s">
        <v>48</v>
      </c>
    </row>
    <row r="1004" spans="1:19" x14ac:dyDescent="0.25">
      <c r="A1004" s="126">
        <v>16910</v>
      </c>
      <c r="B1004" s="126" t="s">
        <v>39</v>
      </c>
      <c r="C1004" s="126" t="s">
        <v>40</v>
      </c>
      <c r="D1004" s="126" t="s">
        <v>40</v>
      </c>
      <c r="E1004" s="126" t="s">
        <v>622</v>
      </c>
      <c r="F1004" s="126" t="s">
        <v>623</v>
      </c>
      <c r="G1004" s="126">
        <v>28</v>
      </c>
      <c r="H1004" s="126" t="s">
        <v>43</v>
      </c>
      <c r="I1004" s="126" t="s">
        <v>560</v>
      </c>
      <c r="J1004" s="126" t="s">
        <v>44</v>
      </c>
      <c r="K1004" s="126" t="s">
        <v>561</v>
      </c>
      <c r="L1004" s="126" t="s">
        <v>45</v>
      </c>
      <c r="M1004" s="126" t="s">
        <v>46</v>
      </c>
      <c r="N1004" s="126" t="s">
        <v>47</v>
      </c>
      <c r="O1004" s="127">
        <v>24838</v>
      </c>
      <c r="P1004" s="126"/>
      <c r="Q1004" s="126"/>
      <c r="R1004" s="126">
        <v>28</v>
      </c>
      <c r="S1004" s="126" t="s">
        <v>48</v>
      </c>
    </row>
    <row r="1005" spans="1:19" x14ac:dyDescent="0.25">
      <c r="A1005" s="126">
        <v>17701</v>
      </c>
      <c r="B1005" s="126" t="s">
        <v>39</v>
      </c>
      <c r="C1005" s="126" t="s">
        <v>40</v>
      </c>
      <c r="D1005" s="126" t="s">
        <v>40</v>
      </c>
      <c r="E1005" s="126"/>
      <c r="F1005" s="126" t="s">
        <v>279</v>
      </c>
      <c r="G1005" s="126"/>
      <c r="H1005" s="126" t="s">
        <v>7</v>
      </c>
      <c r="I1005" s="126" t="s">
        <v>7</v>
      </c>
      <c r="J1005" s="126" t="s">
        <v>44</v>
      </c>
      <c r="K1005" s="126" t="s">
        <v>44</v>
      </c>
      <c r="L1005" s="126" t="s">
        <v>45</v>
      </c>
      <c r="M1005" s="126" t="s">
        <v>57</v>
      </c>
      <c r="N1005" s="126" t="s">
        <v>58</v>
      </c>
      <c r="O1005" s="127">
        <v>10594</v>
      </c>
      <c r="P1005" s="126"/>
      <c r="Q1005" s="126"/>
      <c r="R1005" s="126">
        <v>2.0499999999999998</v>
      </c>
      <c r="S1005" s="126" t="s">
        <v>48</v>
      </c>
    </row>
    <row r="1006" spans="1:19" x14ac:dyDescent="0.25">
      <c r="A1006" s="126">
        <v>17702</v>
      </c>
      <c r="B1006" s="126" t="s">
        <v>39</v>
      </c>
      <c r="C1006" s="126" t="s">
        <v>40</v>
      </c>
      <c r="D1006" s="126" t="s">
        <v>40</v>
      </c>
      <c r="E1006" s="126"/>
      <c r="F1006" s="126" t="s">
        <v>155</v>
      </c>
      <c r="G1006" s="126"/>
      <c r="H1006" s="126" t="s">
        <v>7</v>
      </c>
      <c r="I1006" s="126" t="s">
        <v>7</v>
      </c>
      <c r="J1006" s="126" t="s">
        <v>44</v>
      </c>
      <c r="K1006" s="126" t="s">
        <v>44</v>
      </c>
      <c r="L1006" s="126" t="s">
        <v>45</v>
      </c>
      <c r="M1006" s="126" t="s">
        <v>57</v>
      </c>
      <c r="N1006" s="126" t="s">
        <v>58</v>
      </c>
      <c r="O1006" s="127">
        <v>4750</v>
      </c>
      <c r="P1006" s="126"/>
      <c r="Q1006" s="126"/>
      <c r="R1006" s="126">
        <v>2.4</v>
      </c>
      <c r="S1006" s="126" t="s">
        <v>48</v>
      </c>
    </row>
    <row r="1007" spans="1:19" x14ac:dyDescent="0.25">
      <c r="A1007" s="126">
        <v>17703</v>
      </c>
      <c r="B1007" s="126" t="s">
        <v>39</v>
      </c>
      <c r="C1007" s="126" t="s">
        <v>40</v>
      </c>
      <c r="D1007" s="126" t="s">
        <v>40</v>
      </c>
      <c r="E1007" s="126"/>
      <c r="F1007" s="126" t="s">
        <v>156</v>
      </c>
      <c r="G1007" s="126"/>
      <c r="H1007" s="126" t="s">
        <v>7</v>
      </c>
      <c r="I1007" s="126" t="s">
        <v>7</v>
      </c>
      <c r="J1007" s="126" t="s">
        <v>44</v>
      </c>
      <c r="K1007" s="126" t="s">
        <v>44</v>
      </c>
      <c r="L1007" s="126" t="s">
        <v>45</v>
      </c>
      <c r="M1007" s="126" t="s">
        <v>57</v>
      </c>
      <c r="N1007" s="126" t="s">
        <v>58</v>
      </c>
      <c r="O1007" s="127">
        <v>4750</v>
      </c>
      <c r="P1007" s="126"/>
      <c r="Q1007" s="126"/>
      <c r="R1007" s="126">
        <v>2.1</v>
      </c>
      <c r="S1007" s="126" t="s">
        <v>48</v>
      </c>
    </row>
    <row r="1008" spans="1:19" x14ac:dyDescent="0.25">
      <c r="A1008" s="126">
        <v>18001</v>
      </c>
      <c r="B1008" s="126" t="s">
        <v>39</v>
      </c>
      <c r="C1008" s="126" t="s">
        <v>40</v>
      </c>
      <c r="D1008" s="126" t="s">
        <v>40</v>
      </c>
      <c r="E1008" s="126" t="s">
        <v>635</v>
      </c>
      <c r="F1008" s="126" t="s">
        <v>636</v>
      </c>
      <c r="G1008" s="126">
        <v>18</v>
      </c>
      <c r="H1008" s="126" t="s">
        <v>162</v>
      </c>
      <c r="I1008" s="126" t="s">
        <v>498</v>
      </c>
      <c r="J1008" s="126" t="s">
        <v>314</v>
      </c>
      <c r="K1008" s="126" t="s">
        <v>599</v>
      </c>
      <c r="L1008" s="126" t="s">
        <v>259</v>
      </c>
      <c r="M1008" s="126" t="s">
        <v>57</v>
      </c>
      <c r="N1008" s="126" t="s">
        <v>163</v>
      </c>
      <c r="O1008" s="127">
        <v>25204</v>
      </c>
      <c r="P1008" s="126"/>
      <c r="Q1008" s="126"/>
      <c r="R1008" s="126">
        <v>15</v>
      </c>
      <c r="S1008" s="126" t="s">
        <v>48</v>
      </c>
    </row>
    <row r="1009" spans="1:19" x14ac:dyDescent="0.25">
      <c r="A1009" s="126">
        <v>18002</v>
      </c>
      <c r="B1009" s="126" t="s">
        <v>39</v>
      </c>
      <c r="C1009" s="126" t="s">
        <v>40</v>
      </c>
      <c r="D1009" s="126" t="s">
        <v>40</v>
      </c>
      <c r="E1009" s="126" t="s">
        <v>637</v>
      </c>
      <c r="F1009" s="126" t="s">
        <v>638</v>
      </c>
      <c r="G1009" s="126">
        <v>18</v>
      </c>
      <c r="H1009" s="126" t="s">
        <v>162</v>
      </c>
      <c r="I1009" s="126" t="s">
        <v>498</v>
      </c>
      <c r="J1009" s="126" t="s">
        <v>314</v>
      </c>
      <c r="K1009" s="126" t="s">
        <v>599</v>
      </c>
      <c r="L1009" s="126" t="s">
        <v>259</v>
      </c>
      <c r="M1009" s="126" t="s">
        <v>57</v>
      </c>
      <c r="N1009" s="126" t="s">
        <v>163</v>
      </c>
      <c r="O1009" s="127">
        <v>25204</v>
      </c>
      <c r="P1009" s="126"/>
      <c r="Q1009" s="126"/>
      <c r="R1009" s="126">
        <v>15</v>
      </c>
      <c r="S1009" s="126" t="s">
        <v>48</v>
      </c>
    </row>
    <row r="1010" spans="1:19" x14ac:dyDescent="0.25">
      <c r="A1010" s="126">
        <v>18003</v>
      </c>
      <c r="B1010" s="126" t="s">
        <v>39</v>
      </c>
      <c r="C1010" s="126" t="s">
        <v>40</v>
      </c>
      <c r="D1010" s="126" t="s">
        <v>40</v>
      </c>
      <c r="E1010" s="126" t="s">
        <v>639</v>
      </c>
      <c r="F1010" s="126" t="s">
        <v>640</v>
      </c>
      <c r="G1010" s="126">
        <v>18</v>
      </c>
      <c r="H1010" s="126" t="s">
        <v>162</v>
      </c>
      <c r="I1010" s="126" t="s">
        <v>498</v>
      </c>
      <c r="J1010" s="126" t="s">
        <v>314</v>
      </c>
      <c r="K1010" s="126" t="s">
        <v>599</v>
      </c>
      <c r="L1010" s="126" t="s">
        <v>259</v>
      </c>
      <c r="M1010" s="126" t="s">
        <v>57</v>
      </c>
      <c r="N1010" s="126" t="s">
        <v>163</v>
      </c>
      <c r="O1010" s="127">
        <v>25204</v>
      </c>
      <c r="P1010" s="126"/>
      <c r="Q1010" s="126"/>
      <c r="R1010" s="126">
        <v>15</v>
      </c>
      <c r="S1010" s="126" t="s">
        <v>48</v>
      </c>
    </row>
    <row r="1011" spans="1:19" x14ac:dyDescent="0.25">
      <c r="A1011" s="126">
        <v>18004</v>
      </c>
      <c r="B1011" s="126" t="s">
        <v>39</v>
      </c>
      <c r="C1011" s="126" t="s">
        <v>40</v>
      </c>
      <c r="D1011" s="126" t="s">
        <v>40</v>
      </c>
      <c r="E1011" s="126" t="s">
        <v>641</v>
      </c>
      <c r="F1011" s="126" t="s">
        <v>642</v>
      </c>
      <c r="G1011" s="126">
        <v>18</v>
      </c>
      <c r="H1011" s="126" t="s">
        <v>162</v>
      </c>
      <c r="I1011" s="126" t="s">
        <v>498</v>
      </c>
      <c r="J1011" s="126" t="s">
        <v>314</v>
      </c>
      <c r="K1011" s="126" t="s">
        <v>599</v>
      </c>
      <c r="L1011" s="126" t="s">
        <v>259</v>
      </c>
      <c r="M1011" s="126" t="s">
        <v>57</v>
      </c>
      <c r="N1011" s="126" t="s">
        <v>163</v>
      </c>
      <c r="O1011" s="127">
        <v>25204</v>
      </c>
      <c r="P1011" s="126"/>
      <c r="Q1011" s="126"/>
      <c r="R1011" s="126">
        <v>14</v>
      </c>
      <c r="S1011" s="126" t="s">
        <v>48</v>
      </c>
    </row>
    <row r="1012" spans="1:19" x14ac:dyDescent="0.25">
      <c r="A1012" s="126">
        <v>18101</v>
      </c>
      <c r="B1012" s="126" t="s">
        <v>39</v>
      </c>
      <c r="C1012" s="126" t="s">
        <v>40</v>
      </c>
      <c r="D1012" s="126" t="s">
        <v>40</v>
      </c>
      <c r="E1012" s="126" t="s">
        <v>645</v>
      </c>
      <c r="F1012" s="126" t="s">
        <v>646</v>
      </c>
      <c r="G1012" s="126">
        <v>18</v>
      </c>
      <c r="H1012" s="126" t="s">
        <v>162</v>
      </c>
      <c r="I1012" s="126" t="s">
        <v>498</v>
      </c>
      <c r="J1012" s="126" t="s">
        <v>314</v>
      </c>
      <c r="K1012" s="126" t="s">
        <v>599</v>
      </c>
      <c r="L1012" s="126" t="s">
        <v>259</v>
      </c>
      <c r="M1012" s="126" t="s">
        <v>57</v>
      </c>
      <c r="N1012" s="126" t="s">
        <v>163</v>
      </c>
      <c r="O1012" s="127">
        <v>25204</v>
      </c>
      <c r="P1012" s="126"/>
      <c r="Q1012" s="126"/>
      <c r="R1012" s="126">
        <v>16</v>
      </c>
      <c r="S1012" s="126" t="s">
        <v>48</v>
      </c>
    </row>
    <row r="1013" spans="1:19" x14ac:dyDescent="0.25">
      <c r="A1013" s="126">
        <v>18102</v>
      </c>
      <c r="B1013" s="126" t="s">
        <v>39</v>
      </c>
      <c r="C1013" s="126" t="s">
        <v>40</v>
      </c>
      <c r="D1013" s="126" t="s">
        <v>40</v>
      </c>
      <c r="E1013" s="126" t="s">
        <v>647</v>
      </c>
      <c r="F1013" s="126" t="s">
        <v>648</v>
      </c>
      <c r="G1013" s="126">
        <v>18</v>
      </c>
      <c r="H1013" s="126" t="s">
        <v>162</v>
      </c>
      <c r="I1013" s="126" t="s">
        <v>498</v>
      </c>
      <c r="J1013" s="126" t="s">
        <v>314</v>
      </c>
      <c r="K1013" s="126" t="s">
        <v>599</v>
      </c>
      <c r="L1013" s="126" t="s">
        <v>259</v>
      </c>
      <c r="M1013" s="126" t="s">
        <v>57</v>
      </c>
      <c r="N1013" s="126" t="s">
        <v>163</v>
      </c>
      <c r="O1013" s="127">
        <v>25204</v>
      </c>
      <c r="P1013" s="126"/>
      <c r="Q1013" s="126"/>
      <c r="R1013" s="126">
        <v>15</v>
      </c>
      <c r="S1013" s="126" t="s">
        <v>48</v>
      </c>
    </row>
    <row r="1014" spans="1:19" x14ac:dyDescent="0.25">
      <c r="A1014" s="126">
        <v>18103</v>
      </c>
      <c r="B1014" s="126" t="s">
        <v>39</v>
      </c>
      <c r="C1014" s="126" t="s">
        <v>40</v>
      </c>
      <c r="D1014" s="126" t="s">
        <v>40</v>
      </c>
      <c r="E1014" s="126" t="s">
        <v>649</v>
      </c>
      <c r="F1014" s="126" t="s">
        <v>650</v>
      </c>
      <c r="G1014" s="126">
        <v>18</v>
      </c>
      <c r="H1014" s="126" t="s">
        <v>162</v>
      </c>
      <c r="I1014" s="126" t="s">
        <v>498</v>
      </c>
      <c r="J1014" s="126" t="s">
        <v>314</v>
      </c>
      <c r="K1014" s="126" t="s">
        <v>599</v>
      </c>
      <c r="L1014" s="126" t="s">
        <v>259</v>
      </c>
      <c r="M1014" s="126" t="s">
        <v>57</v>
      </c>
      <c r="N1014" s="126" t="s">
        <v>163</v>
      </c>
      <c r="O1014" s="127">
        <v>25204</v>
      </c>
      <c r="P1014" s="126"/>
      <c r="Q1014" s="126"/>
      <c r="R1014" s="126">
        <v>15</v>
      </c>
      <c r="S1014" s="126" t="s">
        <v>48</v>
      </c>
    </row>
    <row r="1015" spans="1:19" x14ac:dyDescent="0.25">
      <c r="A1015" s="126">
        <v>18104</v>
      </c>
      <c r="B1015" s="126" t="s">
        <v>39</v>
      </c>
      <c r="C1015" s="126" t="s">
        <v>40</v>
      </c>
      <c r="D1015" s="126" t="s">
        <v>40</v>
      </c>
      <c r="E1015" s="126" t="s">
        <v>651</v>
      </c>
      <c r="F1015" s="126" t="s">
        <v>652</v>
      </c>
      <c r="G1015" s="126">
        <v>18</v>
      </c>
      <c r="H1015" s="126" t="s">
        <v>162</v>
      </c>
      <c r="I1015" s="126" t="s">
        <v>498</v>
      </c>
      <c r="J1015" s="126" t="s">
        <v>314</v>
      </c>
      <c r="K1015" s="126" t="s">
        <v>599</v>
      </c>
      <c r="L1015" s="126" t="s">
        <v>259</v>
      </c>
      <c r="M1015" s="126" t="s">
        <v>57</v>
      </c>
      <c r="N1015" s="126" t="s">
        <v>163</v>
      </c>
      <c r="O1015" s="127">
        <v>25204</v>
      </c>
      <c r="P1015" s="126"/>
      <c r="Q1015" s="126"/>
      <c r="R1015" s="126">
        <v>15</v>
      </c>
      <c r="S1015" s="126" t="s">
        <v>48</v>
      </c>
    </row>
    <row r="1016" spans="1:19" x14ac:dyDescent="0.25">
      <c r="A1016" s="126">
        <v>18801</v>
      </c>
      <c r="B1016" s="126" t="s">
        <v>39</v>
      </c>
      <c r="C1016" s="126" t="s">
        <v>40</v>
      </c>
      <c r="D1016" s="126" t="s">
        <v>40</v>
      </c>
      <c r="E1016" s="126"/>
      <c r="F1016" s="126" t="s">
        <v>92</v>
      </c>
      <c r="G1016" s="126"/>
      <c r="H1016" s="126" t="s">
        <v>7</v>
      </c>
      <c r="I1016" s="126" t="s">
        <v>7</v>
      </c>
      <c r="J1016" s="126" t="s">
        <v>44</v>
      </c>
      <c r="K1016" s="126" t="s">
        <v>44</v>
      </c>
      <c r="L1016" s="126" t="s">
        <v>45</v>
      </c>
      <c r="M1016" s="126" t="s">
        <v>57</v>
      </c>
      <c r="N1016" s="126" t="s">
        <v>58</v>
      </c>
      <c r="O1016" s="127">
        <v>2558</v>
      </c>
      <c r="P1016" s="126"/>
      <c r="Q1016" s="126"/>
      <c r="R1016" s="126">
        <v>6.4</v>
      </c>
      <c r="S1016" s="126" t="s">
        <v>48</v>
      </c>
    </row>
    <row r="1017" spans="1:19" x14ac:dyDescent="0.25">
      <c r="A1017" s="126">
        <v>18802</v>
      </c>
      <c r="B1017" s="126" t="s">
        <v>39</v>
      </c>
      <c r="C1017" s="126" t="s">
        <v>40</v>
      </c>
      <c r="D1017" s="126" t="s">
        <v>40</v>
      </c>
      <c r="E1017" s="126"/>
      <c r="F1017" s="126" t="s">
        <v>214</v>
      </c>
      <c r="G1017" s="126"/>
      <c r="H1017" s="126" t="s">
        <v>7</v>
      </c>
      <c r="I1017" s="126" t="s">
        <v>7</v>
      </c>
      <c r="J1017" s="126" t="s">
        <v>44</v>
      </c>
      <c r="K1017" s="126" t="s">
        <v>44</v>
      </c>
      <c r="L1017" s="126" t="s">
        <v>45</v>
      </c>
      <c r="M1017" s="126" t="s">
        <v>57</v>
      </c>
      <c r="N1017" s="126" t="s">
        <v>58</v>
      </c>
      <c r="O1017" s="127">
        <v>7672</v>
      </c>
      <c r="P1017" s="126"/>
      <c r="Q1017" s="126"/>
      <c r="R1017" s="126">
        <v>6.4</v>
      </c>
      <c r="S1017" s="126" t="s">
        <v>48</v>
      </c>
    </row>
    <row r="1018" spans="1:19" x14ac:dyDescent="0.25">
      <c r="A1018" s="126">
        <v>18803</v>
      </c>
      <c r="B1018" s="126" t="s">
        <v>39</v>
      </c>
      <c r="C1018" s="126" t="s">
        <v>40</v>
      </c>
      <c r="D1018" s="126" t="s">
        <v>40</v>
      </c>
      <c r="E1018" s="126"/>
      <c r="F1018" s="126" t="s">
        <v>215</v>
      </c>
      <c r="G1018" s="126"/>
      <c r="H1018" s="126" t="s">
        <v>7</v>
      </c>
      <c r="I1018" s="126" t="s">
        <v>7</v>
      </c>
      <c r="J1018" s="126" t="s">
        <v>44</v>
      </c>
      <c r="K1018" s="126" t="s">
        <v>44</v>
      </c>
      <c r="L1018" s="126" t="s">
        <v>45</v>
      </c>
      <c r="M1018" s="126" t="s">
        <v>57</v>
      </c>
      <c r="N1018" s="126" t="s">
        <v>58</v>
      </c>
      <c r="O1018" s="127">
        <v>7672</v>
      </c>
      <c r="P1018" s="126"/>
      <c r="Q1018" s="126"/>
      <c r="R1018" s="126">
        <v>6.4</v>
      </c>
      <c r="S1018" s="126" t="s">
        <v>48</v>
      </c>
    </row>
    <row r="1019" spans="1:19" x14ac:dyDescent="0.25">
      <c r="A1019" s="126">
        <v>18804</v>
      </c>
      <c r="B1019" s="126" t="s">
        <v>39</v>
      </c>
      <c r="C1019" s="126" t="s">
        <v>40</v>
      </c>
      <c r="D1019" s="126" t="s">
        <v>40</v>
      </c>
      <c r="E1019" s="126"/>
      <c r="F1019" s="126" t="s">
        <v>216</v>
      </c>
      <c r="G1019" s="126"/>
      <c r="H1019" s="126" t="s">
        <v>7</v>
      </c>
      <c r="I1019" s="126" t="s">
        <v>7</v>
      </c>
      <c r="J1019" s="126" t="s">
        <v>44</v>
      </c>
      <c r="K1019" s="126" t="s">
        <v>44</v>
      </c>
      <c r="L1019" s="126" t="s">
        <v>45</v>
      </c>
      <c r="M1019" s="126" t="s">
        <v>57</v>
      </c>
      <c r="N1019" s="126" t="s">
        <v>58</v>
      </c>
      <c r="O1019" s="127">
        <v>7672</v>
      </c>
      <c r="P1019" s="126"/>
      <c r="Q1019" s="126"/>
      <c r="R1019" s="126">
        <v>6.4</v>
      </c>
      <c r="S1019" s="126" t="s">
        <v>48</v>
      </c>
    </row>
    <row r="1020" spans="1:19" x14ac:dyDescent="0.25">
      <c r="A1020" s="126">
        <v>18901</v>
      </c>
      <c r="B1020" s="126" t="s">
        <v>39</v>
      </c>
      <c r="C1020" s="126" t="s">
        <v>40</v>
      </c>
      <c r="D1020" s="126" t="s">
        <v>40</v>
      </c>
      <c r="E1020" s="126" t="s">
        <v>95</v>
      </c>
      <c r="F1020" s="126" t="s">
        <v>96</v>
      </c>
      <c r="G1020" s="126"/>
      <c r="H1020" s="126" t="s">
        <v>7</v>
      </c>
      <c r="I1020" s="126" t="s">
        <v>7</v>
      </c>
      <c r="J1020" s="126" t="s">
        <v>44</v>
      </c>
      <c r="K1020" s="126" t="s">
        <v>44</v>
      </c>
      <c r="L1020" s="126" t="s">
        <v>45</v>
      </c>
      <c r="M1020" s="126" t="s">
        <v>57</v>
      </c>
      <c r="N1020" s="126" t="s">
        <v>58</v>
      </c>
      <c r="O1020" s="127">
        <v>2558</v>
      </c>
      <c r="P1020" s="126"/>
      <c r="Q1020" s="126"/>
      <c r="R1020" s="126">
        <v>18.399999999999999</v>
      </c>
      <c r="S1020" s="126" t="s">
        <v>48</v>
      </c>
    </row>
    <row r="1021" spans="1:19" x14ac:dyDescent="0.25">
      <c r="A1021" s="126">
        <v>18902</v>
      </c>
      <c r="B1021" s="126" t="s">
        <v>39</v>
      </c>
      <c r="C1021" s="126" t="s">
        <v>40</v>
      </c>
      <c r="D1021" s="126" t="s">
        <v>40</v>
      </c>
      <c r="E1021" s="126" t="s">
        <v>217</v>
      </c>
      <c r="F1021" s="126" t="s">
        <v>218</v>
      </c>
      <c r="G1021" s="126"/>
      <c r="H1021" s="126" t="s">
        <v>7</v>
      </c>
      <c r="I1021" s="126" t="s">
        <v>7</v>
      </c>
      <c r="J1021" s="126" t="s">
        <v>44</v>
      </c>
      <c r="K1021" s="126" t="s">
        <v>44</v>
      </c>
      <c r="L1021" s="126" t="s">
        <v>45</v>
      </c>
      <c r="M1021" s="126" t="s">
        <v>57</v>
      </c>
      <c r="N1021" s="126" t="s">
        <v>58</v>
      </c>
      <c r="O1021" s="127">
        <v>7672</v>
      </c>
      <c r="P1021" s="126"/>
      <c r="Q1021" s="126"/>
      <c r="R1021" s="126">
        <v>18.399999999999999</v>
      </c>
      <c r="S1021" s="126" t="s">
        <v>48</v>
      </c>
    </row>
    <row r="1022" spans="1:19" ht="29.25" x14ac:dyDescent="0.25">
      <c r="A1022" s="126">
        <v>91601</v>
      </c>
      <c r="B1022" s="126" t="s">
        <v>39</v>
      </c>
      <c r="C1022" s="126" t="s">
        <v>40</v>
      </c>
      <c r="D1022" s="126" t="s">
        <v>40</v>
      </c>
      <c r="E1022" s="126" t="s">
        <v>2797</v>
      </c>
      <c r="F1022" s="126" t="s">
        <v>2798</v>
      </c>
      <c r="G1022" s="126">
        <v>48.5</v>
      </c>
      <c r="H1022" s="126" t="s">
        <v>43</v>
      </c>
      <c r="I1022" s="126" t="s">
        <v>2796</v>
      </c>
      <c r="J1022" s="126" t="s">
        <v>314</v>
      </c>
      <c r="K1022" s="126" t="s">
        <v>599</v>
      </c>
      <c r="L1022" s="126" t="s">
        <v>259</v>
      </c>
      <c r="M1022" s="126" t="s">
        <v>46</v>
      </c>
      <c r="N1022" s="126" t="s">
        <v>47</v>
      </c>
      <c r="O1022" s="127">
        <v>38614</v>
      </c>
      <c r="P1022" s="126"/>
      <c r="Q1022" s="126"/>
      <c r="R1022" s="126">
        <v>48.5</v>
      </c>
      <c r="S1022" s="126" t="s">
        <v>48</v>
      </c>
    </row>
    <row r="1023" spans="1:19" ht="29.25" x14ac:dyDescent="0.25">
      <c r="A1023" s="126">
        <v>91602</v>
      </c>
      <c r="B1023" s="126" t="s">
        <v>39</v>
      </c>
      <c r="C1023" s="126" t="s">
        <v>40</v>
      </c>
      <c r="D1023" s="126" t="s">
        <v>40</v>
      </c>
      <c r="E1023" s="126" t="s">
        <v>2799</v>
      </c>
      <c r="F1023" s="126" t="s">
        <v>2800</v>
      </c>
      <c r="G1023" s="126">
        <v>48.5</v>
      </c>
      <c r="H1023" s="126" t="s">
        <v>43</v>
      </c>
      <c r="I1023" s="126" t="s">
        <v>2796</v>
      </c>
      <c r="J1023" s="126" t="s">
        <v>314</v>
      </c>
      <c r="K1023" s="126" t="s">
        <v>599</v>
      </c>
      <c r="L1023" s="126" t="s">
        <v>259</v>
      </c>
      <c r="M1023" s="126" t="s">
        <v>46</v>
      </c>
      <c r="N1023" s="126" t="s">
        <v>47</v>
      </c>
      <c r="O1023" s="127">
        <v>38614</v>
      </c>
      <c r="P1023" s="126"/>
      <c r="Q1023" s="126"/>
      <c r="R1023" s="126">
        <v>48.5</v>
      </c>
      <c r="S1023" s="126" t="s">
        <v>48</v>
      </c>
    </row>
    <row r="1024" spans="1:19" ht="43.5" x14ac:dyDescent="0.25">
      <c r="A1024" s="126">
        <v>6701</v>
      </c>
      <c r="B1024" s="126" t="s">
        <v>39</v>
      </c>
      <c r="C1024" s="126" t="s">
        <v>49</v>
      </c>
      <c r="D1024" s="126" t="s">
        <v>40</v>
      </c>
      <c r="E1024" s="126" t="s">
        <v>3222</v>
      </c>
      <c r="F1024" s="126" t="s">
        <v>3223</v>
      </c>
      <c r="G1024" s="126">
        <v>10</v>
      </c>
      <c r="H1024" s="126" t="s">
        <v>7</v>
      </c>
      <c r="I1024" s="126" t="s">
        <v>3221</v>
      </c>
      <c r="J1024" s="126" t="s">
        <v>384</v>
      </c>
      <c r="K1024" s="126" t="s">
        <v>599</v>
      </c>
      <c r="L1024" s="126" t="s">
        <v>259</v>
      </c>
      <c r="M1024" s="126" t="s">
        <v>57</v>
      </c>
      <c r="N1024" s="126" t="s">
        <v>58</v>
      </c>
      <c r="O1024" s="126"/>
      <c r="P1024" s="126"/>
      <c r="Q1024" s="126"/>
      <c r="R1024" s="126">
        <v>10</v>
      </c>
      <c r="S1024" s="126" t="s">
        <v>48</v>
      </c>
    </row>
    <row r="1025" spans="1:19" ht="43.5" x14ac:dyDescent="0.25">
      <c r="A1025" s="126">
        <v>6702</v>
      </c>
      <c r="B1025" s="126" t="s">
        <v>39</v>
      </c>
      <c r="C1025" s="126" t="s">
        <v>49</v>
      </c>
      <c r="D1025" s="126" t="s">
        <v>40</v>
      </c>
      <c r="E1025" s="126" t="s">
        <v>3224</v>
      </c>
      <c r="F1025" s="126" t="s">
        <v>3225</v>
      </c>
      <c r="G1025" s="126">
        <v>10</v>
      </c>
      <c r="H1025" s="126" t="s">
        <v>7</v>
      </c>
      <c r="I1025" s="126" t="s">
        <v>3221</v>
      </c>
      <c r="J1025" s="126" t="s">
        <v>384</v>
      </c>
      <c r="K1025" s="126" t="s">
        <v>599</v>
      </c>
      <c r="L1025" s="126" t="s">
        <v>259</v>
      </c>
      <c r="M1025" s="126" t="s">
        <v>57</v>
      </c>
      <c r="N1025" s="126" t="s">
        <v>58</v>
      </c>
      <c r="O1025" s="126"/>
      <c r="P1025" s="126"/>
      <c r="Q1025" s="126"/>
      <c r="R1025" s="126">
        <v>10</v>
      </c>
      <c r="S1025" s="126" t="s">
        <v>48</v>
      </c>
    </row>
    <row r="1026" spans="1:19" ht="43.5" x14ac:dyDescent="0.25">
      <c r="A1026" s="126">
        <v>6703</v>
      </c>
      <c r="B1026" s="126" t="s">
        <v>39</v>
      </c>
      <c r="C1026" s="126" t="s">
        <v>49</v>
      </c>
      <c r="D1026" s="126" t="s">
        <v>40</v>
      </c>
      <c r="E1026" s="126" t="s">
        <v>3226</v>
      </c>
      <c r="F1026" s="126" t="s">
        <v>3227</v>
      </c>
      <c r="G1026" s="126">
        <v>10</v>
      </c>
      <c r="H1026" s="126" t="s">
        <v>7</v>
      </c>
      <c r="I1026" s="126" t="s">
        <v>3221</v>
      </c>
      <c r="J1026" s="126" t="s">
        <v>384</v>
      </c>
      <c r="K1026" s="126" t="s">
        <v>599</v>
      </c>
      <c r="L1026" s="126" t="s">
        <v>259</v>
      </c>
      <c r="M1026" s="126" t="s">
        <v>57</v>
      </c>
      <c r="N1026" s="126" t="s">
        <v>58</v>
      </c>
      <c r="O1026" s="126"/>
      <c r="P1026" s="126"/>
      <c r="Q1026" s="126"/>
      <c r="R1026" s="126">
        <v>10</v>
      </c>
      <c r="S1026" s="126" t="s">
        <v>48</v>
      </c>
    </row>
    <row r="1027" spans="1:19" ht="43.5" x14ac:dyDescent="0.25">
      <c r="A1027" s="126">
        <v>6704</v>
      </c>
      <c r="B1027" s="126" t="s">
        <v>39</v>
      </c>
      <c r="C1027" s="126" t="s">
        <v>49</v>
      </c>
      <c r="D1027" s="126" t="s">
        <v>40</v>
      </c>
      <c r="E1027" s="126" t="s">
        <v>3228</v>
      </c>
      <c r="F1027" s="126" t="s">
        <v>3229</v>
      </c>
      <c r="G1027" s="126">
        <v>5.5</v>
      </c>
      <c r="H1027" s="126" t="s">
        <v>7</v>
      </c>
      <c r="I1027" s="126" t="s">
        <v>3221</v>
      </c>
      <c r="J1027" s="126" t="s">
        <v>384</v>
      </c>
      <c r="K1027" s="126" t="s">
        <v>385</v>
      </c>
      <c r="L1027" s="126" t="s">
        <v>731</v>
      </c>
      <c r="M1027" s="126" t="s">
        <v>57</v>
      </c>
      <c r="N1027" s="126" t="s">
        <v>58</v>
      </c>
      <c r="O1027" s="126"/>
      <c r="P1027" s="126"/>
      <c r="Q1027" s="126"/>
      <c r="R1027" s="126">
        <v>5.5</v>
      </c>
      <c r="S1027" s="126" t="s">
        <v>48</v>
      </c>
    </row>
    <row r="1028" spans="1:19" ht="29.25" x14ac:dyDescent="0.25">
      <c r="A1028" s="126">
        <v>82701</v>
      </c>
      <c r="B1028" s="126" t="s">
        <v>39</v>
      </c>
      <c r="C1028" s="126" t="s">
        <v>49</v>
      </c>
      <c r="D1028" s="126" t="s">
        <v>40</v>
      </c>
      <c r="E1028" s="126" t="s">
        <v>2627</v>
      </c>
      <c r="F1028" s="126" t="s">
        <v>2628</v>
      </c>
      <c r="G1028" s="126">
        <v>49.9</v>
      </c>
      <c r="H1028" s="126" t="s">
        <v>43</v>
      </c>
      <c r="I1028" s="126" t="s">
        <v>2350</v>
      </c>
      <c r="J1028" s="126" t="s">
        <v>314</v>
      </c>
      <c r="K1028" s="126" t="s">
        <v>599</v>
      </c>
      <c r="L1028" s="126" t="s">
        <v>259</v>
      </c>
      <c r="M1028" s="126" t="s">
        <v>46</v>
      </c>
      <c r="N1028" s="126" t="s">
        <v>47</v>
      </c>
      <c r="O1028" s="127">
        <v>37687</v>
      </c>
      <c r="P1028" s="126"/>
      <c r="Q1028" s="126"/>
      <c r="R1028" s="126">
        <v>49.9</v>
      </c>
      <c r="S1028" s="126" t="s">
        <v>48</v>
      </c>
    </row>
    <row r="1029" spans="1:19" ht="29.25" x14ac:dyDescent="0.25">
      <c r="A1029" s="126">
        <v>82702</v>
      </c>
      <c r="B1029" s="126" t="s">
        <v>39</v>
      </c>
      <c r="C1029" s="126" t="s">
        <v>49</v>
      </c>
      <c r="D1029" s="126" t="s">
        <v>40</v>
      </c>
      <c r="E1029" s="126" t="s">
        <v>2629</v>
      </c>
      <c r="F1029" s="126" t="s">
        <v>2630</v>
      </c>
      <c r="G1029" s="126">
        <v>49.9</v>
      </c>
      <c r="H1029" s="126" t="s">
        <v>43</v>
      </c>
      <c r="I1029" s="126" t="s">
        <v>2350</v>
      </c>
      <c r="J1029" s="126" t="s">
        <v>314</v>
      </c>
      <c r="K1029" s="126" t="s">
        <v>599</v>
      </c>
      <c r="L1029" s="126" t="s">
        <v>259</v>
      </c>
      <c r="M1029" s="126" t="s">
        <v>46</v>
      </c>
      <c r="N1029" s="126" t="s">
        <v>47</v>
      </c>
      <c r="O1029" s="127">
        <v>37687</v>
      </c>
      <c r="P1029" s="126"/>
      <c r="Q1029" s="126"/>
      <c r="R1029" s="126">
        <v>49.9</v>
      </c>
      <c r="S1029" s="126" t="s">
        <v>48</v>
      </c>
    </row>
    <row r="1030" spans="1:19" ht="29.25" x14ac:dyDescent="0.25">
      <c r="A1030" s="126">
        <v>82703</v>
      </c>
      <c r="B1030" s="126" t="s">
        <v>39</v>
      </c>
      <c r="C1030" s="126" t="s">
        <v>49</v>
      </c>
      <c r="D1030" s="126" t="s">
        <v>40</v>
      </c>
      <c r="E1030" s="126" t="s">
        <v>2631</v>
      </c>
      <c r="F1030" s="126" t="s">
        <v>2632</v>
      </c>
      <c r="G1030" s="126">
        <v>49.9</v>
      </c>
      <c r="H1030" s="126" t="s">
        <v>43</v>
      </c>
      <c r="I1030" s="126" t="s">
        <v>2350</v>
      </c>
      <c r="J1030" s="126" t="s">
        <v>314</v>
      </c>
      <c r="K1030" s="126" t="s">
        <v>599</v>
      </c>
      <c r="L1030" s="126" t="s">
        <v>259</v>
      </c>
      <c r="M1030" s="126" t="s">
        <v>46</v>
      </c>
      <c r="N1030" s="126" t="s">
        <v>47</v>
      </c>
      <c r="O1030" s="127">
        <v>37687</v>
      </c>
      <c r="P1030" s="126"/>
      <c r="Q1030" s="126"/>
      <c r="R1030" s="126">
        <v>49.9</v>
      </c>
      <c r="S1030" s="126" t="s">
        <v>48</v>
      </c>
    </row>
    <row r="1031" spans="1:19" ht="29.25" x14ac:dyDescent="0.25">
      <c r="A1031" s="126">
        <v>82704</v>
      </c>
      <c r="B1031" s="126" t="s">
        <v>39</v>
      </c>
      <c r="C1031" s="126" t="s">
        <v>49</v>
      </c>
      <c r="D1031" s="126" t="s">
        <v>40</v>
      </c>
      <c r="E1031" s="126" t="s">
        <v>2633</v>
      </c>
      <c r="F1031" s="126" t="s">
        <v>2634</v>
      </c>
      <c r="G1031" s="126">
        <v>49.9</v>
      </c>
      <c r="H1031" s="126" t="s">
        <v>43</v>
      </c>
      <c r="I1031" s="126" t="s">
        <v>2350</v>
      </c>
      <c r="J1031" s="126" t="s">
        <v>314</v>
      </c>
      <c r="K1031" s="126" t="s">
        <v>599</v>
      </c>
      <c r="L1031" s="126" t="s">
        <v>259</v>
      </c>
      <c r="M1031" s="126" t="s">
        <v>46</v>
      </c>
      <c r="N1031" s="126" t="s">
        <v>47</v>
      </c>
      <c r="O1031" s="127">
        <v>37687</v>
      </c>
      <c r="P1031" s="126"/>
      <c r="Q1031" s="126"/>
      <c r="R1031" s="126">
        <v>49.9</v>
      </c>
      <c r="S1031" s="126" t="s">
        <v>48</v>
      </c>
    </row>
    <row r="1032" spans="1:19" x14ac:dyDescent="0.25">
      <c r="A1032" s="126">
        <v>20101</v>
      </c>
      <c r="B1032" s="126" t="s">
        <v>39</v>
      </c>
      <c r="C1032" s="126" t="s">
        <v>49</v>
      </c>
      <c r="D1032" s="126" t="s">
        <v>40</v>
      </c>
      <c r="E1032" s="126" t="s">
        <v>2374</v>
      </c>
      <c r="F1032" s="126" t="s">
        <v>2375</v>
      </c>
      <c r="G1032" s="126">
        <v>177</v>
      </c>
      <c r="H1032" s="126" t="s">
        <v>43</v>
      </c>
      <c r="I1032" s="126" t="s">
        <v>2350</v>
      </c>
      <c r="J1032" s="126" t="s">
        <v>384</v>
      </c>
      <c r="K1032" s="126" t="s">
        <v>599</v>
      </c>
      <c r="L1032" s="126" t="s">
        <v>259</v>
      </c>
      <c r="M1032" s="126" t="s">
        <v>46</v>
      </c>
      <c r="N1032" s="126" t="s">
        <v>47</v>
      </c>
      <c r="O1032" s="127">
        <v>37051</v>
      </c>
      <c r="P1032" s="126"/>
      <c r="Q1032" s="126"/>
      <c r="R1032" s="126">
        <v>169.9</v>
      </c>
      <c r="S1032" s="126" t="s">
        <v>48</v>
      </c>
    </row>
    <row r="1033" spans="1:19" x14ac:dyDescent="0.25">
      <c r="A1033" s="126">
        <v>20102</v>
      </c>
      <c r="B1033" s="126" t="s">
        <v>39</v>
      </c>
      <c r="C1033" s="126" t="s">
        <v>49</v>
      </c>
      <c r="D1033" s="126" t="s">
        <v>40</v>
      </c>
      <c r="E1033" s="126" t="s">
        <v>2376</v>
      </c>
      <c r="F1033" s="126" t="s">
        <v>2377</v>
      </c>
      <c r="G1033" s="126">
        <v>177</v>
      </c>
      <c r="H1033" s="126" t="s">
        <v>43</v>
      </c>
      <c r="I1033" s="126" t="s">
        <v>2350</v>
      </c>
      <c r="J1033" s="126" t="s">
        <v>384</v>
      </c>
      <c r="K1033" s="126" t="s">
        <v>599</v>
      </c>
      <c r="L1033" s="126" t="s">
        <v>259</v>
      </c>
      <c r="M1033" s="126" t="s">
        <v>46</v>
      </c>
      <c r="N1033" s="126" t="s">
        <v>47</v>
      </c>
      <c r="O1033" s="127">
        <v>37051</v>
      </c>
      <c r="P1033" s="126"/>
      <c r="Q1033" s="126"/>
      <c r="R1033" s="126">
        <v>169.9</v>
      </c>
      <c r="S1033" s="126" t="s">
        <v>48</v>
      </c>
    </row>
    <row r="1034" spans="1:19" x14ac:dyDescent="0.25">
      <c r="A1034" s="126">
        <v>20103</v>
      </c>
      <c r="B1034" s="126" t="s">
        <v>39</v>
      </c>
      <c r="C1034" s="126" t="s">
        <v>49</v>
      </c>
      <c r="D1034" s="126" t="s">
        <v>40</v>
      </c>
      <c r="E1034" s="126" t="s">
        <v>2378</v>
      </c>
      <c r="F1034" s="126" t="s">
        <v>2379</v>
      </c>
      <c r="G1034" s="126">
        <v>243</v>
      </c>
      <c r="H1034" s="126" t="s">
        <v>43</v>
      </c>
      <c r="I1034" s="126" t="s">
        <v>2350</v>
      </c>
      <c r="J1034" s="126" t="s">
        <v>384</v>
      </c>
      <c r="K1034" s="126" t="s">
        <v>385</v>
      </c>
      <c r="L1034" s="126" t="s">
        <v>731</v>
      </c>
      <c r="M1034" s="126" t="s">
        <v>46</v>
      </c>
      <c r="N1034" s="126" t="s">
        <v>47</v>
      </c>
      <c r="O1034" s="127">
        <v>37051</v>
      </c>
      <c r="P1034" s="126"/>
      <c r="Q1034" s="126"/>
      <c r="R1034" s="126">
        <v>180.19</v>
      </c>
      <c r="S1034" s="126" t="s">
        <v>48</v>
      </c>
    </row>
    <row r="1035" spans="1:19" x14ac:dyDescent="0.25">
      <c r="A1035" s="126">
        <v>20301</v>
      </c>
      <c r="B1035" s="126" t="s">
        <v>39</v>
      </c>
      <c r="C1035" s="126" t="s">
        <v>40</v>
      </c>
      <c r="D1035" s="126" t="s">
        <v>40</v>
      </c>
      <c r="E1035" s="126"/>
      <c r="F1035" s="126" t="s">
        <v>132</v>
      </c>
      <c r="G1035" s="126"/>
      <c r="H1035" s="126" t="s">
        <v>7</v>
      </c>
      <c r="I1035" s="126" t="s">
        <v>7</v>
      </c>
      <c r="J1035" s="126" t="s">
        <v>44</v>
      </c>
      <c r="K1035" s="126" t="s">
        <v>44</v>
      </c>
      <c r="L1035" s="126" t="s">
        <v>45</v>
      </c>
      <c r="M1035" s="126" t="s">
        <v>57</v>
      </c>
      <c r="N1035" s="126" t="s">
        <v>58</v>
      </c>
      <c r="O1035" s="127">
        <v>4019</v>
      </c>
      <c r="P1035" s="126"/>
      <c r="Q1035" s="126"/>
      <c r="R1035" s="126">
        <v>1.5</v>
      </c>
      <c r="S1035" s="126" t="s">
        <v>48</v>
      </c>
    </row>
    <row r="1036" spans="1:19" x14ac:dyDescent="0.25">
      <c r="A1036" s="126">
        <v>20302</v>
      </c>
      <c r="B1036" s="126" t="s">
        <v>39</v>
      </c>
      <c r="C1036" s="126" t="s">
        <v>40</v>
      </c>
      <c r="D1036" s="126" t="s">
        <v>40</v>
      </c>
      <c r="E1036" s="126"/>
      <c r="F1036" s="126" t="s">
        <v>133</v>
      </c>
      <c r="G1036" s="126"/>
      <c r="H1036" s="126" t="s">
        <v>7</v>
      </c>
      <c r="I1036" s="126" t="s">
        <v>7</v>
      </c>
      <c r="J1036" s="126" t="s">
        <v>44</v>
      </c>
      <c r="K1036" s="126" t="s">
        <v>44</v>
      </c>
      <c r="L1036" s="126" t="s">
        <v>45</v>
      </c>
      <c r="M1036" s="126" t="s">
        <v>57</v>
      </c>
      <c r="N1036" s="126" t="s">
        <v>58</v>
      </c>
      <c r="O1036" s="127">
        <v>4384</v>
      </c>
      <c r="P1036" s="126"/>
      <c r="Q1036" s="126"/>
      <c r="R1036" s="126">
        <v>1.5</v>
      </c>
      <c r="S1036" s="126" t="s">
        <v>48</v>
      </c>
    </row>
    <row r="1037" spans="1:19" ht="29.25" x14ac:dyDescent="0.25">
      <c r="A1037" s="126">
        <v>92501</v>
      </c>
      <c r="B1037" s="126" t="s">
        <v>39</v>
      </c>
      <c r="C1037" s="126" t="s">
        <v>40</v>
      </c>
      <c r="D1037" s="126" t="s">
        <v>40</v>
      </c>
      <c r="E1037" s="126" t="s">
        <v>2804</v>
      </c>
      <c r="F1037" s="126" t="s">
        <v>2805</v>
      </c>
      <c r="G1037" s="126">
        <v>42</v>
      </c>
      <c r="H1037" s="126" t="s">
        <v>7</v>
      </c>
      <c r="I1037" s="126" t="s">
        <v>2803</v>
      </c>
      <c r="J1037" s="126" t="s">
        <v>384</v>
      </c>
      <c r="K1037" s="126" t="s">
        <v>599</v>
      </c>
      <c r="L1037" s="126" t="s">
        <v>259</v>
      </c>
      <c r="M1037" s="126" t="s">
        <v>57</v>
      </c>
      <c r="N1037" s="126" t="s">
        <v>317</v>
      </c>
      <c r="O1037" s="127">
        <v>38642</v>
      </c>
      <c r="P1037" s="126"/>
      <c r="Q1037" s="126"/>
      <c r="R1037" s="126">
        <v>42</v>
      </c>
      <c r="S1037" s="126" t="s">
        <v>48</v>
      </c>
    </row>
    <row r="1038" spans="1:19" ht="29.25" x14ac:dyDescent="0.25">
      <c r="A1038" s="126">
        <v>92502</v>
      </c>
      <c r="B1038" s="126" t="s">
        <v>39</v>
      </c>
      <c r="C1038" s="126" t="s">
        <v>40</v>
      </c>
      <c r="D1038" s="126" t="s">
        <v>40</v>
      </c>
      <c r="E1038" s="126" t="s">
        <v>2806</v>
      </c>
      <c r="F1038" s="126" t="s">
        <v>2807</v>
      </c>
      <c r="G1038" s="126">
        <v>42</v>
      </c>
      <c r="H1038" s="126" t="s">
        <v>7</v>
      </c>
      <c r="I1038" s="126" t="s">
        <v>2803</v>
      </c>
      <c r="J1038" s="126" t="s">
        <v>384</v>
      </c>
      <c r="K1038" s="126" t="s">
        <v>599</v>
      </c>
      <c r="L1038" s="126" t="s">
        <v>259</v>
      </c>
      <c r="M1038" s="126" t="s">
        <v>57</v>
      </c>
      <c r="N1038" s="126" t="s">
        <v>317</v>
      </c>
      <c r="O1038" s="127">
        <v>38642</v>
      </c>
      <c r="P1038" s="126"/>
      <c r="Q1038" s="126"/>
      <c r="R1038" s="126">
        <v>42</v>
      </c>
      <c r="S1038" s="126" t="s">
        <v>48</v>
      </c>
    </row>
    <row r="1039" spans="1:19" ht="29.25" x14ac:dyDescent="0.25">
      <c r="A1039" s="126">
        <v>92503</v>
      </c>
      <c r="B1039" s="126" t="s">
        <v>39</v>
      </c>
      <c r="C1039" s="126" t="s">
        <v>40</v>
      </c>
      <c r="D1039" s="126" t="s">
        <v>40</v>
      </c>
      <c r="E1039" s="126" t="s">
        <v>2808</v>
      </c>
      <c r="F1039" s="126" t="s">
        <v>2809</v>
      </c>
      <c r="G1039" s="126">
        <v>50</v>
      </c>
      <c r="H1039" s="126" t="s">
        <v>7</v>
      </c>
      <c r="I1039" s="126" t="s">
        <v>2803</v>
      </c>
      <c r="J1039" s="126" t="s">
        <v>384</v>
      </c>
      <c r="K1039" s="126" t="s">
        <v>385</v>
      </c>
      <c r="L1039" s="126" t="s">
        <v>731</v>
      </c>
      <c r="M1039" s="126" t="s">
        <v>57</v>
      </c>
      <c r="N1039" s="126" t="s">
        <v>317</v>
      </c>
      <c r="O1039" s="127">
        <v>38642</v>
      </c>
      <c r="P1039" s="126"/>
      <c r="Q1039" s="126"/>
      <c r="R1039" s="126">
        <v>50</v>
      </c>
      <c r="S1039" s="126" t="s">
        <v>48</v>
      </c>
    </row>
    <row r="1040" spans="1:19" ht="29.25" x14ac:dyDescent="0.25">
      <c r="A1040" s="126">
        <v>91801</v>
      </c>
      <c r="B1040" s="126" t="s">
        <v>39</v>
      </c>
      <c r="C1040" s="126" t="s">
        <v>40</v>
      </c>
      <c r="D1040" s="126" t="s">
        <v>40</v>
      </c>
      <c r="E1040" s="126" t="s">
        <v>2771</v>
      </c>
      <c r="F1040" s="126" t="s">
        <v>2772</v>
      </c>
      <c r="G1040" s="126"/>
      <c r="H1040" s="126" t="s">
        <v>43</v>
      </c>
      <c r="I1040" s="126" t="s">
        <v>2350</v>
      </c>
      <c r="J1040" s="126" t="s">
        <v>384</v>
      </c>
      <c r="K1040" s="126" t="s">
        <v>599</v>
      </c>
      <c r="L1040" s="126" t="s">
        <v>259</v>
      </c>
      <c r="M1040" s="126" t="s">
        <v>46</v>
      </c>
      <c r="N1040" s="126" t="s">
        <v>47</v>
      </c>
      <c r="O1040" s="127">
        <v>38499</v>
      </c>
      <c r="P1040" s="126"/>
      <c r="Q1040" s="126"/>
      <c r="R1040" s="126">
        <v>193</v>
      </c>
      <c r="S1040" s="126" t="s">
        <v>48</v>
      </c>
    </row>
    <row r="1041" spans="1:19" ht="29.25" x14ac:dyDescent="0.25">
      <c r="A1041" s="126">
        <v>91802</v>
      </c>
      <c r="B1041" s="126" t="s">
        <v>39</v>
      </c>
      <c r="C1041" s="126" t="s">
        <v>40</v>
      </c>
      <c r="D1041" s="126" t="s">
        <v>40</v>
      </c>
      <c r="E1041" s="126" t="s">
        <v>2773</v>
      </c>
      <c r="F1041" s="126" t="s">
        <v>2774</v>
      </c>
      <c r="G1041" s="126"/>
      <c r="H1041" s="126" t="s">
        <v>43</v>
      </c>
      <c r="I1041" s="126" t="s">
        <v>2350</v>
      </c>
      <c r="J1041" s="126" t="s">
        <v>384</v>
      </c>
      <c r="K1041" s="126" t="s">
        <v>599</v>
      </c>
      <c r="L1041" s="126" t="s">
        <v>259</v>
      </c>
      <c r="M1041" s="126" t="s">
        <v>46</v>
      </c>
      <c r="N1041" s="126" t="s">
        <v>47</v>
      </c>
      <c r="O1041" s="127">
        <v>38499</v>
      </c>
      <c r="P1041" s="126"/>
      <c r="Q1041" s="126"/>
      <c r="R1041" s="126">
        <v>193</v>
      </c>
      <c r="S1041" s="126" t="s">
        <v>48</v>
      </c>
    </row>
    <row r="1042" spans="1:19" ht="29.25" x14ac:dyDescent="0.25">
      <c r="A1042" s="126">
        <v>91803</v>
      </c>
      <c r="B1042" s="126" t="s">
        <v>39</v>
      </c>
      <c r="C1042" s="126" t="s">
        <v>40</v>
      </c>
      <c r="D1042" s="126" t="s">
        <v>40</v>
      </c>
      <c r="E1042" s="126" t="s">
        <v>2775</v>
      </c>
      <c r="F1042" s="126" t="s">
        <v>2776</v>
      </c>
      <c r="G1042" s="126"/>
      <c r="H1042" s="126" t="s">
        <v>43</v>
      </c>
      <c r="I1042" s="126" t="s">
        <v>2350</v>
      </c>
      <c r="J1042" s="126" t="s">
        <v>384</v>
      </c>
      <c r="K1042" s="126" t="s">
        <v>385</v>
      </c>
      <c r="L1042" s="126" t="s">
        <v>731</v>
      </c>
      <c r="M1042" s="126" t="s">
        <v>46</v>
      </c>
      <c r="N1042" s="126" t="s">
        <v>47</v>
      </c>
      <c r="O1042" s="127">
        <v>38499</v>
      </c>
      <c r="P1042" s="126"/>
      <c r="Q1042" s="126"/>
      <c r="R1042" s="126">
        <v>231</v>
      </c>
      <c r="S1042" s="126" t="s">
        <v>48</v>
      </c>
    </row>
    <row r="1043" spans="1:19" ht="29.25" x14ac:dyDescent="0.25">
      <c r="A1043" s="126">
        <v>82901</v>
      </c>
      <c r="B1043" s="126" t="s">
        <v>39</v>
      </c>
      <c r="C1043" s="126" t="s">
        <v>40</v>
      </c>
      <c r="D1043" s="126" t="s">
        <v>40</v>
      </c>
      <c r="E1043" s="126"/>
      <c r="F1043" s="126" t="s">
        <v>2651</v>
      </c>
      <c r="G1043" s="126"/>
      <c r="H1043" s="126" t="s">
        <v>7</v>
      </c>
      <c r="I1043" s="126" t="s">
        <v>2650</v>
      </c>
      <c r="J1043" s="126" t="s">
        <v>807</v>
      </c>
      <c r="K1043" s="126" t="s">
        <v>315</v>
      </c>
      <c r="L1043" s="126" t="s">
        <v>915</v>
      </c>
      <c r="M1043" s="126" t="s">
        <v>57</v>
      </c>
      <c r="N1043" s="126" t="s">
        <v>58</v>
      </c>
      <c r="O1043" s="127">
        <v>37732</v>
      </c>
      <c r="P1043" s="126"/>
      <c r="Q1043" s="126"/>
      <c r="R1043" s="126">
        <v>1.25</v>
      </c>
      <c r="S1043" s="126" t="s">
        <v>48</v>
      </c>
    </row>
    <row r="1044" spans="1:19" ht="29.25" x14ac:dyDescent="0.25">
      <c r="A1044" s="126">
        <v>82902</v>
      </c>
      <c r="B1044" s="126" t="s">
        <v>39</v>
      </c>
      <c r="C1044" s="126" t="s">
        <v>40</v>
      </c>
      <c r="D1044" s="126" t="s">
        <v>40</v>
      </c>
      <c r="E1044" s="126"/>
      <c r="F1044" s="126" t="s">
        <v>2652</v>
      </c>
      <c r="G1044" s="126"/>
      <c r="H1044" s="126" t="s">
        <v>7</v>
      </c>
      <c r="I1044" s="126" t="s">
        <v>2650</v>
      </c>
      <c r="J1044" s="126" t="s">
        <v>807</v>
      </c>
      <c r="K1044" s="126" t="s">
        <v>315</v>
      </c>
      <c r="L1044" s="126" t="s">
        <v>915</v>
      </c>
      <c r="M1044" s="126" t="s">
        <v>57</v>
      </c>
      <c r="N1044" s="126" t="s">
        <v>58</v>
      </c>
      <c r="O1044" s="127">
        <v>37732</v>
      </c>
      <c r="P1044" s="126"/>
      <c r="Q1044" s="126"/>
      <c r="R1044" s="126">
        <v>1.25</v>
      </c>
      <c r="S1044" s="126" t="s">
        <v>48</v>
      </c>
    </row>
    <row r="1045" spans="1:19" x14ac:dyDescent="0.25">
      <c r="A1045" s="126">
        <v>21201</v>
      </c>
      <c r="B1045" s="126" t="s">
        <v>39</v>
      </c>
      <c r="C1045" s="126" t="s">
        <v>40</v>
      </c>
      <c r="D1045" s="126" t="s">
        <v>40</v>
      </c>
      <c r="E1045" s="126" t="s">
        <v>537</v>
      </c>
      <c r="F1045" s="126" t="s">
        <v>538</v>
      </c>
      <c r="G1045" s="126">
        <v>65.7</v>
      </c>
      <c r="H1045" s="126" t="s">
        <v>43</v>
      </c>
      <c r="I1045" s="126" t="s">
        <v>531</v>
      </c>
      <c r="J1045" s="126" t="s">
        <v>44</v>
      </c>
      <c r="K1045" s="126" t="s">
        <v>44</v>
      </c>
      <c r="L1045" s="126" t="s">
        <v>45</v>
      </c>
      <c r="M1045" s="126" t="s">
        <v>46</v>
      </c>
      <c r="N1045" s="126" t="s">
        <v>47</v>
      </c>
      <c r="O1045" s="127">
        <v>24108</v>
      </c>
      <c r="P1045" s="126"/>
      <c r="Q1045" s="126" t="s">
        <v>532</v>
      </c>
      <c r="R1045" s="126">
        <v>65.7</v>
      </c>
      <c r="S1045" s="126" t="s">
        <v>48</v>
      </c>
    </row>
    <row r="1046" spans="1:19" x14ac:dyDescent="0.25">
      <c r="A1046" s="126">
        <v>21202</v>
      </c>
      <c r="B1046" s="126" t="s">
        <v>39</v>
      </c>
      <c r="C1046" s="126" t="s">
        <v>40</v>
      </c>
      <c r="D1046" s="126" t="s">
        <v>40</v>
      </c>
      <c r="E1046" s="126" t="s">
        <v>539</v>
      </c>
      <c r="F1046" s="126" t="s">
        <v>540</v>
      </c>
      <c r="G1046" s="126">
        <v>69</v>
      </c>
      <c r="H1046" s="126" t="s">
        <v>43</v>
      </c>
      <c r="I1046" s="126" t="s">
        <v>531</v>
      </c>
      <c r="J1046" s="126" t="s">
        <v>44</v>
      </c>
      <c r="K1046" s="126" t="s">
        <v>44</v>
      </c>
      <c r="L1046" s="126" t="s">
        <v>45</v>
      </c>
      <c r="M1046" s="126" t="s">
        <v>46</v>
      </c>
      <c r="N1046" s="126" t="s">
        <v>47</v>
      </c>
      <c r="O1046" s="127">
        <v>24108</v>
      </c>
      <c r="P1046" s="126"/>
      <c r="Q1046" s="126" t="s">
        <v>532</v>
      </c>
      <c r="R1046" s="126">
        <v>69</v>
      </c>
      <c r="S1046" s="126" t="s">
        <v>48</v>
      </c>
    </row>
    <row r="1047" spans="1:19" x14ac:dyDescent="0.25">
      <c r="A1047" s="126">
        <v>21203</v>
      </c>
      <c r="B1047" s="126" t="s">
        <v>39</v>
      </c>
      <c r="C1047" s="126" t="s">
        <v>40</v>
      </c>
      <c r="D1047" s="126" t="s">
        <v>40</v>
      </c>
      <c r="E1047" s="126" t="s">
        <v>541</v>
      </c>
      <c r="F1047" s="126" t="s">
        <v>542</v>
      </c>
      <c r="G1047" s="126">
        <v>86</v>
      </c>
      <c r="H1047" s="126" t="s">
        <v>43</v>
      </c>
      <c r="I1047" s="126" t="s">
        <v>531</v>
      </c>
      <c r="J1047" s="126" t="s">
        <v>44</v>
      </c>
      <c r="K1047" s="126" t="s">
        <v>44</v>
      </c>
      <c r="L1047" s="126" t="s">
        <v>45</v>
      </c>
      <c r="M1047" s="126" t="s">
        <v>46</v>
      </c>
      <c r="N1047" s="126" t="s">
        <v>47</v>
      </c>
      <c r="O1047" s="127">
        <v>24108</v>
      </c>
      <c r="P1047" s="126"/>
      <c r="Q1047" s="126" t="s">
        <v>532</v>
      </c>
      <c r="R1047" s="126">
        <v>86</v>
      </c>
      <c r="S1047" s="126" t="s">
        <v>48</v>
      </c>
    </row>
    <row r="1048" spans="1:19" ht="29.25" x14ac:dyDescent="0.25">
      <c r="A1048" s="126">
        <v>21401</v>
      </c>
      <c r="B1048" s="126" t="s">
        <v>39</v>
      </c>
      <c r="C1048" s="126" t="s">
        <v>49</v>
      </c>
      <c r="D1048" s="126" t="s">
        <v>40</v>
      </c>
      <c r="E1048" s="126" t="s">
        <v>1934</v>
      </c>
      <c r="F1048" s="126" t="s">
        <v>1935</v>
      </c>
      <c r="G1048" s="126">
        <v>78</v>
      </c>
      <c r="H1048" s="126" t="s">
        <v>43</v>
      </c>
      <c r="I1048" s="126" t="s">
        <v>1933</v>
      </c>
      <c r="J1048" s="126" t="s">
        <v>713</v>
      </c>
      <c r="K1048" s="126" t="s">
        <v>599</v>
      </c>
      <c r="L1048" s="126" t="s">
        <v>259</v>
      </c>
      <c r="M1048" s="126" t="s">
        <v>212</v>
      </c>
      <c r="N1048" s="126" t="s">
        <v>213</v>
      </c>
      <c r="O1048" s="127">
        <v>32860</v>
      </c>
      <c r="P1048" s="126"/>
      <c r="Q1048" s="126"/>
      <c r="R1048" s="126">
        <v>78</v>
      </c>
      <c r="S1048" s="126" t="s">
        <v>48</v>
      </c>
    </row>
    <row r="1049" spans="1:19" ht="29.25" x14ac:dyDescent="0.25">
      <c r="A1049" s="126">
        <v>21402</v>
      </c>
      <c r="B1049" s="126" t="s">
        <v>39</v>
      </c>
      <c r="C1049" s="126" t="s">
        <v>49</v>
      </c>
      <c r="D1049" s="126" t="s">
        <v>40</v>
      </c>
      <c r="E1049" s="126" t="s">
        <v>1936</v>
      </c>
      <c r="F1049" s="126" t="s">
        <v>1937</v>
      </c>
      <c r="G1049" s="126">
        <v>78</v>
      </c>
      <c r="H1049" s="126" t="s">
        <v>43</v>
      </c>
      <c r="I1049" s="126" t="s">
        <v>1933</v>
      </c>
      <c r="J1049" s="126" t="s">
        <v>713</v>
      </c>
      <c r="K1049" s="126" t="s">
        <v>599</v>
      </c>
      <c r="L1049" s="126" t="s">
        <v>259</v>
      </c>
      <c r="M1049" s="126" t="s">
        <v>212</v>
      </c>
      <c r="N1049" s="126" t="s">
        <v>213</v>
      </c>
      <c r="O1049" s="127">
        <v>32860</v>
      </c>
      <c r="P1049" s="126"/>
      <c r="Q1049" s="126"/>
      <c r="R1049" s="126">
        <v>78</v>
      </c>
      <c r="S1049" s="126" t="s">
        <v>48</v>
      </c>
    </row>
    <row r="1050" spans="1:19" ht="29.25" x14ac:dyDescent="0.25">
      <c r="A1050" s="126">
        <v>21403</v>
      </c>
      <c r="B1050" s="126" t="s">
        <v>39</v>
      </c>
      <c r="C1050" s="126" t="s">
        <v>49</v>
      </c>
      <c r="D1050" s="126" t="s">
        <v>40</v>
      </c>
      <c r="E1050" s="126" t="s">
        <v>1938</v>
      </c>
      <c r="F1050" s="126" t="s">
        <v>1939</v>
      </c>
      <c r="G1050" s="126">
        <v>78</v>
      </c>
      <c r="H1050" s="126" t="s">
        <v>43</v>
      </c>
      <c r="I1050" s="126" t="s">
        <v>1933</v>
      </c>
      <c r="J1050" s="126" t="s">
        <v>713</v>
      </c>
      <c r="K1050" s="126" t="s">
        <v>599</v>
      </c>
      <c r="L1050" s="126" t="s">
        <v>259</v>
      </c>
      <c r="M1050" s="126" t="s">
        <v>212</v>
      </c>
      <c r="N1050" s="126" t="s">
        <v>213</v>
      </c>
      <c r="O1050" s="127">
        <v>32860</v>
      </c>
      <c r="P1050" s="126"/>
      <c r="Q1050" s="126"/>
      <c r="R1050" s="126">
        <v>78</v>
      </c>
      <c r="S1050" s="126" t="s">
        <v>48</v>
      </c>
    </row>
    <row r="1051" spans="1:19" x14ac:dyDescent="0.25">
      <c r="A1051" s="126">
        <v>21501</v>
      </c>
      <c r="B1051" s="126" t="s">
        <v>39</v>
      </c>
      <c r="C1051" s="126" t="s">
        <v>40</v>
      </c>
      <c r="D1051" s="126" t="s">
        <v>40</v>
      </c>
      <c r="E1051" s="126"/>
      <c r="F1051" s="126" t="s">
        <v>3232</v>
      </c>
      <c r="G1051" s="126"/>
      <c r="H1051" s="126" t="s">
        <v>7</v>
      </c>
      <c r="I1051" s="126" t="s">
        <v>7</v>
      </c>
      <c r="J1051" s="126" t="s">
        <v>44</v>
      </c>
      <c r="K1051" s="126" t="s">
        <v>44</v>
      </c>
      <c r="L1051" s="126" t="s">
        <v>45</v>
      </c>
      <c r="M1051" s="126" t="s">
        <v>57</v>
      </c>
      <c r="N1051" s="126" t="s">
        <v>58</v>
      </c>
      <c r="O1051" s="126"/>
      <c r="P1051" s="126"/>
      <c r="Q1051" s="126"/>
      <c r="R1051" s="126">
        <v>0.94</v>
      </c>
      <c r="S1051" s="126" t="s">
        <v>48</v>
      </c>
    </row>
    <row r="1052" spans="1:19" x14ac:dyDescent="0.25">
      <c r="A1052" s="126">
        <v>21502</v>
      </c>
      <c r="B1052" s="126" t="s">
        <v>39</v>
      </c>
      <c r="C1052" s="126" t="s">
        <v>40</v>
      </c>
      <c r="D1052" s="126" t="s">
        <v>40</v>
      </c>
      <c r="E1052" s="126"/>
      <c r="F1052" s="126" t="s">
        <v>73</v>
      </c>
      <c r="G1052" s="126"/>
      <c r="H1052" s="126" t="s">
        <v>7</v>
      </c>
      <c r="I1052" s="126" t="s">
        <v>7</v>
      </c>
      <c r="J1052" s="126" t="s">
        <v>44</v>
      </c>
      <c r="K1052" s="126" t="s">
        <v>44</v>
      </c>
      <c r="L1052" s="126" t="s">
        <v>45</v>
      </c>
      <c r="M1052" s="126" t="s">
        <v>57</v>
      </c>
      <c r="N1052" s="126" t="s">
        <v>58</v>
      </c>
      <c r="O1052" s="127">
        <v>1462</v>
      </c>
      <c r="P1052" s="126" t="s">
        <v>74</v>
      </c>
      <c r="Q1052" s="126"/>
      <c r="R1052" s="126">
        <v>0</v>
      </c>
      <c r="S1052" s="126" t="s">
        <v>48</v>
      </c>
    </row>
    <row r="1053" spans="1:19" x14ac:dyDescent="0.25">
      <c r="A1053" s="126">
        <v>21503</v>
      </c>
      <c r="B1053" s="126" t="s">
        <v>39</v>
      </c>
      <c r="C1053" s="126" t="s">
        <v>40</v>
      </c>
      <c r="D1053" s="126" t="s">
        <v>40</v>
      </c>
      <c r="E1053" s="126"/>
      <c r="F1053" s="126" t="s">
        <v>63</v>
      </c>
      <c r="G1053" s="126"/>
      <c r="H1053" s="126" t="s">
        <v>7</v>
      </c>
      <c r="I1053" s="126" t="s">
        <v>7</v>
      </c>
      <c r="J1053" s="126" t="s">
        <v>44</v>
      </c>
      <c r="K1053" s="126" t="s">
        <v>44</v>
      </c>
      <c r="L1053" s="126" t="s">
        <v>45</v>
      </c>
      <c r="M1053" s="126" t="s">
        <v>57</v>
      </c>
      <c r="N1053" s="126" t="s">
        <v>58</v>
      </c>
      <c r="O1053" s="127">
        <v>1097</v>
      </c>
      <c r="P1053" s="126"/>
      <c r="Q1053" s="126"/>
      <c r="R1053" s="126">
        <v>0.89</v>
      </c>
      <c r="S1053" s="126" t="s">
        <v>48</v>
      </c>
    </row>
    <row r="1054" spans="1:19" x14ac:dyDescent="0.25">
      <c r="A1054" s="126">
        <v>21504</v>
      </c>
      <c r="B1054" s="126" t="s">
        <v>39</v>
      </c>
      <c r="C1054" s="126" t="s">
        <v>40</v>
      </c>
      <c r="D1054" s="126" t="s">
        <v>40</v>
      </c>
      <c r="E1054" s="126"/>
      <c r="F1054" s="126" t="s">
        <v>75</v>
      </c>
      <c r="G1054" s="126"/>
      <c r="H1054" s="126" t="s">
        <v>7</v>
      </c>
      <c r="I1054" s="126" t="s">
        <v>7</v>
      </c>
      <c r="J1054" s="126" t="s">
        <v>44</v>
      </c>
      <c r="K1054" s="126" t="s">
        <v>44</v>
      </c>
      <c r="L1054" s="126" t="s">
        <v>45</v>
      </c>
      <c r="M1054" s="126" t="s">
        <v>57</v>
      </c>
      <c r="N1054" s="126" t="s">
        <v>58</v>
      </c>
      <c r="O1054" s="127">
        <v>1462</v>
      </c>
      <c r="P1054" s="126"/>
      <c r="Q1054" s="126"/>
      <c r="R1054" s="126">
        <v>0.89</v>
      </c>
      <c r="S1054" s="126" t="s">
        <v>48</v>
      </c>
    </row>
    <row r="1055" spans="1:19" x14ac:dyDescent="0.25">
      <c r="A1055" s="126">
        <v>21505</v>
      </c>
      <c r="B1055" s="126" t="s">
        <v>39</v>
      </c>
      <c r="C1055" s="126" t="s">
        <v>40</v>
      </c>
      <c r="D1055" s="126" t="s">
        <v>40</v>
      </c>
      <c r="E1055" s="126"/>
      <c r="F1055" s="126" t="s">
        <v>76</v>
      </c>
      <c r="G1055" s="126"/>
      <c r="H1055" s="126" t="s">
        <v>7</v>
      </c>
      <c r="I1055" s="126" t="s">
        <v>7</v>
      </c>
      <c r="J1055" s="126" t="s">
        <v>44</v>
      </c>
      <c r="K1055" s="126" t="s">
        <v>44</v>
      </c>
      <c r="L1055" s="126" t="s">
        <v>45</v>
      </c>
      <c r="M1055" s="126" t="s">
        <v>57</v>
      </c>
      <c r="N1055" s="126" t="s">
        <v>58</v>
      </c>
      <c r="O1055" s="127">
        <v>1462</v>
      </c>
      <c r="P1055" s="126"/>
      <c r="Q1055" s="126"/>
      <c r="R1055" s="126">
        <v>0.89</v>
      </c>
      <c r="S1055" s="126" t="s">
        <v>48</v>
      </c>
    </row>
    <row r="1056" spans="1:19" ht="29.25" x14ac:dyDescent="0.25">
      <c r="A1056" s="126">
        <v>84201</v>
      </c>
      <c r="B1056" s="126" t="s">
        <v>39</v>
      </c>
      <c r="C1056" s="126" t="s">
        <v>40</v>
      </c>
      <c r="D1056" s="126" t="s">
        <v>40</v>
      </c>
      <c r="E1056" s="126"/>
      <c r="F1056" s="126" t="s">
        <v>2676</v>
      </c>
      <c r="G1056" s="126"/>
      <c r="H1056" s="126" t="s">
        <v>7</v>
      </c>
      <c r="I1056" s="126" t="s">
        <v>2675</v>
      </c>
      <c r="J1056" s="126" t="s">
        <v>807</v>
      </c>
      <c r="K1056" s="126" t="s">
        <v>315</v>
      </c>
      <c r="L1056" s="126" t="s">
        <v>915</v>
      </c>
      <c r="M1056" s="126" t="s">
        <v>57</v>
      </c>
      <c r="N1056" s="126" t="s">
        <v>58</v>
      </c>
      <c r="O1056" s="127">
        <v>37819</v>
      </c>
      <c r="P1056" s="126"/>
      <c r="Q1056" s="126"/>
      <c r="R1056" s="126">
        <v>1.25</v>
      </c>
      <c r="S1056" s="126" t="s">
        <v>48</v>
      </c>
    </row>
    <row r="1057" spans="1:19" ht="29.25" x14ac:dyDescent="0.25">
      <c r="A1057" s="126">
        <v>84202</v>
      </c>
      <c r="B1057" s="126" t="s">
        <v>39</v>
      </c>
      <c r="C1057" s="126" t="s">
        <v>40</v>
      </c>
      <c r="D1057" s="126" t="s">
        <v>40</v>
      </c>
      <c r="E1057" s="126"/>
      <c r="F1057" s="126" t="s">
        <v>2677</v>
      </c>
      <c r="G1057" s="126"/>
      <c r="H1057" s="126" t="s">
        <v>7</v>
      </c>
      <c r="I1057" s="126" t="s">
        <v>2675</v>
      </c>
      <c r="J1057" s="126" t="s">
        <v>807</v>
      </c>
      <c r="K1057" s="126" t="s">
        <v>315</v>
      </c>
      <c r="L1057" s="126" t="s">
        <v>915</v>
      </c>
      <c r="M1057" s="126" t="s">
        <v>57</v>
      </c>
      <c r="N1057" s="126" t="s">
        <v>58</v>
      </c>
      <c r="O1057" s="127">
        <v>37819</v>
      </c>
      <c r="P1057" s="126"/>
      <c r="Q1057" s="126"/>
      <c r="R1057" s="126">
        <v>1.25</v>
      </c>
      <c r="S1057" s="126" t="s">
        <v>48</v>
      </c>
    </row>
    <row r="1058" spans="1:19" x14ac:dyDescent="0.25">
      <c r="A1058" s="126">
        <v>21601</v>
      </c>
      <c r="B1058" s="126" t="s">
        <v>39</v>
      </c>
      <c r="C1058" s="126" t="s">
        <v>40</v>
      </c>
      <c r="D1058" s="126" t="s">
        <v>40</v>
      </c>
      <c r="E1058" s="126" t="s">
        <v>687</v>
      </c>
      <c r="F1058" s="126" t="s">
        <v>688</v>
      </c>
      <c r="G1058" s="126">
        <v>19.5</v>
      </c>
      <c r="H1058" s="126" t="s">
        <v>162</v>
      </c>
      <c r="I1058" s="126" t="s">
        <v>383</v>
      </c>
      <c r="J1058" s="126" t="s">
        <v>314</v>
      </c>
      <c r="K1058" s="126" t="s">
        <v>599</v>
      </c>
      <c r="L1058" s="126" t="s">
        <v>259</v>
      </c>
      <c r="M1058" s="126" t="s">
        <v>57</v>
      </c>
      <c r="N1058" s="126" t="s">
        <v>163</v>
      </c>
      <c r="O1058" s="127">
        <v>26299</v>
      </c>
      <c r="P1058" s="126"/>
      <c r="Q1058" s="126"/>
      <c r="R1058" s="126">
        <v>18</v>
      </c>
      <c r="S1058" s="126" t="s">
        <v>48</v>
      </c>
    </row>
    <row r="1059" spans="1:19" x14ac:dyDescent="0.25">
      <c r="A1059" s="126">
        <v>21602</v>
      </c>
      <c r="B1059" s="126" t="s">
        <v>39</v>
      </c>
      <c r="C1059" s="126" t="s">
        <v>40</v>
      </c>
      <c r="D1059" s="126" t="s">
        <v>40</v>
      </c>
      <c r="E1059" s="126" t="s">
        <v>689</v>
      </c>
      <c r="F1059" s="126" t="s">
        <v>690</v>
      </c>
      <c r="G1059" s="126">
        <v>19.5</v>
      </c>
      <c r="H1059" s="126" t="s">
        <v>162</v>
      </c>
      <c r="I1059" s="126" t="s">
        <v>383</v>
      </c>
      <c r="J1059" s="126" t="s">
        <v>314</v>
      </c>
      <c r="K1059" s="126" t="s">
        <v>599</v>
      </c>
      <c r="L1059" s="126" t="s">
        <v>259</v>
      </c>
      <c r="M1059" s="126" t="s">
        <v>57</v>
      </c>
      <c r="N1059" s="126" t="s">
        <v>163</v>
      </c>
      <c r="O1059" s="127">
        <v>26299</v>
      </c>
      <c r="P1059" s="126"/>
      <c r="Q1059" s="126"/>
      <c r="R1059" s="126">
        <v>18</v>
      </c>
      <c r="S1059" s="126" t="s">
        <v>48</v>
      </c>
    </row>
    <row r="1060" spans="1:19" x14ac:dyDescent="0.25">
      <c r="A1060" s="126">
        <v>21901</v>
      </c>
      <c r="B1060" s="126" t="s">
        <v>39</v>
      </c>
      <c r="C1060" s="126" t="s">
        <v>40</v>
      </c>
      <c r="D1060" s="126" t="s">
        <v>40</v>
      </c>
      <c r="E1060" s="126" t="s">
        <v>2245</v>
      </c>
      <c r="F1060" s="126" t="s">
        <v>2246</v>
      </c>
      <c r="G1060" s="126">
        <v>7</v>
      </c>
      <c r="H1060" s="126" t="s">
        <v>7</v>
      </c>
      <c r="I1060" s="126" t="s">
        <v>560</v>
      </c>
      <c r="J1060" s="126" t="s">
        <v>44</v>
      </c>
      <c r="K1060" s="126" t="s">
        <v>44</v>
      </c>
      <c r="L1060" s="126" t="s">
        <v>45</v>
      </c>
      <c r="M1060" s="126" t="s">
        <v>57</v>
      </c>
      <c r="N1060" s="126" t="s">
        <v>58</v>
      </c>
      <c r="O1060" s="127">
        <v>35065</v>
      </c>
      <c r="P1060" s="126"/>
      <c r="Q1060" s="126"/>
      <c r="R1060" s="126">
        <v>11.5</v>
      </c>
      <c r="S1060" s="126" t="s">
        <v>48</v>
      </c>
    </row>
    <row r="1061" spans="1:19" x14ac:dyDescent="0.25">
      <c r="A1061" s="126">
        <v>21902</v>
      </c>
      <c r="B1061" s="126" t="s">
        <v>39</v>
      </c>
      <c r="C1061" s="126" t="s">
        <v>40</v>
      </c>
      <c r="D1061" s="126" t="s">
        <v>40</v>
      </c>
      <c r="E1061" s="126" t="s">
        <v>2247</v>
      </c>
      <c r="F1061" s="126" t="s">
        <v>2248</v>
      </c>
      <c r="G1061" s="126">
        <v>7</v>
      </c>
      <c r="H1061" s="126" t="s">
        <v>7</v>
      </c>
      <c r="I1061" s="126" t="s">
        <v>560</v>
      </c>
      <c r="J1061" s="126" t="s">
        <v>44</v>
      </c>
      <c r="K1061" s="126" t="s">
        <v>44</v>
      </c>
      <c r="L1061" s="126" t="s">
        <v>45</v>
      </c>
      <c r="M1061" s="126" t="s">
        <v>57</v>
      </c>
      <c r="N1061" s="126" t="s">
        <v>58</v>
      </c>
      <c r="O1061" s="127">
        <v>35065</v>
      </c>
      <c r="P1061" s="126"/>
      <c r="Q1061" s="126"/>
      <c r="R1061" s="126">
        <v>11.5</v>
      </c>
      <c r="S1061" s="126" t="s">
        <v>48</v>
      </c>
    </row>
    <row r="1062" spans="1:19" x14ac:dyDescent="0.25">
      <c r="A1062" s="126">
        <v>21903</v>
      </c>
      <c r="B1062" s="126" t="s">
        <v>39</v>
      </c>
      <c r="C1062" s="126" t="s">
        <v>40</v>
      </c>
      <c r="D1062" s="126" t="s">
        <v>40</v>
      </c>
      <c r="E1062" s="126" t="s">
        <v>2249</v>
      </c>
      <c r="F1062" s="126" t="s">
        <v>2250</v>
      </c>
      <c r="G1062" s="126">
        <v>7</v>
      </c>
      <c r="H1062" s="126" t="s">
        <v>7</v>
      </c>
      <c r="I1062" s="126" t="s">
        <v>560</v>
      </c>
      <c r="J1062" s="126" t="s">
        <v>44</v>
      </c>
      <c r="K1062" s="126" t="s">
        <v>44</v>
      </c>
      <c r="L1062" s="126" t="s">
        <v>45</v>
      </c>
      <c r="M1062" s="126" t="s">
        <v>57</v>
      </c>
      <c r="N1062" s="126" t="s">
        <v>58</v>
      </c>
      <c r="O1062" s="127">
        <v>35065</v>
      </c>
      <c r="P1062" s="126"/>
      <c r="Q1062" s="126"/>
      <c r="R1062" s="126">
        <v>11.5</v>
      </c>
      <c r="S1062" s="126" t="s">
        <v>48</v>
      </c>
    </row>
    <row r="1063" spans="1:19" x14ac:dyDescent="0.25">
      <c r="A1063" s="126">
        <v>22001</v>
      </c>
      <c r="B1063" s="126" t="s">
        <v>39</v>
      </c>
      <c r="C1063" s="126" t="s">
        <v>40</v>
      </c>
      <c r="D1063" s="126" t="s">
        <v>40</v>
      </c>
      <c r="E1063" s="126" t="s">
        <v>698</v>
      </c>
      <c r="F1063" s="126" t="s">
        <v>699</v>
      </c>
      <c r="G1063" s="126">
        <v>5.7</v>
      </c>
      <c r="H1063" s="126" t="s">
        <v>43</v>
      </c>
      <c r="I1063" s="126" t="s">
        <v>697</v>
      </c>
      <c r="J1063" s="126" t="s">
        <v>44</v>
      </c>
      <c r="K1063" s="126" t="s">
        <v>44</v>
      </c>
      <c r="L1063" s="126" t="s">
        <v>45</v>
      </c>
      <c r="M1063" s="126" t="s">
        <v>46</v>
      </c>
      <c r="N1063" s="126" t="s">
        <v>47</v>
      </c>
      <c r="O1063" s="127">
        <v>27030</v>
      </c>
      <c r="P1063" s="126"/>
      <c r="Q1063" s="126"/>
      <c r="R1063" s="126">
        <v>5.5</v>
      </c>
      <c r="S1063" s="126" t="s">
        <v>48</v>
      </c>
    </row>
    <row r="1064" spans="1:19" x14ac:dyDescent="0.25">
      <c r="A1064" s="126">
        <v>22002</v>
      </c>
      <c r="B1064" s="126" t="s">
        <v>39</v>
      </c>
      <c r="C1064" s="126" t="s">
        <v>40</v>
      </c>
      <c r="D1064" s="126" t="s">
        <v>40</v>
      </c>
      <c r="E1064" s="126" t="s">
        <v>702</v>
      </c>
      <c r="F1064" s="126" t="s">
        <v>703</v>
      </c>
      <c r="G1064" s="126">
        <v>5.7</v>
      </c>
      <c r="H1064" s="126" t="s">
        <v>43</v>
      </c>
      <c r="I1064" s="126" t="s">
        <v>697</v>
      </c>
      <c r="J1064" s="126" t="s">
        <v>44</v>
      </c>
      <c r="K1064" s="126" t="s">
        <v>44</v>
      </c>
      <c r="L1064" s="126" t="s">
        <v>45</v>
      </c>
      <c r="M1064" s="126" t="s">
        <v>46</v>
      </c>
      <c r="N1064" s="126" t="s">
        <v>47</v>
      </c>
      <c r="O1064" s="127">
        <v>27395</v>
      </c>
      <c r="P1064" s="126"/>
      <c r="Q1064" s="126"/>
      <c r="R1064" s="126">
        <v>5.5</v>
      </c>
      <c r="S1064" s="126" t="s">
        <v>48</v>
      </c>
    </row>
    <row r="1065" spans="1:19" x14ac:dyDescent="0.25">
      <c r="A1065" s="126">
        <v>22003</v>
      </c>
      <c r="B1065" s="126" t="s">
        <v>39</v>
      </c>
      <c r="C1065" s="126" t="s">
        <v>40</v>
      </c>
      <c r="D1065" s="126" t="s">
        <v>40</v>
      </c>
      <c r="E1065" s="126" t="s">
        <v>742</v>
      </c>
      <c r="F1065" s="126" t="s">
        <v>743</v>
      </c>
      <c r="G1065" s="126">
        <v>1.5</v>
      </c>
      <c r="H1065" s="126" t="s">
        <v>43</v>
      </c>
      <c r="I1065" s="126" t="s">
        <v>697</v>
      </c>
      <c r="J1065" s="126" t="s">
        <v>44</v>
      </c>
      <c r="K1065" s="126" t="s">
        <v>44</v>
      </c>
      <c r="L1065" s="126" t="s">
        <v>45</v>
      </c>
      <c r="M1065" s="126" t="s">
        <v>46</v>
      </c>
      <c r="N1065" s="126" t="s">
        <v>47</v>
      </c>
      <c r="O1065" s="127">
        <v>28491</v>
      </c>
      <c r="P1065" s="126"/>
      <c r="Q1065" s="126"/>
      <c r="R1065" s="126">
        <v>1.5</v>
      </c>
      <c r="S1065" s="126" t="s">
        <v>48</v>
      </c>
    </row>
    <row r="1066" spans="1:19" ht="29.25" x14ac:dyDescent="0.25">
      <c r="A1066" s="126">
        <v>92401</v>
      </c>
      <c r="B1066" s="126" t="s">
        <v>39</v>
      </c>
      <c r="C1066" s="126" t="s">
        <v>40</v>
      </c>
      <c r="D1066" s="126" t="s">
        <v>40</v>
      </c>
      <c r="E1066" s="126" t="s">
        <v>2817</v>
      </c>
      <c r="F1066" s="126" t="s">
        <v>2818</v>
      </c>
      <c r="G1066" s="126">
        <v>160</v>
      </c>
      <c r="H1066" s="126" t="s">
        <v>7</v>
      </c>
      <c r="I1066" s="126" t="s">
        <v>2819</v>
      </c>
      <c r="J1066" s="126" t="s">
        <v>384</v>
      </c>
      <c r="K1066" s="126" t="s">
        <v>599</v>
      </c>
      <c r="L1066" s="126" t="s">
        <v>259</v>
      </c>
      <c r="M1066" s="126" t="s">
        <v>57</v>
      </c>
      <c r="N1066" s="126" t="s">
        <v>58</v>
      </c>
      <c r="O1066" s="127">
        <v>38696</v>
      </c>
      <c r="P1066" s="126"/>
      <c r="Q1066" s="126"/>
      <c r="R1066" s="126">
        <v>160</v>
      </c>
      <c r="S1066" s="126" t="s">
        <v>48</v>
      </c>
    </row>
    <row r="1067" spans="1:19" ht="29.25" x14ac:dyDescent="0.25">
      <c r="A1067" s="126">
        <v>92402</v>
      </c>
      <c r="B1067" s="126" t="s">
        <v>39</v>
      </c>
      <c r="C1067" s="126" t="s">
        <v>40</v>
      </c>
      <c r="D1067" s="126" t="s">
        <v>40</v>
      </c>
      <c r="E1067" s="126" t="s">
        <v>2820</v>
      </c>
      <c r="F1067" s="126" t="s">
        <v>2821</v>
      </c>
      <c r="G1067" s="126">
        <v>160</v>
      </c>
      <c r="H1067" s="126" t="s">
        <v>7</v>
      </c>
      <c r="I1067" s="126" t="s">
        <v>2819</v>
      </c>
      <c r="J1067" s="126" t="s">
        <v>384</v>
      </c>
      <c r="K1067" s="126" t="s">
        <v>599</v>
      </c>
      <c r="L1067" s="126" t="s">
        <v>259</v>
      </c>
      <c r="M1067" s="126" t="s">
        <v>57</v>
      </c>
      <c r="N1067" s="126" t="s">
        <v>58</v>
      </c>
      <c r="O1067" s="127">
        <v>38696</v>
      </c>
      <c r="P1067" s="126"/>
      <c r="Q1067" s="126"/>
      <c r="R1067" s="126">
        <v>160</v>
      </c>
      <c r="S1067" s="126" t="s">
        <v>48</v>
      </c>
    </row>
    <row r="1068" spans="1:19" ht="29.25" x14ac:dyDescent="0.25">
      <c r="A1068" s="126">
        <v>92403</v>
      </c>
      <c r="B1068" s="126" t="s">
        <v>39</v>
      </c>
      <c r="C1068" s="126" t="s">
        <v>40</v>
      </c>
      <c r="D1068" s="126" t="s">
        <v>40</v>
      </c>
      <c r="E1068" s="126" t="s">
        <v>2822</v>
      </c>
      <c r="F1068" s="126" t="s">
        <v>2823</v>
      </c>
      <c r="G1068" s="126">
        <v>202</v>
      </c>
      <c r="H1068" s="126" t="s">
        <v>7</v>
      </c>
      <c r="I1068" s="126" t="s">
        <v>2819</v>
      </c>
      <c r="J1068" s="126" t="s">
        <v>384</v>
      </c>
      <c r="K1068" s="126" t="s">
        <v>385</v>
      </c>
      <c r="L1068" s="126" t="s">
        <v>731</v>
      </c>
      <c r="M1068" s="126" t="s">
        <v>57</v>
      </c>
      <c r="N1068" s="126" t="s">
        <v>58</v>
      </c>
      <c r="O1068" s="127">
        <v>38696</v>
      </c>
      <c r="P1068" s="126"/>
      <c r="Q1068" s="126"/>
      <c r="R1068" s="126">
        <v>202</v>
      </c>
      <c r="S1068" s="126" t="s">
        <v>48</v>
      </c>
    </row>
    <row r="1069" spans="1:19" ht="29.25" x14ac:dyDescent="0.25">
      <c r="A1069" s="126">
        <v>92701</v>
      </c>
      <c r="B1069" s="126" t="s">
        <v>39</v>
      </c>
      <c r="C1069" s="126" t="s">
        <v>40</v>
      </c>
      <c r="D1069" s="126" t="s">
        <v>40</v>
      </c>
      <c r="E1069" s="126" t="s">
        <v>2830</v>
      </c>
      <c r="F1069" s="126" t="s">
        <v>2831</v>
      </c>
      <c r="G1069" s="126">
        <v>160</v>
      </c>
      <c r="H1069" s="126" t="s">
        <v>7</v>
      </c>
      <c r="I1069" s="126" t="s">
        <v>2829</v>
      </c>
      <c r="J1069" s="126" t="s">
        <v>384</v>
      </c>
      <c r="K1069" s="126" t="s">
        <v>599</v>
      </c>
      <c r="L1069" s="126" t="s">
        <v>259</v>
      </c>
      <c r="M1069" s="126" t="s">
        <v>57</v>
      </c>
      <c r="N1069" s="126" t="s">
        <v>58</v>
      </c>
      <c r="O1069" s="127">
        <v>38736</v>
      </c>
      <c r="P1069" s="126"/>
      <c r="Q1069" s="126"/>
      <c r="R1069" s="126">
        <v>160</v>
      </c>
      <c r="S1069" s="126" t="s">
        <v>48</v>
      </c>
    </row>
    <row r="1070" spans="1:19" ht="29.25" x14ac:dyDescent="0.25">
      <c r="A1070" s="126">
        <v>92702</v>
      </c>
      <c r="B1070" s="126" t="s">
        <v>39</v>
      </c>
      <c r="C1070" s="126" t="s">
        <v>40</v>
      </c>
      <c r="D1070" s="126" t="s">
        <v>40</v>
      </c>
      <c r="E1070" s="126" t="s">
        <v>2832</v>
      </c>
      <c r="F1070" s="126" t="s">
        <v>2833</v>
      </c>
      <c r="G1070" s="126">
        <v>160</v>
      </c>
      <c r="H1070" s="126" t="s">
        <v>7</v>
      </c>
      <c r="I1070" s="126" t="s">
        <v>2829</v>
      </c>
      <c r="J1070" s="126" t="s">
        <v>384</v>
      </c>
      <c r="K1070" s="126" t="s">
        <v>599</v>
      </c>
      <c r="L1070" s="126" t="s">
        <v>259</v>
      </c>
      <c r="M1070" s="126" t="s">
        <v>57</v>
      </c>
      <c r="N1070" s="126" t="s">
        <v>58</v>
      </c>
      <c r="O1070" s="127">
        <v>38736</v>
      </c>
      <c r="P1070" s="126"/>
      <c r="Q1070" s="126"/>
      <c r="R1070" s="126">
        <v>160</v>
      </c>
      <c r="S1070" s="126" t="s">
        <v>48</v>
      </c>
    </row>
    <row r="1071" spans="1:19" ht="29.25" x14ac:dyDescent="0.25">
      <c r="A1071" s="126">
        <v>92703</v>
      </c>
      <c r="B1071" s="126" t="s">
        <v>39</v>
      </c>
      <c r="C1071" s="126" t="s">
        <v>40</v>
      </c>
      <c r="D1071" s="126" t="s">
        <v>40</v>
      </c>
      <c r="E1071" s="126" t="s">
        <v>2834</v>
      </c>
      <c r="F1071" s="126" t="s">
        <v>2835</v>
      </c>
      <c r="G1071" s="126">
        <v>202</v>
      </c>
      <c r="H1071" s="126" t="s">
        <v>7</v>
      </c>
      <c r="I1071" s="126" t="s">
        <v>2829</v>
      </c>
      <c r="J1071" s="126" t="s">
        <v>384</v>
      </c>
      <c r="K1071" s="126" t="s">
        <v>385</v>
      </c>
      <c r="L1071" s="126" t="s">
        <v>731</v>
      </c>
      <c r="M1071" s="126" t="s">
        <v>57</v>
      </c>
      <c r="N1071" s="126" t="s">
        <v>58</v>
      </c>
      <c r="O1071" s="127">
        <v>38736</v>
      </c>
      <c r="P1071" s="126"/>
      <c r="Q1071" s="126"/>
      <c r="R1071" s="126">
        <v>202</v>
      </c>
      <c r="S1071" s="126" t="s">
        <v>48</v>
      </c>
    </row>
    <row r="1072" spans="1:19" ht="29.25" x14ac:dyDescent="0.25">
      <c r="A1072" s="126">
        <v>29201</v>
      </c>
      <c r="B1072" s="126" t="s">
        <v>39</v>
      </c>
      <c r="C1072" s="126" t="s">
        <v>49</v>
      </c>
      <c r="D1072" s="126" t="s">
        <v>40</v>
      </c>
      <c r="E1072" s="126" t="s">
        <v>2222</v>
      </c>
      <c r="F1072" s="126" t="s">
        <v>2223</v>
      </c>
      <c r="G1072" s="126">
        <v>20</v>
      </c>
      <c r="H1072" s="126" t="s">
        <v>43</v>
      </c>
      <c r="I1072" s="126" t="s">
        <v>2221</v>
      </c>
      <c r="J1072" s="126" t="s">
        <v>384</v>
      </c>
      <c r="K1072" s="126" t="s">
        <v>385</v>
      </c>
      <c r="L1072" s="126" t="s">
        <v>731</v>
      </c>
      <c r="M1072" s="126" t="s">
        <v>46</v>
      </c>
      <c r="N1072" s="126" t="s">
        <v>47</v>
      </c>
      <c r="O1072" s="127">
        <v>34700</v>
      </c>
      <c r="P1072" s="126"/>
      <c r="Q1072" s="126"/>
      <c r="R1072" s="126">
        <v>20</v>
      </c>
      <c r="S1072" s="126" t="s">
        <v>48</v>
      </c>
    </row>
    <row r="1073" spans="1:19" ht="29.25" x14ac:dyDescent="0.25">
      <c r="A1073" s="126">
        <v>29202</v>
      </c>
      <c r="B1073" s="126" t="s">
        <v>39</v>
      </c>
      <c r="C1073" s="126" t="s">
        <v>49</v>
      </c>
      <c r="D1073" s="126" t="s">
        <v>40</v>
      </c>
      <c r="E1073" s="126" t="s">
        <v>2251</v>
      </c>
      <c r="F1073" s="126" t="s">
        <v>2252</v>
      </c>
      <c r="G1073" s="126">
        <v>40</v>
      </c>
      <c r="H1073" s="126" t="s">
        <v>43</v>
      </c>
      <c r="I1073" s="126" t="s">
        <v>2221</v>
      </c>
      <c r="J1073" s="126" t="s">
        <v>384</v>
      </c>
      <c r="K1073" s="126" t="s">
        <v>599</v>
      </c>
      <c r="L1073" s="126" t="s">
        <v>259</v>
      </c>
      <c r="M1073" s="126" t="s">
        <v>46</v>
      </c>
      <c r="N1073" s="126" t="s">
        <v>47</v>
      </c>
      <c r="O1073" s="127">
        <v>35065</v>
      </c>
      <c r="P1073" s="126"/>
      <c r="Q1073" s="126"/>
      <c r="R1073" s="126">
        <v>40</v>
      </c>
      <c r="S1073" s="126" t="s">
        <v>48</v>
      </c>
    </row>
    <row r="1074" spans="1:19" ht="29.25" x14ac:dyDescent="0.25">
      <c r="A1074" s="126">
        <v>29203</v>
      </c>
      <c r="B1074" s="126" t="s">
        <v>39</v>
      </c>
      <c r="C1074" s="126" t="s">
        <v>49</v>
      </c>
      <c r="D1074" s="126" t="s">
        <v>40</v>
      </c>
      <c r="E1074" s="126" t="s">
        <v>2224</v>
      </c>
      <c r="F1074" s="126" t="s">
        <v>2225</v>
      </c>
      <c r="G1074" s="126">
        <v>40</v>
      </c>
      <c r="H1074" s="126" t="s">
        <v>43</v>
      </c>
      <c r="I1074" s="126" t="s">
        <v>2221</v>
      </c>
      <c r="J1074" s="126" t="s">
        <v>384</v>
      </c>
      <c r="K1074" s="126" t="s">
        <v>599</v>
      </c>
      <c r="L1074" s="126" t="s">
        <v>259</v>
      </c>
      <c r="M1074" s="126" t="s">
        <v>46</v>
      </c>
      <c r="N1074" s="126" t="s">
        <v>47</v>
      </c>
      <c r="O1074" s="127">
        <v>34700</v>
      </c>
      <c r="P1074" s="126"/>
      <c r="Q1074" s="126"/>
      <c r="R1074" s="126">
        <v>40</v>
      </c>
      <c r="S1074" s="126" t="s">
        <v>48</v>
      </c>
    </row>
    <row r="1075" spans="1:19" x14ac:dyDescent="0.25">
      <c r="A1075" s="126">
        <v>22701</v>
      </c>
      <c r="B1075" s="126" t="s">
        <v>39</v>
      </c>
      <c r="C1075" s="126" t="s">
        <v>40</v>
      </c>
      <c r="D1075" s="126" t="s">
        <v>40</v>
      </c>
      <c r="E1075" s="126" t="s">
        <v>2572</v>
      </c>
      <c r="F1075" s="126" t="s">
        <v>2573</v>
      </c>
      <c r="G1075" s="126">
        <v>176</v>
      </c>
      <c r="H1075" s="126" t="s">
        <v>43</v>
      </c>
      <c r="I1075" s="126" t="s">
        <v>553</v>
      </c>
      <c r="J1075" s="126" t="s">
        <v>384</v>
      </c>
      <c r="K1075" s="126" t="s">
        <v>599</v>
      </c>
      <c r="L1075" s="126" t="s">
        <v>259</v>
      </c>
      <c r="M1075" s="126" t="s">
        <v>46</v>
      </c>
      <c r="N1075" s="126" t="s">
        <v>47</v>
      </c>
      <c r="O1075" s="127">
        <v>37438</v>
      </c>
      <c r="P1075" s="126"/>
      <c r="Q1075" s="126"/>
      <c r="R1075" s="126">
        <v>170</v>
      </c>
      <c r="S1075" s="126" t="s">
        <v>48</v>
      </c>
    </row>
    <row r="1076" spans="1:19" x14ac:dyDescent="0.25">
      <c r="A1076" s="126">
        <v>22702</v>
      </c>
      <c r="B1076" s="126" t="s">
        <v>39</v>
      </c>
      <c r="C1076" s="126" t="s">
        <v>40</v>
      </c>
      <c r="D1076" s="126" t="s">
        <v>40</v>
      </c>
      <c r="E1076" s="126" t="s">
        <v>2574</v>
      </c>
      <c r="F1076" s="126" t="s">
        <v>2575</v>
      </c>
      <c r="G1076" s="126">
        <v>176</v>
      </c>
      <c r="H1076" s="126" t="s">
        <v>43</v>
      </c>
      <c r="I1076" s="126" t="s">
        <v>553</v>
      </c>
      <c r="J1076" s="126" t="s">
        <v>384</v>
      </c>
      <c r="K1076" s="126" t="s">
        <v>599</v>
      </c>
      <c r="L1076" s="126" t="s">
        <v>259</v>
      </c>
      <c r="M1076" s="126" t="s">
        <v>46</v>
      </c>
      <c r="N1076" s="126" t="s">
        <v>47</v>
      </c>
      <c r="O1076" s="127">
        <v>37438</v>
      </c>
      <c r="P1076" s="126"/>
      <c r="Q1076" s="126"/>
      <c r="R1076" s="126">
        <v>170</v>
      </c>
      <c r="S1076" s="126" t="s">
        <v>48</v>
      </c>
    </row>
    <row r="1077" spans="1:19" x14ac:dyDescent="0.25">
      <c r="A1077" s="126">
        <v>22703</v>
      </c>
      <c r="B1077" s="126" t="s">
        <v>39</v>
      </c>
      <c r="C1077" s="126" t="s">
        <v>40</v>
      </c>
      <c r="D1077" s="126" t="s">
        <v>40</v>
      </c>
      <c r="E1077" s="126" t="s">
        <v>2576</v>
      </c>
      <c r="F1077" s="126" t="s">
        <v>2577</v>
      </c>
      <c r="G1077" s="126">
        <v>198</v>
      </c>
      <c r="H1077" s="126" t="s">
        <v>43</v>
      </c>
      <c r="I1077" s="126" t="s">
        <v>553</v>
      </c>
      <c r="J1077" s="126" t="s">
        <v>384</v>
      </c>
      <c r="K1077" s="126" t="s">
        <v>385</v>
      </c>
      <c r="L1077" s="126" t="s">
        <v>731</v>
      </c>
      <c r="M1077" s="126" t="s">
        <v>46</v>
      </c>
      <c r="N1077" s="126" t="s">
        <v>47</v>
      </c>
      <c r="O1077" s="127">
        <v>37438</v>
      </c>
      <c r="P1077" s="126"/>
      <c r="Q1077" s="126"/>
      <c r="R1077" s="126">
        <v>190</v>
      </c>
      <c r="S1077" s="126" t="s">
        <v>48</v>
      </c>
    </row>
    <row r="1078" spans="1:19" x14ac:dyDescent="0.25">
      <c r="A1078" s="126">
        <v>22801</v>
      </c>
      <c r="B1078" s="126" t="s">
        <v>39</v>
      </c>
      <c r="C1078" s="126" t="s">
        <v>40</v>
      </c>
      <c r="D1078" s="126" t="s">
        <v>40</v>
      </c>
      <c r="E1078" s="126" t="s">
        <v>2580</v>
      </c>
      <c r="F1078" s="126" t="s">
        <v>2581</v>
      </c>
      <c r="G1078" s="126">
        <v>176</v>
      </c>
      <c r="H1078" s="126" t="s">
        <v>43</v>
      </c>
      <c r="I1078" s="126" t="s">
        <v>553</v>
      </c>
      <c r="J1078" s="126" t="s">
        <v>384</v>
      </c>
      <c r="K1078" s="126" t="s">
        <v>599</v>
      </c>
      <c r="L1078" s="126" t="s">
        <v>259</v>
      </c>
      <c r="M1078" s="126" t="s">
        <v>46</v>
      </c>
      <c r="N1078" s="126" t="s">
        <v>47</v>
      </c>
      <c r="O1078" s="127">
        <v>37448</v>
      </c>
      <c r="P1078" s="126"/>
      <c r="Q1078" s="126"/>
      <c r="R1078" s="126">
        <v>170</v>
      </c>
      <c r="S1078" s="126" t="s">
        <v>48</v>
      </c>
    </row>
    <row r="1079" spans="1:19" x14ac:dyDescent="0.25">
      <c r="A1079" s="126">
        <v>22802</v>
      </c>
      <c r="B1079" s="126" t="s">
        <v>39</v>
      </c>
      <c r="C1079" s="126" t="s">
        <v>40</v>
      </c>
      <c r="D1079" s="126" t="s">
        <v>40</v>
      </c>
      <c r="E1079" s="126" t="s">
        <v>2582</v>
      </c>
      <c r="F1079" s="126" t="s">
        <v>2583</v>
      </c>
      <c r="G1079" s="126">
        <v>176</v>
      </c>
      <c r="H1079" s="126" t="s">
        <v>43</v>
      </c>
      <c r="I1079" s="126" t="s">
        <v>553</v>
      </c>
      <c r="J1079" s="126" t="s">
        <v>384</v>
      </c>
      <c r="K1079" s="126" t="s">
        <v>599</v>
      </c>
      <c r="L1079" s="126" t="s">
        <v>259</v>
      </c>
      <c r="M1079" s="126" t="s">
        <v>46</v>
      </c>
      <c r="N1079" s="126" t="s">
        <v>47</v>
      </c>
      <c r="O1079" s="127">
        <v>37448</v>
      </c>
      <c r="P1079" s="126"/>
      <c r="Q1079" s="126"/>
      <c r="R1079" s="126">
        <v>170</v>
      </c>
      <c r="S1079" s="126" t="s">
        <v>48</v>
      </c>
    </row>
    <row r="1080" spans="1:19" x14ac:dyDescent="0.25">
      <c r="A1080" s="126">
        <v>22803</v>
      </c>
      <c r="B1080" s="126" t="s">
        <v>39</v>
      </c>
      <c r="C1080" s="126" t="s">
        <v>40</v>
      </c>
      <c r="D1080" s="126" t="s">
        <v>40</v>
      </c>
      <c r="E1080" s="126" t="s">
        <v>2584</v>
      </c>
      <c r="F1080" s="126" t="s">
        <v>2585</v>
      </c>
      <c r="G1080" s="126">
        <v>198</v>
      </c>
      <c r="H1080" s="126" t="s">
        <v>43</v>
      </c>
      <c r="I1080" s="126" t="s">
        <v>553</v>
      </c>
      <c r="J1080" s="126" t="s">
        <v>384</v>
      </c>
      <c r="K1080" s="126" t="s">
        <v>385</v>
      </c>
      <c r="L1080" s="126" t="s">
        <v>731</v>
      </c>
      <c r="M1080" s="126" t="s">
        <v>46</v>
      </c>
      <c r="N1080" s="126" t="s">
        <v>47</v>
      </c>
      <c r="O1080" s="127">
        <v>37448</v>
      </c>
      <c r="P1080" s="126"/>
      <c r="Q1080" s="126"/>
      <c r="R1080" s="126">
        <v>190</v>
      </c>
      <c r="S1080" s="126" t="s">
        <v>48</v>
      </c>
    </row>
    <row r="1081" spans="1:19" x14ac:dyDescent="0.25">
      <c r="A1081" s="126">
        <v>24001</v>
      </c>
      <c r="B1081" s="126" t="s">
        <v>39</v>
      </c>
      <c r="C1081" s="126" t="s">
        <v>40</v>
      </c>
      <c r="D1081" s="126" t="s">
        <v>40</v>
      </c>
      <c r="E1081" s="126"/>
      <c r="F1081" s="126" t="s">
        <v>60</v>
      </c>
      <c r="G1081" s="126"/>
      <c r="H1081" s="126" t="s">
        <v>7</v>
      </c>
      <c r="I1081" s="126" t="s">
        <v>7</v>
      </c>
      <c r="J1081" s="126" t="s">
        <v>44</v>
      </c>
      <c r="K1081" s="126" t="s">
        <v>44</v>
      </c>
      <c r="L1081" s="126" t="s">
        <v>45</v>
      </c>
      <c r="M1081" s="126" t="s">
        <v>57</v>
      </c>
      <c r="N1081" s="126" t="s">
        <v>58</v>
      </c>
      <c r="O1081" s="127">
        <v>732</v>
      </c>
      <c r="P1081" s="126"/>
      <c r="Q1081" s="126"/>
      <c r="R1081" s="126">
        <v>0.3</v>
      </c>
      <c r="S1081" s="126" t="s">
        <v>48</v>
      </c>
    </row>
    <row r="1082" spans="1:19" x14ac:dyDescent="0.25">
      <c r="A1082" s="126">
        <v>24002</v>
      </c>
      <c r="B1082" s="126" t="s">
        <v>39</v>
      </c>
      <c r="C1082" s="126" t="s">
        <v>40</v>
      </c>
      <c r="D1082" s="126" t="s">
        <v>40</v>
      </c>
      <c r="E1082" s="126"/>
      <c r="F1082" s="126" t="s">
        <v>61</v>
      </c>
      <c r="G1082" s="126"/>
      <c r="H1082" s="126" t="s">
        <v>7</v>
      </c>
      <c r="I1082" s="126" t="s">
        <v>7</v>
      </c>
      <c r="J1082" s="126" t="s">
        <v>44</v>
      </c>
      <c r="K1082" s="126" t="s">
        <v>44</v>
      </c>
      <c r="L1082" s="126" t="s">
        <v>45</v>
      </c>
      <c r="M1082" s="126" t="s">
        <v>57</v>
      </c>
      <c r="N1082" s="126" t="s">
        <v>58</v>
      </c>
      <c r="O1082" s="127">
        <v>732</v>
      </c>
      <c r="P1082" s="126"/>
      <c r="Q1082" s="126"/>
      <c r="R1082" s="126">
        <v>0.3</v>
      </c>
      <c r="S1082" s="126" t="s">
        <v>48</v>
      </c>
    </row>
    <row r="1083" spans="1:19" x14ac:dyDescent="0.25">
      <c r="A1083" s="126">
        <v>24003</v>
      </c>
      <c r="B1083" s="126" t="s">
        <v>39</v>
      </c>
      <c r="C1083" s="126" t="s">
        <v>40</v>
      </c>
      <c r="D1083" s="126" t="s">
        <v>40</v>
      </c>
      <c r="E1083" s="126"/>
      <c r="F1083" s="126" t="s">
        <v>62</v>
      </c>
      <c r="G1083" s="126"/>
      <c r="H1083" s="126" t="s">
        <v>7</v>
      </c>
      <c r="I1083" s="126" t="s">
        <v>7</v>
      </c>
      <c r="J1083" s="126" t="s">
        <v>44</v>
      </c>
      <c r="K1083" s="126" t="s">
        <v>44</v>
      </c>
      <c r="L1083" s="126" t="s">
        <v>45</v>
      </c>
      <c r="M1083" s="126" t="s">
        <v>57</v>
      </c>
      <c r="N1083" s="126" t="s">
        <v>58</v>
      </c>
      <c r="O1083" s="127">
        <v>732</v>
      </c>
      <c r="P1083" s="126"/>
      <c r="Q1083" s="126"/>
      <c r="R1083" s="126">
        <v>0.3</v>
      </c>
      <c r="S1083" s="126" t="s">
        <v>48</v>
      </c>
    </row>
    <row r="1084" spans="1:19" x14ac:dyDescent="0.25">
      <c r="A1084" s="126">
        <v>24004</v>
      </c>
      <c r="B1084" s="126" t="s">
        <v>39</v>
      </c>
      <c r="C1084" s="126" t="s">
        <v>40</v>
      </c>
      <c r="D1084" s="126" t="s">
        <v>40</v>
      </c>
      <c r="E1084" s="126"/>
      <c r="F1084" s="126" t="s">
        <v>485</v>
      </c>
      <c r="G1084" s="126"/>
      <c r="H1084" s="126" t="s">
        <v>7</v>
      </c>
      <c r="I1084" s="126" t="s">
        <v>7</v>
      </c>
      <c r="J1084" s="126" t="s">
        <v>44</v>
      </c>
      <c r="K1084" s="126" t="s">
        <v>44</v>
      </c>
      <c r="L1084" s="126" t="s">
        <v>45</v>
      </c>
      <c r="M1084" s="126" t="s">
        <v>57</v>
      </c>
      <c r="N1084" s="126" t="s">
        <v>58</v>
      </c>
      <c r="O1084" s="127">
        <v>23012</v>
      </c>
      <c r="P1084" s="126"/>
      <c r="Q1084" s="126"/>
      <c r="R1084" s="126">
        <v>0.33</v>
      </c>
      <c r="S1084" s="126" t="s">
        <v>48</v>
      </c>
    </row>
    <row r="1085" spans="1:19" x14ac:dyDescent="0.25">
      <c r="A1085" s="126">
        <v>24005</v>
      </c>
      <c r="B1085" s="126" t="s">
        <v>39</v>
      </c>
      <c r="C1085" s="126" t="s">
        <v>40</v>
      </c>
      <c r="D1085" s="126" t="s">
        <v>40</v>
      </c>
      <c r="E1085" s="126"/>
      <c r="F1085" s="126" t="s">
        <v>225</v>
      </c>
      <c r="G1085" s="126"/>
      <c r="H1085" s="126" t="s">
        <v>7</v>
      </c>
      <c r="I1085" s="126" t="s">
        <v>7</v>
      </c>
      <c r="J1085" s="126" t="s">
        <v>44</v>
      </c>
      <c r="K1085" s="126" t="s">
        <v>44</v>
      </c>
      <c r="L1085" s="126" t="s">
        <v>45</v>
      </c>
      <c r="M1085" s="126" t="s">
        <v>57</v>
      </c>
      <c r="N1085" s="126" t="s">
        <v>58</v>
      </c>
      <c r="O1085" s="127">
        <v>8037</v>
      </c>
      <c r="P1085" s="126"/>
      <c r="Q1085" s="126"/>
      <c r="R1085" s="126">
        <v>0.37</v>
      </c>
      <c r="S1085" s="126" t="s">
        <v>48</v>
      </c>
    </row>
    <row r="1086" spans="1:19" x14ac:dyDescent="0.25">
      <c r="A1086" s="126">
        <v>24006</v>
      </c>
      <c r="B1086" s="126" t="s">
        <v>39</v>
      </c>
      <c r="C1086" s="126" t="s">
        <v>40</v>
      </c>
      <c r="D1086" s="126" t="s">
        <v>40</v>
      </c>
      <c r="E1086" s="126"/>
      <c r="F1086" s="126" t="s">
        <v>226</v>
      </c>
      <c r="G1086" s="126"/>
      <c r="H1086" s="126" t="s">
        <v>7</v>
      </c>
      <c r="I1086" s="126" t="s">
        <v>7</v>
      </c>
      <c r="J1086" s="126" t="s">
        <v>44</v>
      </c>
      <c r="K1086" s="126" t="s">
        <v>44</v>
      </c>
      <c r="L1086" s="126" t="s">
        <v>45</v>
      </c>
      <c r="M1086" s="126" t="s">
        <v>57</v>
      </c>
      <c r="N1086" s="126" t="s">
        <v>58</v>
      </c>
      <c r="O1086" s="127">
        <v>8037</v>
      </c>
      <c r="P1086" s="126"/>
      <c r="Q1086" s="126"/>
      <c r="R1086" s="126">
        <v>0.37</v>
      </c>
      <c r="S1086" s="126" t="s">
        <v>48</v>
      </c>
    </row>
    <row r="1087" spans="1:19" ht="29.25" x14ac:dyDescent="0.25">
      <c r="A1087" s="126">
        <v>93001</v>
      </c>
      <c r="B1087" s="126" t="s">
        <v>39</v>
      </c>
      <c r="C1087" s="126" t="s">
        <v>40</v>
      </c>
      <c r="D1087" s="126" t="s">
        <v>40</v>
      </c>
      <c r="E1087" s="126" t="s">
        <v>2844</v>
      </c>
      <c r="F1087" s="126" t="s">
        <v>2845</v>
      </c>
      <c r="G1087" s="126">
        <v>180.6</v>
      </c>
      <c r="H1087" s="126" t="s">
        <v>162</v>
      </c>
      <c r="I1087" s="126" t="s">
        <v>2789</v>
      </c>
      <c r="J1087" s="126" t="s">
        <v>384</v>
      </c>
      <c r="K1087" s="126" t="s">
        <v>599</v>
      </c>
      <c r="L1087" s="126" t="s">
        <v>259</v>
      </c>
      <c r="M1087" s="126" t="s">
        <v>57</v>
      </c>
      <c r="N1087" s="126" t="s">
        <v>163</v>
      </c>
      <c r="O1087" s="127">
        <v>38807</v>
      </c>
      <c r="P1087" s="126"/>
      <c r="Q1087" s="126"/>
      <c r="R1087" s="126">
        <v>180.5</v>
      </c>
      <c r="S1087" s="126" t="s">
        <v>48</v>
      </c>
    </row>
    <row r="1088" spans="1:19" ht="29.25" x14ac:dyDescent="0.25">
      <c r="A1088" s="126">
        <v>93002</v>
      </c>
      <c r="B1088" s="126" t="s">
        <v>39</v>
      </c>
      <c r="C1088" s="126" t="s">
        <v>40</v>
      </c>
      <c r="D1088" s="126" t="s">
        <v>40</v>
      </c>
      <c r="E1088" s="126" t="s">
        <v>2846</v>
      </c>
      <c r="F1088" s="126" t="s">
        <v>2847</v>
      </c>
      <c r="G1088" s="126">
        <v>180.6</v>
      </c>
      <c r="H1088" s="126" t="s">
        <v>162</v>
      </c>
      <c r="I1088" s="126" t="s">
        <v>2789</v>
      </c>
      <c r="J1088" s="126" t="s">
        <v>384</v>
      </c>
      <c r="K1088" s="126" t="s">
        <v>599</v>
      </c>
      <c r="L1088" s="126" t="s">
        <v>259</v>
      </c>
      <c r="M1088" s="126" t="s">
        <v>57</v>
      </c>
      <c r="N1088" s="126" t="s">
        <v>163</v>
      </c>
      <c r="O1088" s="127">
        <v>38807</v>
      </c>
      <c r="P1088" s="126"/>
      <c r="Q1088" s="126"/>
      <c r="R1088" s="126">
        <v>180.5</v>
      </c>
      <c r="S1088" s="126" t="s">
        <v>48</v>
      </c>
    </row>
    <row r="1089" spans="1:19" ht="29.25" x14ac:dyDescent="0.25">
      <c r="A1089" s="126">
        <v>93003</v>
      </c>
      <c r="B1089" s="126" t="s">
        <v>39</v>
      </c>
      <c r="C1089" s="126" t="s">
        <v>40</v>
      </c>
      <c r="D1089" s="126" t="s">
        <v>40</v>
      </c>
      <c r="E1089" s="126" t="s">
        <v>2848</v>
      </c>
      <c r="F1089" s="126" t="s">
        <v>2849</v>
      </c>
      <c r="G1089" s="126">
        <v>234.5</v>
      </c>
      <c r="H1089" s="126" t="s">
        <v>162</v>
      </c>
      <c r="I1089" s="126" t="s">
        <v>2789</v>
      </c>
      <c r="J1089" s="126" t="s">
        <v>384</v>
      </c>
      <c r="K1089" s="126" t="s">
        <v>385</v>
      </c>
      <c r="L1089" s="126" t="s">
        <v>731</v>
      </c>
      <c r="M1089" s="126" t="s">
        <v>57</v>
      </c>
      <c r="N1089" s="126" t="s">
        <v>163</v>
      </c>
      <c r="O1089" s="127">
        <v>38807</v>
      </c>
      <c r="P1089" s="126"/>
      <c r="Q1089" s="126"/>
      <c r="R1089" s="126">
        <v>233.9</v>
      </c>
      <c r="S1089" s="126" t="s">
        <v>48</v>
      </c>
    </row>
    <row r="1090" spans="1:19" x14ac:dyDescent="0.25">
      <c r="A1090" s="126">
        <v>24701</v>
      </c>
      <c r="B1090" s="126" t="s">
        <v>39</v>
      </c>
      <c r="C1090" s="126" t="s">
        <v>40</v>
      </c>
      <c r="D1090" s="126" t="s">
        <v>40</v>
      </c>
      <c r="E1090" s="126" t="s">
        <v>294</v>
      </c>
      <c r="F1090" s="126" t="s">
        <v>295</v>
      </c>
      <c r="G1090" s="126">
        <v>10</v>
      </c>
      <c r="H1090" s="126" t="s">
        <v>43</v>
      </c>
      <c r="I1090" s="126" t="s">
        <v>292</v>
      </c>
      <c r="J1090" s="126" t="s">
        <v>44</v>
      </c>
      <c r="K1090" s="126" t="s">
        <v>44</v>
      </c>
      <c r="L1090" s="126" t="s">
        <v>45</v>
      </c>
      <c r="M1090" s="126" t="s">
        <v>46</v>
      </c>
      <c r="N1090" s="126" t="s">
        <v>47</v>
      </c>
      <c r="O1090" s="127">
        <v>10959</v>
      </c>
      <c r="P1090" s="126"/>
      <c r="Q1090" s="126" t="s">
        <v>293</v>
      </c>
      <c r="R1090" s="126">
        <v>10</v>
      </c>
      <c r="S1090" s="126" t="s">
        <v>48</v>
      </c>
    </row>
    <row r="1091" spans="1:19" x14ac:dyDescent="0.25">
      <c r="A1091" s="126">
        <v>24702</v>
      </c>
      <c r="B1091" s="126" t="s">
        <v>39</v>
      </c>
      <c r="C1091" s="126" t="s">
        <v>40</v>
      </c>
      <c r="D1091" s="126" t="s">
        <v>40</v>
      </c>
      <c r="E1091" s="126" t="s">
        <v>296</v>
      </c>
      <c r="F1091" s="126" t="s">
        <v>297</v>
      </c>
      <c r="G1091" s="126">
        <v>10</v>
      </c>
      <c r="H1091" s="126" t="s">
        <v>43</v>
      </c>
      <c r="I1091" s="126" t="s">
        <v>292</v>
      </c>
      <c r="J1091" s="126" t="s">
        <v>44</v>
      </c>
      <c r="K1091" s="126" t="s">
        <v>44</v>
      </c>
      <c r="L1091" s="126" t="s">
        <v>45</v>
      </c>
      <c r="M1091" s="126" t="s">
        <v>46</v>
      </c>
      <c r="N1091" s="126" t="s">
        <v>47</v>
      </c>
      <c r="O1091" s="127">
        <v>10959</v>
      </c>
      <c r="P1091" s="126"/>
      <c r="Q1091" s="126" t="s">
        <v>293</v>
      </c>
      <c r="R1091" s="126">
        <v>10</v>
      </c>
      <c r="S1091" s="126" t="s">
        <v>48</v>
      </c>
    </row>
    <row r="1092" spans="1:19" x14ac:dyDescent="0.25">
      <c r="A1092" s="126">
        <v>24703</v>
      </c>
      <c r="B1092" s="126" t="s">
        <v>39</v>
      </c>
      <c r="C1092" s="126" t="s">
        <v>40</v>
      </c>
      <c r="D1092" s="126" t="s">
        <v>40</v>
      </c>
      <c r="E1092" s="126" t="s">
        <v>298</v>
      </c>
      <c r="F1092" s="126" t="s">
        <v>299</v>
      </c>
      <c r="G1092" s="126">
        <v>10</v>
      </c>
      <c r="H1092" s="126" t="s">
        <v>43</v>
      </c>
      <c r="I1092" s="126" t="s">
        <v>292</v>
      </c>
      <c r="J1092" s="126" t="s">
        <v>44</v>
      </c>
      <c r="K1092" s="126" t="s">
        <v>44</v>
      </c>
      <c r="L1092" s="126" t="s">
        <v>45</v>
      </c>
      <c r="M1092" s="126" t="s">
        <v>46</v>
      </c>
      <c r="N1092" s="126" t="s">
        <v>47</v>
      </c>
      <c r="O1092" s="127">
        <v>10959</v>
      </c>
      <c r="P1092" s="126"/>
      <c r="Q1092" s="126" t="s">
        <v>293</v>
      </c>
      <c r="R1092" s="126">
        <v>10</v>
      </c>
      <c r="S1092" s="126" t="s">
        <v>48</v>
      </c>
    </row>
    <row r="1093" spans="1:19" ht="29.25" x14ac:dyDescent="0.25">
      <c r="A1093" s="126">
        <v>91701</v>
      </c>
      <c r="B1093" s="126" t="s">
        <v>39</v>
      </c>
      <c r="C1093" s="126" t="s">
        <v>40</v>
      </c>
      <c r="D1093" s="126" t="s">
        <v>40</v>
      </c>
      <c r="E1093" s="126" t="s">
        <v>2781</v>
      </c>
      <c r="F1093" s="126" t="s">
        <v>2782</v>
      </c>
      <c r="G1093" s="126">
        <v>198.9</v>
      </c>
      <c r="H1093" s="126" t="s">
        <v>7</v>
      </c>
      <c r="I1093" s="126" t="s">
        <v>2350</v>
      </c>
      <c r="J1093" s="126" t="s">
        <v>384</v>
      </c>
      <c r="K1093" s="126" t="s">
        <v>599</v>
      </c>
      <c r="L1093" s="126" t="s">
        <v>259</v>
      </c>
      <c r="M1093" s="126" t="s">
        <v>57</v>
      </c>
      <c r="N1093" s="126" t="s">
        <v>58</v>
      </c>
      <c r="O1093" s="127">
        <v>38538</v>
      </c>
      <c r="P1093" s="126"/>
      <c r="Q1093" s="126"/>
      <c r="R1093" s="126">
        <v>167</v>
      </c>
      <c r="S1093" s="126" t="s">
        <v>48</v>
      </c>
    </row>
    <row r="1094" spans="1:19" ht="29.25" x14ac:dyDescent="0.25">
      <c r="A1094" s="126">
        <v>91702</v>
      </c>
      <c r="B1094" s="126" t="s">
        <v>39</v>
      </c>
      <c r="C1094" s="126" t="s">
        <v>40</v>
      </c>
      <c r="D1094" s="126" t="s">
        <v>40</v>
      </c>
      <c r="E1094" s="126" t="s">
        <v>2783</v>
      </c>
      <c r="F1094" s="126" t="s">
        <v>2784</v>
      </c>
      <c r="G1094" s="126">
        <v>198.9</v>
      </c>
      <c r="H1094" s="126" t="s">
        <v>7</v>
      </c>
      <c r="I1094" s="126" t="s">
        <v>2350</v>
      </c>
      <c r="J1094" s="126" t="s">
        <v>384</v>
      </c>
      <c r="K1094" s="126" t="s">
        <v>599</v>
      </c>
      <c r="L1094" s="126" t="s">
        <v>259</v>
      </c>
      <c r="M1094" s="126" t="s">
        <v>57</v>
      </c>
      <c r="N1094" s="126" t="s">
        <v>58</v>
      </c>
      <c r="O1094" s="127">
        <v>38538</v>
      </c>
      <c r="P1094" s="126"/>
      <c r="Q1094" s="126"/>
      <c r="R1094" s="126">
        <v>167</v>
      </c>
      <c r="S1094" s="126" t="s">
        <v>48</v>
      </c>
    </row>
    <row r="1095" spans="1:19" ht="29.25" x14ac:dyDescent="0.25">
      <c r="A1095" s="126">
        <v>91704</v>
      </c>
      <c r="B1095" s="126" t="s">
        <v>39</v>
      </c>
      <c r="C1095" s="126" t="s">
        <v>40</v>
      </c>
      <c r="D1095" s="126" t="s">
        <v>40</v>
      </c>
      <c r="E1095" s="126" t="s">
        <v>2759</v>
      </c>
      <c r="F1095" s="126" t="s">
        <v>2760</v>
      </c>
      <c r="G1095" s="126">
        <v>198.9</v>
      </c>
      <c r="H1095" s="126" t="s">
        <v>7</v>
      </c>
      <c r="I1095" s="126" t="s">
        <v>2350</v>
      </c>
      <c r="J1095" s="126" t="s">
        <v>384</v>
      </c>
      <c r="K1095" s="126" t="s">
        <v>599</v>
      </c>
      <c r="L1095" s="126" t="s">
        <v>259</v>
      </c>
      <c r="M1095" s="126" t="s">
        <v>57</v>
      </c>
      <c r="N1095" s="126" t="s">
        <v>58</v>
      </c>
      <c r="O1095" s="127">
        <v>38476</v>
      </c>
      <c r="P1095" s="126"/>
      <c r="Q1095" s="126"/>
      <c r="R1095" s="126">
        <v>167</v>
      </c>
      <c r="S1095" s="126" t="s">
        <v>48</v>
      </c>
    </row>
    <row r="1096" spans="1:19" ht="29.25" x14ac:dyDescent="0.25">
      <c r="A1096" s="126">
        <v>91703</v>
      </c>
      <c r="B1096" s="126" t="s">
        <v>39</v>
      </c>
      <c r="C1096" s="126" t="s">
        <v>40</v>
      </c>
      <c r="D1096" s="126" t="s">
        <v>40</v>
      </c>
      <c r="E1096" s="126" t="s">
        <v>2785</v>
      </c>
      <c r="F1096" s="126" t="s">
        <v>2786</v>
      </c>
      <c r="G1096" s="126">
        <v>184</v>
      </c>
      <c r="H1096" s="126" t="s">
        <v>7</v>
      </c>
      <c r="I1096" s="126" t="s">
        <v>2350</v>
      </c>
      <c r="J1096" s="126" t="s">
        <v>384</v>
      </c>
      <c r="K1096" s="126" t="s">
        <v>385</v>
      </c>
      <c r="L1096" s="126" t="s">
        <v>731</v>
      </c>
      <c r="M1096" s="126" t="s">
        <v>57</v>
      </c>
      <c r="N1096" s="126" t="s">
        <v>58</v>
      </c>
      <c r="O1096" s="127">
        <v>38538</v>
      </c>
      <c r="P1096" s="126"/>
      <c r="Q1096" s="126"/>
      <c r="R1096" s="126">
        <v>187</v>
      </c>
      <c r="S1096" s="126" t="s">
        <v>48</v>
      </c>
    </row>
    <row r="1097" spans="1:19" ht="29.25" x14ac:dyDescent="0.25">
      <c r="A1097" s="126">
        <v>91705</v>
      </c>
      <c r="B1097" s="126" t="s">
        <v>39</v>
      </c>
      <c r="C1097" s="126" t="s">
        <v>40</v>
      </c>
      <c r="D1097" s="126" t="s">
        <v>40</v>
      </c>
      <c r="E1097" s="126" t="s">
        <v>2761</v>
      </c>
      <c r="F1097" s="126" t="s">
        <v>2762</v>
      </c>
      <c r="G1097" s="126">
        <v>92</v>
      </c>
      <c r="H1097" s="126" t="s">
        <v>7</v>
      </c>
      <c r="I1097" s="126" t="s">
        <v>2350</v>
      </c>
      <c r="J1097" s="126" t="s">
        <v>384</v>
      </c>
      <c r="K1097" s="126" t="s">
        <v>385</v>
      </c>
      <c r="L1097" s="126" t="s">
        <v>731</v>
      </c>
      <c r="M1097" s="126" t="s">
        <v>57</v>
      </c>
      <c r="N1097" s="126" t="s">
        <v>58</v>
      </c>
      <c r="O1097" s="127">
        <v>38476</v>
      </c>
      <c r="P1097" s="126"/>
      <c r="Q1097" s="126"/>
      <c r="R1097" s="126">
        <v>92</v>
      </c>
      <c r="S1097" s="126" t="s">
        <v>48</v>
      </c>
    </row>
    <row r="1098" spans="1:19" x14ac:dyDescent="0.25">
      <c r="A1098" s="126">
        <v>24901</v>
      </c>
      <c r="B1098" s="126" t="s">
        <v>39</v>
      </c>
      <c r="C1098" s="126" t="s">
        <v>40</v>
      </c>
      <c r="D1098" s="126" t="s">
        <v>40</v>
      </c>
      <c r="E1098" s="126" t="s">
        <v>1021</v>
      </c>
      <c r="F1098" s="126" t="s">
        <v>1022</v>
      </c>
      <c r="G1098" s="126">
        <v>63.3</v>
      </c>
      <c r="H1098" s="126" t="s">
        <v>43</v>
      </c>
      <c r="I1098" s="126" t="s">
        <v>560</v>
      </c>
      <c r="J1098" s="126" t="s">
        <v>44</v>
      </c>
      <c r="K1098" s="126" t="s">
        <v>44</v>
      </c>
      <c r="L1098" s="126" t="s">
        <v>45</v>
      </c>
      <c r="M1098" s="126" t="s">
        <v>46</v>
      </c>
      <c r="N1098" s="126" t="s">
        <v>47</v>
      </c>
      <c r="O1098" s="127">
        <v>30682</v>
      </c>
      <c r="P1098" s="126"/>
      <c r="Q1098" s="126"/>
      <c r="R1098" s="126">
        <v>57.9</v>
      </c>
      <c r="S1098" s="126" t="s">
        <v>48</v>
      </c>
    </row>
    <row r="1099" spans="1:19" x14ac:dyDescent="0.25">
      <c r="A1099" s="126">
        <v>24902</v>
      </c>
      <c r="B1099" s="126" t="s">
        <v>39</v>
      </c>
      <c r="C1099" s="126" t="s">
        <v>40</v>
      </c>
      <c r="D1099" s="126" t="s">
        <v>40</v>
      </c>
      <c r="E1099" s="126" t="s">
        <v>1023</v>
      </c>
      <c r="F1099" s="126" t="s">
        <v>1024</v>
      </c>
      <c r="G1099" s="126">
        <v>75</v>
      </c>
      <c r="H1099" s="126" t="s">
        <v>43</v>
      </c>
      <c r="I1099" s="126" t="s">
        <v>560</v>
      </c>
      <c r="J1099" s="126" t="s">
        <v>44</v>
      </c>
      <c r="K1099" s="126" t="s">
        <v>44</v>
      </c>
      <c r="L1099" s="126" t="s">
        <v>45</v>
      </c>
      <c r="M1099" s="126" t="s">
        <v>46</v>
      </c>
      <c r="N1099" s="126" t="s">
        <v>47</v>
      </c>
      <c r="O1099" s="127">
        <v>30682</v>
      </c>
      <c r="P1099" s="126"/>
      <c r="Q1099" s="126"/>
      <c r="R1099" s="126">
        <v>57.9</v>
      </c>
      <c r="S1099" s="126" t="s">
        <v>48</v>
      </c>
    </row>
    <row r="1100" spans="1:19" x14ac:dyDescent="0.25">
      <c r="A1100" s="126">
        <v>24903</v>
      </c>
      <c r="B1100" s="126" t="s">
        <v>39</v>
      </c>
      <c r="C1100" s="126" t="s">
        <v>40</v>
      </c>
      <c r="D1100" s="126" t="s">
        <v>40</v>
      </c>
      <c r="E1100" s="126" t="s">
        <v>1025</v>
      </c>
      <c r="F1100" s="126" t="s">
        <v>1026</v>
      </c>
      <c r="G1100" s="126">
        <v>63.3</v>
      </c>
      <c r="H1100" s="126" t="s">
        <v>43</v>
      </c>
      <c r="I1100" s="126" t="s">
        <v>560</v>
      </c>
      <c r="J1100" s="126" t="s">
        <v>44</v>
      </c>
      <c r="K1100" s="126" t="s">
        <v>44</v>
      </c>
      <c r="L1100" s="126" t="s">
        <v>45</v>
      </c>
      <c r="M1100" s="126" t="s">
        <v>46</v>
      </c>
      <c r="N1100" s="126" t="s">
        <v>47</v>
      </c>
      <c r="O1100" s="127">
        <v>30682</v>
      </c>
      <c r="P1100" s="126"/>
      <c r="Q1100" s="126"/>
      <c r="R1100" s="126">
        <v>57.9</v>
      </c>
      <c r="S1100" s="126" t="s">
        <v>48</v>
      </c>
    </row>
    <row r="1101" spans="1:19" x14ac:dyDescent="0.25">
      <c r="A1101" s="126">
        <v>25201</v>
      </c>
      <c r="B1101" s="126" t="s">
        <v>39</v>
      </c>
      <c r="C1101" s="126" t="s">
        <v>40</v>
      </c>
      <c r="D1101" s="126" t="s">
        <v>40</v>
      </c>
      <c r="E1101" s="126" t="s">
        <v>251</v>
      </c>
      <c r="F1101" s="126" t="s">
        <v>252</v>
      </c>
      <c r="G1101" s="126">
        <v>24</v>
      </c>
      <c r="H1101" s="126" t="s">
        <v>43</v>
      </c>
      <c r="I1101" s="126" t="s">
        <v>6</v>
      </c>
      <c r="J1101" s="126" t="s">
        <v>44</v>
      </c>
      <c r="K1101" s="126" t="s">
        <v>44</v>
      </c>
      <c r="L1101" s="126" t="s">
        <v>45</v>
      </c>
      <c r="M1101" s="126" t="s">
        <v>46</v>
      </c>
      <c r="N1101" s="126" t="s">
        <v>47</v>
      </c>
      <c r="O1101" s="127">
        <v>9133</v>
      </c>
      <c r="P1101" s="126"/>
      <c r="Q1101" s="126" t="s">
        <v>207</v>
      </c>
      <c r="R1101" s="126">
        <v>24</v>
      </c>
      <c r="S1101" s="126" t="s">
        <v>48</v>
      </c>
    </row>
    <row r="1102" spans="1:19" x14ac:dyDescent="0.25">
      <c r="A1102" s="126">
        <v>25202</v>
      </c>
      <c r="B1102" s="126" t="s">
        <v>39</v>
      </c>
      <c r="C1102" s="126" t="s">
        <v>40</v>
      </c>
      <c r="D1102" s="126" t="s">
        <v>40</v>
      </c>
      <c r="E1102" s="126" t="s">
        <v>253</v>
      </c>
      <c r="F1102" s="126" t="s">
        <v>254</v>
      </c>
      <c r="G1102" s="126">
        <v>26</v>
      </c>
      <c r="H1102" s="126" t="s">
        <v>43</v>
      </c>
      <c r="I1102" s="126" t="s">
        <v>6</v>
      </c>
      <c r="J1102" s="126" t="s">
        <v>44</v>
      </c>
      <c r="K1102" s="126" t="s">
        <v>44</v>
      </c>
      <c r="L1102" s="126" t="s">
        <v>45</v>
      </c>
      <c r="M1102" s="126" t="s">
        <v>46</v>
      </c>
      <c r="N1102" s="126" t="s">
        <v>47</v>
      </c>
      <c r="O1102" s="127">
        <v>9133</v>
      </c>
      <c r="P1102" s="126"/>
      <c r="Q1102" s="126" t="s">
        <v>207</v>
      </c>
      <c r="R1102" s="126">
        <v>26</v>
      </c>
      <c r="S1102" s="126" t="s">
        <v>48</v>
      </c>
    </row>
    <row r="1103" spans="1:19" x14ac:dyDescent="0.25">
      <c r="A1103" s="126">
        <v>25203</v>
      </c>
      <c r="B1103" s="126" t="s">
        <v>39</v>
      </c>
      <c r="C1103" s="126" t="s">
        <v>40</v>
      </c>
      <c r="D1103" s="126" t="s">
        <v>40</v>
      </c>
      <c r="E1103" s="126" t="s">
        <v>255</v>
      </c>
      <c r="F1103" s="126" t="s">
        <v>256</v>
      </c>
      <c r="G1103" s="126">
        <v>25</v>
      </c>
      <c r="H1103" s="126" t="s">
        <v>43</v>
      </c>
      <c r="I1103" s="126" t="s">
        <v>6</v>
      </c>
      <c r="J1103" s="126" t="s">
        <v>44</v>
      </c>
      <c r="K1103" s="126" t="s">
        <v>44</v>
      </c>
      <c r="L1103" s="126" t="s">
        <v>45</v>
      </c>
      <c r="M1103" s="126" t="s">
        <v>46</v>
      </c>
      <c r="N1103" s="126" t="s">
        <v>47</v>
      </c>
      <c r="O1103" s="127">
        <v>9133</v>
      </c>
      <c r="P1103" s="126"/>
      <c r="Q1103" s="126" t="s">
        <v>207</v>
      </c>
      <c r="R1103" s="126">
        <v>25</v>
      </c>
      <c r="S1103" s="126" t="s">
        <v>48</v>
      </c>
    </row>
    <row r="1104" spans="1:19" x14ac:dyDescent="0.25">
      <c r="A1104" s="126">
        <v>25301</v>
      </c>
      <c r="B1104" s="126" t="s">
        <v>39</v>
      </c>
      <c r="C1104" s="126" t="s">
        <v>40</v>
      </c>
      <c r="D1104" s="126" t="s">
        <v>40</v>
      </c>
      <c r="E1104" s="126" t="s">
        <v>394</v>
      </c>
      <c r="F1104" s="126" t="s">
        <v>395</v>
      </c>
      <c r="G1104" s="126">
        <v>55</v>
      </c>
      <c r="H1104" s="126" t="s">
        <v>43</v>
      </c>
      <c r="I1104" s="126" t="s">
        <v>6</v>
      </c>
      <c r="J1104" s="126" t="s">
        <v>44</v>
      </c>
      <c r="K1104" s="126" t="s">
        <v>44</v>
      </c>
      <c r="L1104" s="126" t="s">
        <v>45</v>
      </c>
      <c r="M1104" s="126" t="s">
        <v>46</v>
      </c>
      <c r="N1104" s="126" t="s">
        <v>47</v>
      </c>
      <c r="O1104" s="127">
        <v>20090</v>
      </c>
      <c r="P1104" s="126"/>
      <c r="Q1104" s="126" t="s">
        <v>207</v>
      </c>
      <c r="R1104" s="126">
        <v>55</v>
      </c>
      <c r="S1104" s="126" t="s">
        <v>48</v>
      </c>
    </row>
    <row r="1105" spans="1:19" x14ac:dyDescent="0.25">
      <c r="A1105" s="126">
        <v>25302</v>
      </c>
      <c r="B1105" s="126" t="s">
        <v>39</v>
      </c>
      <c r="C1105" s="126" t="s">
        <v>40</v>
      </c>
      <c r="D1105" s="126" t="s">
        <v>40</v>
      </c>
      <c r="E1105" s="126" t="s">
        <v>396</v>
      </c>
      <c r="F1105" s="126" t="s">
        <v>397</v>
      </c>
      <c r="G1105" s="126">
        <v>47</v>
      </c>
      <c r="H1105" s="126" t="s">
        <v>43</v>
      </c>
      <c r="I1105" s="126" t="s">
        <v>6</v>
      </c>
      <c r="J1105" s="126" t="s">
        <v>44</v>
      </c>
      <c r="K1105" s="126" t="s">
        <v>44</v>
      </c>
      <c r="L1105" s="126" t="s">
        <v>45</v>
      </c>
      <c r="M1105" s="126" t="s">
        <v>46</v>
      </c>
      <c r="N1105" s="126" t="s">
        <v>47</v>
      </c>
      <c r="O1105" s="127">
        <v>20090</v>
      </c>
      <c r="P1105" s="126"/>
      <c r="Q1105" s="126" t="s">
        <v>207</v>
      </c>
      <c r="R1105" s="126">
        <v>47</v>
      </c>
      <c r="S1105" s="126" t="s">
        <v>48</v>
      </c>
    </row>
    <row r="1106" spans="1:19" x14ac:dyDescent="0.25">
      <c r="A1106" s="126">
        <v>25401</v>
      </c>
      <c r="B1106" s="126" t="s">
        <v>39</v>
      </c>
      <c r="C1106" s="126" t="s">
        <v>40</v>
      </c>
      <c r="D1106" s="126" t="s">
        <v>40</v>
      </c>
      <c r="E1106" s="126" t="s">
        <v>339</v>
      </c>
      <c r="F1106" s="126" t="s">
        <v>340</v>
      </c>
      <c r="G1106" s="126">
        <v>41</v>
      </c>
      <c r="H1106" s="126" t="s">
        <v>43</v>
      </c>
      <c r="I1106" s="126" t="s">
        <v>6</v>
      </c>
      <c r="J1106" s="126" t="s">
        <v>44</v>
      </c>
      <c r="K1106" s="126" t="s">
        <v>44</v>
      </c>
      <c r="L1106" s="126" t="s">
        <v>45</v>
      </c>
      <c r="M1106" s="126" t="s">
        <v>46</v>
      </c>
      <c r="N1106" s="126" t="s">
        <v>47</v>
      </c>
      <c r="O1106" s="127">
        <v>16072</v>
      </c>
      <c r="P1106" s="126"/>
      <c r="Q1106" s="126" t="s">
        <v>207</v>
      </c>
      <c r="R1106" s="126">
        <v>41</v>
      </c>
      <c r="S1106" s="126" t="s">
        <v>48</v>
      </c>
    </row>
    <row r="1107" spans="1:19" x14ac:dyDescent="0.25">
      <c r="A1107" s="126">
        <v>25402</v>
      </c>
      <c r="B1107" s="126" t="s">
        <v>39</v>
      </c>
      <c r="C1107" s="126" t="s">
        <v>40</v>
      </c>
      <c r="D1107" s="126" t="s">
        <v>40</v>
      </c>
      <c r="E1107" s="126" t="s">
        <v>341</v>
      </c>
      <c r="F1107" s="126" t="s">
        <v>342</v>
      </c>
      <c r="G1107" s="126">
        <v>41</v>
      </c>
      <c r="H1107" s="126" t="s">
        <v>43</v>
      </c>
      <c r="I1107" s="126" t="s">
        <v>6</v>
      </c>
      <c r="J1107" s="126" t="s">
        <v>44</v>
      </c>
      <c r="K1107" s="126" t="s">
        <v>44</v>
      </c>
      <c r="L1107" s="126" t="s">
        <v>45</v>
      </c>
      <c r="M1107" s="126" t="s">
        <v>46</v>
      </c>
      <c r="N1107" s="126" t="s">
        <v>47</v>
      </c>
      <c r="O1107" s="127">
        <v>16072</v>
      </c>
      <c r="P1107" s="126"/>
      <c r="Q1107" s="126" t="s">
        <v>207</v>
      </c>
      <c r="R1107" s="126">
        <v>41</v>
      </c>
      <c r="S1107" s="126" t="s">
        <v>48</v>
      </c>
    </row>
    <row r="1108" spans="1:19" x14ac:dyDescent="0.25">
      <c r="A1108" s="126">
        <v>25501</v>
      </c>
      <c r="B1108" s="126" t="s">
        <v>39</v>
      </c>
      <c r="C1108" s="126" t="s">
        <v>40</v>
      </c>
      <c r="D1108" s="126" t="s">
        <v>40</v>
      </c>
      <c r="E1108" s="126" t="s">
        <v>345</v>
      </c>
      <c r="F1108" s="126" t="s">
        <v>346</v>
      </c>
      <c r="G1108" s="126">
        <v>41</v>
      </c>
      <c r="H1108" s="126" t="s">
        <v>43</v>
      </c>
      <c r="I1108" s="126" t="s">
        <v>6</v>
      </c>
      <c r="J1108" s="126" t="s">
        <v>44</v>
      </c>
      <c r="K1108" s="126" t="s">
        <v>44</v>
      </c>
      <c r="L1108" s="126" t="s">
        <v>45</v>
      </c>
      <c r="M1108" s="126" t="s">
        <v>46</v>
      </c>
      <c r="N1108" s="126" t="s">
        <v>47</v>
      </c>
      <c r="O1108" s="127">
        <v>16072</v>
      </c>
      <c r="P1108" s="126"/>
      <c r="Q1108" s="126" t="s">
        <v>207</v>
      </c>
      <c r="R1108" s="126">
        <v>41</v>
      </c>
      <c r="S1108" s="126" t="s">
        <v>48</v>
      </c>
    </row>
    <row r="1109" spans="1:19" x14ac:dyDescent="0.25">
      <c r="A1109" s="126">
        <v>25502</v>
      </c>
      <c r="B1109" s="126" t="s">
        <v>39</v>
      </c>
      <c r="C1109" s="126" t="s">
        <v>40</v>
      </c>
      <c r="D1109" s="126" t="s">
        <v>40</v>
      </c>
      <c r="E1109" s="126" t="s">
        <v>347</v>
      </c>
      <c r="F1109" s="126" t="s">
        <v>348</v>
      </c>
      <c r="G1109" s="126">
        <v>41</v>
      </c>
      <c r="H1109" s="126" t="s">
        <v>43</v>
      </c>
      <c r="I1109" s="126" t="s">
        <v>6</v>
      </c>
      <c r="J1109" s="126" t="s">
        <v>44</v>
      </c>
      <c r="K1109" s="126" t="s">
        <v>44</v>
      </c>
      <c r="L1109" s="126" t="s">
        <v>45</v>
      </c>
      <c r="M1109" s="126" t="s">
        <v>46</v>
      </c>
      <c r="N1109" s="126" t="s">
        <v>47</v>
      </c>
      <c r="O1109" s="127">
        <v>16072</v>
      </c>
      <c r="P1109" s="126"/>
      <c r="Q1109" s="126" t="s">
        <v>207</v>
      </c>
      <c r="R1109" s="126">
        <v>41</v>
      </c>
      <c r="S1109" s="126" t="s">
        <v>48</v>
      </c>
    </row>
    <row r="1110" spans="1:19" ht="29.25" x14ac:dyDescent="0.25">
      <c r="A1110" s="126">
        <v>63801</v>
      </c>
      <c r="B1110" s="126" t="s">
        <v>39</v>
      </c>
      <c r="C1110" s="126" t="s">
        <v>49</v>
      </c>
      <c r="D1110" s="126" t="s">
        <v>40</v>
      </c>
      <c r="E1110" s="126"/>
      <c r="F1110" s="126" t="s">
        <v>1181</v>
      </c>
      <c r="G1110" s="126"/>
      <c r="H1110" s="126" t="s">
        <v>162</v>
      </c>
      <c r="I1110" s="126" t="s">
        <v>1182</v>
      </c>
      <c r="J1110" s="126" t="s">
        <v>44</v>
      </c>
      <c r="K1110" s="126" t="s">
        <v>44</v>
      </c>
      <c r="L1110" s="126" t="s">
        <v>45</v>
      </c>
      <c r="M1110" s="126" t="s">
        <v>57</v>
      </c>
      <c r="N1110" s="126" t="s">
        <v>163</v>
      </c>
      <c r="O1110" s="127">
        <v>31048</v>
      </c>
      <c r="P1110" s="126"/>
      <c r="Q1110" s="126"/>
      <c r="R1110" s="126">
        <v>1.35</v>
      </c>
      <c r="S1110" s="126" t="s">
        <v>48</v>
      </c>
    </row>
    <row r="1111" spans="1:19" ht="29.25" x14ac:dyDescent="0.25">
      <c r="A1111" s="126">
        <v>63802</v>
      </c>
      <c r="B1111" s="126" t="s">
        <v>39</v>
      </c>
      <c r="C1111" s="126" t="s">
        <v>49</v>
      </c>
      <c r="D1111" s="126" t="s">
        <v>40</v>
      </c>
      <c r="E1111" s="126"/>
      <c r="F1111" s="126" t="s">
        <v>1183</v>
      </c>
      <c r="G1111" s="126"/>
      <c r="H1111" s="126" t="s">
        <v>162</v>
      </c>
      <c r="I1111" s="126" t="s">
        <v>1182</v>
      </c>
      <c r="J1111" s="126" t="s">
        <v>807</v>
      </c>
      <c r="K1111" s="126" t="s">
        <v>315</v>
      </c>
      <c r="L1111" s="126" t="s">
        <v>1008</v>
      </c>
      <c r="M1111" s="126" t="s">
        <v>57</v>
      </c>
      <c r="N1111" s="126" t="s">
        <v>163</v>
      </c>
      <c r="O1111" s="127">
        <v>31048</v>
      </c>
      <c r="P1111" s="126"/>
      <c r="Q1111" s="126"/>
      <c r="R1111" s="126">
        <v>2.29</v>
      </c>
      <c r="S1111" s="126" t="s">
        <v>48</v>
      </c>
    </row>
    <row r="1112" spans="1:19" ht="29.25" x14ac:dyDescent="0.25">
      <c r="A1112" s="126">
        <v>63803</v>
      </c>
      <c r="B1112" s="126" t="s">
        <v>39</v>
      </c>
      <c r="C1112" s="126" t="s">
        <v>49</v>
      </c>
      <c r="D1112" s="126" t="s">
        <v>40</v>
      </c>
      <c r="E1112" s="126"/>
      <c r="F1112" s="126" t="s">
        <v>1184</v>
      </c>
      <c r="G1112" s="126"/>
      <c r="H1112" s="126" t="s">
        <v>162</v>
      </c>
      <c r="I1112" s="126" t="s">
        <v>1182</v>
      </c>
      <c r="J1112" s="126" t="s">
        <v>807</v>
      </c>
      <c r="K1112" s="126" t="s">
        <v>315</v>
      </c>
      <c r="L1112" s="126" t="s">
        <v>1008</v>
      </c>
      <c r="M1112" s="126" t="s">
        <v>57</v>
      </c>
      <c r="N1112" s="126" t="s">
        <v>163</v>
      </c>
      <c r="O1112" s="127">
        <v>31048</v>
      </c>
      <c r="P1112" s="126"/>
      <c r="Q1112" s="126"/>
      <c r="R1112" s="126">
        <v>2.29</v>
      </c>
      <c r="S1112" s="126" t="s">
        <v>48</v>
      </c>
    </row>
    <row r="1113" spans="1:19" ht="29.25" x14ac:dyDescent="0.25">
      <c r="A1113" s="126">
        <v>63804</v>
      </c>
      <c r="B1113" s="126" t="s">
        <v>39</v>
      </c>
      <c r="C1113" s="126" t="s">
        <v>49</v>
      </c>
      <c r="D1113" s="126" t="s">
        <v>40</v>
      </c>
      <c r="E1113" s="126"/>
      <c r="F1113" s="126" t="s">
        <v>1185</v>
      </c>
      <c r="G1113" s="126"/>
      <c r="H1113" s="126" t="s">
        <v>162</v>
      </c>
      <c r="I1113" s="126" t="s">
        <v>1182</v>
      </c>
      <c r="J1113" s="126" t="s">
        <v>807</v>
      </c>
      <c r="K1113" s="126" t="s">
        <v>315</v>
      </c>
      <c r="L1113" s="126" t="s">
        <v>1008</v>
      </c>
      <c r="M1113" s="126" t="s">
        <v>57</v>
      </c>
      <c r="N1113" s="126" t="s">
        <v>163</v>
      </c>
      <c r="O1113" s="127">
        <v>31048</v>
      </c>
      <c r="P1113" s="126"/>
      <c r="Q1113" s="126"/>
      <c r="R1113" s="126">
        <v>1.2</v>
      </c>
      <c r="S1113" s="126" t="s">
        <v>48</v>
      </c>
    </row>
    <row r="1114" spans="1:19" x14ac:dyDescent="0.25">
      <c r="A1114" s="126">
        <v>27401</v>
      </c>
      <c r="B1114" s="126" t="s">
        <v>39</v>
      </c>
      <c r="C1114" s="126" t="s">
        <v>40</v>
      </c>
      <c r="D1114" s="126" t="s">
        <v>40</v>
      </c>
      <c r="E1114" s="126" t="s">
        <v>323</v>
      </c>
      <c r="F1114" s="126" t="s">
        <v>324</v>
      </c>
      <c r="G1114" s="126">
        <v>5</v>
      </c>
      <c r="H1114" s="126" t="s">
        <v>43</v>
      </c>
      <c r="I1114" s="126" t="s">
        <v>6</v>
      </c>
      <c r="J1114" s="126" t="s">
        <v>44</v>
      </c>
      <c r="K1114" s="126" t="s">
        <v>44</v>
      </c>
      <c r="L1114" s="126" t="s">
        <v>45</v>
      </c>
      <c r="M1114" s="126" t="s">
        <v>46</v>
      </c>
      <c r="N1114" s="126" t="s">
        <v>47</v>
      </c>
      <c r="O1114" s="127">
        <v>14246</v>
      </c>
      <c r="P1114" s="126"/>
      <c r="Q1114" s="126" t="s">
        <v>112</v>
      </c>
      <c r="R1114" s="126">
        <v>5.0999999999999996</v>
      </c>
      <c r="S1114" s="126" t="s">
        <v>48</v>
      </c>
    </row>
    <row r="1115" spans="1:19" x14ac:dyDescent="0.25">
      <c r="A1115" s="126">
        <v>27402</v>
      </c>
      <c r="B1115" s="126" t="s">
        <v>39</v>
      </c>
      <c r="C1115" s="126" t="s">
        <v>40</v>
      </c>
      <c r="D1115" s="126" t="s">
        <v>40</v>
      </c>
      <c r="E1115" s="126" t="s">
        <v>113</v>
      </c>
      <c r="F1115" s="126" t="s">
        <v>114</v>
      </c>
      <c r="G1115" s="126">
        <v>2.1</v>
      </c>
      <c r="H1115" s="126" t="s">
        <v>43</v>
      </c>
      <c r="I1115" s="126" t="s">
        <v>6</v>
      </c>
      <c r="J1115" s="126" t="s">
        <v>44</v>
      </c>
      <c r="K1115" s="126" t="s">
        <v>44</v>
      </c>
      <c r="L1115" s="126" t="s">
        <v>45</v>
      </c>
      <c r="M1115" s="126" t="s">
        <v>46</v>
      </c>
      <c r="N1115" s="126" t="s">
        <v>47</v>
      </c>
      <c r="O1115" s="127">
        <v>3654</v>
      </c>
      <c r="P1115" s="126"/>
      <c r="Q1115" s="126" t="s">
        <v>112</v>
      </c>
      <c r="R1115" s="126">
        <v>2.5</v>
      </c>
      <c r="S1115" s="126" t="s">
        <v>48</v>
      </c>
    </row>
    <row r="1116" spans="1:19" x14ac:dyDescent="0.25">
      <c r="A1116" s="126">
        <v>27403</v>
      </c>
      <c r="B1116" s="126" t="s">
        <v>39</v>
      </c>
      <c r="C1116" s="126" t="s">
        <v>40</v>
      </c>
      <c r="D1116" s="126" t="s">
        <v>40</v>
      </c>
      <c r="E1116" s="126" t="s">
        <v>171</v>
      </c>
      <c r="F1116" s="126" t="s">
        <v>172</v>
      </c>
      <c r="G1116" s="126">
        <v>2.1</v>
      </c>
      <c r="H1116" s="126" t="s">
        <v>43</v>
      </c>
      <c r="I1116" s="126" t="s">
        <v>6</v>
      </c>
      <c r="J1116" s="126" t="s">
        <v>44</v>
      </c>
      <c r="K1116" s="126" t="s">
        <v>44</v>
      </c>
      <c r="L1116" s="126" t="s">
        <v>45</v>
      </c>
      <c r="M1116" s="126" t="s">
        <v>46</v>
      </c>
      <c r="N1116" s="126" t="s">
        <v>47</v>
      </c>
      <c r="O1116" s="127">
        <v>6211</v>
      </c>
      <c r="P1116" s="126"/>
      <c r="Q1116" s="126" t="s">
        <v>112</v>
      </c>
      <c r="R1116" s="126">
        <v>2.5</v>
      </c>
      <c r="S1116" s="126" t="s">
        <v>48</v>
      </c>
    </row>
    <row r="1117" spans="1:19" x14ac:dyDescent="0.25">
      <c r="A1117" s="126">
        <v>27501</v>
      </c>
      <c r="B1117" s="126" t="s">
        <v>39</v>
      </c>
      <c r="C1117" s="126" t="s">
        <v>40</v>
      </c>
      <c r="D1117" s="126" t="s">
        <v>40</v>
      </c>
      <c r="E1117" s="126" t="s">
        <v>2438</v>
      </c>
      <c r="F1117" s="126" t="s">
        <v>2439</v>
      </c>
      <c r="G1117" s="126"/>
      <c r="H1117" s="126" t="s">
        <v>43</v>
      </c>
      <c r="I1117" s="126" t="s">
        <v>2382</v>
      </c>
      <c r="J1117" s="126" t="s">
        <v>314</v>
      </c>
      <c r="K1117" s="126" t="s">
        <v>315</v>
      </c>
      <c r="L1117" s="126" t="s">
        <v>259</v>
      </c>
      <c r="M1117" s="126" t="s">
        <v>46</v>
      </c>
      <c r="N1117" s="126" t="s">
        <v>47</v>
      </c>
      <c r="O1117" s="127">
        <v>37114</v>
      </c>
      <c r="P1117" s="126"/>
      <c r="Q1117" s="126"/>
      <c r="R1117" s="126">
        <v>3</v>
      </c>
      <c r="S1117" s="126" t="s">
        <v>48</v>
      </c>
    </row>
    <row r="1118" spans="1:19" x14ac:dyDescent="0.25">
      <c r="A1118" s="126">
        <v>27510</v>
      </c>
      <c r="B1118" s="126" t="s">
        <v>39</v>
      </c>
      <c r="C1118" s="126" t="s">
        <v>40</v>
      </c>
      <c r="D1118" s="126" t="s">
        <v>40</v>
      </c>
      <c r="E1118" s="126" t="s">
        <v>2440</v>
      </c>
      <c r="F1118" s="126" t="s">
        <v>2441</v>
      </c>
      <c r="G1118" s="126"/>
      <c r="H1118" s="126" t="s">
        <v>43</v>
      </c>
      <c r="I1118" s="126" t="s">
        <v>2382</v>
      </c>
      <c r="J1118" s="126" t="s">
        <v>314</v>
      </c>
      <c r="K1118" s="126" t="s">
        <v>315</v>
      </c>
      <c r="L1118" s="126" t="s">
        <v>259</v>
      </c>
      <c r="M1118" s="126" t="s">
        <v>46</v>
      </c>
      <c r="N1118" s="126" t="s">
        <v>47</v>
      </c>
      <c r="O1118" s="127">
        <v>37114</v>
      </c>
      <c r="P1118" s="126"/>
      <c r="Q1118" s="126"/>
      <c r="R1118" s="126">
        <v>3</v>
      </c>
      <c r="S1118" s="126" t="s">
        <v>48</v>
      </c>
    </row>
    <row r="1119" spans="1:19" x14ac:dyDescent="0.25">
      <c r="A1119" s="126">
        <v>27511</v>
      </c>
      <c r="B1119" s="126" t="s">
        <v>39</v>
      </c>
      <c r="C1119" s="126" t="s">
        <v>40</v>
      </c>
      <c r="D1119" s="126" t="s">
        <v>40</v>
      </c>
      <c r="E1119" s="126" t="s">
        <v>2442</v>
      </c>
      <c r="F1119" s="126" t="s">
        <v>2443</v>
      </c>
      <c r="G1119" s="126"/>
      <c r="H1119" s="126" t="s">
        <v>43</v>
      </c>
      <c r="I1119" s="126" t="s">
        <v>2382</v>
      </c>
      <c r="J1119" s="126" t="s">
        <v>314</v>
      </c>
      <c r="K1119" s="126" t="s">
        <v>315</v>
      </c>
      <c r="L1119" s="126" t="s">
        <v>259</v>
      </c>
      <c r="M1119" s="126" t="s">
        <v>46</v>
      </c>
      <c r="N1119" s="126" t="s">
        <v>47</v>
      </c>
      <c r="O1119" s="127">
        <v>37114</v>
      </c>
      <c r="P1119" s="126"/>
      <c r="Q1119" s="126"/>
      <c r="R1119" s="126">
        <v>3</v>
      </c>
      <c r="S1119" s="126" t="s">
        <v>48</v>
      </c>
    </row>
    <row r="1120" spans="1:19" x14ac:dyDescent="0.25">
      <c r="A1120" s="126">
        <v>27512</v>
      </c>
      <c r="B1120" s="126" t="s">
        <v>39</v>
      </c>
      <c r="C1120" s="126" t="s">
        <v>40</v>
      </c>
      <c r="D1120" s="126" t="s">
        <v>40</v>
      </c>
      <c r="E1120" s="126" t="s">
        <v>2444</v>
      </c>
      <c r="F1120" s="126" t="s">
        <v>2445</v>
      </c>
      <c r="G1120" s="126"/>
      <c r="H1120" s="126" t="s">
        <v>43</v>
      </c>
      <c r="I1120" s="126" t="s">
        <v>2382</v>
      </c>
      <c r="J1120" s="126" t="s">
        <v>314</v>
      </c>
      <c r="K1120" s="126" t="s">
        <v>315</v>
      </c>
      <c r="L1120" s="126" t="s">
        <v>259</v>
      </c>
      <c r="M1120" s="126" t="s">
        <v>46</v>
      </c>
      <c r="N1120" s="126" t="s">
        <v>47</v>
      </c>
      <c r="O1120" s="127">
        <v>37114</v>
      </c>
      <c r="P1120" s="126"/>
      <c r="Q1120" s="126"/>
      <c r="R1120" s="126">
        <v>3</v>
      </c>
      <c r="S1120" s="126" t="s">
        <v>48</v>
      </c>
    </row>
    <row r="1121" spans="1:19" x14ac:dyDescent="0.25">
      <c r="A1121" s="126">
        <v>27513</v>
      </c>
      <c r="B1121" s="126" t="s">
        <v>39</v>
      </c>
      <c r="C1121" s="126" t="s">
        <v>40</v>
      </c>
      <c r="D1121" s="126" t="s">
        <v>40</v>
      </c>
      <c r="E1121" s="126" t="s">
        <v>2446</v>
      </c>
      <c r="F1121" s="126" t="s">
        <v>2447</v>
      </c>
      <c r="G1121" s="126"/>
      <c r="H1121" s="126" t="s">
        <v>43</v>
      </c>
      <c r="I1121" s="126" t="s">
        <v>2382</v>
      </c>
      <c r="J1121" s="126" t="s">
        <v>314</v>
      </c>
      <c r="K1121" s="126" t="s">
        <v>315</v>
      </c>
      <c r="L1121" s="126" t="s">
        <v>259</v>
      </c>
      <c r="M1121" s="126" t="s">
        <v>46</v>
      </c>
      <c r="N1121" s="126" t="s">
        <v>47</v>
      </c>
      <c r="O1121" s="127">
        <v>37114</v>
      </c>
      <c r="P1121" s="126"/>
      <c r="Q1121" s="126"/>
      <c r="R1121" s="126">
        <v>3</v>
      </c>
      <c r="S1121" s="126" t="s">
        <v>48</v>
      </c>
    </row>
    <row r="1122" spans="1:19" x14ac:dyDescent="0.25">
      <c r="A1122" s="126">
        <v>27514</v>
      </c>
      <c r="B1122" s="126" t="s">
        <v>39</v>
      </c>
      <c r="C1122" s="126" t="s">
        <v>40</v>
      </c>
      <c r="D1122" s="126" t="s">
        <v>40</v>
      </c>
      <c r="E1122" s="126" t="s">
        <v>2448</v>
      </c>
      <c r="F1122" s="126" t="s">
        <v>2449</v>
      </c>
      <c r="G1122" s="126"/>
      <c r="H1122" s="126" t="s">
        <v>43</v>
      </c>
      <c r="I1122" s="126" t="s">
        <v>2382</v>
      </c>
      <c r="J1122" s="126" t="s">
        <v>314</v>
      </c>
      <c r="K1122" s="126" t="s">
        <v>315</v>
      </c>
      <c r="L1122" s="126" t="s">
        <v>259</v>
      </c>
      <c r="M1122" s="126" t="s">
        <v>46</v>
      </c>
      <c r="N1122" s="126" t="s">
        <v>47</v>
      </c>
      <c r="O1122" s="127">
        <v>37114</v>
      </c>
      <c r="P1122" s="126"/>
      <c r="Q1122" s="126"/>
      <c r="R1122" s="126">
        <v>3</v>
      </c>
      <c r="S1122" s="126" t="s">
        <v>48</v>
      </c>
    </row>
    <row r="1123" spans="1:19" x14ac:dyDescent="0.25">
      <c r="A1123" s="126">
        <v>27515</v>
      </c>
      <c r="B1123" s="126" t="s">
        <v>39</v>
      </c>
      <c r="C1123" s="126" t="s">
        <v>40</v>
      </c>
      <c r="D1123" s="126" t="s">
        <v>40</v>
      </c>
      <c r="E1123" s="126" t="s">
        <v>2450</v>
      </c>
      <c r="F1123" s="126" t="s">
        <v>2451</v>
      </c>
      <c r="G1123" s="126"/>
      <c r="H1123" s="126" t="s">
        <v>43</v>
      </c>
      <c r="I1123" s="126" t="s">
        <v>2382</v>
      </c>
      <c r="J1123" s="126" t="s">
        <v>314</v>
      </c>
      <c r="K1123" s="126" t="s">
        <v>315</v>
      </c>
      <c r="L1123" s="126" t="s">
        <v>259</v>
      </c>
      <c r="M1123" s="126" t="s">
        <v>46</v>
      </c>
      <c r="N1123" s="126" t="s">
        <v>47</v>
      </c>
      <c r="O1123" s="127">
        <v>37114</v>
      </c>
      <c r="P1123" s="126"/>
      <c r="Q1123" s="126"/>
      <c r="R1123" s="126">
        <v>3</v>
      </c>
      <c r="S1123" s="126" t="s">
        <v>48</v>
      </c>
    </row>
    <row r="1124" spans="1:19" x14ac:dyDescent="0.25">
      <c r="A1124" s="126">
        <v>27516</v>
      </c>
      <c r="B1124" s="126" t="s">
        <v>39</v>
      </c>
      <c r="C1124" s="126" t="s">
        <v>40</v>
      </c>
      <c r="D1124" s="126" t="s">
        <v>40</v>
      </c>
      <c r="E1124" s="126" t="s">
        <v>2452</v>
      </c>
      <c r="F1124" s="126" t="s">
        <v>2453</v>
      </c>
      <c r="G1124" s="126"/>
      <c r="H1124" s="126" t="s">
        <v>43</v>
      </c>
      <c r="I1124" s="126" t="s">
        <v>2382</v>
      </c>
      <c r="J1124" s="126" t="s">
        <v>314</v>
      </c>
      <c r="K1124" s="126" t="s">
        <v>315</v>
      </c>
      <c r="L1124" s="126" t="s">
        <v>259</v>
      </c>
      <c r="M1124" s="126" t="s">
        <v>46</v>
      </c>
      <c r="N1124" s="126" t="s">
        <v>47</v>
      </c>
      <c r="O1124" s="127">
        <v>37114</v>
      </c>
      <c r="P1124" s="126"/>
      <c r="Q1124" s="126"/>
      <c r="R1124" s="126">
        <v>3</v>
      </c>
      <c r="S1124" s="126" t="s">
        <v>48</v>
      </c>
    </row>
    <row r="1125" spans="1:19" x14ac:dyDescent="0.25">
      <c r="A1125" s="126">
        <v>27502</v>
      </c>
      <c r="B1125" s="126" t="s">
        <v>39</v>
      </c>
      <c r="C1125" s="126" t="s">
        <v>40</v>
      </c>
      <c r="D1125" s="126" t="s">
        <v>40</v>
      </c>
      <c r="E1125" s="126" t="s">
        <v>2454</v>
      </c>
      <c r="F1125" s="126" t="s">
        <v>2455</v>
      </c>
      <c r="G1125" s="126"/>
      <c r="H1125" s="126" t="s">
        <v>43</v>
      </c>
      <c r="I1125" s="126" t="s">
        <v>2382</v>
      </c>
      <c r="J1125" s="126" t="s">
        <v>314</v>
      </c>
      <c r="K1125" s="126" t="s">
        <v>315</v>
      </c>
      <c r="L1125" s="126" t="s">
        <v>259</v>
      </c>
      <c r="M1125" s="126" t="s">
        <v>46</v>
      </c>
      <c r="N1125" s="126" t="s">
        <v>47</v>
      </c>
      <c r="O1125" s="127">
        <v>37114</v>
      </c>
      <c r="P1125" s="126"/>
      <c r="Q1125" s="126"/>
      <c r="R1125" s="126">
        <v>3</v>
      </c>
      <c r="S1125" s="126" t="s">
        <v>48</v>
      </c>
    </row>
    <row r="1126" spans="1:19" x14ac:dyDescent="0.25">
      <c r="A1126" s="126">
        <v>27503</v>
      </c>
      <c r="B1126" s="126" t="s">
        <v>39</v>
      </c>
      <c r="C1126" s="126" t="s">
        <v>40</v>
      </c>
      <c r="D1126" s="126" t="s">
        <v>40</v>
      </c>
      <c r="E1126" s="126" t="s">
        <v>2456</v>
      </c>
      <c r="F1126" s="126" t="s">
        <v>2457</v>
      </c>
      <c r="G1126" s="126"/>
      <c r="H1126" s="126" t="s">
        <v>43</v>
      </c>
      <c r="I1126" s="126" t="s">
        <v>2382</v>
      </c>
      <c r="J1126" s="126" t="s">
        <v>314</v>
      </c>
      <c r="K1126" s="126" t="s">
        <v>315</v>
      </c>
      <c r="L1126" s="126" t="s">
        <v>259</v>
      </c>
      <c r="M1126" s="126" t="s">
        <v>46</v>
      </c>
      <c r="N1126" s="126" t="s">
        <v>47</v>
      </c>
      <c r="O1126" s="127">
        <v>37114</v>
      </c>
      <c r="P1126" s="126"/>
      <c r="Q1126" s="126"/>
      <c r="R1126" s="126">
        <v>3</v>
      </c>
      <c r="S1126" s="126" t="s">
        <v>48</v>
      </c>
    </row>
    <row r="1127" spans="1:19" x14ac:dyDescent="0.25">
      <c r="A1127" s="126">
        <v>27504</v>
      </c>
      <c r="B1127" s="126" t="s">
        <v>39</v>
      </c>
      <c r="C1127" s="126" t="s">
        <v>40</v>
      </c>
      <c r="D1127" s="126" t="s">
        <v>40</v>
      </c>
      <c r="E1127" s="126" t="s">
        <v>2458</v>
      </c>
      <c r="F1127" s="126" t="s">
        <v>2459</v>
      </c>
      <c r="G1127" s="126"/>
      <c r="H1127" s="126" t="s">
        <v>43</v>
      </c>
      <c r="I1127" s="126" t="s">
        <v>2382</v>
      </c>
      <c r="J1127" s="126" t="s">
        <v>314</v>
      </c>
      <c r="K1127" s="126" t="s">
        <v>315</v>
      </c>
      <c r="L1127" s="126" t="s">
        <v>259</v>
      </c>
      <c r="M1127" s="126" t="s">
        <v>46</v>
      </c>
      <c r="N1127" s="126" t="s">
        <v>47</v>
      </c>
      <c r="O1127" s="127">
        <v>37114</v>
      </c>
      <c r="P1127" s="126"/>
      <c r="Q1127" s="126"/>
      <c r="R1127" s="126">
        <v>3</v>
      </c>
      <c r="S1127" s="126" t="s">
        <v>48</v>
      </c>
    </row>
    <row r="1128" spans="1:19" x14ac:dyDescent="0.25">
      <c r="A1128" s="126">
        <v>27505</v>
      </c>
      <c r="B1128" s="126" t="s">
        <v>39</v>
      </c>
      <c r="C1128" s="126" t="s">
        <v>40</v>
      </c>
      <c r="D1128" s="126" t="s">
        <v>40</v>
      </c>
      <c r="E1128" s="126" t="s">
        <v>2460</v>
      </c>
      <c r="F1128" s="126" t="s">
        <v>2461</v>
      </c>
      <c r="G1128" s="126"/>
      <c r="H1128" s="126" t="s">
        <v>43</v>
      </c>
      <c r="I1128" s="126" t="s">
        <v>2382</v>
      </c>
      <c r="J1128" s="126" t="s">
        <v>314</v>
      </c>
      <c r="K1128" s="126" t="s">
        <v>315</v>
      </c>
      <c r="L1128" s="126" t="s">
        <v>259</v>
      </c>
      <c r="M1128" s="126" t="s">
        <v>46</v>
      </c>
      <c r="N1128" s="126" t="s">
        <v>47</v>
      </c>
      <c r="O1128" s="127">
        <v>37114</v>
      </c>
      <c r="P1128" s="126"/>
      <c r="Q1128" s="126"/>
      <c r="R1128" s="126">
        <v>3</v>
      </c>
      <c r="S1128" s="126" t="s">
        <v>48</v>
      </c>
    </row>
    <row r="1129" spans="1:19" x14ac:dyDescent="0.25">
      <c r="A1129" s="126">
        <v>27506</v>
      </c>
      <c r="B1129" s="126" t="s">
        <v>39</v>
      </c>
      <c r="C1129" s="126" t="s">
        <v>40</v>
      </c>
      <c r="D1129" s="126" t="s">
        <v>40</v>
      </c>
      <c r="E1129" s="126" t="s">
        <v>2462</v>
      </c>
      <c r="F1129" s="126" t="s">
        <v>2463</v>
      </c>
      <c r="G1129" s="126"/>
      <c r="H1129" s="126" t="s">
        <v>43</v>
      </c>
      <c r="I1129" s="126" t="s">
        <v>2382</v>
      </c>
      <c r="J1129" s="126" t="s">
        <v>314</v>
      </c>
      <c r="K1129" s="126" t="s">
        <v>315</v>
      </c>
      <c r="L1129" s="126" t="s">
        <v>259</v>
      </c>
      <c r="M1129" s="126" t="s">
        <v>46</v>
      </c>
      <c r="N1129" s="126" t="s">
        <v>47</v>
      </c>
      <c r="O1129" s="127">
        <v>37114</v>
      </c>
      <c r="P1129" s="126"/>
      <c r="Q1129" s="126"/>
      <c r="R1129" s="126">
        <v>3</v>
      </c>
      <c r="S1129" s="126" t="s">
        <v>48</v>
      </c>
    </row>
    <row r="1130" spans="1:19" x14ac:dyDescent="0.25">
      <c r="A1130" s="126">
        <v>27507</v>
      </c>
      <c r="B1130" s="126" t="s">
        <v>39</v>
      </c>
      <c r="C1130" s="126" t="s">
        <v>40</v>
      </c>
      <c r="D1130" s="126" t="s">
        <v>40</v>
      </c>
      <c r="E1130" s="126" t="s">
        <v>2464</v>
      </c>
      <c r="F1130" s="126" t="s">
        <v>2465</v>
      </c>
      <c r="G1130" s="126"/>
      <c r="H1130" s="126" t="s">
        <v>43</v>
      </c>
      <c r="I1130" s="126" t="s">
        <v>2382</v>
      </c>
      <c r="J1130" s="126" t="s">
        <v>314</v>
      </c>
      <c r="K1130" s="126" t="s">
        <v>315</v>
      </c>
      <c r="L1130" s="126" t="s">
        <v>259</v>
      </c>
      <c r="M1130" s="126" t="s">
        <v>46</v>
      </c>
      <c r="N1130" s="126" t="s">
        <v>47</v>
      </c>
      <c r="O1130" s="127">
        <v>37114</v>
      </c>
      <c r="P1130" s="126"/>
      <c r="Q1130" s="126"/>
      <c r="R1130" s="126">
        <v>3</v>
      </c>
      <c r="S1130" s="126" t="s">
        <v>48</v>
      </c>
    </row>
    <row r="1131" spans="1:19" x14ac:dyDescent="0.25">
      <c r="A1131" s="126">
        <v>27508</v>
      </c>
      <c r="B1131" s="126" t="s">
        <v>39</v>
      </c>
      <c r="C1131" s="126" t="s">
        <v>40</v>
      </c>
      <c r="D1131" s="126" t="s">
        <v>40</v>
      </c>
      <c r="E1131" s="126" t="s">
        <v>2466</v>
      </c>
      <c r="F1131" s="126" t="s">
        <v>2467</v>
      </c>
      <c r="G1131" s="126"/>
      <c r="H1131" s="126" t="s">
        <v>43</v>
      </c>
      <c r="I1131" s="126" t="s">
        <v>2382</v>
      </c>
      <c r="J1131" s="126" t="s">
        <v>314</v>
      </c>
      <c r="K1131" s="126" t="s">
        <v>315</v>
      </c>
      <c r="L1131" s="126" t="s">
        <v>259</v>
      </c>
      <c r="M1131" s="126" t="s">
        <v>46</v>
      </c>
      <c r="N1131" s="126" t="s">
        <v>47</v>
      </c>
      <c r="O1131" s="127">
        <v>37114</v>
      </c>
      <c r="P1131" s="126"/>
      <c r="Q1131" s="126"/>
      <c r="R1131" s="126">
        <v>3</v>
      </c>
      <c r="S1131" s="126" t="s">
        <v>48</v>
      </c>
    </row>
    <row r="1132" spans="1:19" x14ac:dyDescent="0.25">
      <c r="A1132" s="126">
        <v>27509</v>
      </c>
      <c r="B1132" s="126" t="s">
        <v>39</v>
      </c>
      <c r="C1132" s="126" t="s">
        <v>40</v>
      </c>
      <c r="D1132" s="126" t="s">
        <v>40</v>
      </c>
      <c r="E1132" s="126" t="s">
        <v>2468</v>
      </c>
      <c r="F1132" s="126" t="s">
        <v>2469</v>
      </c>
      <c r="G1132" s="126"/>
      <c r="H1132" s="126" t="s">
        <v>43</v>
      </c>
      <c r="I1132" s="126" t="s">
        <v>2382</v>
      </c>
      <c r="J1132" s="126" t="s">
        <v>314</v>
      </c>
      <c r="K1132" s="126" t="s">
        <v>315</v>
      </c>
      <c r="L1132" s="126" t="s">
        <v>259</v>
      </c>
      <c r="M1132" s="126" t="s">
        <v>46</v>
      </c>
      <c r="N1132" s="126" t="s">
        <v>47</v>
      </c>
      <c r="O1132" s="127">
        <v>37114</v>
      </c>
      <c r="P1132" s="126"/>
      <c r="Q1132" s="126"/>
      <c r="R1132" s="126">
        <v>3</v>
      </c>
      <c r="S1132" s="126" t="s">
        <v>48</v>
      </c>
    </row>
    <row r="1133" spans="1:19" x14ac:dyDescent="0.25">
      <c r="A1133" s="126">
        <v>28501</v>
      </c>
      <c r="B1133" s="126" t="s">
        <v>39</v>
      </c>
      <c r="C1133" s="126" t="s">
        <v>40</v>
      </c>
      <c r="D1133" s="126" t="s">
        <v>40</v>
      </c>
      <c r="E1133" s="126"/>
      <c r="F1133" s="126" t="s">
        <v>168</v>
      </c>
      <c r="G1133" s="126"/>
      <c r="H1133" s="126" t="s">
        <v>7</v>
      </c>
      <c r="I1133" s="126" t="s">
        <v>7</v>
      </c>
      <c r="J1133" s="126" t="s">
        <v>44</v>
      </c>
      <c r="K1133" s="126" t="s">
        <v>44</v>
      </c>
      <c r="L1133" s="126" t="s">
        <v>45</v>
      </c>
      <c r="M1133" s="126" t="s">
        <v>57</v>
      </c>
      <c r="N1133" s="126" t="s">
        <v>58</v>
      </c>
      <c r="O1133" s="127">
        <v>5845</v>
      </c>
      <c r="P1133" s="126"/>
      <c r="Q1133" s="126"/>
      <c r="R1133" s="126">
        <v>6</v>
      </c>
      <c r="S1133" s="126" t="s">
        <v>48</v>
      </c>
    </row>
    <row r="1134" spans="1:19" x14ac:dyDescent="0.25">
      <c r="A1134" s="126">
        <v>28502</v>
      </c>
      <c r="B1134" s="126" t="s">
        <v>39</v>
      </c>
      <c r="C1134" s="126" t="s">
        <v>40</v>
      </c>
      <c r="D1134" s="126" t="s">
        <v>40</v>
      </c>
      <c r="E1134" s="126"/>
      <c r="F1134" s="126" t="s">
        <v>173</v>
      </c>
      <c r="G1134" s="126"/>
      <c r="H1134" s="126" t="s">
        <v>7</v>
      </c>
      <c r="I1134" s="126" t="s">
        <v>7</v>
      </c>
      <c r="J1134" s="126" t="s">
        <v>44</v>
      </c>
      <c r="K1134" s="126" t="s">
        <v>44</v>
      </c>
      <c r="L1134" s="126" t="s">
        <v>45</v>
      </c>
      <c r="M1134" s="126" t="s">
        <v>57</v>
      </c>
      <c r="N1134" s="126" t="s">
        <v>58</v>
      </c>
      <c r="O1134" s="127">
        <v>6211</v>
      </c>
      <c r="P1134" s="126"/>
      <c r="Q1134" s="126"/>
      <c r="R1134" s="126">
        <v>5.5</v>
      </c>
      <c r="S1134" s="126" t="s">
        <v>48</v>
      </c>
    </row>
    <row r="1135" spans="1:19" x14ac:dyDescent="0.25">
      <c r="A1135" s="126">
        <v>28601</v>
      </c>
      <c r="B1135" s="126" t="s">
        <v>39</v>
      </c>
      <c r="C1135" s="126" t="s">
        <v>40</v>
      </c>
      <c r="D1135" s="126" t="s">
        <v>40</v>
      </c>
      <c r="E1135" s="126" t="s">
        <v>302</v>
      </c>
      <c r="F1135" s="126" t="s">
        <v>303</v>
      </c>
      <c r="G1135" s="126">
        <v>12</v>
      </c>
      <c r="H1135" s="126" t="s">
        <v>43</v>
      </c>
      <c r="I1135" s="126" t="s">
        <v>6</v>
      </c>
      <c r="J1135" s="126" t="s">
        <v>44</v>
      </c>
      <c r="K1135" s="126" t="s">
        <v>44</v>
      </c>
      <c r="L1135" s="126" t="s">
        <v>45</v>
      </c>
      <c r="M1135" s="126" t="s">
        <v>46</v>
      </c>
      <c r="N1135" s="126" t="s">
        <v>47</v>
      </c>
      <c r="O1135" s="127">
        <v>11324</v>
      </c>
      <c r="P1135" s="126"/>
      <c r="Q1135" s="126" t="s">
        <v>293</v>
      </c>
      <c r="R1135" s="126">
        <v>11</v>
      </c>
      <c r="S1135" s="126" t="s">
        <v>48</v>
      </c>
    </row>
    <row r="1136" spans="1:19" x14ac:dyDescent="0.25">
      <c r="A1136" s="126">
        <v>28602</v>
      </c>
      <c r="B1136" s="126" t="s">
        <v>39</v>
      </c>
      <c r="C1136" s="126" t="s">
        <v>40</v>
      </c>
      <c r="D1136" s="126" t="s">
        <v>40</v>
      </c>
      <c r="E1136" s="126" t="s">
        <v>379</v>
      </c>
      <c r="F1136" s="126" t="s">
        <v>380</v>
      </c>
      <c r="G1136" s="126">
        <v>34</v>
      </c>
      <c r="H1136" s="126" t="s">
        <v>43</v>
      </c>
      <c r="I1136" s="126" t="s">
        <v>6</v>
      </c>
      <c r="J1136" s="126" t="s">
        <v>44</v>
      </c>
      <c r="K1136" s="126" t="s">
        <v>44</v>
      </c>
      <c r="L1136" s="126" t="s">
        <v>45</v>
      </c>
      <c r="M1136" s="126" t="s">
        <v>46</v>
      </c>
      <c r="N1136" s="126" t="s">
        <v>47</v>
      </c>
      <c r="O1136" s="127">
        <v>19360</v>
      </c>
      <c r="P1136" s="126"/>
      <c r="Q1136" s="126" t="s">
        <v>293</v>
      </c>
      <c r="R1136" s="126">
        <v>33</v>
      </c>
      <c r="S1136" s="126" t="s">
        <v>48</v>
      </c>
    </row>
    <row r="1137" spans="1:19" x14ac:dyDescent="0.25">
      <c r="A1137" s="126">
        <v>29001</v>
      </c>
      <c r="B1137" s="126" t="s">
        <v>39</v>
      </c>
      <c r="C1137" s="126" t="s">
        <v>40</v>
      </c>
      <c r="D1137" s="126" t="s">
        <v>40</v>
      </c>
      <c r="E1137" s="126" t="s">
        <v>562</v>
      </c>
      <c r="F1137" s="126" t="s">
        <v>563</v>
      </c>
      <c r="G1137" s="126">
        <v>55</v>
      </c>
      <c r="H1137" s="126" t="s">
        <v>43</v>
      </c>
      <c r="I1137" s="126" t="s">
        <v>560</v>
      </c>
      <c r="J1137" s="126" t="s">
        <v>44</v>
      </c>
      <c r="K1137" s="126" t="s">
        <v>561</v>
      </c>
      <c r="L1137" s="126" t="s">
        <v>45</v>
      </c>
      <c r="M1137" s="126" t="s">
        <v>46</v>
      </c>
      <c r="N1137" s="126" t="s">
        <v>47</v>
      </c>
      <c r="O1137" s="127">
        <v>24473</v>
      </c>
      <c r="P1137" s="126"/>
      <c r="Q1137" s="126"/>
      <c r="R1137" s="126">
        <v>53</v>
      </c>
      <c r="S1137" s="126" t="s">
        <v>48</v>
      </c>
    </row>
    <row r="1138" spans="1:19" x14ac:dyDescent="0.25">
      <c r="A1138" s="126">
        <v>29002</v>
      </c>
      <c r="B1138" s="126" t="s">
        <v>39</v>
      </c>
      <c r="C1138" s="126" t="s">
        <v>40</v>
      </c>
      <c r="D1138" s="126" t="s">
        <v>40</v>
      </c>
      <c r="E1138" s="126" t="s">
        <v>564</v>
      </c>
      <c r="F1138" s="126" t="s">
        <v>565</v>
      </c>
      <c r="G1138" s="126">
        <v>55</v>
      </c>
      <c r="H1138" s="126" t="s">
        <v>43</v>
      </c>
      <c r="I1138" s="126" t="s">
        <v>560</v>
      </c>
      <c r="J1138" s="126" t="s">
        <v>44</v>
      </c>
      <c r="K1138" s="126" t="s">
        <v>561</v>
      </c>
      <c r="L1138" s="126" t="s">
        <v>45</v>
      </c>
      <c r="M1138" s="126" t="s">
        <v>46</v>
      </c>
      <c r="N1138" s="126" t="s">
        <v>47</v>
      </c>
      <c r="O1138" s="127">
        <v>24473</v>
      </c>
      <c r="P1138" s="126"/>
      <c r="Q1138" s="126"/>
      <c r="R1138" s="126">
        <v>53</v>
      </c>
      <c r="S1138" s="126" t="s">
        <v>48</v>
      </c>
    </row>
    <row r="1139" spans="1:19" x14ac:dyDescent="0.25">
      <c r="A1139" s="126">
        <v>29003</v>
      </c>
      <c r="B1139" s="126" t="s">
        <v>39</v>
      </c>
      <c r="C1139" s="126" t="s">
        <v>40</v>
      </c>
      <c r="D1139" s="126" t="s">
        <v>40</v>
      </c>
      <c r="E1139" s="126" t="s">
        <v>566</v>
      </c>
      <c r="F1139" s="126" t="s">
        <v>567</v>
      </c>
      <c r="G1139" s="126">
        <v>55</v>
      </c>
      <c r="H1139" s="126" t="s">
        <v>43</v>
      </c>
      <c r="I1139" s="126" t="s">
        <v>560</v>
      </c>
      <c r="J1139" s="126" t="s">
        <v>44</v>
      </c>
      <c r="K1139" s="126" t="s">
        <v>561</v>
      </c>
      <c r="L1139" s="126" t="s">
        <v>45</v>
      </c>
      <c r="M1139" s="126" t="s">
        <v>46</v>
      </c>
      <c r="N1139" s="126" t="s">
        <v>47</v>
      </c>
      <c r="O1139" s="127">
        <v>24473</v>
      </c>
      <c r="P1139" s="126"/>
      <c r="Q1139" s="126"/>
      <c r="R1139" s="126">
        <v>53</v>
      </c>
      <c r="S1139" s="126" t="s">
        <v>48</v>
      </c>
    </row>
    <row r="1140" spans="1:19" x14ac:dyDescent="0.25">
      <c r="A1140" s="126">
        <v>29004</v>
      </c>
      <c r="B1140" s="126" t="s">
        <v>39</v>
      </c>
      <c r="C1140" s="126" t="s">
        <v>40</v>
      </c>
      <c r="D1140" s="126" t="s">
        <v>40</v>
      </c>
      <c r="E1140" s="126" t="s">
        <v>568</v>
      </c>
      <c r="F1140" s="126" t="s">
        <v>569</v>
      </c>
      <c r="G1140" s="126">
        <v>55</v>
      </c>
      <c r="H1140" s="126" t="s">
        <v>43</v>
      </c>
      <c r="I1140" s="126" t="s">
        <v>560</v>
      </c>
      <c r="J1140" s="126" t="s">
        <v>44</v>
      </c>
      <c r="K1140" s="126" t="s">
        <v>561</v>
      </c>
      <c r="L1140" s="126" t="s">
        <v>45</v>
      </c>
      <c r="M1140" s="126" t="s">
        <v>46</v>
      </c>
      <c r="N1140" s="126" t="s">
        <v>47</v>
      </c>
      <c r="O1140" s="127">
        <v>24473</v>
      </c>
      <c r="P1140" s="126"/>
      <c r="Q1140" s="126"/>
      <c r="R1140" s="126">
        <v>53</v>
      </c>
      <c r="S1140" s="126" t="s">
        <v>48</v>
      </c>
    </row>
    <row r="1141" spans="1:19" x14ac:dyDescent="0.25">
      <c r="A1141" s="126">
        <v>29005</v>
      </c>
      <c r="B1141" s="126" t="s">
        <v>39</v>
      </c>
      <c r="C1141" s="126" t="s">
        <v>40</v>
      </c>
      <c r="D1141" s="126" t="s">
        <v>40</v>
      </c>
      <c r="E1141" s="126" t="s">
        <v>570</v>
      </c>
      <c r="F1141" s="126" t="s">
        <v>571</v>
      </c>
      <c r="G1141" s="126">
        <v>55</v>
      </c>
      <c r="H1141" s="126" t="s">
        <v>43</v>
      </c>
      <c r="I1141" s="126" t="s">
        <v>560</v>
      </c>
      <c r="J1141" s="126" t="s">
        <v>44</v>
      </c>
      <c r="K1141" s="126" t="s">
        <v>561</v>
      </c>
      <c r="L1141" s="126" t="s">
        <v>45</v>
      </c>
      <c r="M1141" s="126" t="s">
        <v>46</v>
      </c>
      <c r="N1141" s="126" t="s">
        <v>47</v>
      </c>
      <c r="O1141" s="127">
        <v>24473</v>
      </c>
      <c r="P1141" s="126"/>
      <c r="Q1141" s="126"/>
      <c r="R1141" s="126">
        <v>53</v>
      </c>
      <c r="S1141" s="126" t="s">
        <v>48</v>
      </c>
    </row>
    <row r="1142" spans="1:19" x14ac:dyDescent="0.25">
      <c r="A1142" s="126">
        <v>29006</v>
      </c>
      <c r="B1142" s="126" t="s">
        <v>39</v>
      </c>
      <c r="C1142" s="126" t="s">
        <v>40</v>
      </c>
      <c r="D1142" s="126" t="s">
        <v>40</v>
      </c>
      <c r="E1142" s="126" t="s">
        <v>572</v>
      </c>
      <c r="F1142" s="126" t="s">
        <v>573</v>
      </c>
      <c r="G1142" s="126">
        <v>55</v>
      </c>
      <c r="H1142" s="126" t="s">
        <v>43</v>
      </c>
      <c r="I1142" s="126" t="s">
        <v>560</v>
      </c>
      <c r="J1142" s="126" t="s">
        <v>44</v>
      </c>
      <c r="K1142" s="126" t="s">
        <v>561</v>
      </c>
      <c r="L1142" s="126" t="s">
        <v>45</v>
      </c>
      <c r="M1142" s="126" t="s">
        <v>46</v>
      </c>
      <c r="N1142" s="126" t="s">
        <v>47</v>
      </c>
      <c r="O1142" s="127">
        <v>24473</v>
      </c>
      <c r="P1142" s="126"/>
      <c r="Q1142" s="126"/>
      <c r="R1142" s="126">
        <v>53</v>
      </c>
      <c r="S1142" s="126" t="s">
        <v>48</v>
      </c>
    </row>
    <row r="1143" spans="1:19" x14ac:dyDescent="0.25">
      <c r="A1143" s="126">
        <v>29007</v>
      </c>
      <c r="B1143" s="126" t="s">
        <v>39</v>
      </c>
      <c r="C1143" s="126" t="s">
        <v>40</v>
      </c>
      <c r="D1143" s="126" t="s">
        <v>40</v>
      </c>
      <c r="E1143" s="126" t="s">
        <v>574</v>
      </c>
      <c r="F1143" s="126" t="s">
        <v>575</v>
      </c>
      <c r="G1143" s="126">
        <v>55</v>
      </c>
      <c r="H1143" s="126" t="s">
        <v>43</v>
      </c>
      <c r="I1143" s="126" t="s">
        <v>560</v>
      </c>
      <c r="J1143" s="126" t="s">
        <v>44</v>
      </c>
      <c r="K1143" s="126" t="s">
        <v>561</v>
      </c>
      <c r="L1143" s="126" t="s">
        <v>45</v>
      </c>
      <c r="M1143" s="126" t="s">
        <v>46</v>
      </c>
      <c r="N1143" s="126" t="s">
        <v>47</v>
      </c>
      <c r="O1143" s="127">
        <v>24473</v>
      </c>
      <c r="P1143" s="126"/>
      <c r="Q1143" s="126"/>
      <c r="R1143" s="126">
        <v>53</v>
      </c>
      <c r="S1143" s="126" t="s">
        <v>48</v>
      </c>
    </row>
    <row r="1144" spans="1:19" x14ac:dyDescent="0.25">
      <c r="A1144" s="126">
        <v>29008</v>
      </c>
      <c r="B1144" s="126" t="s">
        <v>39</v>
      </c>
      <c r="C1144" s="126" t="s">
        <v>40</v>
      </c>
      <c r="D1144" s="126" t="s">
        <v>40</v>
      </c>
      <c r="E1144" s="126" t="s">
        <v>576</v>
      </c>
      <c r="F1144" s="126" t="s">
        <v>577</v>
      </c>
      <c r="G1144" s="126">
        <v>55</v>
      </c>
      <c r="H1144" s="126" t="s">
        <v>43</v>
      </c>
      <c r="I1144" s="126" t="s">
        <v>560</v>
      </c>
      <c r="J1144" s="126" t="s">
        <v>44</v>
      </c>
      <c r="K1144" s="126" t="s">
        <v>561</v>
      </c>
      <c r="L1144" s="126" t="s">
        <v>45</v>
      </c>
      <c r="M1144" s="126" t="s">
        <v>46</v>
      </c>
      <c r="N1144" s="126" t="s">
        <v>47</v>
      </c>
      <c r="O1144" s="127">
        <v>24473</v>
      </c>
      <c r="P1144" s="126"/>
      <c r="Q1144" s="126"/>
      <c r="R1144" s="126">
        <v>53</v>
      </c>
      <c r="S1144" s="126" t="s">
        <v>48</v>
      </c>
    </row>
    <row r="1145" spans="1:19" x14ac:dyDescent="0.25">
      <c r="A1145" s="126">
        <v>29101</v>
      </c>
      <c r="B1145" s="126" t="s">
        <v>39</v>
      </c>
      <c r="C1145" s="126" t="s">
        <v>40</v>
      </c>
      <c r="D1145" s="126" t="s">
        <v>40</v>
      </c>
      <c r="E1145" s="126"/>
      <c r="F1145" s="126" t="s">
        <v>3243</v>
      </c>
      <c r="G1145" s="126"/>
      <c r="H1145" s="126" t="s">
        <v>7</v>
      </c>
      <c r="I1145" s="126" t="s">
        <v>7</v>
      </c>
      <c r="J1145" s="126" t="s">
        <v>44</v>
      </c>
      <c r="K1145" s="126" t="s">
        <v>44</v>
      </c>
      <c r="L1145" s="126" t="s">
        <v>45</v>
      </c>
      <c r="M1145" s="126" t="s">
        <v>57</v>
      </c>
      <c r="N1145" s="126" t="s">
        <v>58</v>
      </c>
      <c r="O1145" s="126"/>
      <c r="P1145" s="126"/>
      <c r="Q1145" s="126"/>
      <c r="R1145" s="126">
        <v>1</v>
      </c>
      <c r="S1145" s="126" t="s">
        <v>48</v>
      </c>
    </row>
    <row r="1146" spans="1:19" x14ac:dyDescent="0.25">
      <c r="A1146" s="126">
        <v>29102</v>
      </c>
      <c r="B1146" s="126" t="s">
        <v>39</v>
      </c>
      <c r="C1146" s="126" t="s">
        <v>40</v>
      </c>
      <c r="D1146" s="126" t="s">
        <v>40</v>
      </c>
      <c r="E1146" s="126"/>
      <c r="F1146" s="126" t="s">
        <v>3244</v>
      </c>
      <c r="G1146" s="126"/>
      <c r="H1146" s="126" t="s">
        <v>7</v>
      </c>
      <c r="I1146" s="126" t="s">
        <v>7</v>
      </c>
      <c r="J1146" s="126" t="s">
        <v>44</v>
      </c>
      <c r="K1146" s="126" t="s">
        <v>44</v>
      </c>
      <c r="L1146" s="126" t="s">
        <v>45</v>
      </c>
      <c r="M1146" s="126" t="s">
        <v>57</v>
      </c>
      <c r="N1146" s="126" t="s">
        <v>58</v>
      </c>
      <c r="O1146" s="126"/>
      <c r="P1146" s="126"/>
      <c r="Q1146" s="126"/>
      <c r="R1146" s="126">
        <v>1</v>
      </c>
      <c r="S1146" s="126" t="s">
        <v>48</v>
      </c>
    </row>
    <row r="1147" spans="1:19" x14ac:dyDescent="0.25">
      <c r="A1147" s="126">
        <v>29103</v>
      </c>
      <c r="B1147" s="126" t="s">
        <v>39</v>
      </c>
      <c r="C1147" s="126" t="s">
        <v>40</v>
      </c>
      <c r="D1147" s="126" t="s">
        <v>40</v>
      </c>
      <c r="E1147" s="126"/>
      <c r="F1147" s="126" t="s">
        <v>3245</v>
      </c>
      <c r="G1147" s="126"/>
      <c r="H1147" s="126" t="s">
        <v>7</v>
      </c>
      <c r="I1147" s="126" t="s">
        <v>7</v>
      </c>
      <c r="J1147" s="126" t="s">
        <v>44</v>
      </c>
      <c r="K1147" s="126" t="s">
        <v>44</v>
      </c>
      <c r="L1147" s="126" t="s">
        <v>45</v>
      </c>
      <c r="M1147" s="126" t="s">
        <v>57</v>
      </c>
      <c r="N1147" s="126" t="s">
        <v>58</v>
      </c>
      <c r="O1147" s="126"/>
      <c r="P1147" s="126"/>
      <c r="Q1147" s="126"/>
      <c r="R1147" s="126">
        <v>0.93</v>
      </c>
      <c r="S1147" s="126" t="s">
        <v>48</v>
      </c>
    </row>
    <row r="1148" spans="1:19" x14ac:dyDescent="0.25">
      <c r="A1148" s="126">
        <v>29104</v>
      </c>
      <c r="B1148" s="126" t="s">
        <v>39</v>
      </c>
      <c r="C1148" s="126" t="s">
        <v>40</v>
      </c>
      <c r="D1148" s="126" t="s">
        <v>40</v>
      </c>
      <c r="E1148" s="126"/>
      <c r="F1148" s="126" t="s">
        <v>3246</v>
      </c>
      <c r="G1148" s="126"/>
      <c r="H1148" s="126" t="s">
        <v>7</v>
      </c>
      <c r="I1148" s="126" t="s">
        <v>7</v>
      </c>
      <c r="J1148" s="126" t="s">
        <v>44</v>
      </c>
      <c r="K1148" s="126" t="s">
        <v>44</v>
      </c>
      <c r="L1148" s="126" t="s">
        <v>45</v>
      </c>
      <c r="M1148" s="126" t="s">
        <v>57</v>
      </c>
      <c r="N1148" s="126" t="s">
        <v>58</v>
      </c>
      <c r="O1148" s="126"/>
      <c r="P1148" s="126"/>
      <c r="Q1148" s="126"/>
      <c r="R1148" s="126">
        <v>0.93</v>
      </c>
      <c r="S1148" s="126" t="s">
        <v>48</v>
      </c>
    </row>
    <row r="1149" spans="1:19" x14ac:dyDescent="0.25">
      <c r="A1149" s="126">
        <v>29105</v>
      </c>
      <c r="B1149" s="126" t="s">
        <v>39</v>
      </c>
      <c r="C1149" s="126" t="s">
        <v>40</v>
      </c>
      <c r="D1149" s="126" t="s">
        <v>40</v>
      </c>
      <c r="E1149" s="126"/>
      <c r="F1149" s="126" t="s">
        <v>349</v>
      </c>
      <c r="G1149" s="126"/>
      <c r="H1149" s="126" t="s">
        <v>7</v>
      </c>
      <c r="I1149" s="126" t="s">
        <v>7</v>
      </c>
      <c r="J1149" s="126" t="s">
        <v>44</v>
      </c>
      <c r="K1149" s="126" t="s">
        <v>44</v>
      </c>
      <c r="L1149" s="126" t="s">
        <v>45</v>
      </c>
      <c r="M1149" s="126" t="s">
        <v>57</v>
      </c>
      <c r="N1149" s="126" t="s">
        <v>58</v>
      </c>
      <c r="O1149" s="127">
        <v>17168</v>
      </c>
      <c r="P1149" s="126"/>
      <c r="Q1149" s="126"/>
      <c r="R1149" s="126">
        <v>3.1</v>
      </c>
      <c r="S1149" s="126" t="s">
        <v>48</v>
      </c>
    </row>
    <row r="1150" spans="1:19" x14ac:dyDescent="0.25">
      <c r="A1150" s="126">
        <v>67601</v>
      </c>
      <c r="B1150" s="126" t="s">
        <v>39</v>
      </c>
      <c r="C1150" s="126" t="s">
        <v>49</v>
      </c>
      <c r="D1150" s="126" t="s">
        <v>40</v>
      </c>
      <c r="E1150" s="126"/>
      <c r="F1150" s="126" t="s">
        <v>791</v>
      </c>
      <c r="G1150" s="126"/>
      <c r="H1150" s="126" t="s">
        <v>43</v>
      </c>
      <c r="I1150" s="126" t="s">
        <v>792</v>
      </c>
      <c r="J1150" s="126" t="s">
        <v>713</v>
      </c>
      <c r="K1150" s="126" t="s">
        <v>599</v>
      </c>
      <c r="L1150" s="126" t="s">
        <v>259</v>
      </c>
      <c r="M1150" s="126" t="s">
        <v>46</v>
      </c>
      <c r="N1150" s="126" t="s">
        <v>793</v>
      </c>
      <c r="O1150" s="127">
        <v>29587</v>
      </c>
      <c r="P1150" s="126"/>
      <c r="Q1150" s="126"/>
      <c r="R1150" s="126">
        <v>3.5</v>
      </c>
      <c r="S1150" s="126" t="s">
        <v>48</v>
      </c>
    </row>
    <row r="1151" spans="1:19" x14ac:dyDescent="0.25">
      <c r="A1151" s="126">
        <v>67602</v>
      </c>
      <c r="B1151" s="126" t="s">
        <v>39</v>
      </c>
      <c r="C1151" s="126" t="s">
        <v>49</v>
      </c>
      <c r="D1151" s="126" t="s">
        <v>40</v>
      </c>
      <c r="E1151" s="126"/>
      <c r="F1151" s="126" t="s">
        <v>791</v>
      </c>
      <c r="G1151" s="126"/>
      <c r="H1151" s="126" t="s">
        <v>43</v>
      </c>
      <c r="I1151" s="126" t="s">
        <v>792</v>
      </c>
      <c r="J1151" s="126" t="s">
        <v>713</v>
      </c>
      <c r="K1151" s="126" t="s">
        <v>599</v>
      </c>
      <c r="L1151" s="126" t="s">
        <v>259</v>
      </c>
      <c r="M1151" s="126" t="s">
        <v>46</v>
      </c>
      <c r="N1151" s="126" t="s">
        <v>793</v>
      </c>
      <c r="O1151" s="127">
        <v>29587</v>
      </c>
      <c r="P1151" s="126"/>
      <c r="Q1151" s="126"/>
      <c r="R1151" s="126">
        <v>3.5</v>
      </c>
      <c r="S1151" s="126" t="s">
        <v>48</v>
      </c>
    </row>
    <row r="1152" spans="1:19" x14ac:dyDescent="0.25">
      <c r="A1152" s="126">
        <v>89801</v>
      </c>
      <c r="B1152" s="126" t="s">
        <v>39</v>
      </c>
      <c r="C1152" s="126" t="s">
        <v>40</v>
      </c>
      <c r="D1152" s="126" t="s">
        <v>40</v>
      </c>
      <c r="E1152" s="126"/>
      <c r="F1152" s="126" t="s">
        <v>3247</v>
      </c>
      <c r="G1152" s="126"/>
      <c r="H1152" s="126" t="s">
        <v>7</v>
      </c>
      <c r="I1152" s="126" t="s">
        <v>2720</v>
      </c>
      <c r="J1152" s="126" t="s">
        <v>807</v>
      </c>
      <c r="K1152" s="126" t="s">
        <v>315</v>
      </c>
      <c r="L1152" s="126" t="s">
        <v>915</v>
      </c>
      <c r="M1152" s="126" t="s">
        <v>57</v>
      </c>
      <c r="N1152" s="126" t="s">
        <v>58</v>
      </c>
      <c r="O1152" s="126"/>
      <c r="P1152" s="126"/>
      <c r="Q1152" s="126"/>
      <c r="R1152" s="126">
        <v>1.35</v>
      </c>
      <c r="S1152" s="126" t="s">
        <v>48</v>
      </c>
    </row>
    <row r="1153" spans="1:19" x14ac:dyDescent="0.25">
      <c r="A1153" s="126">
        <v>89802</v>
      </c>
      <c r="B1153" s="126" t="s">
        <v>39</v>
      </c>
      <c r="C1153" s="126" t="s">
        <v>40</v>
      </c>
      <c r="D1153" s="126" t="s">
        <v>40</v>
      </c>
      <c r="E1153" s="126"/>
      <c r="F1153" s="126" t="s">
        <v>3248</v>
      </c>
      <c r="G1153" s="126"/>
      <c r="H1153" s="126" t="s">
        <v>7</v>
      </c>
      <c r="I1153" s="126" t="s">
        <v>2720</v>
      </c>
      <c r="J1153" s="126" t="s">
        <v>807</v>
      </c>
      <c r="K1153" s="126" t="s">
        <v>315</v>
      </c>
      <c r="L1153" s="126" t="s">
        <v>915</v>
      </c>
      <c r="M1153" s="126" t="s">
        <v>57</v>
      </c>
      <c r="N1153" s="126" t="s">
        <v>58</v>
      </c>
      <c r="O1153" s="126"/>
      <c r="P1153" s="126"/>
      <c r="Q1153" s="126"/>
      <c r="R1153" s="126">
        <v>1.35</v>
      </c>
      <c r="S1153" s="126" t="s">
        <v>48</v>
      </c>
    </row>
    <row r="1154" spans="1:19" x14ac:dyDescent="0.25">
      <c r="A1154" s="126">
        <v>31101</v>
      </c>
      <c r="B1154" s="126" t="s">
        <v>39</v>
      </c>
      <c r="C1154" s="126" t="s">
        <v>40</v>
      </c>
      <c r="D1154" s="126" t="s">
        <v>40</v>
      </c>
      <c r="E1154" s="126" t="s">
        <v>284</v>
      </c>
      <c r="F1154" s="126" t="s">
        <v>285</v>
      </c>
      <c r="G1154" s="126">
        <v>7</v>
      </c>
      <c r="H1154" s="126" t="s">
        <v>43</v>
      </c>
      <c r="I1154" s="126" t="s">
        <v>6</v>
      </c>
      <c r="J1154" s="126" t="s">
        <v>44</v>
      </c>
      <c r="K1154" s="126" t="s">
        <v>44</v>
      </c>
      <c r="L1154" s="126" t="s">
        <v>45</v>
      </c>
      <c r="M1154" s="126" t="s">
        <v>46</v>
      </c>
      <c r="N1154" s="126" t="s">
        <v>47</v>
      </c>
      <c r="O1154" s="127">
        <v>10594</v>
      </c>
      <c r="P1154" s="126"/>
      <c r="Q1154" s="126" t="s">
        <v>148</v>
      </c>
      <c r="R1154" s="126">
        <v>7.8</v>
      </c>
      <c r="S1154" s="126" t="s">
        <v>48</v>
      </c>
    </row>
    <row r="1155" spans="1:19" x14ac:dyDescent="0.25">
      <c r="A1155" s="126">
        <v>31102</v>
      </c>
      <c r="B1155" s="126" t="s">
        <v>39</v>
      </c>
      <c r="C1155" s="126" t="s">
        <v>40</v>
      </c>
      <c r="D1155" s="126" t="s">
        <v>40</v>
      </c>
      <c r="E1155" s="126" t="s">
        <v>286</v>
      </c>
      <c r="F1155" s="126" t="s">
        <v>287</v>
      </c>
      <c r="G1155" s="126">
        <v>4.4000000000000004</v>
      </c>
      <c r="H1155" s="126" t="s">
        <v>43</v>
      </c>
      <c r="I1155" s="126" t="s">
        <v>6</v>
      </c>
      <c r="J1155" s="126" t="s">
        <v>44</v>
      </c>
      <c r="K1155" s="126" t="s">
        <v>44</v>
      </c>
      <c r="L1155" s="126" t="s">
        <v>45</v>
      </c>
      <c r="M1155" s="126" t="s">
        <v>46</v>
      </c>
      <c r="N1155" s="126" t="s">
        <v>47</v>
      </c>
      <c r="O1155" s="127">
        <v>10594</v>
      </c>
      <c r="P1155" s="126"/>
      <c r="Q1155" s="126" t="s">
        <v>148</v>
      </c>
      <c r="R1155" s="126">
        <v>3.6</v>
      </c>
      <c r="S1155" s="126" t="s">
        <v>48</v>
      </c>
    </row>
    <row r="1156" spans="1:19" x14ac:dyDescent="0.25">
      <c r="A1156" s="126">
        <v>31201</v>
      </c>
      <c r="B1156" s="126" t="s">
        <v>39</v>
      </c>
      <c r="C1156" s="126" t="s">
        <v>40</v>
      </c>
      <c r="D1156" s="126" t="s">
        <v>40</v>
      </c>
      <c r="E1156" s="126" t="s">
        <v>1981</v>
      </c>
      <c r="F1156" s="126" t="s">
        <v>1982</v>
      </c>
      <c r="G1156" s="126">
        <v>2.8</v>
      </c>
      <c r="H1156" s="126" t="s">
        <v>43</v>
      </c>
      <c r="I1156" s="126" t="s">
        <v>879</v>
      </c>
      <c r="J1156" s="126" t="s">
        <v>44</v>
      </c>
      <c r="K1156" s="126" t="s">
        <v>44</v>
      </c>
      <c r="L1156" s="126" t="s">
        <v>45</v>
      </c>
      <c r="M1156" s="126" t="s">
        <v>46</v>
      </c>
      <c r="N1156" s="126" t="s">
        <v>47</v>
      </c>
      <c r="O1156" s="127">
        <v>32874</v>
      </c>
      <c r="P1156" s="126" t="s">
        <v>1980</v>
      </c>
      <c r="Q1156" s="126"/>
      <c r="R1156" s="126">
        <v>2.8</v>
      </c>
      <c r="S1156" s="126" t="s">
        <v>48</v>
      </c>
    </row>
    <row r="1157" spans="1:19" x14ac:dyDescent="0.25">
      <c r="A1157" s="126">
        <v>31202</v>
      </c>
      <c r="B1157" s="126" t="s">
        <v>39</v>
      </c>
      <c r="C1157" s="126" t="s">
        <v>40</v>
      </c>
      <c r="D1157" s="126" t="s">
        <v>40</v>
      </c>
      <c r="E1157" s="126" t="s">
        <v>1983</v>
      </c>
      <c r="F1157" s="126" t="s">
        <v>1984</v>
      </c>
      <c r="G1157" s="126">
        <v>2.8</v>
      </c>
      <c r="H1157" s="126" t="s">
        <v>43</v>
      </c>
      <c r="I1157" s="126" t="s">
        <v>879</v>
      </c>
      <c r="J1157" s="126" t="s">
        <v>44</v>
      </c>
      <c r="K1157" s="126" t="s">
        <v>44</v>
      </c>
      <c r="L1157" s="126" t="s">
        <v>45</v>
      </c>
      <c r="M1157" s="126" t="s">
        <v>46</v>
      </c>
      <c r="N1157" s="126" t="s">
        <v>47</v>
      </c>
      <c r="O1157" s="127">
        <v>32874</v>
      </c>
      <c r="P1157" s="126" t="s">
        <v>1980</v>
      </c>
      <c r="Q1157" s="126"/>
      <c r="R1157" s="126">
        <v>2.8</v>
      </c>
      <c r="S1157" s="126" t="s">
        <v>48</v>
      </c>
    </row>
    <row r="1158" spans="1:19" ht="29.25" x14ac:dyDescent="0.25">
      <c r="A1158" s="126">
        <v>31203</v>
      </c>
      <c r="B1158" s="126" t="s">
        <v>39</v>
      </c>
      <c r="C1158" s="126" t="s">
        <v>40</v>
      </c>
      <c r="D1158" s="126" t="s">
        <v>40</v>
      </c>
      <c r="E1158" s="126" t="s">
        <v>1985</v>
      </c>
      <c r="F1158" s="126" t="s">
        <v>1986</v>
      </c>
      <c r="G1158" s="126">
        <v>0.5</v>
      </c>
      <c r="H1158" s="126" t="s">
        <v>43</v>
      </c>
      <c r="I1158" s="126" t="s">
        <v>879</v>
      </c>
      <c r="J1158" s="126" t="s">
        <v>44</v>
      </c>
      <c r="K1158" s="126" t="s">
        <v>44</v>
      </c>
      <c r="L1158" s="126" t="s">
        <v>45</v>
      </c>
      <c r="M1158" s="126" t="s">
        <v>46</v>
      </c>
      <c r="N1158" s="126" t="s">
        <v>47</v>
      </c>
      <c r="O1158" s="127">
        <v>32874</v>
      </c>
      <c r="P1158" s="126" t="s">
        <v>1987</v>
      </c>
      <c r="Q1158" s="126"/>
      <c r="R1158" s="126">
        <v>0.5</v>
      </c>
      <c r="S1158" s="126" t="s">
        <v>48</v>
      </c>
    </row>
    <row r="1159" spans="1:19" x14ac:dyDescent="0.25">
      <c r="A1159" s="126">
        <v>31501</v>
      </c>
      <c r="B1159" s="126" t="s">
        <v>39</v>
      </c>
      <c r="C1159" s="126" t="s">
        <v>40</v>
      </c>
      <c r="D1159" s="126" t="s">
        <v>40</v>
      </c>
      <c r="E1159" s="126"/>
      <c r="F1159" s="126" t="s">
        <v>1318</v>
      </c>
      <c r="G1159" s="126"/>
      <c r="H1159" s="126" t="s">
        <v>43</v>
      </c>
      <c r="I1159" s="126" t="s">
        <v>792</v>
      </c>
      <c r="J1159" s="126" t="s">
        <v>44</v>
      </c>
      <c r="K1159" s="126" t="s">
        <v>44</v>
      </c>
      <c r="L1159" s="126" t="s">
        <v>45</v>
      </c>
      <c r="M1159" s="126" t="s">
        <v>46</v>
      </c>
      <c r="N1159" s="126" t="s">
        <v>47</v>
      </c>
      <c r="O1159" s="127">
        <v>31413</v>
      </c>
      <c r="P1159" s="126"/>
      <c r="Q1159" s="126"/>
      <c r="R1159" s="126">
        <v>2.4500000000000002</v>
      </c>
      <c r="S1159" s="126" t="s">
        <v>48</v>
      </c>
    </row>
    <row r="1160" spans="1:19" x14ac:dyDescent="0.25">
      <c r="A1160" s="126">
        <v>31502</v>
      </c>
      <c r="B1160" s="126" t="s">
        <v>39</v>
      </c>
      <c r="C1160" s="126" t="s">
        <v>40</v>
      </c>
      <c r="D1160" s="126" t="s">
        <v>40</v>
      </c>
      <c r="E1160" s="126"/>
      <c r="F1160" s="126" t="s">
        <v>1319</v>
      </c>
      <c r="G1160" s="126"/>
      <c r="H1160" s="126" t="s">
        <v>43</v>
      </c>
      <c r="I1160" s="126" t="s">
        <v>792</v>
      </c>
      <c r="J1160" s="126" t="s">
        <v>44</v>
      </c>
      <c r="K1160" s="126" t="s">
        <v>44</v>
      </c>
      <c r="L1160" s="126" t="s">
        <v>45</v>
      </c>
      <c r="M1160" s="126" t="s">
        <v>46</v>
      </c>
      <c r="N1160" s="126" t="s">
        <v>47</v>
      </c>
      <c r="O1160" s="127">
        <v>31413</v>
      </c>
      <c r="P1160" s="126"/>
      <c r="Q1160" s="126"/>
      <c r="R1160" s="126">
        <v>2.4500000000000002</v>
      </c>
      <c r="S1160" s="126" t="s">
        <v>48</v>
      </c>
    </row>
    <row r="1161" spans="1:19" ht="29.25" x14ac:dyDescent="0.25">
      <c r="A1161" s="126">
        <v>31801</v>
      </c>
      <c r="B1161" s="126" t="s">
        <v>39</v>
      </c>
      <c r="C1161" s="126" t="s">
        <v>40</v>
      </c>
      <c r="D1161" s="126" t="s">
        <v>40</v>
      </c>
      <c r="E1161" s="126"/>
      <c r="F1161" s="126" t="s">
        <v>2294</v>
      </c>
      <c r="G1161" s="126"/>
      <c r="H1161" s="126" t="s">
        <v>43</v>
      </c>
      <c r="I1161" s="126" t="s">
        <v>2292</v>
      </c>
      <c r="J1161" s="126" t="s">
        <v>807</v>
      </c>
      <c r="K1161" s="126" t="s">
        <v>315</v>
      </c>
      <c r="L1161" s="126" t="s">
        <v>915</v>
      </c>
      <c r="M1161" s="126" t="s">
        <v>46</v>
      </c>
      <c r="N1161" s="126" t="s">
        <v>47</v>
      </c>
      <c r="O1161" s="127">
        <v>36161</v>
      </c>
      <c r="P1161" s="126"/>
      <c r="Q1161" s="126"/>
      <c r="R1161" s="126">
        <v>0.8</v>
      </c>
      <c r="S1161" s="126" t="s">
        <v>48</v>
      </c>
    </row>
    <row r="1162" spans="1:19" ht="29.25" x14ac:dyDescent="0.25">
      <c r="A1162" s="126">
        <v>31802</v>
      </c>
      <c r="B1162" s="126" t="s">
        <v>39</v>
      </c>
      <c r="C1162" s="126" t="s">
        <v>40</v>
      </c>
      <c r="D1162" s="126" t="s">
        <v>40</v>
      </c>
      <c r="E1162" s="126"/>
      <c r="F1162" s="126" t="s">
        <v>2295</v>
      </c>
      <c r="G1162" s="126"/>
      <c r="H1162" s="126" t="s">
        <v>43</v>
      </c>
      <c r="I1162" s="126" t="s">
        <v>2292</v>
      </c>
      <c r="J1162" s="126" t="s">
        <v>807</v>
      </c>
      <c r="K1162" s="126" t="s">
        <v>315</v>
      </c>
      <c r="L1162" s="126" t="s">
        <v>915</v>
      </c>
      <c r="M1162" s="126" t="s">
        <v>46</v>
      </c>
      <c r="N1162" s="126" t="s">
        <v>47</v>
      </c>
      <c r="O1162" s="127">
        <v>36161</v>
      </c>
      <c r="P1162" s="126"/>
      <c r="Q1162" s="126"/>
      <c r="R1162" s="126">
        <v>0.8</v>
      </c>
      <c r="S1162" s="126" t="s">
        <v>48</v>
      </c>
    </row>
    <row r="1163" spans="1:19" x14ac:dyDescent="0.25">
      <c r="A1163" s="126">
        <v>31901</v>
      </c>
      <c r="B1163" s="126" t="s">
        <v>39</v>
      </c>
      <c r="C1163" s="126" t="s">
        <v>40</v>
      </c>
      <c r="D1163" s="126" t="s">
        <v>40</v>
      </c>
      <c r="E1163" s="126" t="s">
        <v>2368</v>
      </c>
      <c r="F1163" s="126" t="s">
        <v>2369</v>
      </c>
      <c r="G1163" s="126">
        <v>164</v>
      </c>
      <c r="H1163" s="126" t="s">
        <v>43</v>
      </c>
      <c r="I1163" s="126" t="s">
        <v>2367</v>
      </c>
      <c r="J1163" s="126" t="s">
        <v>384</v>
      </c>
      <c r="K1163" s="126" t="s">
        <v>599</v>
      </c>
      <c r="L1163" s="126" t="s">
        <v>259</v>
      </c>
      <c r="M1163" s="126" t="s">
        <v>212</v>
      </c>
      <c r="N1163" s="126" t="s">
        <v>213</v>
      </c>
      <c r="O1163" s="127">
        <v>37049</v>
      </c>
      <c r="P1163" s="126"/>
      <c r="Q1163" s="126"/>
      <c r="R1163" s="126">
        <v>173.33</v>
      </c>
      <c r="S1163" s="126" t="s">
        <v>48</v>
      </c>
    </row>
    <row r="1164" spans="1:19" x14ac:dyDescent="0.25">
      <c r="A1164" s="126">
        <v>31902</v>
      </c>
      <c r="B1164" s="126" t="s">
        <v>39</v>
      </c>
      <c r="C1164" s="126" t="s">
        <v>40</v>
      </c>
      <c r="D1164" s="126" t="s">
        <v>40</v>
      </c>
      <c r="E1164" s="126" t="s">
        <v>2370</v>
      </c>
      <c r="F1164" s="126" t="s">
        <v>2371</v>
      </c>
      <c r="G1164" s="126">
        <v>164</v>
      </c>
      <c r="H1164" s="126" t="s">
        <v>43</v>
      </c>
      <c r="I1164" s="126" t="s">
        <v>2367</v>
      </c>
      <c r="J1164" s="126" t="s">
        <v>384</v>
      </c>
      <c r="K1164" s="126" t="s">
        <v>599</v>
      </c>
      <c r="L1164" s="126" t="s">
        <v>259</v>
      </c>
      <c r="M1164" s="126" t="s">
        <v>212</v>
      </c>
      <c r="N1164" s="126" t="s">
        <v>213</v>
      </c>
      <c r="O1164" s="127">
        <v>37049</v>
      </c>
      <c r="P1164" s="126"/>
      <c r="Q1164" s="126"/>
      <c r="R1164" s="126">
        <v>173.33</v>
      </c>
      <c r="S1164" s="126" t="s">
        <v>48</v>
      </c>
    </row>
    <row r="1165" spans="1:19" x14ac:dyDescent="0.25">
      <c r="A1165" s="126">
        <v>31903</v>
      </c>
      <c r="B1165" s="126" t="s">
        <v>39</v>
      </c>
      <c r="C1165" s="126" t="s">
        <v>40</v>
      </c>
      <c r="D1165" s="126" t="s">
        <v>40</v>
      </c>
      <c r="E1165" s="126" t="s">
        <v>3249</v>
      </c>
      <c r="F1165" s="126" t="s">
        <v>3250</v>
      </c>
      <c r="G1165" s="126">
        <v>272</v>
      </c>
      <c r="H1165" s="126" t="s">
        <v>43</v>
      </c>
      <c r="I1165" s="126" t="s">
        <v>2367</v>
      </c>
      <c r="J1165" s="126" t="s">
        <v>384</v>
      </c>
      <c r="K1165" s="126" t="s">
        <v>385</v>
      </c>
      <c r="L1165" s="126" t="s">
        <v>259</v>
      </c>
      <c r="M1165" s="126" t="s">
        <v>212</v>
      </c>
      <c r="N1165" s="126" t="s">
        <v>213</v>
      </c>
      <c r="O1165" s="126"/>
      <c r="P1165" s="126"/>
      <c r="Q1165" s="126"/>
      <c r="R1165" s="126">
        <v>266</v>
      </c>
      <c r="S1165" s="126" t="s">
        <v>48</v>
      </c>
    </row>
    <row r="1166" spans="1:19" ht="29.25" x14ac:dyDescent="0.25">
      <c r="A1166" s="126">
        <v>32001</v>
      </c>
      <c r="B1166" s="126" t="s">
        <v>39</v>
      </c>
      <c r="C1166" s="126" t="s">
        <v>40</v>
      </c>
      <c r="D1166" s="126" t="s">
        <v>40</v>
      </c>
      <c r="E1166" s="126" t="s">
        <v>2352</v>
      </c>
      <c r="F1166" s="126" t="s">
        <v>2353</v>
      </c>
      <c r="G1166" s="126">
        <v>186</v>
      </c>
      <c r="H1166" s="126" t="s">
        <v>43</v>
      </c>
      <c r="I1166" s="126" t="s">
        <v>2350</v>
      </c>
      <c r="J1166" s="126" t="s">
        <v>384</v>
      </c>
      <c r="K1166" s="126" t="s">
        <v>599</v>
      </c>
      <c r="L1166" s="126" t="s">
        <v>259</v>
      </c>
      <c r="M1166" s="126" t="s">
        <v>46</v>
      </c>
      <c r="N1166" s="126" t="s">
        <v>47</v>
      </c>
      <c r="O1166" s="127">
        <v>37015</v>
      </c>
      <c r="P1166" s="126" t="s">
        <v>2354</v>
      </c>
      <c r="Q1166" s="126"/>
      <c r="R1166" s="126">
        <v>186</v>
      </c>
      <c r="S1166" s="126" t="s">
        <v>48</v>
      </c>
    </row>
    <row r="1167" spans="1:19" ht="29.25" x14ac:dyDescent="0.25">
      <c r="A1167" s="126">
        <v>32002</v>
      </c>
      <c r="B1167" s="126" t="s">
        <v>39</v>
      </c>
      <c r="C1167" s="126" t="s">
        <v>40</v>
      </c>
      <c r="D1167" s="126" t="s">
        <v>40</v>
      </c>
      <c r="E1167" s="126" t="s">
        <v>2355</v>
      </c>
      <c r="F1167" s="126" t="s">
        <v>2356</v>
      </c>
      <c r="G1167" s="126">
        <v>186</v>
      </c>
      <c r="H1167" s="126" t="s">
        <v>43</v>
      </c>
      <c r="I1167" s="126" t="s">
        <v>2350</v>
      </c>
      <c r="J1167" s="126" t="s">
        <v>384</v>
      </c>
      <c r="K1167" s="126" t="s">
        <v>599</v>
      </c>
      <c r="L1167" s="126" t="s">
        <v>259</v>
      </c>
      <c r="M1167" s="126" t="s">
        <v>46</v>
      </c>
      <c r="N1167" s="126" t="s">
        <v>47</v>
      </c>
      <c r="O1167" s="127">
        <v>37015</v>
      </c>
      <c r="P1167" s="126" t="s">
        <v>2354</v>
      </c>
      <c r="Q1167" s="126"/>
      <c r="R1167" s="126">
        <v>186</v>
      </c>
      <c r="S1167" s="126" t="s">
        <v>48</v>
      </c>
    </row>
    <row r="1168" spans="1:19" ht="29.25" x14ac:dyDescent="0.25">
      <c r="A1168" s="126">
        <v>32003</v>
      </c>
      <c r="B1168" s="126" t="s">
        <v>39</v>
      </c>
      <c r="C1168" s="126" t="s">
        <v>40</v>
      </c>
      <c r="D1168" s="126" t="s">
        <v>40</v>
      </c>
      <c r="E1168" s="126" t="s">
        <v>2357</v>
      </c>
      <c r="F1168" s="126" t="s">
        <v>2358</v>
      </c>
      <c r="G1168" s="126">
        <v>200</v>
      </c>
      <c r="H1168" s="126" t="s">
        <v>43</v>
      </c>
      <c r="I1168" s="126" t="s">
        <v>2350</v>
      </c>
      <c r="J1168" s="126" t="s">
        <v>384</v>
      </c>
      <c r="K1168" s="126" t="s">
        <v>385</v>
      </c>
      <c r="L1168" s="126" t="s">
        <v>731</v>
      </c>
      <c r="M1168" s="126" t="s">
        <v>46</v>
      </c>
      <c r="N1168" s="126" t="s">
        <v>47</v>
      </c>
      <c r="O1168" s="127">
        <v>37015</v>
      </c>
      <c r="P1168" s="126" t="s">
        <v>2354</v>
      </c>
      <c r="Q1168" s="126"/>
      <c r="R1168" s="126">
        <v>200</v>
      </c>
      <c r="S1168" s="126" t="s">
        <v>48</v>
      </c>
    </row>
    <row r="1169" spans="1:19" ht="29.25" x14ac:dyDescent="0.25">
      <c r="A1169" s="126">
        <v>84301</v>
      </c>
      <c r="B1169" s="126" t="s">
        <v>39</v>
      </c>
      <c r="C1169" s="126" t="s">
        <v>40</v>
      </c>
      <c r="D1169" s="126" t="s">
        <v>40</v>
      </c>
      <c r="E1169" s="126"/>
      <c r="F1169" s="126" t="s">
        <v>2700</v>
      </c>
      <c r="G1169" s="126"/>
      <c r="H1169" s="126" t="s">
        <v>162</v>
      </c>
      <c r="I1169" s="126" t="s">
        <v>2699</v>
      </c>
      <c r="J1169" s="126" t="s">
        <v>384</v>
      </c>
      <c r="K1169" s="126" t="s">
        <v>599</v>
      </c>
      <c r="L1169" s="126" t="s">
        <v>259</v>
      </c>
      <c r="M1169" s="126" t="s">
        <v>57</v>
      </c>
      <c r="N1169" s="126" t="s">
        <v>163</v>
      </c>
      <c r="O1169" s="127">
        <v>37832</v>
      </c>
      <c r="P1169" s="126"/>
      <c r="Q1169" s="126"/>
      <c r="R1169" s="126">
        <v>180</v>
      </c>
      <c r="S1169" s="126" t="s">
        <v>48</v>
      </c>
    </row>
    <row r="1170" spans="1:19" ht="29.25" x14ac:dyDescent="0.25">
      <c r="A1170" s="126">
        <v>84302</v>
      </c>
      <c r="B1170" s="126" t="s">
        <v>39</v>
      </c>
      <c r="C1170" s="126" t="s">
        <v>40</v>
      </c>
      <c r="D1170" s="126" t="s">
        <v>40</v>
      </c>
      <c r="E1170" s="126"/>
      <c r="F1170" s="126" t="s">
        <v>2701</v>
      </c>
      <c r="G1170" s="126"/>
      <c r="H1170" s="126" t="s">
        <v>162</v>
      </c>
      <c r="I1170" s="126" t="s">
        <v>2699</v>
      </c>
      <c r="J1170" s="126" t="s">
        <v>384</v>
      </c>
      <c r="K1170" s="126" t="s">
        <v>599</v>
      </c>
      <c r="L1170" s="126" t="s">
        <v>259</v>
      </c>
      <c r="M1170" s="126" t="s">
        <v>57</v>
      </c>
      <c r="N1170" s="126" t="s">
        <v>163</v>
      </c>
      <c r="O1170" s="127">
        <v>37832</v>
      </c>
      <c r="P1170" s="126"/>
      <c r="Q1170" s="126"/>
      <c r="R1170" s="126">
        <v>180</v>
      </c>
      <c r="S1170" s="126" t="s">
        <v>48</v>
      </c>
    </row>
    <row r="1171" spans="1:19" ht="29.25" x14ac:dyDescent="0.25">
      <c r="A1171" s="126">
        <v>84303</v>
      </c>
      <c r="B1171" s="126" t="s">
        <v>39</v>
      </c>
      <c r="C1171" s="126" t="s">
        <v>40</v>
      </c>
      <c r="D1171" s="126" t="s">
        <v>40</v>
      </c>
      <c r="E1171" s="126"/>
      <c r="F1171" s="126" t="s">
        <v>2702</v>
      </c>
      <c r="G1171" s="126"/>
      <c r="H1171" s="126" t="s">
        <v>162</v>
      </c>
      <c r="I1171" s="126" t="s">
        <v>2699</v>
      </c>
      <c r="J1171" s="126" t="s">
        <v>384</v>
      </c>
      <c r="K1171" s="126" t="s">
        <v>385</v>
      </c>
      <c r="L1171" s="126" t="s">
        <v>731</v>
      </c>
      <c r="M1171" s="126" t="s">
        <v>57</v>
      </c>
      <c r="N1171" s="126" t="s">
        <v>163</v>
      </c>
      <c r="O1171" s="127">
        <v>37832</v>
      </c>
      <c r="P1171" s="126"/>
      <c r="Q1171" s="126"/>
      <c r="R1171" s="126">
        <v>308</v>
      </c>
      <c r="S1171" s="126" t="s">
        <v>48</v>
      </c>
    </row>
    <row r="1172" spans="1:19" x14ac:dyDescent="0.25">
      <c r="A1172" s="126">
        <v>32201</v>
      </c>
      <c r="B1172" s="126" t="s">
        <v>39</v>
      </c>
      <c r="C1172" s="126" t="s">
        <v>40</v>
      </c>
      <c r="D1172" s="126" t="s">
        <v>40</v>
      </c>
      <c r="E1172" s="126" t="s">
        <v>306</v>
      </c>
      <c r="F1172" s="126" t="s">
        <v>307</v>
      </c>
      <c r="G1172" s="126">
        <v>31</v>
      </c>
      <c r="H1172" s="126" t="s">
        <v>43</v>
      </c>
      <c r="I1172" s="126" t="s">
        <v>6</v>
      </c>
      <c r="J1172" s="126" t="s">
        <v>44</v>
      </c>
      <c r="K1172" s="126" t="s">
        <v>44</v>
      </c>
      <c r="L1172" s="126" t="s">
        <v>45</v>
      </c>
      <c r="M1172" s="126" t="s">
        <v>46</v>
      </c>
      <c r="N1172" s="126" t="s">
        <v>47</v>
      </c>
      <c r="O1172" s="127">
        <v>11324</v>
      </c>
      <c r="P1172" s="126"/>
      <c r="Q1172" s="126" t="s">
        <v>293</v>
      </c>
      <c r="R1172" s="126">
        <v>28</v>
      </c>
      <c r="S1172" s="126" t="s">
        <v>48</v>
      </c>
    </row>
    <row r="1173" spans="1:19" x14ac:dyDescent="0.25">
      <c r="A1173" s="126">
        <v>32202</v>
      </c>
      <c r="B1173" s="126" t="s">
        <v>39</v>
      </c>
      <c r="C1173" s="126" t="s">
        <v>40</v>
      </c>
      <c r="D1173" s="126" t="s">
        <v>40</v>
      </c>
      <c r="E1173" s="126" t="s">
        <v>308</v>
      </c>
      <c r="F1173" s="126" t="s">
        <v>309</v>
      </c>
      <c r="G1173" s="126">
        <v>31</v>
      </c>
      <c r="H1173" s="126" t="s">
        <v>43</v>
      </c>
      <c r="I1173" s="126" t="s">
        <v>6</v>
      </c>
      <c r="J1173" s="126" t="s">
        <v>44</v>
      </c>
      <c r="K1173" s="126" t="s">
        <v>44</v>
      </c>
      <c r="L1173" s="126" t="s">
        <v>45</v>
      </c>
      <c r="M1173" s="126" t="s">
        <v>46</v>
      </c>
      <c r="N1173" s="126" t="s">
        <v>47</v>
      </c>
      <c r="O1173" s="127">
        <v>11324</v>
      </c>
      <c r="P1173" s="126"/>
      <c r="Q1173" s="126" t="s">
        <v>293</v>
      </c>
      <c r="R1173" s="126">
        <v>28</v>
      </c>
      <c r="S1173" s="126" t="s">
        <v>48</v>
      </c>
    </row>
    <row r="1174" spans="1:19" x14ac:dyDescent="0.25">
      <c r="A1174" s="126">
        <v>32701</v>
      </c>
      <c r="B1174" s="126" t="s">
        <v>39</v>
      </c>
      <c r="C1174" s="126" t="s">
        <v>40</v>
      </c>
      <c r="D1174" s="126" t="s">
        <v>40</v>
      </c>
      <c r="E1174" s="126" t="s">
        <v>439</v>
      </c>
      <c r="F1174" s="126" t="s">
        <v>440</v>
      </c>
      <c r="G1174" s="126">
        <v>9.9</v>
      </c>
      <c r="H1174" s="126" t="s">
        <v>43</v>
      </c>
      <c r="I1174" s="126" t="s">
        <v>408</v>
      </c>
      <c r="J1174" s="126" t="s">
        <v>44</v>
      </c>
      <c r="K1174" s="126" t="s">
        <v>44</v>
      </c>
      <c r="L1174" s="126" t="s">
        <v>45</v>
      </c>
      <c r="M1174" s="126" t="s">
        <v>46</v>
      </c>
      <c r="N1174" s="126" t="s">
        <v>47</v>
      </c>
      <c r="O1174" s="127">
        <v>21186</v>
      </c>
      <c r="P1174" s="126"/>
      <c r="Q1174" s="126" t="s">
        <v>331</v>
      </c>
      <c r="R1174" s="126">
        <v>9.85</v>
      </c>
      <c r="S1174" s="126" t="s">
        <v>48</v>
      </c>
    </row>
    <row r="1175" spans="1:19" x14ac:dyDescent="0.25">
      <c r="A1175" s="126">
        <v>32702</v>
      </c>
      <c r="B1175" s="126" t="s">
        <v>39</v>
      </c>
      <c r="C1175" s="126" t="s">
        <v>40</v>
      </c>
      <c r="D1175" s="126" t="s">
        <v>40</v>
      </c>
      <c r="E1175" s="126" t="s">
        <v>441</v>
      </c>
      <c r="F1175" s="126" t="s">
        <v>442</v>
      </c>
      <c r="G1175" s="126">
        <v>9.9</v>
      </c>
      <c r="H1175" s="126" t="s">
        <v>43</v>
      </c>
      <c r="I1175" s="126" t="s">
        <v>408</v>
      </c>
      <c r="J1175" s="126" t="s">
        <v>44</v>
      </c>
      <c r="K1175" s="126" t="s">
        <v>44</v>
      </c>
      <c r="L1175" s="126" t="s">
        <v>45</v>
      </c>
      <c r="M1175" s="126" t="s">
        <v>46</v>
      </c>
      <c r="N1175" s="126" t="s">
        <v>47</v>
      </c>
      <c r="O1175" s="127">
        <v>21186</v>
      </c>
      <c r="P1175" s="126"/>
      <c r="Q1175" s="126" t="s">
        <v>331</v>
      </c>
      <c r="R1175" s="126">
        <v>9.85</v>
      </c>
      <c r="S1175" s="126" t="s">
        <v>48</v>
      </c>
    </row>
    <row r="1176" spans="1:19" ht="29.25" x14ac:dyDescent="0.25">
      <c r="A1176" s="126">
        <v>1600</v>
      </c>
      <c r="B1176" s="126" t="s">
        <v>39</v>
      </c>
      <c r="C1176" s="126" t="s">
        <v>40</v>
      </c>
      <c r="D1176" s="126" t="s">
        <v>40</v>
      </c>
      <c r="E1176" s="126"/>
      <c r="F1176" s="126" t="s">
        <v>328</v>
      </c>
      <c r="G1176" s="126">
        <v>1</v>
      </c>
      <c r="H1176" s="126" t="s">
        <v>43</v>
      </c>
      <c r="I1176" s="126" t="s">
        <v>329</v>
      </c>
      <c r="J1176" s="126" t="s">
        <v>44</v>
      </c>
      <c r="K1176" s="126" t="s">
        <v>44</v>
      </c>
      <c r="L1176" s="126" t="s">
        <v>45</v>
      </c>
      <c r="M1176" s="126" t="s">
        <v>46</v>
      </c>
      <c r="N1176" s="126" t="s">
        <v>47</v>
      </c>
      <c r="O1176" s="127">
        <v>14611</v>
      </c>
      <c r="P1176" s="126" t="s">
        <v>330</v>
      </c>
      <c r="Q1176" s="126" t="s">
        <v>331</v>
      </c>
      <c r="R1176" s="126">
        <v>1</v>
      </c>
      <c r="S1176" s="126" t="s">
        <v>48</v>
      </c>
    </row>
    <row r="1177" spans="1:19" ht="29.25" x14ac:dyDescent="0.25">
      <c r="A1177" s="126">
        <v>23100</v>
      </c>
      <c r="B1177" s="126" t="s">
        <v>39</v>
      </c>
      <c r="C1177" s="126" t="s">
        <v>40</v>
      </c>
      <c r="D1177" s="126" t="s">
        <v>40</v>
      </c>
      <c r="E1177" s="126"/>
      <c r="F1177" s="126" t="s">
        <v>389</v>
      </c>
      <c r="G1177" s="126">
        <v>3</v>
      </c>
      <c r="H1177" s="126" t="s">
        <v>43</v>
      </c>
      <c r="I1177" s="126" t="s">
        <v>329</v>
      </c>
      <c r="J1177" s="126" t="s">
        <v>44</v>
      </c>
      <c r="K1177" s="126" t="s">
        <v>44</v>
      </c>
      <c r="L1177" s="126" t="s">
        <v>45</v>
      </c>
      <c r="M1177" s="126" t="s">
        <v>46</v>
      </c>
      <c r="N1177" s="126" t="s">
        <v>47</v>
      </c>
      <c r="O1177" s="127">
        <v>19725</v>
      </c>
      <c r="P1177" s="126" t="s">
        <v>330</v>
      </c>
      <c r="Q1177" s="126" t="s">
        <v>331</v>
      </c>
      <c r="R1177" s="126">
        <v>4.5</v>
      </c>
      <c r="S1177" s="126" t="s">
        <v>48</v>
      </c>
    </row>
    <row r="1178" spans="1:19" x14ac:dyDescent="0.25">
      <c r="A1178" s="126">
        <v>33101</v>
      </c>
      <c r="B1178" s="126" t="s">
        <v>39</v>
      </c>
      <c r="C1178" s="126" t="s">
        <v>40</v>
      </c>
      <c r="D1178" s="126" t="s">
        <v>40</v>
      </c>
      <c r="E1178" s="126" t="s">
        <v>821</v>
      </c>
      <c r="F1178" s="126" t="s">
        <v>822</v>
      </c>
      <c r="G1178" s="126">
        <v>39.1</v>
      </c>
      <c r="H1178" s="126" t="s">
        <v>7</v>
      </c>
      <c r="I1178" s="126" t="s">
        <v>560</v>
      </c>
      <c r="J1178" s="126" t="s">
        <v>44</v>
      </c>
      <c r="K1178" s="126" t="s">
        <v>44</v>
      </c>
      <c r="L1178" s="126" t="s">
        <v>45</v>
      </c>
      <c r="M1178" s="126" t="s">
        <v>57</v>
      </c>
      <c r="N1178" s="126" t="s">
        <v>58</v>
      </c>
      <c r="O1178" s="127">
        <v>29952</v>
      </c>
      <c r="P1178" s="126"/>
      <c r="Q1178" s="126"/>
      <c r="R1178" s="126">
        <v>39.1</v>
      </c>
      <c r="S1178" s="126" t="s">
        <v>48</v>
      </c>
    </row>
    <row r="1179" spans="1:19" x14ac:dyDescent="0.25">
      <c r="A1179" s="126">
        <v>33102</v>
      </c>
      <c r="B1179" s="126" t="s">
        <v>39</v>
      </c>
      <c r="C1179" s="126" t="s">
        <v>40</v>
      </c>
      <c r="D1179" s="126" t="s">
        <v>40</v>
      </c>
      <c r="E1179" s="126" t="s">
        <v>895</v>
      </c>
      <c r="F1179" s="126" t="s">
        <v>896</v>
      </c>
      <c r="G1179" s="126">
        <v>39.1</v>
      </c>
      <c r="H1179" s="126" t="s">
        <v>7</v>
      </c>
      <c r="I1179" s="126" t="s">
        <v>560</v>
      </c>
      <c r="J1179" s="126" t="s">
        <v>44</v>
      </c>
      <c r="K1179" s="126" t="s">
        <v>44</v>
      </c>
      <c r="L1179" s="126" t="s">
        <v>45</v>
      </c>
      <c r="M1179" s="126" t="s">
        <v>57</v>
      </c>
      <c r="N1179" s="126" t="s">
        <v>58</v>
      </c>
      <c r="O1179" s="127">
        <v>30317</v>
      </c>
      <c r="P1179" s="126"/>
      <c r="Q1179" s="126"/>
      <c r="R1179" s="126">
        <v>39.1</v>
      </c>
      <c r="S1179" s="126" t="s">
        <v>48</v>
      </c>
    </row>
    <row r="1180" spans="1:19" ht="29.25" x14ac:dyDescent="0.25">
      <c r="A1180" s="126">
        <v>24601</v>
      </c>
      <c r="B1180" s="126" t="s">
        <v>39</v>
      </c>
      <c r="C1180" s="126" t="s">
        <v>40</v>
      </c>
      <c r="D1180" s="126" t="s">
        <v>40</v>
      </c>
      <c r="E1180" s="126" t="s">
        <v>2514</v>
      </c>
      <c r="F1180" s="126" t="s">
        <v>2515</v>
      </c>
      <c r="G1180" s="126">
        <v>49</v>
      </c>
      <c r="H1180" s="126" t="s">
        <v>43</v>
      </c>
      <c r="I1180" s="126" t="s">
        <v>2516</v>
      </c>
      <c r="J1180" s="126" t="s">
        <v>314</v>
      </c>
      <c r="K1180" s="126" t="s">
        <v>599</v>
      </c>
      <c r="L1180" s="126" t="s">
        <v>259</v>
      </c>
      <c r="M1180" s="126" t="s">
        <v>46</v>
      </c>
      <c r="N1180" s="126" t="s">
        <v>47</v>
      </c>
      <c r="O1180" s="127">
        <v>37239</v>
      </c>
      <c r="P1180" s="126"/>
      <c r="Q1180" s="126"/>
      <c r="R1180" s="126">
        <v>49</v>
      </c>
      <c r="S1180" s="126" t="s">
        <v>48</v>
      </c>
    </row>
    <row r="1181" spans="1:19" ht="29.25" x14ac:dyDescent="0.25">
      <c r="A1181" s="126">
        <v>24602</v>
      </c>
      <c r="B1181" s="126" t="s">
        <v>39</v>
      </c>
      <c r="C1181" s="126" t="s">
        <v>40</v>
      </c>
      <c r="D1181" s="126" t="s">
        <v>40</v>
      </c>
      <c r="E1181" s="126" t="s">
        <v>2779</v>
      </c>
      <c r="F1181" s="126" t="s">
        <v>2780</v>
      </c>
      <c r="G1181" s="126">
        <v>0.3</v>
      </c>
      <c r="H1181" s="126" t="s">
        <v>43</v>
      </c>
      <c r="I1181" s="126" t="s">
        <v>2516</v>
      </c>
      <c r="J1181" s="126" t="s">
        <v>314</v>
      </c>
      <c r="K1181" s="126" t="s">
        <v>2299</v>
      </c>
      <c r="L1181" s="126" t="s">
        <v>259</v>
      </c>
      <c r="M1181" s="126" t="s">
        <v>46</v>
      </c>
      <c r="N1181" s="126" t="s">
        <v>47</v>
      </c>
      <c r="O1181" s="127">
        <v>38517</v>
      </c>
      <c r="P1181" s="126"/>
      <c r="Q1181" s="126"/>
      <c r="R1181" s="126">
        <v>0.35</v>
      </c>
      <c r="S1181" s="126" t="s">
        <v>48</v>
      </c>
    </row>
    <row r="1182" spans="1:19" x14ac:dyDescent="0.25">
      <c r="A1182" s="126">
        <v>33805</v>
      </c>
      <c r="B1182" s="126" t="s">
        <v>39</v>
      </c>
      <c r="C1182" s="126" t="s">
        <v>40</v>
      </c>
      <c r="D1182" s="126" t="s">
        <v>40</v>
      </c>
      <c r="E1182" s="126" t="s">
        <v>118</v>
      </c>
      <c r="F1182" s="126" t="s">
        <v>119</v>
      </c>
      <c r="G1182" s="126">
        <v>0.4</v>
      </c>
      <c r="H1182" s="126" t="s">
        <v>43</v>
      </c>
      <c r="I1182" s="126" t="s">
        <v>6</v>
      </c>
      <c r="J1182" s="126" t="s">
        <v>44</v>
      </c>
      <c r="K1182" s="126" t="s">
        <v>44</v>
      </c>
      <c r="L1182" s="126" t="s">
        <v>45</v>
      </c>
      <c r="M1182" s="126" t="s">
        <v>46</v>
      </c>
      <c r="N1182" s="126" t="s">
        <v>47</v>
      </c>
      <c r="O1182" s="127">
        <v>3654</v>
      </c>
      <c r="P1182" s="126"/>
      <c r="Q1182" s="126" t="s">
        <v>117</v>
      </c>
      <c r="R1182" s="126">
        <v>0.4</v>
      </c>
      <c r="S1182" s="126" t="s">
        <v>48</v>
      </c>
    </row>
    <row r="1183" spans="1:19" x14ac:dyDescent="0.25">
      <c r="A1183" s="126">
        <v>33801</v>
      </c>
      <c r="B1183" s="126" t="s">
        <v>39</v>
      </c>
      <c r="C1183" s="126" t="s">
        <v>40</v>
      </c>
      <c r="D1183" s="126" t="s">
        <v>40</v>
      </c>
      <c r="E1183" s="126" t="s">
        <v>120</v>
      </c>
      <c r="F1183" s="126" t="s">
        <v>121</v>
      </c>
      <c r="G1183" s="126">
        <v>5.6</v>
      </c>
      <c r="H1183" s="126" t="s">
        <v>43</v>
      </c>
      <c r="I1183" s="126" t="s">
        <v>6</v>
      </c>
      <c r="J1183" s="126" t="s">
        <v>44</v>
      </c>
      <c r="K1183" s="126" t="s">
        <v>44</v>
      </c>
      <c r="L1183" s="126" t="s">
        <v>45</v>
      </c>
      <c r="M1183" s="126" t="s">
        <v>46</v>
      </c>
      <c r="N1183" s="126" t="s">
        <v>47</v>
      </c>
      <c r="O1183" s="127">
        <v>3654</v>
      </c>
      <c r="P1183" s="126"/>
      <c r="Q1183" s="126" t="s">
        <v>117</v>
      </c>
      <c r="R1183" s="126">
        <v>5.6</v>
      </c>
      <c r="S1183" s="126" t="s">
        <v>48</v>
      </c>
    </row>
    <row r="1184" spans="1:19" x14ac:dyDescent="0.25">
      <c r="A1184" s="126">
        <v>33802</v>
      </c>
      <c r="B1184" s="126" t="s">
        <v>39</v>
      </c>
      <c r="C1184" s="126" t="s">
        <v>40</v>
      </c>
      <c r="D1184" s="126" t="s">
        <v>40</v>
      </c>
      <c r="E1184" s="126" t="s">
        <v>122</v>
      </c>
      <c r="F1184" s="126" t="s">
        <v>123</v>
      </c>
      <c r="G1184" s="126">
        <v>5.6</v>
      </c>
      <c r="H1184" s="126" t="s">
        <v>43</v>
      </c>
      <c r="I1184" s="126" t="s">
        <v>6</v>
      </c>
      <c r="J1184" s="126" t="s">
        <v>44</v>
      </c>
      <c r="K1184" s="126" t="s">
        <v>44</v>
      </c>
      <c r="L1184" s="126" t="s">
        <v>45</v>
      </c>
      <c r="M1184" s="126" t="s">
        <v>46</v>
      </c>
      <c r="N1184" s="126" t="s">
        <v>47</v>
      </c>
      <c r="O1184" s="127">
        <v>3654</v>
      </c>
      <c r="P1184" s="126"/>
      <c r="Q1184" s="126" t="s">
        <v>117</v>
      </c>
      <c r="R1184" s="126">
        <v>5.6</v>
      </c>
      <c r="S1184" s="126" t="s">
        <v>48</v>
      </c>
    </row>
    <row r="1185" spans="1:19" x14ac:dyDescent="0.25">
      <c r="A1185" s="126">
        <v>33803</v>
      </c>
      <c r="B1185" s="126" t="s">
        <v>39</v>
      </c>
      <c r="C1185" s="126" t="s">
        <v>40</v>
      </c>
      <c r="D1185" s="126" t="s">
        <v>40</v>
      </c>
      <c r="E1185" s="126" t="s">
        <v>124</v>
      </c>
      <c r="F1185" s="126" t="s">
        <v>125</v>
      </c>
      <c r="G1185" s="126">
        <v>5.6</v>
      </c>
      <c r="H1185" s="126" t="s">
        <v>43</v>
      </c>
      <c r="I1185" s="126" t="s">
        <v>6</v>
      </c>
      <c r="J1185" s="126" t="s">
        <v>44</v>
      </c>
      <c r="K1185" s="126" t="s">
        <v>44</v>
      </c>
      <c r="L1185" s="126" t="s">
        <v>45</v>
      </c>
      <c r="M1185" s="126" t="s">
        <v>46</v>
      </c>
      <c r="N1185" s="126" t="s">
        <v>47</v>
      </c>
      <c r="O1185" s="127">
        <v>3654</v>
      </c>
      <c r="P1185" s="126"/>
      <c r="Q1185" s="126" t="s">
        <v>117</v>
      </c>
      <c r="R1185" s="126">
        <v>5.6</v>
      </c>
      <c r="S1185" s="126" t="s">
        <v>48</v>
      </c>
    </row>
    <row r="1186" spans="1:19" x14ac:dyDescent="0.25">
      <c r="A1186" s="126">
        <v>33804</v>
      </c>
      <c r="B1186" s="126" t="s">
        <v>39</v>
      </c>
      <c r="C1186" s="126" t="s">
        <v>40</v>
      </c>
      <c r="D1186" s="126" t="s">
        <v>40</v>
      </c>
      <c r="E1186" s="126" t="s">
        <v>126</v>
      </c>
      <c r="F1186" s="126" t="s">
        <v>127</v>
      </c>
      <c r="G1186" s="126">
        <v>5.6</v>
      </c>
      <c r="H1186" s="126" t="s">
        <v>43</v>
      </c>
      <c r="I1186" s="126" t="s">
        <v>6</v>
      </c>
      <c r="J1186" s="126" t="s">
        <v>44</v>
      </c>
      <c r="K1186" s="126" t="s">
        <v>44</v>
      </c>
      <c r="L1186" s="126" t="s">
        <v>45</v>
      </c>
      <c r="M1186" s="126" t="s">
        <v>46</v>
      </c>
      <c r="N1186" s="126" t="s">
        <v>47</v>
      </c>
      <c r="O1186" s="127">
        <v>3654</v>
      </c>
      <c r="P1186" s="126"/>
      <c r="Q1186" s="126" t="s">
        <v>117</v>
      </c>
      <c r="R1186" s="126">
        <v>5.6</v>
      </c>
      <c r="S1186" s="126" t="s">
        <v>48</v>
      </c>
    </row>
    <row r="1187" spans="1:19" ht="57.75" x14ac:dyDescent="0.25">
      <c r="A1187" s="126">
        <v>104001</v>
      </c>
      <c r="B1187" s="126" t="s">
        <v>106</v>
      </c>
      <c r="C1187" s="126" t="s">
        <v>40</v>
      </c>
      <c r="D1187" s="126" t="s">
        <v>40</v>
      </c>
      <c r="E1187" s="126" t="s">
        <v>3110</v>
      </c>
      <c r="F1187" s="126" t="s">
        <v>3111</v>
      </c>
      <c r="G1187" s="126">
        <v>60</v>
      </c>
      <c r="H1187" s="126" t="s">
        <v>7</v>
      </c>
      <c r="I1187" s="126" t="s">
        <v>3108</v>
      </c>
      <c r="J1187" s="126" t="s">
        <v>800</v>
      </c>
      <c r="K1187" s="126" t="s">
        <v>800</v>
      </c>
      <c r="L1187" s="126" t="s">
        <v>800</v>
      </c>
      <c r="M1187" s="126" t="s">
        <v>57</v>
      </c>
      <c r="N1187" s="126" t="s">
        <v>58</v>
      </c>
      <c r="O1187" s="127">
        <v>40936</v>
      </c>
      <c r="P1187" s="126" t="s">
        <v>3109</v>
      </c>
      <c r="Q1187" s="126"/>
      <c r="R1187" s="126">
        <v>60</v>
      </c>
      <c r="S1187" s="126" t="s">
        <v>48</v>
      </c>
    </row>
    <row r="1188" spans="1:19" ht="57.75" x14ac:dyDescent="0.25">
      <c r="A1188" s="126">
        <v>104002</v>
      </c>
      <c r="B1188" s="126" t="s">
        <v>106</v>
      </c>
      <c r="C1188" s="126" t="s">
        <v>40</v>
      </c>
      <c r="D1188" s="126" t="s">
        <v>40</v>
      </c>
      <c r="E1188" s="126" t="s">
        <v>3112</v>
      </c>
      <c r="F1188" s="126" t="s">
        <v>3111</v>
      </c>
      <c r="G1188" s="126">
        <v>60</v>
      </c>
      <c r="H1188" s="126" t="s">
        <v>7</v>
      </c>
      <c r="I1188" s="126" t="s">
        <v>3108</v>
      </c>
      <c r="J1188" s="126" t="s">
        <v>800</v>
      </c>
      <c r="K1188" s="126" t="s">
        <v>800</v>
      </c>
      <c r="L1188" s="126" t="s">
        <v>800</v>
      </c>
      <c r="M1188" s="126" t="s">
        <v>57</v>
      </c>
      <c r="N1188" s="126" t="s">
        <v>58</v>
      </c>
      <c r="O1188" s="127">
        <v>40936</v>
      </c>
      <c r="P1188" s="126" t="s">
        <v>3109</v>
      </c>
      <c r="Q1188" s="126"/>
      <c r="R1188" s="126">
        <v>60</v>
      </c>
      <c r="S1188" s="126" t="s">
        <v>48</v>
      </c>
    </row>
    <row r="1189" spans="1:19" x14ac:dyDescent="0.25">
      <c r="A1189" s="126">
        <v>34602</v>
      </c>
      <c r="B1189" s="126" t="s">
        <v>106</v>
      </c>
      <c r="C1189" s="126" t="s">
        <v>49</v>
      </c>
      <c r="D1189" s="126" t="s">
        <v>40</v>
      </c>
      <c r="E1189" s="126"/>
      <c r="F1189" s="126" t="s">
        <v>1508</v>
      </c>
      <c r="G1189" s="126">
        <v>18.96</v>
      </c>
      <c r="H1189" s="126" t="s">
        <v>43</v>
      </c>
      <c r="I1189" s="126" t="s">
        <v>1509</v>
      </c>
      <c r="J1189" s="126" t="s">
        <v>800</v>
      </c>
      <c r="K1189" s="126" t="s">
        <v>800</v>
      </c>
      <c r="L1189" s="126" t="s">
        <v>800</v>
      </c>
      <c r="M1189" s="126" t="s">
        <v>46</v>
      </c>
      <c r="N1189" s="126" t="s">
        <v>47</v>
      </c>
      <c r="O1189" s="127">
        <v>31778</v>
      </c>
      <c r="P1189" s="126"/>
      <c r="Q1189" s="126"/>
      <c r="R1189" s="126">
        <v>18.96</v>
      </c>
      <c r="S1189" s="126" t="s">
        <v>48</v>
      </c>
    </row>
    <row r="1190" spans="1:19" x14ac:dyDescent="0.25">
      <c r="A1190" s="126">
        <v>34603</v>
      </c>
      <c r="B1190" s="126" t="s">
        <v>106</v>
      </c>
      <c r="C1190" s="126" t="s">
        <v>49</v>
      </c>
      <c r="D1190" s="126" t="s">
        <v>40</v>
      </c>
      <c r="E1190" s="126"/>
      <c r="F1190" s="126" t="s">
        <v>1225</v>
      </c>
      <c r="G1190" s="126">
        <v>12.97</v>
      </c>
      <c r="H1190" s="126" t="s">
        <v>43</v>
      </c>
      <c r="I1190" s="126" t="s">
        <v>1226</v>
      </c>
      <c r="J1190" s="126" t="s">
        <v>800</v>
      </c>
      <c r="K1190" s="126" t="s">
        <v>800</v>
      </c>
      <c r="L1190" s="126" t="s">
        <v>800</v>
      </c>
      <c r="M1190" s="126" t="s">
        <v>46</v>
      </c>
      <c r="N1190" s="126" t="s">
        <v>47</v>
      </c>
      <c r="O1190" s="127">
        <v>31148</v>
      </c>
      <c r="P1190" s="126"/>
      <c r="Q1190" s="126"/>
      <c r="R1190" s="126">
        <v>12.97</v>
      </c>
      <c r="S1190" s="126" t="s">
        <v>48</v>
      </c>
    </row>
    <row r="1191" spans="1:19" x14ac:dyDescent="0.25">
      <c r="A1191" s="126">
        <v>34604</v>
      </c>
      <c r="B1191" s="126" t="s">
        <v>106</v>
      </c>
      <c r="C1191" s="126" t="s">
        <v>49</v>
      </c>
      <c r="D1191" s="126" t="s">
        <v>40</v>
      </c>
      <c r="E1191" s="126"/>
      <c r="F1191" s="126" t="s">
        <v>1510</v>
      </c>
      <c r="G1191" s="126">
        <v>18.989999999999998</v>
      </c>
      <c r="H1191" s="126" t="s">
        <v>43</v>
      </c>
      <c r="I1191" s="126" t="s">
        <v>1511</v>
      </c>
      <c r="J1191" s="126" t="s">
        <v>800</v>
      </c>
      <c r="K1191" s="126" t="s">
        <v>800</v>
      </c>
      <c r="L1191" s="126" t="s">
        <v>800</v>
      </c>
      <c r="M1191" s="126" t="s">
        <v>46</v>
      </c>
      <c r="N1191" s="126" t="s">
        <v>47</v>
      </c>
      <c r="O1191" s="127">
        <v>31778</v>
      </c>
      <c r="P1191" s="126"/>
      <c r="Q1191" s="126"/>
      <c r="R1191" s="126">
        <v>18.989999999999998</v>
      </c>
      <c r="S1191" s="126" t="s">
        <v>48</v>
      </c>
    </row>
    <row r="1192" spans="1:19" ht="29.25" x14ac:dyDescent="0.25">
      <c r="A1192" s="126">
        <v>34605</v>
      </c>
      <c r="B1192" s="126" t="s">
        <v>106</v>
      </c>
      <c r="C1192" s="126" t="s">
        <v>49</v>
      </c>
      <c r="D1192" s="126" t="s">
        <v>40</v>
      </c>
      <c r="E1192" s="126"/>
      <c r="F1192" s="126" t="s">
        <v>3254</v>
      </c>
      <c r="G1192" s="126">
        <v>4</v>
      </c>
      <c r="H1192" s="126" t="s">
        <v>43</v>
      </c>
      <c r="I1192" s="126" t="s">
        <v>3255</v>
      </c>
      <c r="J1192" s="126" t="s">
        <v>800</v>
      </c>
      <c r="K1192" s="126" t="s">
        <v>800</v>
      </c>
      <c r="L1192" s="126" t="s">
        <v>800</v>
      </c>
      <c r="M1192" s="126" t="s">
        <v>46</v>
      </c>
      <c r="N1192" s="126" t="s">
        <v>47</v>
      </c>
      <c r="O1192" s="126"/>
      <c r="P1192" s="126"/>
      <c r="Q1192" s="126"/>
      <c r="R1192" s="126">
        <v>4</v>
      </c>
      <c r="S1192" s="126" t="s">
        <v>48</v>
      </c>
    </row>
    <row r="1193" spans="1:19" ht="29.25" x14ac:dyDescent="0.25">
      <c r="A1193" s="126">
        <v>35301</v>
      </c>
      <c r="B1193" s="126" t="s">
        <v>106</v>
      </c>
      <c r="C1193" s="126" t="s">
        <v>49</v>
      </c>
      <c r="D1193" s="126" t="s">
        <v>40</v>
      </c>
      <c r="E1193" s="126"/>
      <c r="F1193" s="126" t="s">
        <v>861</v>
      </c>
      <c r="G1193" s="126"/>
      <c r="H1193" s="126" t="s">
        <v>7</v>
      </c>
      <c r="I1193" s="126">
        <v>6011</v>
      </c>
      <c r="J1193" s="126" t="s">
        <v>800</v>
      </c>
      <c r="K1193" s="126" t="s">
        <v>800</v>
      </c>
      <c r="L1193" s="126" t="s">
        <v>800</v>
      </c>
      <c r="M1193" s="126" t="s">
        <v>57</v>
      </c>
      <c r="N1193" s="126" t="s">
        <v>58</v>
      </c>
      <c r="O1193" s="127">
        <v>30306</v>
      </c>
      <c r="P1193" s="126"/>
      <c r="Q1193" s="126"/>
      <c r="R1193" s="126">
        <v>5.22</v>
      </c>
      <c r="S1193" s="126" t="s">
        <v>48</v>
      </c>
    </row>
    <row r="1194" spans="1:19" ht="29.25" x14ac:dyDescent="0.25">
      <c r="A1194" s="126">
        <v>35302</v>
      </c>
      <c r="B1194" s="126" t="s">
        <v>106</v>
      </c>
      <c r="C1194" s="126" t="s">
        <v>49</v>
      </c>
      <c r="D1194" s="126" t="s">
        <v>40</v>
      </c>
      <c r="E1194" s="126"/>
      <c r="F1194" s="126" t="s">
        <v>1283</v>
      </c>
      <c r="G1194" s="126"/>
      <c r="H1194" s="126" t="s">
        <v>7</v>
      </c>
      <c r="I1194" s="126">
        <v>6097</v>
      </c>
      <c r="J1194" s="126" t="s">
        <v>800</v>
      </c>
      <c r="K1194" s="126" t="s">
        <v>800</v>
      </c>
      <c r="L1194" s="126" t="s">
        <v>800</v>
      </c>
      <c r="M1194" s="126" t="s">
        <v>57</v>
      </c>
      <c r="N1194" s="126" t="s">
        <v>58</v>
      </c>
      <c r="O1194" s="127">
        <v>31408</v>
      </c>
      <c r="P1194" s="126"/>
      <c r="Q1194" s="126"/>
      <c r="R1194" s="126">
        <v>7.78</v>
      </c>
      <c r="S1194" s="126" t="s">
        <v>48</v>
      </c>
    </row>
    <row r="1195" spans="1:19" ht="29.25" x14ac:dyDescent="0.25">
      <c r="A1195" s="126">
        <v>35303</v>
      </c>
      <c r="B1195" s="126" t="s">
        <v>106</v>
      </c>
      <c r="C1195" s="126" t="s">
        <v>49</v>
      </c>
      <c r="D1195" s="126" t="s">
        <v>40</v>
      </c>
      <c r="E1195" s="126"/>
      <c r="F1195" s="126" t="s">
        <v>2111</v>
      </c>
      <c r="G1195" s="126"/>
      <c r="H1195" s="126" t="s">
        <v>7</v>
      </c>
      <c r="I1195" s="126">
        <v>6236</v>
      </c>
      <c r="J1195" s="126" t="s">
        <v>800</v>
      </c>
      <c r="K1195" s="126" t="s">
        <v>800</v>
      </c>
      <c r="L1195" s="126" t="s">
        <v>800</v>
      </c>
      <c r="M1195" s="126" t="s">
        <v>57</v>
      </c>
      <c r="N1195" s="126" t="s">
        <v>58</v>
      </c>
      <c r="O1195" s="127">
        <v>33326</v>
      </c>
      <c r="P1195" s="126"/>
      <c r="Q1195" s="126"/>
      <c r="R1195" s="126">
        <v>21.78</v>
      </c>
      <c r="S1195" s="126" t="s">
        <v>48</v>
      </c>
    </row>
    <row r="1196" spans="1:19" x14ac:dyDescent="0.25">
      <c r="A1196" s="126">
        <v>35304</v>
      </c>
      <c r="B1196" s="126" t="s">
        <v>106</v>
      </c>
      <c r="C1196" s="126" t="s">
        <v>49</v>
      </c>
      <c r="D1196" s="126" t="s">
        <v>40</v>
      </c>
      <c r="E1196" s="126"/>
      <c r="F1196" s="126" t="s">
        <v>1142</v>
      </c>
      <c r="G1196" s="126"/>
      <c r="H1196" s="126" t="s">
        <v>7</v>
      </c>
      <c r="I1196" s="126">
        <v>6060</v>
      </c>
      <c r="J1196" s="126" t="s">
        <v>800</v>
      </c>
      <c r="K1196" s="126" t="s">
        <v>800</v>
      </c>
      <c r="L1196" s="126" t="s">
        <v>800</v>
      </c>
      <c r="M1196" s="126" t="s">
        <v>57</v>
      </c>
      <c r="N1196" s="126" t="s">
        <v>58</v>
      </c>
      <c r="O1196" s="127">
        <v>31046</v>
      </c>
      <c r="P1196" s="126"/>
      <c r="Q1196" s="126"/>
      <c r="R1196" s="126">
        <v>8.7100000000000009</v>
      </c>
      <c r="S1196" s="126" t="s">
        <v>48</v>
      </c>
    </row>
    <row r="1197" spans="1:19" x14ac:dyDescent="0.25">
      <c r="A1197" s="126">
        <v>35309</v>
      </c>
      <c r="B1197" s="126" t="s">
        <v>106</v>
      </c>
      <c r="C1197" s="126" t="s">
        <v>49</v>
      </c>
      <c r="D1197" s="126" t="s">
        <v>40</v>
      </c>
      <c r="E1197" s="126"/>
      <c r="F1197" s="126" t="s">
        <v>1276</v>
      </c>
      <c r="G1197" s="126"/>
      <c r="H1197" s="126" t="s">
        <v>7</v>
      </c>
      <c r="I1197" s="126">
        <v>6055</v>
      </c>
      <c r="J1197" s="126" t="s">
        <v>800</v>
      </c>
      <c r="K1197" s="126" t="s">
        <v>800</v>
      </c>
      <c r="L1197" s="126" t="s">
        <v>800</v>
      </c>
      <c r="M1197" s="126" t="s">
        <v>57</v>
      </c>
      <c r="N1197" s="126" t="s">
        <v>58</v>
      </c>
      <c r="O1197" s="127">
        <v>31387</v>
      </c>
      <c r="P1197" s="126"/>
      <c r="Q1197" s="126"/>
      <c r="R1197" s="126">
        <v>3</v>
      </c>
      <c r="S1197" s="126" t="s">
        <v>48</v>
      </c>
    </row>
    <row r="1198" spans="1:19" ht="29.25" x14ac:dyDescent="0.25">
      <c r="A1198" s="126">
        <v>35310</v>
      </c>
      <c r="B1198" s="126" t="s">
        <v>106</v>
      </c>
      <c r="C1198" s="126" t="s">
        <v>49</v>
      </c>
      <c r="D1198" s="126" t="s">
        <v>40</v>
      </c>
      <c r="E1198" s="126"/>
      <c r="F1198" s="126" t="s">
        <v>1422</v>
      </c>
      <c r="G1198" s="126"/>
      <c r="H1198" s="126" t="s">
        <v>7</v>
      </c>
      <c r="I1198" s="126">
        <v>6089</v>
      </c>
      <c r="J1198" s="126" t="s">
        <v>800</v>
      </c>
      <c r="K1198" s="126" t="s">
        <v>800</v>
      </c>
      <c r="L1198" s="126" t="s">
        <v>800</v>
      </c>
      <c r="M1198" s="126" t="s">
        <v>57</v>
      </c>
      <c r="N1198" s="126" t="s">
        <v>58</v>
      </c>
      <c r="O1198" s="127">
        <v>31524</v>
      </c>
      <c r="P1198" s="126"/>
      <c r="Q1198" s="126"/>
      <c r="R1198" s="126">
        <v>13.78</v>
      </c>
      <c r="S1198" s="126" t="s">
        <v>48</v>
      </c>
    </row>
    <row r="1199" spans="1:19" ht="29.25" x14ac:dyDescent="0.25">
      <c r="A1199" s="126">
        <v>35313</v>
      </c>
      <c r="B1199" s="126" t="s">
        <v>106</v>
      </c>
      <c r="C1199" s="126" t="s">
        <v>49</v>
      </c>
      <c r="D1199" s="126" t="s">
        <v>40</v>
      </c>
      <c r="E1199" s="126"/>
      <c r="F1199" s="126" t="s">
        <v>1385</v>
      </c>
      <c r="G1199" s="126"/>
      <c r="H1199" s="126" t="s">
        <v>7</v>
      </c>
      <c r="I1199" s="126">
        <v>6234</v>
      </c>
      <c r="J1199" s="126" t="s">
        <v>800</v>
      </c>
      <c r="K1199" s="126" t="s">
        <v>800</v>
      </c>
      <c r="L1199" s="126" t="s">
        <v>800</v>
      </c>
      <c r="M1199" s="126" t="s">
        <v>57</v>
      </c>
      <c r="N1199" s="126" t="s">
        <v>58</v>
      </c>
      <c r="O1199" s="127">
        <v>31453</v>
      </c>
      <c r="P1199" s="126"/>
      <c r="Q1199" s="126"/>
      <c r="R1199" s="126">
        <v>27.92</v>
      </c>
      <c r="S1199" s="126" t="s">
        <v>48</v>
      </c>
    </row>
    <row r="1200" spans="1:19" ht="29.25" x14ac:dyDescent="0.25">
      <c r="A1200" s="126">
        <v>35317</v>
      </c>
      <c r="B1200" s="126" t="s">
        <v>106</v>
      </c>
      <c r="C1200" s="126" t="s">
        <v>49</v>
      </c>
      <c r="D1200" s="126" t="s">
        <v>40</v>
      </c>
      <c r="E1200" s="126"/>
      <c r="F1200" s="126" t="s">
        <v>1090</v>
      </c>
      <c r="G1200" s="126"/>
      <c r="H1200" s="126" t="s">
        <v>7</v>
      </c>
      <c r="I1200" s="126">
        <v>6034</v>
      </c>
      <c r="J1200" s="126" t="s">
        <v>800</v>
      </c>
      <c r="K1200" s="126" t="s">
        <v>800</v>
      </c>
      <c r="L1200" s="126" t="s">
        <v>800</v>
      </c>
      <c r="M1200" s="126" t="s">
        <v>57</v>
      </c>
      <c r="N1200" s="126" t="s">
        <v>58</v>
      </c>
      <c r="O1200" s="127">
        <v>30838</v>
      </c>
      <c r="P1200" s="126"/>
      <c r="Q1200" s="126"/>
      <c r="R1200" s="126">
        <v>0</v>
      </c>
      <c r="S1200" s="126" t="s">
        <v>48</v>
      </c>
    </row>
    <row r="1201" spans="1:19" ht="29.25" x14ac:dyDescent="0.25">
      <c r="A1201" s="126">
        <v>35319</v>
      </c>
      <c r="B1201" s="126" t="s">
        <v>106</v>
      </c>
      <c r="C1201" s="126" t="s">
        <v>49</v>
      </c>
      <c r="D1201" s="126" t="s">
        <v>40</v>
      </c>
      <c r="E1201" s="126"/>
      <c r="F1201" s="126" t="s">
        <v>1475</v>
      </c>
      <c r="G1201" s="126"/>
      <c r="H1201" s="126" t="s">
        <v>7</v>
      </c>
      <c r="I1201" s="126">
        <v>6037</v>
      </c>
      <c r="J1201" s="126" t="s">
        <v>800</v>
      </c>
      <c r="K1201" s="126" t="s">
        <v>800</v>
      </c>
      <c r="L1201" s="126" t="s">
        <v>800</v>
      </c>
      <c r="M1201" s="126" t="s">
        <v>57</v>
      </c>
      <c r="N1201" s="126" t="s">
        <v>58</v>
      </c>
      <c r="O1201" s="127">
        <v>31761</v>
      </c>
      <c r="P1201" s="126"/>
      <c r="Q1201" s="126"/>
      <c r="R1201" s="126">
        <v>55.55</v>
      </c>
      <c r="S1201" s="126" t="s">
        <v>48</v>
      </c>
    </row>
    <row r="1202" spans="1:19" ht="29.25" x14ac:dyDescent="0.25">
      <c r="A1202" s="126">
        <v>35328</v>
      </c>
      <c r="B1202" s="126" t="s">
        <v>106</v>
      </c>
      <c r="C1202" s="126" t="s">
        <v>49</v>
      </c>
      <c r="D1202" s="126" t="s">
        <v>40</v>
      </c>
      <c r="E1202" s="126"/>
      <c r="F1202" s="126" t="s">
        <v>1264</v>
      </c>
      <c r="G1202" s="126"/>
      <c r="H1202" s="126" t="s">
        <v>7</v>
      </c>
      <c r="I1202" s="126">
        <v>6042</v>
      </c>
      <c r="J1202" s="126" t="s">
        <v>800</v>
      </c>
      <c r="K1202" s="126" t="s">
        <v>800</v>
      </c>
      <c r="L1202" s="126" t="s">
        <v>800</v>
      </c>
      <c r="M1202" s="126" t="s">
        <v>57</v>
      </c>
      <c r="N1202" s="126" t="s">
        <v>58</v>
      </c>
      <c r="O1202" s="127">
        <v>31337</v>
      </c>
      <c r="P1202" s="126"/>
      <c r="Q1202" s="126"/>
      <c r="R1202" s="126">
        <v>6.02</v>
      </c>
      <c r="S1202" s="126" t="s">
        <v>48</v>
      </c>
    </row>
    <row r="1203" spans="1:19" ht="29.25" x14ac:dyDescent="0.25">
      <c r="A1203" s="126">
        <v>35327</v>
      </c>
      <c r="B1203" s="126" t="s">
        <v>106</v>
      </c>
      <c r="C1203" s="126" t="s">
        <v>49</v>
      </c>
      <c r="D1203" s="126" t="s">
        <v>40</v>
      </c>
      <c r="E1203" s="126"/>
      <c r="F1203" s="126" t="s">
        <v>1127</v>
      </c>
      <c r="G1203" s="126"/>
      <c r="H1203" s="126" t="s">
        <v>7</v>
      </c>
      <c r="I1203" s="126">
        <v>6041</v>
      </c>
      <c r="J1203" s="126" t="s">
        <v>800</v>
      </c>
      <c r="K1203" s="126" t="s">
        <v>800</v>
      </c>
      <c r="L1203" s="126" t="s">
        <v>800</v>
      </c>
      <c r="M1203" s="126" t="s">
        <v>57</v>
      </c>
      <c r="N1203" s="126" t="s">
        <v>58</v>
      </c>
      <c r="O1203" s="127">
        <v>31017</v>
      </c>
      <c r="P1203" s="126"/>
      <c r="Q1203" s="126"/>
      <c r="R1203" s="126">
        <v>5.96</v>
      </c>
      <c r="S1203" s="126" t="s">
        <v>48</v>
      </c>
    </row>
    <row r="1204" spans="1:19" ht="29.25" x14ac:dyDescent="0.25">
      <c r="A1204" s="126">
        <v>35326</v>
      </c>
      <c r="B1204" s="126" t="s">
        <v>106</v>
      </c>
      <c r="C1204" s="126" t="s">
        <v>49</v>
      </c>
      <c r="D1204" s="126" t="s">
        <v>40</v>
      </c>
      <c r="E1204" s="126"/>
      <c r="F1204" s="126" t="s">
        <v>1106</v>
      </c>
      <c r="G1204" s="126"/>
      <c r="H1204" s="126" t="s">
        <v>7</v>
      </c>
      <c r="I1204" s="126">
        <v>6040</v>
      </c>
      <c r="J1204" s="126" t="s">
        <v>800</v>
      </c>
      <c r="K1204" s="126" t="s">
        <v>800</v>
      </c>
      <c r="L1204" s="126" t="s">
        <v>800</v>
      </c>
      <c r="M1204" s="126" t="s">
        <v>57</v>
      </c>
      <c r="N1204" s="126" t="s">
        <v>58</v>
      </c>
      <c r="O1204" s="127">
        <v>30926</v>
      </c>
      <c r="P1204" s="126"/>
      <c r="Q1204" s="126"/>
      <c r="R1204" s="126">
        <v>6.9</v>
      </c>
      <c r="S1204" s="126" t="s">
        <v>48</v>
      </c>
    </row>
    <row r="1205" spans="1:19" ht="29.25" x14ac:dyDescent="0.25">
      <c r="A1205" s="126">
        <v>35325</v>
      </c>
      <c r="B1205" s="126" t="s">
        <v>106</v>
      </c>
      <c r="C1205" s="126" t="s">
        <v>49</v>
      </c>
      <c r="D1205" s="126" t="s">
        <v>40</v>
      </c>
      <c r="E1205" s="126"/>
      <c r="F1205" s="126" t="s">
        <v>1068</v>
      </c>
      <c r="G1205" s="126"/>
      <c r="H1205" s="126" t="s">
        <v>7</v>
      </c>
      <c r="I1205" s="126">
        <v>6039</v>
      </c>
      <c r="J1205" s="126" t="s">
        <v>800</v>
      </c>
      <c r="K1205" s="126" t="s">
        <v>800</v>
      </c>
      <c r="L1205" s="126" t="s">
        <v>800</v>
      </c>
      <c r="M1205" s="126" t="s">
        <v>57</v>
      </c>
      <c r="N1205" s="126" t="s">
        <v>58</v>
      </c>
      <c r="O1205" s="127">
        <v>30713</v>
      </c>
      <c r="P1205" s="126"/>
      <c r="Q1205" s="126"/>
      <c r="R1205" s="126">
        <v>6.23</v>
      </c>
      <c r="S1205" s="126" t="s">
        <v>48</v>
      </c>
    </row>
    <row r="1206" spans="1:19" ht="29.25" x14ac:dyDescent="0.25">
      <c r="A1206" s="126">
        <v>35324</v>
      </c>
      <c r="B1206" s="126" t="s">
        <v>106</v>
      </c>
      <c r="C1206" s="126" t="s">
        <v>49</v>
      </c>
      <c r="D1206" s="126" t="s">
        <v>40</v>
      </c>
      <c r="E1206" s="126"/>
      <c r="F1206" s="126" t="s">
        <v>1376</v>
      </c>
      <c r="G1206" s="126"/>
      <c r="H1206" s="126" t="s">
        <v>7</v>
      </c>
      <c r="I1206" s="126">
        <v>6111</v>
      </c>
      <c r="J1206" s="126" t="s">
        <v>800</v>
      </c>
      <c r="K1206" s="126" t="s">
        <v>800</v>
      </c>
      <c r="L1206" s="126" t="s">
        <v>800</v>
      </c>
      <c r="M1206" s="126" t="s">
        <v>57</v>
      </c>
      <c r="N1206" s="126" t="s">
        <v>58</v>
      </c>
      <c r="O1206" s="127">
        <v>31436</v>
      </c>
      <c r="P1206" s="126"/>
      <c r="Q1206" s="126"/>
      <c r="R1206" s="126">
        <v>6.32</v>
      </c>
      <c r="S1206" s="126" t="s">
        <v>48</v>
      </c>
    </row>
    <row r="1207" spans="1:19" x14ac:dyDescent="0.25">
      <c r="A1207" s="126">
        <v>35323</v>
      </c>
      <c r="B1207" s="126" t="s">
        <v>106</v>
      </c>
      <c r="C1207" s="126" t="s">
        <v>49</v>
      </c>
      <c r="D1207" s="126" t="s">
        <v>40</v>
      </c>
      <c r="E1207" s="126"/>
      <c r="F1207" s="126" t="s">
        <v>996</v>
      </c>
      <c r="G1207" s="126"/>
      <c r="H1207" s="126" t="s">
        <v>7</v>
      </c>
      <c r="I1207" s="126">
        <v>6019</v>
      </c>
      <c r="J1207" s="126" t="s">
        <v>800</v>
      </c>
      <c r="K1207" s="126" t="s">
        <v>800</v>
      </c>
      <c r="L1207" s="126" t="s">
        <v>800</v>
      </c>
      <c r="M1207" s="126" t="s">
        <v>57</v>
      </c>
      <c r="N1207" s="126" t="s">
        <v>58</v>
      </c>
      <c r="O1207" s="127">
        <v>30651</v>
      </c>
      <c r="P1207" s="126"/>
      <c r="Q1207" s="126"/>
      <c r="R1207" s="126">
        <v>3.5</v>
      </c>
      <c r="S1207" s="126" t="s">
        <v>48</v>
      </c>
    </row>
    <row r="1208" spans="1:19" x14ac:dyDescent="0.25">
      <c r="A1208" s="126">
        <v>35322</v>
      </c>
      <c r="B1208" s="126" t="s">
        <v>106</v>
      </c>
      <c r="C1208" s="126" t="s">
        <v>49</v>
      </c>
      <c r="D1208" s="126" t="s">
        <v>40</v>
      </c>
      <c r="E1208" s="126"/>
      <c r="F1208" s="126" t="s">
        <v>862</v>
      </c>
      <c r="G1208" s="126"/>
      <c r="H1208" s="126" t="s">
        <v>7</v>
      </c>
      <c r="I1208" s="126">
        <v>6012</v>
      </c>
      <c r="J1208" s="126" t="s">
        <v>800</v>
      </c>
      <c r="K1208" s="126" t="s">
        <v>800</v>
      </c>
      <c r="L1208" s="126" t="s">
        <v>800</v>
      </c>
      <c r="M1208" s="126" t="s">
        <v>57</v>
      </c>
      <c r="N1208" s="126" t="s">
        <v>58</v>
      </c>
      <c r="O1208" s="127">
        <v>30313</v>
      </c>
      <c r="P1208" s="126"/>
      <c r="Q1208" s="126"/>
      <c r="R1208" s="126">
        <v>2.4</v>
      </c>
      <c r="S1208" s="126" t="s">
        <v>48</v>
      </c>
    </row>
    <row r="1209" spans="1:19" ht="29.25" x14ac:dyDescent="0.25">
      <c r="A1209" s="126">
        <v>35321</v>
      </c>
      <c r="B1209" s="126" t="s">
        <v>106</v>
      </c>
      <c r="C1209" s="126" t="s">
        <v>49</v>
      </c>
      <c r="D1209" s="126" t="s">
        <v>40</v>
      </c>
      <c r="E1209" s="126"/>
      <c r="F1209" s="126" t="s">
        <v>1246</v>
      </c>
      <c r="G1209" s="126"/>
      <c r="H1209" s="126" t="s">
        <v>7</v>
      </c>
      <c r="I1209" s="126">
        <v>6061</v>
      </c>
      <c r="J1209" s="126" t="s">
        <v>800</v>
      </c>
      <c r="K1209" s="126" t="s">
        <v>800</v>
      </c>
      <c r="L1209" s="126" t="s">
        <v>800</v>
      </c>
      <c r="M1209" s="126" t="s">
        <v>57</v>
      </c>
      <c r="N1209" s="126" t="s">
        <v>58</v>
      </c>
      <c r="O1209" s="127">
        <v>31199</v>
      </c>
      <c r="P1209" s="126"/>
      <c r="Q1209" s="126"/>
      <c r="R1209" s="126">
        <v>2.73</v>
      </c>
      <c r="S1209" s="126" t="s">
        <v>48</v>
      </c>
    </row>
    <row r="1210" spans="1:19" x14ac:dyDescent="0.25">
      <c r="A1210" s="126">
        <v>35320</v>
      </c>
      <c r="B1210" s="126" t="s">
        <v>106</v>
      </c>
      <c r="C1210" s="126" t="s">
        <v>49</v>
      </c>
      <c r="D1210" s="126" t="s">
        <v>40</v>
      </c>
      <c r="E1210" s="126"/>
      <c r="F1210" s="126" t="s">
        <v>1211</v>
      </c>
      <c r="G1210" s="126"/>
      <c r="H1210" s="126" t="s">
        <v>7</v>
      </c>
      <c r="I1210" s="126">
        <v>6054</v>
      </c>
      <c r="J1210" s="126" t="s">
        <v>800</v>
      </c>
      <c r="K1210" s="126" t="s">
        <v>800</v>
      </c>
      <c r="L1210" s="126" t="s">
        <v>800</v>
      </c>
      <c r="M1210" s="126" t="s">
        <v>57</v>
      </c>
      <c r="N1210" s="126" t="s">
        <v>58</v>
      </c>
      <c r="O1210" s="127">
        <v>31072</v>
      </c>
      <c r="P1210" s="126"/>
      <c r="Q1210" s="126"/>
      <c r="R1210" s="126">
        <v>0</v>
      </c>
      <c r="S1210" s="126" t="s">
        <v>48</v>
      </c>
    </row>
    <row r="1211" spans="1:19" ht="43.5" x14ac:dyDescent="0.25">
      <c r="A1211" s="126">
        <v>35318</v>
      </c>
      <c r="B1211" s="126" t="s">
        <v>106</v>
      </c>
      <c r="C1211" s="126" t="s">
        <v>49</v>
      </c>
      <c r="D1211" s="126" t="s">
        <v>40</v>
      </c>
      <c r="E1211" s="126"/>
      <c r="F1211" s="126" t="s">
        <v>987</v>
      </c>
      <c r="G1211" s="126"/>
      <c r="H1211" s="126" t="s">
        <v>7</v>
      </c>
      <c r="I1211" s="126">
        <v>4013</v>
      </c>
      <c r="J1211" s="126" t="s">
        <v>44</v>
      </c>
      <c r="K1211" s="126" t="s">
        <v>44</v>
      </c>
      <c r="L1211" s="126" t="s">
        <v>45</v>
      </c>
      <c r="M1211" s="126" t="s">
        <v>57</v>
      </c>
      <c r="N1211" s="126" t="s">
        <v>58</v>
      </c>
      <c r="O1211" s="127">
        <v>30590</v>
      </c>
      <c r="P1211" s="126"/>
      <c r="Q1211" s="126"/>
      <c r="R1211" s="126">
        <v>0.04</v>
      </c>
      <c r="S1211" s="126" t="s">
        <v>48</v>
      </c>
    </row>
    <row r="1212" spans="1:19" x14ac:dyDescent="0.25">
      <c r="A1212" s="126">
        <v>35315</v>
      </c>
      <c r="B1212" s="126" t="s">
        <v>106</v>
      </c>
      <c r="C1212" s="126" t="s">
        <v>49</v>
      </c>
      <c r="D1212" s="126" t="s">
        <v>40</v>
      </c>
      <c r="E1212" s="126"/>
      <c r="F1212" s="126" t="s">
        <v>1010</v>
      </c>
      <c r="G1212" s="126"/>
      <c r="H1212" s="126" t="s">
        <v>7</v>
      </c>
      <c r="I1212" s="126">
        <v>6024</v>
      </c>
      <c r="J1212" s="126" t="s">
        <v>800</v>
      </c>
      <c r="K1212" s="126" t="s">
        <v>800</v>
      </c>
      <c r="L1212" s="126" t="s">
        <v>800</v>
      </c>
      <c r="M1212" s="126" t="s">
        <v>57</v>
      </c>
      <c r="N1212" s="126" t="s">
        <v>58</v>
      </c>
      <c r="O1212" s="127">
        <v>30681</v>
      </c>
      <c r="P1212" s="126"/>
      <c r="Q1212" s="126"/>
      <c r="R1212" s="126">
        <v>64.959999999999994</v>
      </c>
      <c r="S1212" s="126" t="s">
        <v>48</v>
      </c>
    </row>
    <row r="1213" spans="1:19" x14ac:dyDescent="0.25">
      <c r="A1213" s="126">
        <v>35312</v>
      </c>
      <c r="B1213" s="126" t="s">
        <v>106</v>
      </c>
      <c r="C1213" s="126" t="s">
        <v>49</v>
      </c>
      <c r="D1213" s="126" t="s">
        <v>40</v>
      </c>
      <c r="E1213" s="126"/>
      <c r="F1213" s="126" t="s">
        <v>840</v>
      </c>
      <c r="G1213" s="126"/>
      <c r="H1213" s="126" t="s">
        <v>7</v>
      </c>
      <c r="I1213" s="126">
        <v>6006</v>
      </c>
      <c r="J1213" s="126" t="s">
        <v>800</v>
      </c>
      <c r="K1213" s="126" t="s">
        <v>800</v>
      </c>
      <c r="L1213" s="126" t="s">
        <v>800</v>
      </c>
      <c r="M1213" s="126" t="s">
        <v>57</v>
      </c>
      <c r="N1213" s="126" t="s">
        <v>58</v>
      </c>
      <c r="O1213" s="127">
        <v>30126</v>
      </c>
      <c r="P1213" s="126"/>
      <c r="Q1213" s="126"/>
      <c r="R1213" s="126">
        <v>4</v>
      </c>
      <c r="S1213" s="126" t="s">
        <v>48</v>
      </c>
    </row>
    <row r="1214" spans="1:19" x14ac:dyDescent="0.25">
      <c r="A1214" s="126">
        <v>35306</v>
      </c>
      <c r="B1214" s="126" t="s">
        <v>106</v>
      </c>
      <c r="C1214" s="126" t="s">
        <v>49</v>
      </c>
      <c r="D1214" s="126" t="s">
        <v>40</v>
      </c>
      <c r="E1214" s="126"/>
      <c r="F1214" s="126" t="s">
        <v>1122</v>
      </c>
      <c r="G1214" s="126"/>
      <c r="H1214" s="126" t="s">
        <v>7</v>
      </c>
      <c r="I1214" s="126">
        <v>6057</v>
      </c>
      <c r="J1214" s="126" t="s">
        <v>800</v>
      </c>
      <c r="K1214" s="126" t="s">
        <v>800</v>
      </c>
      <c r="L1214" s="126" t="s">
        <v>800</v>
      </c>
      <c r="M1214" s="126" t="s">
        <v>57</v>
      </c>
      <c r="N1214" s="126" t="s">
        <v>58</v>
      </c>
      <c r="O1214" s="127">
        <v>31003</v>
      </c>
      <c r="P1214" s="126"/>
      <c r="Q1214" s="126"/>
      <c r="R1214" s="126">
        <v>47.02</v>
      </c>
      <c r="S1214" s="126" t="s">
        <v>48</v>
      </c>
    </row>
    <row r="1215" spans="1:19" x14ac:dyDescent="0.25">
      <c r="A1215" s="126">
        <v>35307</v>
      </c>
      <c r="B1215" s="126" t="s">
        <v>106</v>
      </c>
      <c r="C1215" s="126" t="s">
        <v>49</v>
      </c>
      <c r="D1215" s="126" t="s">
        <v>40</v>
      </c>
      <c r="E1215" s="126"/>
      <c r="F1215" s="126" t="s">
        <v>1292</v>
      </c>
      <c r="G1215" s="126"/>
      <c r="H1215" s="126" t="s">
        <v>7</v>
      </c>
      <c r="I1215" s="126">
        <v>6091</v>
      </c>
      <c r="J1215" s="126" t="s">
        <v>800</v>
      </c>
      <c r="K1215" s="126" t="s">
        <v>800</v>
      </c>
      <c r="L1215" s="126" t="s">
        <v>800</v>
      </c>
      <c r="M1215" s="126" t="s">
        <v>57</v>
      </c>
      <c r="N1215" s="126" t="s">
        <v>58</v>
      </c>
      <c r="O1215" s="127">
        <v>31412</v>
      </c>
      <c r="P1215" s="126"/>
      <c r="Q1215" s="126"/>
      <c r="R1215" s="126">
        <v>12.66</v>
      </c>
      <c r="S1215" s="126" t="s">
        <v>48</v>
      </c>
    </row>
    <row r="1216" spans="1:19" x14ac:dyDescent="0.25">
      <c r="A1216" s="126">
        <v>35311</v>
      </c>
      <c r="B1216" s="126" t="s">
        <v>39</v>
      </c>
      <c r="C1216" s="126" t="s">
        <v>49</v>
      </c>
      <c r="D1216" s="126" t="s">
        <v>40</v>
      </c>
      <c r="E1216" s="126" t="s">
        <v>993</v>
      </c>
      <c r="F1216" s="126" t="s">
        <v>994</v>
      </c>
      <c r="G1216" s="126">
        <v>7.5</v>
      </c>
      <c r="H1216" s="126" t="s">
        <v>7</v>
      </c>
      <c r="I1216" s="126" t="s">
        <v>995</v>
      </c>
      <c r="J1216" s="126" t="s">
        <v>800</v>
      </c>
      <c r="K1216" s="126" t="s">
        <v>800</v>
      </c>
      <c r="L1216" s="126" t="s">
        <v>800</v>
      </c>
      <c r="M1216" s="126" t="s">
        <v>57</v>
      </c>
      <c r="N1216" s="126" t="s">
        <v>58</v>
      </c>
      <c r="O1216" s="127">
        <v>30651</v>
      </c>
      <c r="P1216" s="126" t="s">
        <v>997</v>
      </c>
      <c r="Q1216" s="126"/>
      <c r="R1216" s="126">
        <v>7.5</v>
      </c>
      <c r="S1216" s="126" t="s">
        <v>48</v>
      </c>
    </row>
    <row r="1217" spans="1:19" x14ac:dyDescent="0.25">
      <c r="A1217" s="126">
        <v>35308</v>
      </c>
      <c r="B1217" s="126" t="s">
        <v>106</v>
      </c>
      <c r="C1217" s="126" t="s">
        <v>49</v>
      </c>
      <c r="D1217" s="126" t="s">
        <v>40</v>
      </c>
      <c r="E1217" s="126"/>
      <c r="F1217" s="126" t="s">
        <v>1668</v>
      </c>
      <c r="G1217" s="126"/>
      <c r="H1217" s="126" t="s">
        <v>7</v>
      </c>
      <c r="I1217" s="126">
        <v>6092</v>
      </c>
      <c r="J1217" s="126" t="s">
        <v>800</v>
      </c>
      <c r="K1217" s="126" t="s">
        <v>800</v>
      </c>
      <c r="L1217" s="126" t="s">
        <v>800</v>
      </c>
      <c r="M1217" s="126" t="s">
        <v>57</v>
      </c>
      <c r="N1217" s="126" t="s">
        <v>58</v>
      </c>
      <c r="O1217" s="127">
        <v>32143</v>
      </c>
      <c r="P1217" s="126"/>
      <c r="Q1217" s="126"/>
      <c r="R1217" s="126">
        <v>27.98</v>
      </c>
      <c r="S1217" s="126" t="s">
        <v>48</v>
      </c>
    </row>
    <row r="1218" spans="1:19" x14ac:dyDescent="0.25">
      <c r="A1218" s="126">
        <v>36302</v>
      </c>
      <c r="B1218" s="126" t="s">
        <v>106</v>
      </c>
      <c r="C1218" s="126" t="s">
        <v>49</v>
      </c>
      <c r="D1218" s="126" t="s">
        <v>40</v>
      </c>
      <c r="E1218" s="126"/>
      <c r="F1218" s="126" t="s">
        <v>1253</v>
      </c>
      <c r="G1218" s="126"/>
      <c r="H1218" s="126" t="s">
        <v>7</v>
      </c>
      <c r="I1218" s="126">
        <v>4054</v>
      </c>
      <c r="J1218" s="126" t="s">
        <v>44</v>
      </c>
      <c r="K1218" s="126"/>
      <c r="L1218" s="126"/>
      <c r="M1218" s="126" t="s">
        <v>57</v>
      </c>
      <c r="N1218" s="126" t="s">
        <v>58</v>
      </c>
      <c r="O1218" s="127">
        <v>31228</v>
      </c>
      <c r="P1218" s="126"/>
      <c r="Q1218" s="126"/>
      <c r="R1218" s="126">
        <v>0.2</v>
      </c>
      <c r="S1218" s="126" t="s">
        <v>48</v>
      </c>
    </row>
    <row r="1219" spans="1:19" ht="29.25" x14ac:dyDescent="0.25">
      <c r="A1219" s="126">
        <v>44004</v>
      </c>
      <c r="B1219" s="126" t="s">
        <v>106</v>
      </c>
      <c r="C1219" s="126" t="s">
        <v>49</v>
      </c>
      <c r="D1219" s="126" t="s">
        <v>40</v>
      </c>
      <c r="E1219" s="126"/>
      <c r="F1219" s="126" t="s">
        <v>1032</v>
      </c>
      <c r="G1219" s="126"/>
      <c r="H1219" s="126" t="s">
        <v>43</v>
      </c>
      <c r="I1219" s="126" t="s">
        <v>1033</v>
      </c>
      <c r="J1219" s="126" t="s">
        <v>713</v>
      </c>
      <c r="K1219" s="126"/>
      <c r="L1219" s="126" t="s">
        <v>259</v>
      </c>
      <c r="M1219" s="126" t="s">
        <v>46</v>
      </c>
      <c r="N1219" s="126" t="s">
        <v>47</v>
      </c>
      <c r="O1219" s="127">
        <v>30682</v>
      </c>
      <c r="P1219" s="126" t="s">
        <v>1034</v>
      </c>
      <c r="Q1219" s="126"/>
      <c r="R1219" s="126">
        <v>0.33</v>
      </c>
      <c r="S1219" s="126" t="s">
        <v>48</v>
      </c>
    </row>
    <row r="1220" spans="1:19" ht="29.25" x14ac:dyDescent="0.25">
      <c r="A1220" s="126">
        <v>37201</v>
      </c>
      <c r="B1220" s="126" t="s">
        <v>106</v>
      </c>
      <c r="C1220" s="126" t="s">
        <v>49</v>
      </c>
      <c r="D1220" s="126" t="s">
        <v>40</v>
      </c>
      <c r="E1220" s="126"/>
      <c r="F1220" s="126" t="s">
        <v>1402</v>
      </c>
      <c r="G1220" s="126"/>
      <c r="H1220" s="126" t="s">
        <v>43</v>
      </c>
      <c r="I1220" s="126" t="s">
        <v>1403</v>
      </c>
      <c r="J1220" s="126" t="s">
        <v>44</v>
      </c>
      <c r="K1220" s="126" t="s">
        <v>44</v>
      </c>
      <c r="L1220" s="126" t="s">
        <v>45</v>
      </c>
      <c r="M1220" s="126" t="s">
        <v>46</v>
      </c>
      <c r="N1220" s="126" t="s">
        <v>47</v>
      </c>
      <c r="O1220" s="127">
        <v>31513</v>
      </c>
      <c r="P1220" s="126"/>
      <c r="Q1220" s="126"/>
      <c r="R1220" s="126">
        <v>0.56000000000000005</v>
      </c>
      <c r="S1220" s="126" t="s">
        <v>48</v>
      </c>
    </row>
    <row r="1221" spans="1:19" x14ac:dyDescent="0.25">
      <c r="A1221" s="126">
        <v>37202</v>
      </c>
      <c r="B1221" s="126" t="s">
        <v>106</v>
      </c>
      <c r="C1221" s="126" t="s">
        <v>49</v>
      </c>
      <c r="D1221" s="126" t="s">
        <v>40</v>
      </c>
      <c r="E1221" s="126"/>
      <c r="F1221" s="126" t="s">
        <v>1400</v>
      </c>
      <c r="G1221" s="126"/>
      <c r="H1221" s="126" t="s">
        <v>43</v>
      </c>
      <c r="I1221" s="126" t="s">
        <v>1401</v>
      </c>
      <c r="J1221" s="126" t="s">
        <v>44</v>
      </c>
      <c r="K1221" s="126" t="s">
        <v>44</v>
      </c>
      <c r="L1221" s="126" t="s">
        <v>45</v>
      </c>
      <c r="M1221" s="126" t="s">
        <v>46</v>
      </c>
      <c r="N1221" s="126" t="s">
        <v>47</v>
      </c>
      <c r="O1221" s="127">
        <v>31503</v>
      </c>
      <c r="P1221" s="126"/>
      <c r="Q1221" s="126"/>
      <c r="R1221" s="126">
        <v>0.93</v>
      </c>
      <c r="S1221" s="126" t="s">
        <v>48</v>
      </c>
    </row>
    <row r="1222" spans="1:19" x14ac:dyDescent="0.25">
      <c r="A1222" s="126">
        <v>37203</v>
      </c>
      <c r="B1222" s="126" t="s">
        <v>106</v>
      </c>
      <c r="C1222" s="126" t="s">
        <v>49</v>
      </c>
      <c r="D1222" s="126" t="s">
        <v>40</v>
      </c>
      <c r="E1222" s="126"/>
      <c r="F1222" s="126" t="s">
        <v>1420</v>
      </c>
      <c r="G1222" s="126"/>
      <c r="H1222" s="126" t="s">
        <v>43</v>
      </c>
      <c r="I1222" s="126" t="s">
        <v>1421</v>
      </c>
      <c r="J1222" s="126" t="s">
        <v>44</v>
      </c>
      <c r="K1222" s="126" t="s">
        <v>44</v>
      </c>
      <c r="L1222" s="126" t="s">
        <v>45</v>
      </c>
      <c r="M1222" s="126" t="s">
        <v>46</v>
      </c>
      <c r="N1222" s="126" t="s">
        <v>47</v>
      </c>
      <c r="O1222" s="127">
        <v>31518</v>
      </c>
      <c r="P1222" s="126"/>
      <c r="Q1222" s="126"/>
      <c r="R1222" s="126">
        <v>0.42</v>
      </c>
      <c r="S1222" s="126" t="s">
        <v>48</v>
      </c>
    </row>
    <row r="1223" spans="1:19" ht="29.25" x14ac:dyDescent="0.25">
      <c r="A1223" s="126">
        <v>38001</v>
      </c>
      <c r="B1223" s="126" t="s">
        <v>106</v>
      </c>
      <c r="C1223" s="126" t="s">
        <v>49</v>
      </c>
      <c r="D1223" s="126" t="s">
        <v>40</v>
      </c>
      <c r="E1223" s="126" t="s">
        <v>1848</v>
      </c>
      <c r="F1223" s="126" t="s">
        <v>1849</v>
      </c>
      <c r="G1223" s="126"/>
      <c r="H1223" s="126" t="s">
        <v>43</v>
      </c>
      <c r="I1223" s="126" t="s">
        <v>1846</v>
      </c>
      <c r="J1223" s="126" t="s">
        <v>713</v>
      </c>
      <c r="K1223" s="126" t="s">
        <v>599</v>
      </c>
      <c r="L1223" s="126" t="s">
        <v>259</v>
      </c>
      <c r="M1223" s="126" t="s">
        <v>46</v>
      </c>
      <c r="N1223" s="126" t="s">
        <v>47</v>
      </c>
      <c r="O1223" s="127">
        <v>32581</v>
      </c>
      <c r="P1223" s="126"/>
      <c r="Q1223" s="126"/>
      <c r="R1223" s="126">
        <v>90.9</v>
      </c>
      <c r="S1223" s="126" t="s">
        <v>48</v>
      </c>
    </row>
    <row r="1224" spans="1:19" ht="29.25" x14ac:dyDescent="0.25">
      <c r="A1224" s="126">
        <v>38002</v>
      </c>
      <c r="B1224" s="126" t="s">
        <v>106</v>
      </c>
      <c r="C1224" s="126" t="s">
        <v>49</v>
      </c>
      <c r="D1224" s="126" t="s">
        <v>40</v>
      </c>
      <c r="E1224" s="126" t="s">
        <v>1850</v>
      </c>
      <c r="F1224" s="126" t="s">
        <v>1851</v>
      </c>
      <c r="G1224" s="126"/>
      <c r="H1224" s="126" t="s">
        <v>43</v>
      </c>
      <c r="I1224" s="126" t="s">
        <v>1846</v>
      </c>
      <c r="J1224" s="126" t="s">
        <v>713</v>
      </c>
      <c r="K1224" s="126" t="s">
        <v>385</v>
      </c>
      <c r="L1224" s="126" t="s">
        <v>731</v>
      </c>
      <c r="M1224" s="126" t="s">
        <v>46</v>
      </c>
      <c r="N1224" s="126" t="s">
        <v>47</v>
      </c>
      <c r="O1224" s="127">
        <v>32581</v>
      </c>
      <c r="P1224" s="126"/>
      <c r="Q1224" s="126"/>
      <c r="R1224" s="126">
        <v>42.4</v>
      </c>
      <c r="S1224" s="126" t="s">
        <v>48</v>
      </c>
    </row>
    <row r="1225" spans="1:19" x14ac:dyDescent="0.25">
      <c r="A1225" s="126">
        <v>38901</v>
      </c>
      <c r="B1225" s="126" t="s">
        <v>106</v>
      </c>
      <c r="C1225" s="126" t="s">
        <v>49</v>
      </c>
      <c r="D1225" s="126" t="s">
        <v>40</v>
      </c>
      <c r="E1225" s="126"/>
      <c r="F1225" s="126" t="s">
        <v>1743</v>
      </c>
      <c r="G1225" s="126"/>
      <c r="H1225" s="126" t="s">
        <v>7</v>
      </c>
      <c r="I1225" s="126">
        <v>2314</v>
      </c>
      <c r="J1225" s="126" t="s">
        <v>713</v>
      </c>
      <c r="K1225" s="126"/>
      <c r="L1225" s="126"/>
      <c r="M1225" s="126" t="s">
        <v>57</v>
      </c>
      <c r="N1225" s="126" t="s">
        <v>58</v>
      </c>
      <c r="O1225" s="127">
        <v>32335</v>
      </c>
      <c r="P1225" s="126"/>
      <c r="Q1225" s="126"/>
      <c r="R1225" s="126">
        <v>0.06</v>
      </c>
      <c r="S1225" s="126" t="s">
        <v>48</v>
      </c>
    </row>
    <row r="1226" spans="1:19" x14ac:dyDescent="0.25">
      <c r="A1226" s="126">
        <v>38904</v>
      </c>
      <c r="B1226" s="126" t="s">
        <v>106</v>
      </c>
      <c r="C1226" s="126" t="s">
        <v>49</v>
      </c>
      <c r="D1226" s="126" t="s">
        <v>40</v>
      </c>
      <c r="E1226" s="126"/>
      <c r="F1226" s="126" t="s">
        <v>1660</v>
      </c>
      <c r="G1226" s="126"/>
      <c r="H1226" s="126" t="s">
        <v>7</v>
      </c>
      <c r="I1226" s="126">
        <v>2349</v>
      </c>
      <c r="J1226" s="126" t="s">
        <v>713</v>
      </c>
      <c r="K1226" s="126"/>
      <c r="L1226" s="126"/>
      <c r="M1226" s="126" t="s">
        <v>57</v>
      </c>
      <c r="N1226" s="126" t="s">
        <v>58</v>
      </c>
      <c r="O1226" s="127">
        <v>32140</v>
      </c>
      <c r="P1226" s="126"/>
      <c r="Q1226" s="126"/>
      <c r="R1226" s="126">
        <v>0.1</v>
      </c>
      <c r="S1226" s="126" t="s">
        <v>48</v>
      </c>
    </row>
    <row r="1227" spans="1:19" ht="29.25" x14ac:dyDescent="0.25">
      <c r="A1227" s="126">
        <v>38905</v>
      </c>
      <c r="B1227" s="126" t="s">
        <v>106</v>
      </c>
      <c r="C1227" s="126" t="s">
        <v>49</v>
      </c>
      <c r="D1227" s="126" t="s">
        <v>40</v>
      </c>
      <c r="E1227" s="126"/>
      <c r="F1227" s="126" t="s">
        <v>1627</v>
      </c>
      <c r="G1227" s="126"/>
      <c r="H1227" s="126" t="s">
        <v>7</v>
      </c>
      <c r="I1227" s="126">
        <v>2064</v>
      </c>
      <c r="J1227" s="126" t="s">
        <v>713</v>
      </c>
      <c r="K1227" s="126"/>
      <c r="L1227" s="126"/>
      <c r="M1227" s="126" t="s">
        <v>57</v>
      </c>
      <c r="N1227" s="126" t="s">
        <v>58</v>
      </c>
      <c r="O1227" s="127">
        <v>32030</v>
      </c>
      <c r="P1227" s="126"/>
      <c r="Q1227" s="126"/>
      <c r="R1227" s="126">
        <v>27.8</v>
      </c>
      <c r="S1227" s="126" t="s">
        <v>48</v>
      </c>
    </row>
    <row r="1228" spans="1:19" x14ac:dyDescent="0.25">
      <c r="A1228" s="126">
        <v>40001</v>
      </c>
      <c r="B1228" s="126" t="s">
        <v>106</v>
      </c>
      <c r="C1228" s="126" t="s">
        <v>49</v>
      </c>
      <c r="D1228" s="126" t="s">
        <v>40</v>
      </c>
      <c r="E1228" s="126" t="s">
        <v>711</v>
      </c>
      <c r="F1228" s="126" t="s">
        <v>712</v>
      </c>
      <c r="G1228" s="126">
        <v>85.31</v>
      </c>
      <c r="H1228" s="126" t="s">
        <v>7</v>
      </c>
      <c r="I1228" s="126"/>
      <c r="J1228" s="126" t="s">
        <v>713</v>
      </c>
      <c r="K1228" s="126" t="s">
        <v>599</v>
      </c>
      <c r="L1228" s="126" t="s">
        <v>259</v>
      </c>
      <c r="M1228" s="126" t="s">
        <v>57</v>
      </c>
      <c r="N1228" s="126" t="s">
        <v>58</v>
      </c>
      <c r="O1228" s="127">
        <v>27760</v>
      </c>
      <c r="P1228" s="126"/>
      <c r="Q1228" s="126"/>
      <c r="R1228" s="126">
        <v>49</v>
      </c>
      <c r="S1228" s="126" t="s">
        <v>48</v>
      </c>
    </row>
    <row r="1229" spans="1:19" x14ac:dyDescent="0.25">
      <c r="A1229" s="126">
        <v>40002</v>
      </c>
      <c r="B1229" s="126" t="s">
        <v>106</v>
      </c>
      <c r="C1229" s="126" t="s">
        <v>49</v>
      </c>
      <c r="D1229" s="126" t="s">
        <v>40</v>
      </c>
      <c r="E1229" s="126" t="s">
        <v>1514</v>
      </c>
      <c r="F1229" s="126" t="s">
        <v>1515</v>
      </c>
      <c r="G1229" s="126">
        <v>38</v>
      </c>
      <c r="H1229" s="126" t="s">
        <v>7</v>
      </c>
      <c r="I1229" s="126"/>
      <c r="J1229" s="126" t="s">
        <v>713</v>
      </c>
      <c r="K1229" s="126" t="s">
        <v>385</v>
      </c>
      <c r="L1229" s="126" t="s">
        <v>731</v>
      </c>
      <c r="M1229" s="126" t="s">
        <v>57</v>
      </c>
      <c r="N1229" s="126" t="s">
        <v>58</v>
      </c>
      <c r="O1229" s="127">
        <v>31778</v>
      </c>
      <c r="P1229" s="126"/>
      <c r="Q1229" s="126"/>
      <c r="R1229" s="126">
        <v>38</v>
      </c>
      <c r="S1229" s="126" t="s">
        <v>48</v>
      </c>
    </row>
    <row r="1230" spans="1:19" ht="29.25" x14ac:dyDescent="0.25">
      <c r="A1230" s="126">
        <v>40701</v>
      </c>
      <c r="B1230" s="126" t="s">
        <v>106</v>
      </c>
      <c r="C1230" s="126" t="s">
        <v>49</v>
      </c>
      <c r="D1230" s="126" t="s">
        <v>40</v>
      </c>
      <c r="E1230" s="126"/>
      <c r="F1230" s="126" t="s">
        <v>2163</v>
      </c>
      <c r="G1230" s="126"/>
      <c r="H1230" s="126" t="s">
        <v>7</v>
      </c>
      <c r="I1230" s="126">
        <v>1099</v>
      </c>
      <c r="J1230" s="126" t="s">
        <v>807</v>
      </c>
      <c r="K1230" s="126"/>
      <c r="L1230" s="126"/>
      <c r="M1230" s="126" t="s">
        <v>57</v>
      </c>
      <c r="N1230" s="126" t="s">
        <v>58</v>
      </c>
      <c r="O1230" s="127">
        <v>33966</v>
      </c>
      <c r="P1230" s="126"/>
      <c r="Q1230" s="126"/>
      <c r="R1230" s="126">
        <v>0.57999999999999996</v>
      </c>
      <c r="S1230" s="126" t="s">
        <v>48</v>
      </c>
    </row>
    <row r="1231" spans="1:19" ht="29.25" x14ac:dyDescent="0.25">
      <c r="A1231" s="126">
        <v>40703</v>
      </c>
      <c r="B1231" s="126" t="s">
        <v>106</v>
      </c>
      <c r="C1231" s="126" t="s">
        <v>49</v>
      </c>
      <c r="D1231" s="126" t="s">
        <v>40</v>
      </c>
      <c r="E1231" s="126"/>
      <c r="F1231" s="126" t="s">
        <v>2012</v>
      </c>
      <c r="G1231" s="126"/>
      <c r="H1231" s="126" t="s">
        <v>7</v>
      </c>
      <c r="I1231" s="126">
        <v>1077</v>
      </c>
      <c r="J1231" s="126" t="s">
        <v>807</v>
      </c>
      <c r="K1231" s="126"/>
      <c r="L1231" s="126"/>
      <c r="M1231" s="126" t="s">
        <v>57</v>
      </c>
      <c r="N1231" s="126" t="s">
        <v>58</v>
      </c>
      <c r="O1231" s="127">
        <v>32925</v>
      </c>
      <c r="P1231" s="126"/>
      <c r="Q1231" s="126"/>
      <c r="R1231" s="126">
        <v>8</v>
      </c>
      <c r="S1231" s="126" t="s">
        <v>48</v>
      </c>
    </row>
    <row r="1232" spans="1:19" ht="29.25" x14ac:dyDescent="0.25">
      <c r="A1232" s="126">
        <v>40707</v>
      </c>
      <c r="B1232" s="126" t="s">
        <v>106</v>
      </c>
      <c r="C1232" s="126" t="s">
        <v>49</v>
      </c>
      <c r="D1232" s="126" t="s">
        <v>40</v>
      </c>
      <c r="E1232" s="126"/>
      <c r="F1232" s="126" t="s">
        <v>1116</v>
      </c>
      <c r="G1232" s="126"/>
      <c r="H1232" s="126" t="s">
        <v>7</v>
      </c>
      <c r="I1232" s="126">
        <v>4016</v>
      </c>
      <c r="J1232" s="126" t="s">
        <v>44</v>
      </c>
      <c r="K1232" s="126" t="s">
        <v>44</v>
      </c>
      <c r="L1232" s="126" t="s">
        <v>45</v>
      </c>
      <c r="M1232" s="126" t="s">
        <v>57</v>
      </c>
      <c r="N1232" s="126" t="s">
        <v>58</v>
      </c>
      <c r="O1232" s="127">
        <v>30972</v>
      </c>
      <c r="P1232" s="126"/>
      <c r="Q1232" s="126"/>
      <c r="R1232" s="126">
        <v>0.13</v>
      </c>
      <c r="S1232" s="126" t="s">
        <v>48</v>
      </c>
    </row>
    <row r="1233" spans="1:19" x14ac:dyDescent="0.25">
      <c r="A1233" s="126">
        <v>41101</v>
      </c>
      <c r="B1233" s="126" t="s">
        <v>106</v>
      </c>
      <c r="C1233" s="126" t="s">
        <v>49</v>
      </c>
      <c r="D1233" s="126" t="s">
        <v>40</v>
      </c>
      <c r="E1233" s="126"/>
      <c r="F1233" s="126" t="s">
        <v>3259</v>
      </c>
      <c r="G1233" s="126"/>
      <c r="H1233" s="126" t="s">
        <v>43</v>
      </c>
      <c r="I1233" s="126" t="s">
        <v>3260</v>
      </c>
      <c r="J1233" s="126" t="s">
        <v>1055</v>
      </c>
      <c r="K1233" s="126" t="s">
        <v>2179</v>
      </c>
      <c r="L1233" s="126" t="s">
        <v>1056</v>
      </c>
      <c r="M1233" s="126" t="s">
        <v>46</v>
      </c>
      <c r="N1233" s="126" t="s">
        <v>47</v>
      </c>
      <c r="O1233" s="126"/>
      <c r="P1233" s="126"/>
      <c r="Q1233" s="126"/>
      <c r="R1233" s="126">
        <v>0</v>
      </c>
      <c r="S1233" s="126" t="s">
        <v>48</v>
      </c>
    </row>
    <row r="1234" spans="1:19" x14ac:dyDescent="0.25">
      <c r="A1234" s="126">
        <v>41102</v>
      </c>
      <c r="B1234" s="126" t="s">
        <v>106</v>
      </c>
      <c r="C1234" s="126" t="s">
        <v>49</v>
      </c>
      <c r="D1234" s="126" t="s">
        <v>40</v>
      </c>
      <c r="E1234" s="126"/>
      <c r="F1234" s="126" t="s">
        <v>1447</v>
      </c>
      <c r="G1234" s="126"/>
      <c r="H1234" s="126" t="s">
        <v>43</v>
      </c>
      <c r="I1234" s="126" t="s">
        <v>1448</v>
      </c>
      <c r="J1234" s="126" t="s">
        <v>713</v>
      </c>
      <c r="K1234" s="126"/>
      <c r="L1234" s="126" t="s">
        <v>259</v>
      </c>
      <c r="M1234" s="126" t="s">
        <v>46</v>
      </c>
      <c r="N1234" s="126" t="s">
        <v>47</v>
      </c>
      <c r="O1234" s="127">
        <v>31610</v>
      </c>
      <c r="P1234" s="126"/>
      <c r="Q1234" s="126"/>
      <c r="R1234" s="126">
        <v>0.06</v>
      </c>
      <c r="S1234" s="126" t="s">
        <v>48</v>
      </c>
    </row>
    <row r="1235" spans="1:19" x14ac:dyDescent="0.25">
      <c r="A1235" s="126">
        <v>41103</v>
      </c>
      <c r="B1235" s="126" t="s">
        <v>106</v>
      </c>
      <c r="C1235" s="126" t="s">
        <v>49</v>
      </c>
      <c r="D1235" s="126" t="s">
        <v>40</v>
      </c>
      <c r="E1235" s="126"/>
      <c r="F1235" s="126" t="s">
        <v>2105</v>
      </c>
      <c r="G1235" s="126"/>
      <c r="H1235" s="126" t="s">
        <v>43</v>
      </c>
      <c r="I1235" s="126" t="s">
        <v>2106</v>
      </c>
      <c r="J1235" s="126" t="s">
        <v>713</v>
      </c>
      <c r="K1235" s="126"/>
      <c r="L1235" s="126" t="s">
        <v>259</v>
      </c>
      <c r="M1235" s="126" t="s">
        <v>46</v>
      </c>
      <c r="N1235" s="126" t="s">
        <v>47</v>
      </c>
      <c r="O1235" s="127">
        <v>33275</v>
      </c>
      <c r="P1235" s="126"/>
      <c r="Q1235" s="126"/>
      <c r="R1235" s="126">
        <v>0.06</v>
      </c>
      <c r="S1235" s="126" t="s">
        <v>48</v>
      </c>
    </row>
    <row r="1236" spans="1:19" x14ac:dyDescent="0.25">
      <c r="A1236" s="126">
        <v>41104</v>
      </c>
      <c r="B1236" s="126" t="s">
        <v>106</v>
      </c>
      <c r="C1236" s="126" t="s">
        <v>49</v>
      </c>
      <c r="D1236" s="126" t="s">
        <v>40</v>
      </c>
      <c r="E1236" s="126"/>
      <c r="F1236" s="126" t="s">
        <v>1365</v>
      </c>
      <c r="G1236" s="126"/>
      <c r="H1236" s="126" t="s">
        <v>43</v>
      </c>
      <c r="I1236" s="126" t="s">
        <v>1366</v>
      </c>
      <c r="J1236" s="126" t="s">
        <v>713</v>
      </c>
      <c r="K1236" s="126"/>
      <c r="L1236" s="126" t="s">
        <v>259</v>
      </c>
      <c r="M1236" s="126" t="s">
        <v>46</v>
      </c>
      <c r="N1236" s="126" t="s">
        <v>47</v>
      </c>
      <c r="O1236" s="127">
        <v>31420</v>
      </c>
      <c r="P1236" s="126"/>
      <c r="Q1236" s="126"/>
      <c r="R1236" s="126">
        <v>0.12</v>
      </c>
      <c r="S1236" s="126" t="s">
        <v>48</v>
      </c>
    </row>
    <row r="1237" spans="1:19" x14ac:dyDescent="0.25">
      <c r="A1237" s="126">
        <v>42401</v>
      </c>
      <c r="B1237" s="126" t="s">
        <v>106</v>
      </c>
      <c r="C1237" s="126" t="s">
        <v>49</v>
      </c>
      <c r="D1237" s="126" t="s">
        <v>40</v>
      </c>
      <c r="E1237" s="126"/>
      <c r="F1237" s="126" t="s">
        <v>1772</v>
      </c>
      <c r="G1237" s="126"/>
      <c r="H1237" s="126" t="s">
        <v>7</v>
      </c>
      <c r="I1237" s="126">
        <v>4071</v>
      </c>
      <c r="J1237" s="126" t="s">
        <v>44</v>
      </c>
      <c r="K1237" s="126"/>
      <c r="L1237" s="126"/>
      <c r="M1237" s="126" t="s">
        <v>57</v>
      </c>
      <c r="N1237" s="126" t="s">
        <v>58</v>
      </c>
      <c r="O1237" s="127">
        <v>32469</v>
      </c>
      <c r="P1237" s="126"/>
      <c r="Q1237" s="126"/>
      <c r="R1237" s="126">
        <v>0.1</v>
      </c>
      <c r="S1237" s="126" t="s">
        <v>48</v>
      </c>
    </row>
    <row r="1238" spans="1:19" x14ac:dyDescent="0.25">
      <c r="A1238" s="126">
        <v>42402</v>
      </c>
      <c r="B1238" s="126" t="s">
        <v>106</v>
      </c>
      <c r="C1238" s="126" t="s">
        <v>49</v>
      </c>
      <c r="D1238" s="126" t="s">
        <v>40</v>
      </c>
      <c r="E1238" s="126"/>
      <c r="F1238" s="126" t="s">
        <v>981</v>
      </c>
      <c r="G1238" s="126"/>
      <c r="H1238" s="126" t="s">
        <v>7</v>
      </c>
      <c r="I1238" s="126">
        <v>4008</v>
      </c>
      <c r="J1238" s="126" t="s">
        <v>44</v>
      </c>
      <c r="K1238" s="126"/>
      <c r="L1238" s="126"/>
      <c r="M1238" s="126" t="s">
        <v>57</v>
      </c>
      <c r="N1238" s="126" t="s">
        <v>58</v>
      </c>
      <c r="O1238" s="127">
        <v>30511</v>
      </c>
      <c r="P1238" s="126"/>
      <c r="Q1238" s="126"/>
      <c r="R1238" s="126">
        <v>0.95</v>
      </c>
      <c r="S1238" s="126" t="s">
        <v>48</v>
      </c>
    </row>
    <row r="1239" spans="1:19" ht="29.25" x14ac:dyDescent="0.25">
      <c r="A1239" s="126">
        <v>42403</v>
      </c>
      <c r="B1239" s="126" t="s">
        <v>106</v>
      </c>
      <c r="C1239" s="126" t="s">
        <v>49</v>
      </c>
      <c r="D1239" s="126" t="s">
        <v>40</v>
      </c>
      <c r="E1239" s="126"/>
      <c r="F1239" s="126" t="s">
        <v>977</v>
      </c>
      <c r="G1239" s="126"/>
      <c r="H1239" s="126" t="s">
        <v>7</v>
      </c>
      <c r="I1239" s="126">
        <v>4006</v>
      </c>
      <c r="J1239" s="126" t="s">
        <v>44</v>
      </c>
      <c r="K1239" s="126"/>
      <c r="L1239" s="126"/>
      <c r="M1239" s="126" t="s">
        <v>57</v>
      </c>
      <c r="N1239" s="126" t="s">
        <v>58</v>
      </c>
      <c r="O1239" s="127">
        <v>30498</v>
      </c>
      <c r="P1239" s="126"/>
      <c r="Q1239" s="126"/>
      <c r="R1239" s="126">
        <v>0.28999999999999998</v>
      </c>
      <c r="S1239" s="126" t="s">
        <v>48</v>
      </c>
    </row>
    <row r="1240" spans="1:19" ht="29.25" x14ac:dyDescent="0.25">
      <c r="A1240" s="126">
        <v>42404</v>
      </c>
      <c r="B1240" s="126" t="s">
        <v>106</v>
      </c>
      <c r="C1240" s="126" t="s">
        <v>49</v>
      </c>
      <c r="D1240" s="126" t="s">
        <v>40</v>
      </c>
      <c r="E1240" s="126"/>
      <c r="F1240" s="126" t="s">
        <v>835</v>
      </c>
      <c r="G1240" s="126"/>
      <c r="H1240" s="126" t="s">
        <v>7</v>
      </c>
      <c r="I1240" s="126">
        <v>4004</v>
      </c>
      <c r="J1240" s="126" t="s">
        <v>44</v>
      </c>
      <c r="K1240" s="126"/>
      <c r="L1240" s="126"/>
      <c r="M1240" s="126" t="s">
        <v>57</v>
      </c>
      <c r="N1240" s="126" t="s">
        <v>58</v>
      </c>
      <c r="O1240" s="127">
        <v>30072</v>
      </c>
      <c r="P1240" s="126"/>
      <c r="Q1240" s="126"/>
      <c r="R1240" s="126">
        <v>0.35</v>
      </c>
      <c r="S1240" s="126" t="s">
        <v>48</v>
      </c>
    </row>
    <row r="1241" spans="1:19" x14ac:dyDescent="0.25">
      <c r="A1241" s="126">
        <v>42405</v>
      </c>
      <c r="B1241" s="126" t="s">
        <v>106</v>
      </c>
      <c r="C1241" s="126" t="s">
        <v>49</v>
      </c>
      <c r="D1241" s="126" t="s">
        <v>40</v>
      </c>
      <c r="E1241" s="126"/>
      <c r="F1241" s="126" t="s">
        <v>1123</v>
      </c>
      <c r="G1241" s="126"/>
      <c r="H1241" s="126" t="s">
        <v>7</v>
      </c>
      <c r="I1241" s="126">
        <v>3003</v>
      </c>
      <c r="J1241" s="126" t="s">
        <v>663</v>
      </c>
      <c r="K1241" s="126"/>
      <c r="L1241" s="126"/>
      <c r="M1241" s="126" t="s">
        <v>57</v>
      </c>
      <c r="N1241" s="126" t="s">
        <v>58</v>
      </c>
      <c r="O1241" s="127">
        <v>31012</v>
      </c>
      <c r="P1241" s="126" t="s">
        <v>1124</v>
      </c>
      <c r="Q1241" s="126"/>
      <c r="R1241" s="126">
        <v>5.19</v>
      </c>
      <c r="S1241" s="126" t="s">
        <v>48</v>
      </c>
    </row>
    <row r="1242" spans="1:19" x14ac:dyDescent="0.25">
      <c r="A1242" s="126">
        <v>42406</v>
      </c>
      <c r="B1242" s="126" t="s">
        <v>106</v>
      </c>
      <c r="C1242" s="126" t="s">
        <v>49</v>
      </c>
      <c r="D1242" s="126" t="s">
        <v>40</v>
      </c>
      <c r="E1242" s="126"/>
      <c r="F1242" s="126" t="s">
        <v>2080</v>
      </c>
      <c r="G1242" s="126"/>
      <c r="H1242" s="126" t="s">
        <v>7</v>
      </c>
      <c r="I1242" s="126">
        <v>3027</v>
      </c>
      <c r="J1242" s="126" t="s">
        <v>663</v>
      </c>
      <c r="K1242" s="126"/>
      <c r="L1242" s="126"/>
      <c r="M1242" s="126" t="s">
        <v>57</v>
      </c>
      <c r="N1242" s="126" t="s">
        <v>58</v>
      </c>
      <c r="O1242" s="127">
        <v>33214</v>
      </c>
      <c r="P1242" s="126" t="s">
        <v>1124</v>
      </c>
      <c r="Q1242" s="126"/>
      <c r="R1242" s="126">
        <v>9.1</v>
      </c>
      <c r="S1242" s="126" t="s">
        <v>48</v>
      </c>
    </row>
    <row r="1243" spans="1:19" x14ac:dyDescent="0.25">
      <c r="A1243" s="126">
        <v>42407</v>
      </c>
      <c r="B1243" s="126" t="s">
        <v>106</v>
      </c>
      <c r="C1243" s="126" t="s">
        <v>49</v>
      </c>
      <c r="D1243" s="126" t="s">
        <v>40</v>
      </c>
      <c r="E1243" s="126"/>
      <c r="F1243" s="126" t="s">
        <v>2089</v>
      </c>
      <c r="G1243" s="126"/>
      <c r="H1243" s="126" t="s">
        <v>7</v>
      </c>
      <c r="I1243" s="126">
        <v>3018</v>
      </c>
      <c r="J1243" s="126" t="s">
        <v>663</v>
      </c>
      <c r="K1243" s="126"/>
      <c r="L1243" s="126"/>
      <c r="M1243" s="126" t="s">
        <v>57</v>
      </c>
      <c r="N1243" s="126" t="s">
        <v>58</v>
      </c>
      <c r="O1243" s="127">
        <v>33229</v>
      </c>
      <c r="P1243" s="126" t="s">
        <v>1124</v>
      </c>
      <c r="Q1243" s="126"/>
      <c r="R1243" s="126">
        <v>10</v>
      </c>
      <c r="S1243" s="126" t="s">
        <v>48</v>
      </c>
    </row>
    <row r="1244" spans="1:19" x14ac:dyDescent="0.25">
      <c r="A1244" s="126">
        <v>42408</v>
      </c>
      <c r="B1244" s="126" t="s">
        <v>106</v>
      </c>
      <c r="C1244" s="126" t="s">
        <v>49</v>
      </c>
      <c r="D1244" s="126" t="s">
        <v>40</v>
      </c>
      <c r="E1244" s="126"/>
      <c r="F1244" s="126" t="s">
        <v>1426</v>
      </c>
      <c r="G1244" s="126"/>
      <c r="H1244" s="126" t="s">
        <v>7</v>
      </c>
      <c r="I1244" s="126">
        <v>4031</v>
      </c>
      <c r="J1244" s="126" t="s">
        <v>44</v>
      </c>
      <c r="K1244" s="126"/>
      <c r="L1244" s="126"/>
      <c r="M1244" s="126" t="s">
        <v>57</v>
      </c>
      <c r="N1244" s="126" t="s">
        <v>58</v>
      </c>
      <c r="O1244" s="127">
        <v>31527</v>
      </c>
      <c r="P1244" s="126"/>
      <c r="Q1244" s="126"/>
      <c r="R1244" s="126">
        <v>0.16</v>
      </c>
      <c r="S1244" s="126" t="s">
        <v>48</v>
      </c>
    </row>
    <row r="1245" spans="1:19" ht="29.25" x14ac:dyDescent="0.25">
      <c r="A1245" s="126">
        <v>42901</v>
      </c>
      <c r="B1245" s="126" t="s">
        <v>106</v>
      </c>
      <c r="C1245" s="126" t="s">
        <v>49</v>
      </c>
      <c r="D1245" s="126" t="s">
        <v>40</v>
      </c>
      <c r="E1245" s="126" t="s">
        <v>1780</v>
      </c>
      <c r="F1245" s="126" t="s">
        <v>1781</v>
      </c>
      <c r="G1245" s="126">
        <v>24</v>
      </c>
      <c r="H1245" s="126" t="s">
        <v>7</v>
      </c>
      <c r="I1245" s="126"/>
      <c r="J1245" s="126" t="s">
        <v>663</v>
      </c>
      <c r="K1245" s="126" t="s">
        <v>385</v>
      </c>
      <c r="L1245" s="126" t="s">
        <v>663</v>
      </c>
      <c r="M1245" s="126" t="s">
        <v>57</v>
      </c>
      <c r="N1245" s="126" t="s">
        <v>58</v>
      </c>
      <c r="O1245" s="127">
        <v>32482</v>
      </c>
      <c r="P1245" s="126"/>
      <c r="Q1245" s="126"/>
      <c r="R1245" s="126">
        <v>24</v>
      </c>
      <c r="S1245" s="126" t="s">
        <v>48</v>
      </c>
    </row>
    <row r="1246" spans="1:19" ht="29.25" x14ac:dyDescent="0.25">
      <c r="A1246" s="126">
        <v>42902</v>
      </c>
      <c r="B1246" s="126" t="s">
        <v>106</v>
      </c>
      <c r="C1246" s="126" t="s">
        <v>49</v>
      </c>
      <c r="D1246" s="126" t="s">
        <v>40</v>
      </c>
      <c r="E1246" s="126" t="s">
        <v>1782</v>
      </c>
      <c r="F1246" s="126" t="s">
        <v>1783</v>
      </c>
      <c r="G1246" s="126">
        <v>30</v>
      </c>
      <c r="H1246" s="126" t="s">
        <v>7</v>
      </c>
      <c r="I1246" s="126"/>
      <c r="J1246" s="126" t="s">
        <v>663</v>
      </c>
      <c r="K1246" s="126" t="s">
        <v>385</v>
      </c>
      <c r="L1246" s="126" t="s">
        <v>663</v>
      </c>
      <c r="M1246" s="126" t="s">
        <v>57</v>
      </c>
      <c r="N1246" s="126" t="s">
        <v>58</v>
      </c>
      <c r="O1246" s="127">
        <v>32482</v>
      </c>
      <c r="P1246" s="126"/>
      <c r="Q1246" s="126"/>
      <c r="R1246" s="126">
        <v>24</v>
      </c>
      <c r="S1246" s="126" t="s">
        <v>48</v>
      </c>
    </row>
    <row r="1247" spans="1:19" ht="29.25" x14ac:dyDescent="0.25">
      <c r="A1247" s="126">
        <v>42903</v>
      </c>
      <c r="B1247" s="126" t="s">
        <v>106</v>
      </c>
      <c r="C1247" s="126" t="s">
        <v>49</v>
      </c>
      <c r="D1247" s="126" t="s">
        <v>40</v>
      </c>
      <c r="E1247" s="126" t="s">
        <v>1784</v>
      </c>
      <c r="F1247" s="126" t="s">
        <v>1785</v>
      </c>
      <c r="G1247" s="126">
        <v>24</v>
      </c>
      <c r="H1247" s="126" t="s">
        <v>7</v>
      </c>
      <c r="I1247" s="126"/>
      <c r="J1247" s="126" t="s">
        <v>663</v>
      </c>
      <c r="K1247" s="126" t="s">
        <v>385</v>
      </c>
      <c r="L1247" s="126" t="s">
        <v>663</v>
      </c>
      <c r="M1247" s="126" t="s">
        <v>57</v>
      </c>
      <c r="N1247" s="126" t="s">
        <v>58</v>
      </c>
      <c r="O1247" s="127">
        <v>32482</v>
      </c>
      <c r="P1247" s="126"/>
      <c r="Q1247" s="126"/>
      <c r="R1247" s="126">
        <v>19.5</v>
      </c>
      <c r="S1247" s="126" t="s">
        <v>48</v>
      </c>
    </row>
    <row r="1248" spans="1:19" ht="29.25" x14ac:dyDescent="0.25">
      <c r="A1248" s="126">
        <v>43001</v>
      </c>
      <c r="B1248" s="126" t="s">
        <v>106</v>
      </c>
      <c r="C1248" s="126" t="s">
        <v>49</v>
      </c>
      <c r="D1248" s="126" t="s">
        <v>40</v>
      </c>
      <c r="E1248" s="126"/>
      <c r="F1248" s="126" t="s">
        <v>1611</v>
      </c>
      <c r="G1248" s="126"/>
      <c r="H1248" s="126" t="s">
        <v>7</v>
      </c>
      <c r="I1248" s="126"/>
      <c r="J1248" s="126" t="s">
        <v>663</v>
      </c>
      <c r="K1248" s="126"/>
      <c r="L1248" s="126"/>
      <c r="M1248" s="126" t="s">
        <v>57</v>
      </c>
      <c r="N1248" s="126" t="s">
        <v>58</v>
      </c>
      <c r="O1248" s="127">
        <v>31971</v>
      </c>
      <c r="P1248" s="126"/>
      <c r="Q1248" s="126"/>
      <c r="R1248" s="126">
        <v>24</v>
      </c>
      <c r="S1248" s="126" t="s">
        <v>48</v>
      </c>
    </row>
    <row r="1249" spans="1:19" ht="29.25" x14ac:dyDescent="0.25">
      <c r="A1249" s="126">
        <v>43002</v>
      </c>
      <c r="B1249" s="126" t="s">
        <v>106</v>
      </c>
      <c r="C1249" s="126" t="s">
        <v>49</v>
      </c>
      <c r="D1249" s="126" t="s">
        <v>40</v>
      </c>
      <c r="E1249" s="126"/>
      <c r="F1249" s="126" t="s">
        <v>1612</v>
      </c>
      <c r="G1249" s="126"/>
      <c r="H1249" s="126" t="s">
        <v>7</v>
      </c>
      <c r="I1249" s="126"/>
      <c r="J1249" s="126" t="s">
        <v>663</v>
      </c>
      <c r="K1249" s="126"/>
      <c r="L1249" s="126"/>
      <c r="M1249" s="126" t="s">
        <v>57</v>
      </c>
      <c r="N1249" s="126" t="s">
        <v>58</v>
      </c>
      <c r="O1249" s="127">
        <v>31971</v>
      </c>
      <c r="P1249" s="126"/>
      <c r="Q1249" s="126"/>
      <c r="R1249" s="126">
        <v>24</v>
      </c>
      <c r="S1249" s="126" t="s">
        <v>48</v>
      </c>
    </row>
    <row r="1250" spans="1:19" ht="29.25" x14ac:dyDescent="0.25">
      <c r="A1250" s="126">
        <v>43003</v>
      </c>
      <c r="B1250" s="126" t="s">
        <v>106</v>
      </c>
      <c r="C1250" s="126" t="s">
        <v>49</v>
      </c>
      <c r="D1250" s="126" t="s">
        <v>40</v>
      </c>
      <c r="E1250" s="126"/>
      <c r="F1250" s="126" t="s">
        <v>1613</v>
      </c>
      <c r="G1250" s="126"/>
      <c r="H1250" s="126" t="s">
        <v>7</v>
      </c>
      <c r="I1250" s="126"/>
      <c r="J1250" s="126" t="s">
        <v>663</v>
      </c>
      <c r="K1250" s="126"/>
      <c r="L1250" s="126"/>
      <c r="M1250" s="126" t="s">
        <v>57</v>
      </c>
      <c r="N1250" s="126" t="s">
        <v>58</v>
      </c>
      <c r="O1250" s="127">
        <v>31971</v>
      </c>
      <c r="P1250" s="126"/>
      <c r="Q1250" s="126"/>
      <c r="R1250" s="126">
        <v>27</v>
      </c>
      <c r="S1250" s="126" t="s">
        <v>48</v>
      </c>
    </row>
    <row r="1251" spans="1:19" x14ac:dyDescent="0.25">
      <c r="A1251" s="126">
        <v>43401</v>
      </c>
      <c r="B1251" s="126" t="s">
        <v>106</v>
      </c>
      <c r="C1251" s="126" t="s">
        <v>49</v>
      </c>
      <c r="D1251" s="126" t="s">
        <v>40</v>
      </c>
      <c r="E1251" s="126"/>
      <c r="F1251" s="126" t="s">
        <v>859</v>
      </c>
      <c r="G1251" s="126"/>
      <c r="H1251" s="126" t="s">
        <v>43</v>
      </c>
      <c r="I1251" s="126" t="s">
        <v>860</v>
      </c>
      <c r="J1251" s="126" t="s">
        <v>44</v>
      </c>
      <c r="K1251" s="126" t="s">
        <v>44</v>
      </c>
      <c r="L1251" s="126" t="s">
        <v>45</v>
      </c>
      <c r="M1251" s="126" t="s">
        <v>46</v>
      </c>
      <c r="N1251" s="126" t="s">
        <v>47</v>
      </c>
      <c r="O1251" s="127">
        <v>30294</v>
      </c>
      <c r="P1251" s="126"/>
      <c r="Q1251" s="126"/>
      <c r="R1251" s="126">
        <v>0.1</v>
      </c>
      <c r="S1251" s="126" t="s">
        <v>48</v>
      </c>
    </row>
    <row r="1252" spans="1:19" ht="29.25" x14ac:dyDescent="0.25">
      <c r="A1252" s="126">
        <v>43403</v>
      </c>
      <c r="B1252" s="126" t="s">
        <v>106</v>
      </c>
      <c r="C1252" s="126" t="s">
        <v>49</v>
      </c>
      <c r="D1252" s="126" t="s">
        <v>40</v>
      </c>
      <c r="E1252" s="126"/>
      <c r="F1252" s="126" t="s">
        <v>957</v>
      </c>
      <c r="G1252" s="126"/>
      <c r="H1252" s="126" t="s">
        <v>43</v>
      </c>
      <c r="I1252" s="126" t="s">
        <v>958</v>
      </c>
      <c r="J1252" s="126" t="s">
        <v>44</v>
      </c>
      <c r="K1252" s="126" t="s">
        <v>44</v>
      </c>
      <c r="L1252" s="126" t="s">
        <v>45</v>
      </c>
      <c r="M1252" s="126" t="s">
        <v>46</v>
      </c>
      <c r="N1252" s="126" t="s">
        <v>47</v>
      </c>
      <c r="O1252" s="127">
        <v>30414</v>
      </c>
      <c r="P1252" s="126"/>
      <c r="Q1252" s="126"/>
      <c r="R1252" s="126">
        <v>0.28000000000000003</v>
      </c>
      <c r="S1252" s="126" t="s">
        <v>48</v>
      </c>
    </row>
    <row r="1253" spans="1:19" ht="29.25" x14ac:dyDescent="0.25">
      <c r="A1253" s="126">
        <v>43404</v>
      </c>
      <c r="B1253" s="126" t="s">
        <v>106</v>
      </c>
      <c r="C1253" s="126" t="s">
        <v>49</v>
      </c>
      <c r="D1253" s="126" t="s">
        <v>40</v>
      </c>
      <c r="E1253" s="126"/>
      <c r="F1253" s="126" t="s">
        <v>2121</v>
      </c>
      <c r="G1253" s="126"/>
      <c r="H1253" s="126" t="s">
        <v>43</v>
      </c>
      <c r="I1253" s="126" t="s">
        <v>2122</v>
      </c>
      <c r="J1253" s="126" t="s">
        <v>713</v>
      </c>
      <c r="K1253" s="126" t="s">
        <v>315</v>
      </c>
      <c r="L1253" s="126" t="s">
        <v>259</v>
      </c>
      <c r="M1253" s="126" t="s">
        <v>46</v>
      </c>
      <c r="N1253" s="126" t="s">
        <v>47</v>
      </c>
      <c r="O1253" s="127">
        <v>33434</v>
      </c>
      <c r="P1253" s="126"/>
      <c r="Q1253" s="126"/>
      <c r="R1253" s="126">
        <v>0.06</v>
      </c>
      <c r="S1253" s="126" t="s">
        <v>48</v>
      </c>
    </row>
    <row r="1254" spans="1:19" ht="29.25" x14ac:dyDescent="0.25">
      <c r="A1254" s="126">
        <v>68600</v>
      </c>
      <c r="B1254" s="126" t="s">
        <v>106</v>
      </c>
      <c r="C1254" s="126" t="s">
        <v>49</v>
      </c>
      <c r="D1254" s="126" t="s">
        <v>40</v>
      </c>
      <c r="E1254" s="126"/>
      <c r="F1254" s="126" t="s">
        <v>2010</v>
      </c>
      <c r="G1254" s="126"/>
      <c r="H1254" s="126" t="s">
        <v>43</v>
      </c>
      <c r="I1254" s="126" t="s">
        <v>2011</v>
      </c>
      <c r="J1254" s="126" t="s">
        <v>44</v>
      </c>
      <c r="K1254" s="126" t="s">
        <v>44</v>
      </c>
      <c r="L1254" s="126" t="s">
        <v>45</v>
      </c>
      <c r="M1254" s="126" t="s">
        <v>46</v>
      </c>
      <c r="N1254" s="126" t="s">
        <v>47</v>
      </c>
      <c r="O1254" s="127">
        <v>32924</v>
      </c>
      <c r="P1254" s="126"/>
      <c r="Q1254" s="126"/>
      <c r="R1254" s="126">
        <v>5.75</v>
      </c>
      <c r="S1254" s="126" t="s">
        <v>48</v>
      </c>
    </row>
    <row r="1255" spans="1:19" ht="29.25" x14ac:dyDescent="0.25">
      <c r="A1255" s="126">
        <v>55700</v>
      </c>
      <c r="B1255" s="126" t="s">
        <v>106</v>
      </c>
      <c r="C1255" s="126" t="s">
        <v>49</v>
      </c>
      <c r="D1255" s="126" t="s">
        <v>40</v>
      </c>
      <c r="E1255" s="126"/>
      <c r="F1255" s="126" t="s">
        <v>1555</v>
      </c>
      <c r="G1255" s="126"/>
      <c r="H1255" s="126" t="s">
        <v>43</v>
      </c>
      <c r="I1255" s="126" t="s">
        <v>1556</v>
      </c>
      <c r="J1255" s="126" t="s">
        <v>44</v>
      </c>
      <c r="K1255" s="126" t="s">
        <v>44</v>
      </c>
      <c r="L1255" s="126" t="s">
        <v>45</v>
      </c>
      <c r="M1255" s="126" t="s">
        <v>46</v>
      </c>
      <c r="N1255" s="126" t="s">
        <v>47</v>
      </c>
      <c r="O1255" s="127">
        <v>31782</v>
      </c>
      <c r="P1255" s="126"/>
      <c r="Q1255" s="126"/>
      <c r="R1255" s="126">
        <v>8</v>
      </c>
      <c r="S1255" s="126" t="s">
        <v>48</v>
      </c>
    </row>
    <row r="1256" spans="1:19" ht="29.25" x14ac:dyDescent="0.25">
      <c r="A1256" s="126">
        <v>55800</v>
      </c>
      <c r="B1256" s="126" t="s">
        <v>106</v>
      </c>
      <c r="C1256" s="126" t="s">
        <v>49</v>
      </c>
      <c r="D1256" s="126" t="s">
        <v>40</v>
      </c>
      <c r="E1256" s="126"/>
      <c r="F1256" s="126" t="s">
        <v>1472</v>
      </c>
      <c r="G1256" s="126"/>
      <c r="H1256" s="126" t="s">
        <v>43</v>
      </c>
      <c r="I1256" s="126" t="s">
        <v>1473</v>
      </c>
      <c r="J1256" s="126" t="s">
        <v>44</v>
      </c>
      <c r="K1256" s="126" t="s">
        <v>44</v>
      </c>
      <c r="L1256" s="126" t="s">
        <v>45</v>
      </c>
      <c r="M1256" s="126" t="s">
        <v>46</v>
      </c>
      <c r="N1256" s="126" t="s">
        <v>47</v>
      </c>
      <c r="O1256" s="127">
        <v>31751</v>
      </c>
      <c r="P1256" s="126"/>
      <c r="Q1256" s="126"/>
      <c r="R1256" s="126">
        <v>3.52</v>
      </c>
      <c r="S1256" s="126" t="s">
        <v>48</v>
      </c>
    </row>
    <row r="1257" spans="1:19" ht="29.25" x14ac:dyDescent="0.25">
      <c r="A1257" s="126">
        <v>45400</v>
      </c>
      <c r="B1257" s="126" t="s">
        <v>106</v>
      </c>
      <c r="C1257" s="126" t="s">
        <v>49</v>
      </c>
      <c r="D1257" s="126" t="s">
        <v>40</v>
      </c>
      <c r="E1257" s="126"/>
      <c r="F1257" s="126" t="s">
        <v>1569</v>
      </c>
      <c r="G1257" s="126"/>
      <c r="H1257" s="126" t="s">
        <v>43</v>
      </c>
      <c r="I1257" s="126" t="s">
        <v>1570</v>
      </c>
      <c r="J1257" s="126" t="s">
        <v>44</v>
      </c>
      <c r="K1257" s="126" t="s">
        <v>44</v>
      </c>
      <c r="L1257" s="126" t="s">
        <v>45</v>
      </c>
      <c r="M1257" s="126" t="s">
        <v>46</v>
      </c>
      <c r="N1257" s="126" t="s">
        <v>47</v>
      </c>
      <c r="O1257" s="127">
        <v>31836</v>
      </c>
      <c r="P1257" s="126"/>
      <c r="Q1257" s="126"/>
      <c r="R1257" s="126">
        <v>2.99</v>
      </c>
      <c r="S1257" s="126" t="s">
        <v>48</v>
      </c>
    </row>
    <row r="1258" spans="1:19" x14ac:dyDescent="0.25">
      <c r="A1258" s="126">
        <v>44001</v>
      </c>
      <c r="B1258" s="126" t="s">
        <v>106</v>
      </c>
      <c r="C1258" s="126" t="s">
        <v>49</v>
      </c>
      <c r="D1258" s="126" t="s">
        <v>40</v>
      </c>
      <c r="E1258" s="126"/>
      <c r="F1258" s="126" t="s">
        <v>3261</v>
      </c>
      <c r="G1258" s="126"/>
      <c r="H1258" s="126" t="s">
        <v>43</v>
      </c>
      <c r="I1258" s="126" t="s">
        <v>3262</v>
      </c>
      <c r="J1258" s="126" t="s">
        <v>44</v>
      </c>
      <c r="K1258" s="126" t="s">
        <v>44</v>
      </c>
      <c r="L1258" s="126" t="s">
        <v>45</v>
      </c>
      <c r="M1258" s="126" t="s">
        <v>46</v>
      </c>
      <c r="N1258" s="126" t="s">
        <v>47</v>
      </c>
      <c r="O1258" s="126"/>
      <c r="P1258" s="126"/>
      <c r="Q1258" s="126"/>
      <c r="R1258" s="126">
        <v>0.9</v>
      </c>
      <c r="S1258" s="126" t="s">
        <v>48</v>
      </c>
    </row>
    <row r="1259" spans="1:19" x14ac:dyDescent="0.25">
      <c r="A1259" s="126">
        <v>44002</v>
      </c>
      <c r="B1259" s="126" t="s">
        <v>106</v>
      </c>
      <c r="C1259" s="126" t="s">
        <v>49</v>
      </c>
      <c r="D1259" s="126" t="s">
        <v>40</v>
      </c>
      <c r="E1259" s="126"/>
      <c r="F1259" s="126" t="s">
        <v>982</v>
      </c>
      <c r="G1259" s="126"/>
      <c r="H1259" s="126" t="s">
        <v>43</v>
      </c>
      <c r="I1259" s="126" t="s">
        <v>983</v>
      </c>
      <c r="J1259" s="126" t="s">
        <v>44</v>
      </c>
      <c r="K1259" s="126" t="s">
        <v>44</v>
      </c>
      <c r="L1259" s="126" t="s">
        <v>45</v>
      </c>
      <c r="M1259" s="126" t="s">
        <v>46</v>
      </c>
      <c r="N1259" s="126" t="s">
        <v>47</v>
      </c>
      <c r="O1259" s="127">
        <v>30530</v>
      </c>
      <c r="P1259" s="126"/>
      <c r="Q1259" s="126"/>
      <c r="R1259" s="126">
        <v>0.9</v>
      </c>
      <c r="S1259" s="126" t="s">
        <v>48</v>
      </c>
    </row>
    <row r="1260" spans="1:19" x14ac:dyDescent="0.25">
      <c r="A1260" s="126">
        <v>44003</v>
      </c>
      <c r="B1260" s="126" t="s">
        <v>106</v>
      </c>
      <c r="C1260" s="126" t="s">
        <v>49</v>
      </c>
      <c r="D1260" s="126" t="s">
        <v>40</v>
      </c>
      <c r="E1260" s="126"/>
      <c r="F1260" s="126" t="s">
        <v>2096</v>
      </c>
      <c r="G1260" s="126"/>
      <c r="H1260" s="126" t="s">
        <v>43</v>
      </c>
      <c r="I1260" s="126" t="s">
        <v>2097</v>
      </c>
      <c r="J1260" s="126" t="s">
        <v>807</v>
      </c>
      <c r="K1260" s="126"/>
      <c r="L1260" s="126"/>
      <c r="M1260" s="126" t="s">
        <v>46</v>
      </c>
      <c r="N1260" s="126" t="s">
        <v>47</v>
      </c>
      <c r="O1260" s="127">
        <v>33239</v>
      </c>
      <c r="P1260" s="126"/>
      <c r="Q1260" s="126"/>
      <c r="R1260" s="126">
        <v>0.1</v>
      </c>
      <c r="S1260" s="126" t="s">
        <v>48</v>
      </c>
    </row>
    <row r="1261" spans="1:19" ht="29.25" x14ac:dyDescent="0.25">
      <c r="A1261" s="126">
        <v>58200</v>
      </c>
      <c r="B1261" s="126" t="s">
        <v>106</v>
      </c>
      <c r="C1261" s="126" t="s">
        <v>49</v>
      </c>
      <c r="D1261" s="126" t="s">
        <v>40</v>
      </c>
      <c r="E1261" s="126" t="s">
        <v>1005</v>
      </c>
      <c r="F1261" s="126" t="s">
        <v>1006</v>
      </c>
      <c r="G1261" s="126">
        <v>3.4</v>
      </c>
      <c r="H1261" s="126" t="s">
        <v>43</v>
      </c>
      <c r="I1261" s="126" t="s">
        <v>1007</v>
      </c>
      <c r="J1261" s="126" t="s">
        <v>807</v>
      </c>
      <c r="K1261" s="126"/>
      <c r="L1261" s="126" t="s">
        <v>1008</v>
      </c>
      <c r="M1261" s="126" t="s">
        <v>46</v>
      </c>
      <c r="N1261" s="126" t="s">
        <v>47</v>
      </c>
      <c r="O1261" s="127">
        <v>30680</v>
      </c>
      <c r="P1261" s="126" t="s">
        <v>1009</v>
      </c>
      <c r="Q1261" s="126"/>
      <c r="R1261" s="126">
        <v>3.4</v>
      </c>
      <c r="S1261" s="126" t="s">
        <v>48</v>
      </c>
    </row>
    <row r="1262" spans="1:19" ht="29.25" x14ac:dyDescent="0.25">
      <c r="A1262" s="126">
        <v>58100</v>
      </c>
      <c r="B1262" s="126" t="s">
        <v>106</v>
      </c>
      <c r="C1262" s="126" t="s">
        <v>49</v>
      </c>
      <c r="D1262" s="126" t="s">
        <v>40</v>
      </c>
      <c r="E1262" s="126" t="s">
        <v>2093</v>
      </c>
      <c r="F1262" s="126" t="s">
        <v>2094</v>
      </c>
      <c r="G1262" s="126">
        <v>7.9</v>
      </c>
      <c r="H1262" s="126" t="s">
        <v>43</v>
      </c>
      <c r="I1262" s="126" t="s">
        <v>2095</v>
      </c>
      <c r="J1262" s="126" t="s">
        <v>713</v>
      </c>
      <c r="K1262" s="126" t="s">
        <v>385</v>
      </c>
      <c r="L1262" s="126" t="s">
        <v>259</v>
      </c>
      <c r="M1262" s="126" t="s">
        <v>46</v>
      </c>
      <c r="N1262" s="126" t="s">
        <v>47</v>
      </c>
      <c r="O1262" s="127">
        <v>33236</v>
      </c>
      <c r="P1262" s="126" t="s">
        <v>1009</v>
      </c>
      <c r="Q1262" s="126"/>
      <c r="R1262" s="126">
        <v>7.9</v>
      </c>
      <c r="S1262" s="126" t="s">
        <v>48</v>
      </c>
    </row>
    <row r="1263" spans="1:19" ht="57.75" x14ac:dyDescent="0.25">
      <c r="A1263" s="126">
        <v>58404</v>
      </c>
      <c r="B1263" s="126" t="s">
        <v>106</v>
      </c>
      <c r="C1263" s="126" t="s">
        <v>49</v>
      </c>
      <c r="D1263" s="126" t="s">
        <v>40</v>
      </c>
      <c r="E1263" s="126"/>
      <c r="F1263" s="126" t="s">
        <v>1751</v>
      </c>
      <c r="G1263" s="126">
        <v>1.74</v>
      </c>
      <c r="H1263" s="126" t="s">
        <v>43</v>
      </c>
      <c r="I1263" s="126" t="s">
        <v>1752</v>
      </c>
      <c r="J1263" s="126" t="s">
        <v>807</v>
      </c>
      <c r="K1263" s="126"/>
      <c r="L1263" s="126"/>
      <c r="M1263" s="126" t="s">
        <v>46</v>
      </c>
      <c r="N1263" s="126" t="s">
        <v>47</v>
      </c>
      <c r="O1263" s="127">
        <v>32381</v>
      </c>
      <c r="P1263" s="126" t="s">
        <v>1753</v>
      </c>
      <c r="Q1263" s="126"/>
      <c r="R1263" s="126">
        <v>1.74</v>
      </c>
      <c r="S1263" s="126" t="s">
        <v>48</v>
      </c>
    </row>
    <row r="1264" spans="1:19" ht="29.25" x14ac:dyDescent="0.25">
      <c r="A1264" s="126">
        <v>44623</v>
      </c>
      <c r="B1264" s="126" t="s">
        <v>106</v>
      </c>
      <c r="C1264" s="126" t="s">
        <v>49</v>
      </c>
      <c r="D1264" s="126" t="s">
        <v>40</v>
      </c>
      <c r="E1264" s="126"/>
      <c r="F1264" s="126" t="s">
        <v>1233</v>
      </c>
      <c r="G1264" s="126"/>
      <c r="H1264" s="126" t="s">
        <v>7</v>
      </c>
      <c r="I1264" s="126">
        <v>6064</v>
      </c>
      <c r="J1264" s="126" t="s">
        <v>800</v>
      </c>
      <c r="K1264" s="126"/>
      <c r="L1264" s="126"/>
      <c r="M1264" s="126" t="s">
        <v>57</v>
      </c>
      <c r="N1264" s="126" t="s">
        <v>58</v>
      </c>
      <c r="O1264" s="127">
        <v>31156</v>
      </c>
      <c r="P1264" s="126"/>
      <c r="Q1264" s="126"/>
      <c r="R1264" s="126">
        <v>28</v>
      </c>
      <c r="S1264" s="126" t="s">
        <v>48</v>
      </c>
    </row>
    <row r="1265" spans="1:19" ht="29.25" x14ac:dyDescent="0.25">
      <c r="A1265" s="126">
        <v>44625</v>
      </c>
      <c r="B1265" s="126" t="s">
        <v>106</v>
      </c>
      <c r="C1265" s="126" t="s">
        <v>49</v>
      </c>
      <c r="D1265" s="126" t="s">
        <v>40</v>
      </c>
      <c r="E1265" s="126"/>
      <c r="F1265" s="126" t="s">
        <v>1129</v>
      </c>
      <c r="G1265" s="126"/>
      <c r="H1265" s="126" t="s">
        <v>7</v>
      </c>
      <c r="I1265" s="126">
        <v>6030</v>
      </c>
      <c r="J1265" s="126" t="s">
        <v>800</v>
      </c>
      <c r="K1265" s="126"/>
      <c r="L1265" s="126"/>
      <c r="M1265" s="126" t="s">
        <v>57</v>
      </c>
      <c r="N1265" s="126" t="s">
        <v>58</v>
      </c>
      <c r="O1265" s="127">
        <v>31029</v>
      </c>
      <c r="P1265" s="126"/>
      <c r="Q1265" s="126"/>
      <c r="R1265" s="126">
        <v>13.5</v>
      </c>
      <c r="S1265" s="126" t="s">
        <v>48</v>
      </c>
    </row>
    <row r="1266" spans="1:19" ht="29.25" x14ac:dyDescent="0.25">
      <c r="A1266" s="126">
        <v>44626</v>
      </c>
      <c r="B1266" s="126" t="s">
        <v>106</v>
      </c>
      <c r="C1266" s="126" t="s">
        <v>49</v>
      </c>
      <c r="D1266" s="126" t="s">
        <v>40</v>
      </c>
      <c r="E1266" s="126"/>
      <c r="F1266" s="126" t="s">
        <v>1574</v>
      </c>
      <c r="G1266" s="126"/>
      <c r="H1266" s="126" t="s">
        <v>7</v>
      </c>
      <c r="I1266" s="126">
        <v>6118</v>
      </c>
      <c r="J1266" s="126" t="s">
        <v>800</v>
      </c>
      <c r="K1266" s="126"/>
      <c r="L1266" s="126"/>
      <c r="M1266" s="126" t="s">
        <v>57</v>
      </c>
      <c r="N1266" s="126" t="s">
        <v>58</v>
      </c>
      <c r="O1266" s="127">
        <v>31848</v>
      </c>
      <c r="P1266" s="126"/>
      <c r="Q1266" s="126"/>
      <c r="R1266" s="126">
        <v>4.2</v>
      </c>
      <c r="S1266" s="126" t="s">
        <v>48</v>
      </c>
    </row>
    <row r="1267" spans="1:19" ht="29.25" x14ac:dyDescent="0.25">
      <c r="A1267" s="126">
        <v>44627</v>
      </c>
      <c r="B1267" s="126" t="s">
        <v>106</v>
      </c>
      <c r="C1267" s="126" t="s">
        <v>49</v>
      </c>
      <c r="D1267" s="126" t="s">
        <v>40</v>
      </c>
      <c r="E1267" s="126"/>
      <c r="F1267" s="126" t="s">
        <v>1284</v>
      </c>
      <c r="G1267" s="126"/>
      <c r="H1267" s="126" t="s">
        <v>7</v>
      </c>
      <c r="I1267" s="126">
        <v>6035</v>
      </c>
      <c r="J1267" s="126" t="s">
        <v>800</v>
      </c>
      <c r="K1267" s="126"/>
      <c r="L1267" s="126"/>
      <c r="M1267" s="126" t="s">
        <v>57</v>
      </c>
      <c r="N1267" s="126" t="s">
        <v>58</v>
      </c>
      <c r="O1267" s="127">
        <v>31408</v>
      </c>
      <c r="P1267" s="126"/>
      <c r="Q1267" s="126"/>
      <c r="R1267" s="126">
        <v>5.7</v>
      </c>
      <c r="S1267" s="126" t="s">
        <v>48</v>
      </c>
    </row>
    <row r="1268" spans="1:19" ht="29.25" x14ac:dyDescent="0.25">
      <c r="A1268" s="126">
        <v>44602</v>
      </c>
      <c r="B1268" s="126" t="s">
        <v>106</v>
      </c>
      <c r="C1268" s="126" t="s">
        <v>49</v>
      </c>
      <c r="D1268" s="126" t="s">
        <v>40</v>
      </c>
      <c r="E1268" s="126"/>
      <c r="F1268" s="126" t="s">
        <v>2015</v>
      </c>
      <c r="G1268" s="126"/>
      <c r="H1268" s="126" t="s">
        <v>7</v>
      </c>
      <c r="I1268" s="126">
        <v>6098</v>
      </c>
      <c r="J1268" s="126" t="s">
        <v>800</v>
      </c>
      <c r="K1268" s="126"/>
      <c r="L1268" s="126"/>
      <c r="M1268" s="126" t="s">
        <v>57</v>
      </c>
      <c r="N1268" s="126" t="s">
        <v>58</v>
      </c>
      <c r="O1268" s="127">
        <v>32934</v>
      </c>
      <c r="P1268" s="126"/>
      <c r="Q1268" s="126"/>
      <c r="R1268" s="126">
        <v>9.35</v>
      </c>
      <c r="S1268" s="126" t="s">
        <v>48</v>
      </c>
    </row>
    <row r="1269" spans="1:19" ht="29.25" x14ac:dyDescent="0.25">
      <c r="A1269" s="126">
        <v>44604</v>
      </c>
      <c r="B1269" s="126" t="s">
        <v>106</v>
      </c>
      <c r="C1269" s="126" t="s">
        <v>49</v>
      </c>
      <c r="D1269" s="126" t="s">
        <v>40</v>
      </c>
      <c r="E1269" s="126"/>
      <c r="F1269" s="126" t="s">
        <v>1128</v>
      </c>
      <c r="G1269" s="126"/>
      <c r="H1269" s="126" t="s">
        <v>7</v>
      </c>
      <c r="I1269" s="126">
        <v>6004</v>
      </c>
      <c r="J1269" s="126" t="s">
        <v>800</v>
      </c>
      <c r="K1269" s="126"/>
      <c r="L1269" s="126"/>
      <c r="M1269" s="126" t="s">
        <v>57</v>
      </c>
      <c r="N1269" s="126" t="s">
        <v>58</v>
      </c>
      <c r="O1269" s="127">
        <v>31019</v>
      </c>
      <c r="P1269" s="126"/>
      <c r="Q1269" s="126"/>
      <c r="R1269" s="126">
        <v>39.75</v>
      </c>
      <c r="S1269" s="126" t="s">
        <v>48</v>
      </c>
    </row>
    <row r="1270" spans="1:19" ht="29.25" x14ac:dyDescent="0.25">
      <c r="A1270" s="126">
        <v>44608</v>
      </c>
      <c r="B1270" s="126" t="s">
        <v>106</v>
      </c>
      <c r="C1270" s="126" t="s">
        <v>49</v>
      </c>
      <c r="D1270" s="126" t="s">
        <v>40</v>
      </c>
      <c r="E1270" s="126"/>
      <c r="F1270" s="126" t="s">
        <v>1693</v>
      </c>
      <c r="G1270" s="126"/>
      <c r="H1270" s="126" t="s">
        <v>7</v>
      </c>
      <c r="I1270" s="126">
        <v>4026</v>
      </c>
      <c r="J1270" s="126" t="s">
        <v>44</v>
      </c>
      <c r="K1270" s="126"/>
      <c r="L1270" s="126"/>
      <c r="M1270" s="126" t="s">
        <v>57</v>
      </c>
      <c r="N1270" s="126" t="s">
        <v>58</v>
      </c>
      <c r="O1270" s="127">
        <v>32175</v>
      </c>
      <c r="P1270" s="126"/>
      <c r="Q1270" s="126"/>
      <c r="R1270" s="126">
        <v>0.3</v>
      </c>
      <c r="S1270" s="126" t="s">
        <v>48</v>
      </c>
    </row>
    <row r="1271" spans="1:19" x14ac:dyDescent="0.25">
      <c r="A1271" s="126">
        <v>44610</v>
      </c>
      <c r="B1271" s="126" t="s">
        <v>106</v>
      </c>
      <c r="C1271" s="126" t="s">
        <v>49</v>
      </c>
      <c r="D1271" s="126" t="s">
        <v>40</v>
      </c>
      <c r="E1271" s="126"/>
      <c r="F1271" s="126" t="s">
        <v>1461</v>
      </c>
      <c r="G1271" s="126"/>
      <c r="H1271" s="126" t="s">
        <v>7</v>
      </c>
      <c r="I1271" s="126">
        <v>6053</v>
      </c>
      <c r="J1271" s="126" t="s">
        <v>800</v>
      </c>
      <c r="K1271" s="126"/>
      <c r="L1271" s="126"/>
      <c r="M1271" s="126" t="s">
        <v>57</v>
      </c>
      <c r="N1271" s="126" t="s">
        <v>58</v>
      </c>
      <c r="O1271" s="127">
        <v>31700</v>
      </c>
      <c r="P1271" s="126"/>
      <c r="Q1271" s="126"/>
      <c r="R1271" s="126">
        <v>7.88</v>
      </c>
      <c r="S1271" s="126" t="s">
        <v>48</v>
      </c>
    </row>
    <row r="1272" spans="1:19" ht="29.25" x14ac:dyDescent="0.25">
      <c r="A1272" s="126">
        <v>44612</v>
      </c>
      <c r="B1272" s="126" t="s">
        <v>106</v>
      </c>
      <c r="C1272" s="126" t="s">
        <v>49</v>
      </c>
      <c r="D1272" s="126" t="s">
        <v>40</v>
      </c>
      <c r="E1272" s="126"/>
      <c r="F1272" s="126" t="s">
        <v>1212</v>
      </c>
      <c r="G1272" s="126"/>
      <c r="H1272" s="126" t="s">
        <v>7</v>
      </c>
      <c r="I1272" s="126">
        <v>6062</v>
      </c>
      <c r="J1272" s="126" t="s">
        <v>800</v>
      </c>
      <c r="K1272" s="126"/>
      <c r="L1272" s="126"/>
      <c r="M1272" s="126" t="s">
        <v>57</v>
      </c>
      <c r="N1272" s="126" t="s">
        <v>58</v>
      </c>
      <c r="O1272" s="127">
        <v>31078</v>
      </c>
      <c r="P1272" s="126"/>
      <c r="Q1272" s="126"/>
      <c r="R1272" s="126">
        <v>3</v>
      </c>
      <c r="S1272" s="126" t="s">
        <v>48</v>
      </c>
    </row>
    <row r="1273" spans="1:19" ht="29.25" x14ac:dyDescent="0.25">
      <c r="A1273" s="126">
        <v>44622</v>
      </c>
      <c r="B1273" s="126" t="s">
        <v>106</v>
      </c>
      <c r="C1273" s="126" t="s">
        <v>49</v>
      </c>
      <c r="D1273" s="126" t="s">
        <v>40</v>
      </c>
      <c r="E1273" s="126"/>
      <c r="F1273" s="126" t="s">
        <v>1274</v>
      </c>
      <c r="G1273" s="126"/>
      <c r="H1273" s="126" t="s">
        <v>7</v>
      </c>
      <c r="I1273" s="126">
        <v>6094</v>
      </c>
      <c r="J1273" s="126" t="s">
        <v>800</v>
      </c>
      <c r="K1273" s="126"/>
      <c r="L1273" s="126"/>
      <c r="M1273" s="126" t="s">
        <v>57</v>
      </c>
      <c r="N1273" s="126" t="s">
        <v>58</v>
      </c>
      <c r="O1273" s="127">
        <v>31382</v>
      </c>
      <c r="P1273" s="126"/>
      <c r="Q1273" s="126"/>
      <c r="R1273" s="126">
        <v>17.04</v>
      </c>
      <c r="S1273" s="126" t="s">
        <v>48</v>
      </c>
    </row>
    <row r="1274" spans="1:19" ht="29.25" x14ac:dyDescent="0.25">
      <c r="A1274" s="126">
        <v>44621</v>
      </c>
      <c r="B1274" s="126" t="s">
        <v>106</v>
      </c>
      <c r="C1274" s="126" t="s">
        <v>49</v>
      </c>
      <c r="D1274" s="126" t="s">
        <v>40</v>
      </c>
      <c r="E1274" s="126"/>
      <c r="F1274" s="126" t="s">
        <v>1277</v>
      </c>
      <c r="G1274" s="126"/>
      <c r="H1274" s="126" t="s">
        <v>7</v>
      </c>
      <c r="I1274" s="126">
        <v>6087</v>
      </c>
      <c r="J1274" s="126" t="s">
        <v>800</v>
      </c>
      <c r="K1274" s="126"/>
      <c r="L1274" s="126"/>
      <c r="M1274" s="126" t="s">
        <v>57</v>
      </c>
      <c r="N1274" s="126" t="s">
        <v>58</v>
      </c>
      <c r="O1274" s="127">
        <v>31399</v>
      </c>
      <c r="P1274" s="126"/>
      <c r="Q1274" s="126"/>
      <c r="R1274" s="126">
        <v>31.51</v>
      </c>
      <c r="S1274" s="126" t="s">
        <v>48</v>
      </c>
    </row>
    <row r="1275" spans="1:19" ht="29.25" x14ac:dyDescent="0.25">
      <c r="A1275" s="126">
        <v>44620</v>
      </c>
      <c r="B1275" s="126" t="s">
        <v>106</v>
      </c>
      <c r="C1275" s="126" t="s">
        <v>49</v>
      </c>
      <c r="D1275" s="126" t="s">
        <v>40</v>
      </c>
      <c r="E1275" s="126"/>
      <c r="F1275" s="126" t="s">
        <v>1271</v>
      </c>
      <c r="G1275" s="126"/>
      <c r="H1275" s="126" t="s">
        <v>7</v>
      </c>
      <c r="I1275" s="126">
        <v>6058</v>
      </c>
      <c r="J1275" s="126" t="s">
        <v>800</v>
      </c>
      <c r="K1275" s="126"/>
      <c r="L1275" s="126"/>
      <c r="M1275" s="126" t="s">
        <v>57</v>
      </c>
      <c r="N1275" s="126" t="s">
        <v>58</v>
      </c>
      <c r="O1275" s="127">
        <v>31375</v>
      </c>
      <c r="P1275" s="126"/>
      <c r="Q1275" s="126"/>
      <c r="R1275" s="126">
        <v>9.8000000000000007</v>
      </c>
      <c r="S1275" s="126" t="s">
        <v>48</v>
      </c>
    </row>
    <row r="1276" spans="1:19" ht="29.25" x14ac:dyDescent="0.25">
      <c r="A1276" s="126">
        <v>44619</v>
      </c>
      <c r="B1276" s="126" t="s">
        <v>106</v>
      </c>
      <c r="C1276" s="126" t="s">
        <v>49</v>
      </c>
      <c r="D1276" s="126" t="s">
        <v>40</v>
      </c>
      <c r="E1276" s="126"/>
      <c r="F1276" s="126" t="s">
        <v>953</v>
      </c>
      <c r="G1276" s="126"/>
      <c r="H1276" s="126" t="s">
        <v>7</v>
      </c>
      <c r="I1276" s="126">
        <v>6009</v>
      </c>
      <c r="J1276" s="126" t="s">
        <v>800</v>
      </c>
      <c r="K1276" s="126"/>
      <c r="L1276" s="126"/>
      <c r="M1276" s="126" t="s">
        <v>57</v>
      </c>
      <c r="N1276" s="126" t="s">
        <v>58</v>
      </c>
      <c r="O1276" s="127">
        <v>30376</v>
      </c>
      <c r="P1276" s="126"/>
      <c r="Q1276" s="126"/>
      <c r="R1276" s="126">
        <v>4.04</v>
      </c>
      <c r="S1276" s="126" t="s">
        <v>48</v>
      </c>
    </row>
    <row r="1277" spans="1:19" ht="29.25" x14ac:dyDescent="0.25">
      <c r="A1277" s="126">
        <v>44618</v>
      </c>
      <c r="B1277" s="126" t="s">
        <v>106</v>
      </c>
      <c r="C1277" s="126" t="s">
        <v>49</v>
      </c>
      <c r="D1277" s="126" t="s">
        <v>40</v>
      </c>
      <c r="E1277" s="126"/>
      <c r="F1277" s="126" t="s">
        <v>1210</v>
      </c>
      <c r="G1277" s="126"/>
      <c r="H1277" s="126" t="s">
        <v>7</v>
      </c>
      <c r="I1277" s="126">
        <v>6051</v>
      </c>
      <c r="J1277" s="126" t="s">
        <v>800</v>
      </c>
      <c r="K1277" s="126"/>
      <c r="L1277" s="126"/>
      <c r="M1277" s="126" t="s">
        <v>57</v>
      </c>
      <c r="N1277" s="126" t="s">
        <v>58</v>
      </c>
      <c r="O1277" s="127">
        <v>31057</v>
      </c>
      <c r="P1277" s="126"/>
      <c r="Q1277" s="126"/>
      <c r="R1277" s="126">
        <v>13.3</v>
      </c>
      <c r="S1277" s="126" t="s">
        <v>48</v>
      </c>
    </row>
    <row r="1278" spans="1:19" ht="29.25" x14ac:dyDescent="0.25">
      <c r="A1278" s="126">
        <v>44617</v>
      </c>
      <c r="B1278" s="126" t="s">
        <v>106</v>
      </c>
      <c r="C1278" s="126" t="s">
        <v>49</v>
      </c>
      <c r="D1278" s="126" t="s">
        <v>40</v>
      </c>
      <c r="E1278" s="126"/>
      <c r="F1278" s="126" t="s">
        <v>1275</v>
      </c>
      <c r="G1278" s="126"/>
      <c r="H1278" s="126" t="s">
        <v>7</v>
      </c>
      <c r="I1278" s="126">
        <v>6112</v>
      </c>
      <c r="J1278" s="126" t="s">
        <v>800</v>
      </c>
      <c r="K1278" s="126"/>
      <c r="L1278" s="126"/>
      <c r="M1278" s="126" t="s">
        <v>57</v>
      </c>
      <c r="N1278" s="126" t="s">
        <v>58</v>
      </c>
      <c r="O1278" s="127">
        <v>31382</v>
      </c>
      <c r="P1278" s="126"/>
      <c r="Q1278" s="126"/>
      <c r="R1278" s="126">
        <v>19.05</v>
      </c>
      <c r="S1278" s="126" t="s">
        <v>48</v>
      </c>
    </row>
    <row r="1279" spans="1:19" ht="29.25" x14ac:dyDescent="0.25">
      <c r="A1279" s="126">
        <v>44616</v>
      </c>
      <c r="B1279" s="126" t="s">
        <v>106</v>
      </c>
      <c r="C1279" s="126" t="s">
        <v>49</v>
      </c>
      <c r="D1279" s="126" t="s">
        <v>40</v>
      </c>
      <c r="E1279" s="126"/>
      <c r="F1279" s="126" t="s">
        <v>1209</v>
      </c>
      <c r="G1279" s="126"/>
      <c r="H1279" s="126" t="s">
        <v>7</v>
      </c>
      <c r="I1279" s="126">
        <v>6052</v>
      </c>
      <c r="J1279" s="126" t="s">
        <v>800</v>
      </c>
      <c r="K1279" s="126"/>
      <c r="L1279" s="126"/>
      <c r="M1279" s="126" t="s">
        <v>57</v>
      </c>
      <c r="N1279" s="126" t="s">
        <v>58</v>
      </c>
      <c r="O1279" s="127">
        <v>31054</v>
      </c>
      <c r="P1279" s="126"/>
      <c r="Q1279" s="126"/>
      <c r="R1279" s="126">
        <v>4.9000000000000004</v>
      </c>
      <c r="S1279" s="126" t="s">
        <v>48</v>
      </c>
    </row>
    <row r="1280" spans="1:19" ht="29.25" x14ac:dyDescent="0.25">
      <c r="A1280" s="126">
        <v>44613</v>
      </c>
      <c r="B1280" s="126" t="s">
        <v>106</v>
      </c>
      <c r="C1280" s="126" t="s">
        <v>49</v>
      </c>
      <c r="D1280" s="126" t="s">
        <v>40</v>
      </c>
      <c r="E1280" s="126"/>
      <c r="F1280" s="126" t="s">
        <v>1294</v>
      </c>
      <c r="G1280" s="126"/>
      <c r="H1280" s="126" t="s">
        <v>7</v>
      </c>
      <c r="I1280" s="126">
        <v>6031</v>
      </c>
      <c r="J1280" s="126" t="s">
        <v>800</v>
      </c>
      <c r="K1280" s="126"/>
      <c r="L1280" s="126"/>
      <c r="M1280" s="126" t="s">
        <v>57</v>
      </c>
      <c r="N1280" s="126" t="s">
        <v>58</v>
      </c>
      <c r="O1280" s="127">
        <v>31412</v>
      </c>
      <c r="P1280" s="126"/>
      <c r="Q1280" s="126"/>
      <c r="R1280" s="126">
        <v>24.48</v>
      </c>
      <c r="S1280" s="126" t="s">
        <v>48</v>
      </c>
    </row>
    <row r="1281" spans="1:19" x14ac:dyDescent="0.25">
      <c r="A1281" s="126">
        <v>44611</v>
      </c>
      <c r="B1281" s="126" t="s">
        <v>106</v>
      </c>
      <c r="C1281" s="126" t="s">
        <v>49</v>
      </c>
      <c r="D1281" s="126" t="s">
        <v>40</v>
      </c>
      <c r="E1281" s="126"/>
      <c r="F1281" s="126" t="s">
        <v>1278</v>
      </c>
      <c r="G1281" s="126"/>
      <c r="H1281" s="126" t="s">
        <v>7</v>
      </c>
      <c r="I1281" s="126">
        <v>6088</v>
      </c>
      <c r="J1281" s="126" t="s">
        <v>800</v>
      </c>
      <c r="K1281" s="126"/>
      <c r="L1281" s="126"/>
      <c r="M1281" s="126" t="s">
        <v>57</v>
      </c>
      <c r="N1281" s="126" t="s">
        <v>58</v>
      </c>
      <c r="O1281" s="127">
        <v>31399</v>
      </c>
      <c r="P1281" s="126"/>
      <c r="Q1281" s="126"/>
      <c r="R1281" s="126">
        <v>14.96</v>
      </c>
      <c r="S1281" s="126" t="s">
        <v>48</v>
      </c>
    </row>
    <row r="1282" spans="1:19" ht="29.25" x14ac:dyDescent="0.25">
      <c r="A1282" s="126">
        <v>44609</v>
      </c>
      <c r="B1282" s="126" t="s">
        <v>106</v>
      </c>
      <c r="C1282" s="126" t="s">
        <v>49</v>
      </c>
      <c r="D1282" s="126" t="s">
        <v>40</v>
      </c>
      <c r="E1282" s="126"/>
      <c r="F1282" s="126" t="s">
        <v>1404</v>
      </c>
      <c r="G1282" s="126"/>
      <c r="H1282" s="126" t="s">
        <v>7</v>
      </c>
      <c r="I1282" s="126">
        <v>4025</v>
      </c>
      <c r="J1282" s="126" t="s">
        <v>44</v>
      </c>
      <c r="K1282" s="126"/>
      <c r="L1282" s="126"/>
      <c r="M1282" s="126" t="s">
        <v>57</v>
      </c>
      <c r="N1282" s="126" t="s">
        <v>58</v>
      </c>
      <c r="O1282" s="127">
        <v>31513</v>
      </c>
      <c r="P1282" s="126"/>
      <c r="Q1282" s="126"/>
      <c r="R1282" s="126">
        <v>1</v>
      </c>
      <c r="S1282" s="126" t="s">
        <v>48</v>
      </c>
    </row>
    <row r="1283" spans="1:19" ht="29.25" x14ac:dyDescent="0.25">
      <c r="A1283" s="126">
        <v>44606</v>
      </c>
      <c r="B1283" s="126" t="s">
        <v>106</v>
      </c>
      <c r="C1283" s="126" t="s">
        <v>49</v>
      </c>
      <c r="D1283" s="126" t="s">
        <v>40</v>
      </c>
      <c r="E1283" s="126"/>
      <c r="F1283" s="126" t="s">
        <v>973</v>
      </c>
      <c r="G1283" s="126"/>
      <c r="H1283" s="126" t="s">
        <v>7</v>
      </c>
      <c r="I1283" s="126">
        <v>1012</v>
      </c>
      <c r="J1283" s="126" t="s">
        <v>807</v>
      </c>
      <c r="K1283" s="126"/>
      <c r="L1283" s="126" t="s">
        <v>974</v>
      </c>
      <c r="M1283" s="126" t="s">
        <v>57</v>
      </c>
      <c r="N1283" s="126" t="s">
        <v>58</v>
      </c>
      <c r="O1283" s="127">
        <v>30441</v>
      </c>
      <c r="P1283" s="126"/>
      <c r="Q1283" s="126"/>
      <c r="R1283" s="126">
        <v>0.25</v>
      </c>
      <c r="S1283" s="126" t="s">
        <v>48</v>
      </c>
    </row>
    <row r="1284" spans="1:19" ht="43.5" x14ac:dyDescent="0.25">
      <c r="A1284" s="126">
        <v>44603</v>
      </c>
      <c r="B1284" s="126" t="s">
        <v>106</v>
      </c>
      <c r="C1284" s="126" t="s">
        <v>49</v>
      </c>
      <c r="D1284" s="126" t="s">
        <v>40</v>
      </c>
      <c r="E1284" s="126"/>
      <c r="F1284" s="126" t="s">
        <v>1478</v>
      </c>
      <c r="G1284" s="126"/>
      <c r="H1284" s="126" t="s">
        <v>7</v>
      </c>
      <c r="I1284" s="126">
        <v>6213</v>
      </c>
      <c r="J1284" s="126" t="s">
        <v>800</v>
      </c>
      <c r="K1284" s="126"/>
      <c r="L1284" s="126"/>
      <c r="M1284" s="126" t="s">
        <v>57</v>
      </c>
      <c r="N1284" s="126" t="s">
        <v>58</v>
      </c>
      <c r="O1284" s="127">
        <v>31768</v>
      </c>
      <c r="P1284" s="126"/>
      <c r="Q1284" s="126"/>
      <c r="R1284" s="126">
        <v>15.97</v>
      </c>
      <c r="S1284" s="126" t="s">
        <v>48</v>
      </c>
    </row>
    <row r="1285" spans="1:19" ht="29.25" x14ac:dyDescent="0.25">
      <c r="A1285" s="126">
        <v>44601</v>
      </c>
      <c r="B1285" s="126" t="s">
        <v>106</v>
      </c>
      <c r="C1285" s="126" t="s">
        <v>49</v>
      </c>
      <c r="D1285" s="126" t="s">
        <v>40</v>
      </c>
      <c r="E1285" s="126"/>
      <c r="F1285" s="126" t="s">
        <v>2279</v>
      </c>
      <c r="G1285" s="126"/>
      <c r="H1285" s="126" t="s">
        <v>7</v>
      </c>
      <c r="I1285" s="126">
        <v>6090</v>
      </c>
      <c r="J1285" s="126" t="s">
        <v>800</v>
      </c>
      <c r="K1285" s="126"/>
      <c r="L1285" s="126"/>
      <c r="M1285" s="126" t="s">
        <v>57</v>
      </c>
      <c r="N1285" s="126" t="s">
        <v>58</v>
      </c>
      <c r="O1285" s="127">
        <v>36160</v>
      </c>
      <c r="P1285" s="126"/>
      <c r="Q1285" s="126"/>
      <c r="R1285" s="126">
        <v>28.17</v>
      </c>
      <c r="S1285" s="126" t="s">
        <v>48</v>
      </c>
    </row>
    <row r="1286" spans="1:19" ht="29.25" x14ac:dyDescent="0.25">
      <c r="A1286" s="126">
        <v>44624</v>
      </c>
      <c r="B1286" s="126" t="s">
        <v>106</v>
      </c>
      <c r="C1286" s="126" t="s">
        <v>49</v>
      </c>
      <c r="D1286" s="126" t="s">
        <v>40</v>
      </c>
      <c r="E1286" s="126"/>
      <c r="F1286" s="126" t="s">
        <v>1219</v>
      </c>
      <c r="G1286" s="126"/>
      <c r="H1286" s="126" t="s">
        <v>7</v>
      </c>
      <c r="I1286" s="126">
        <v>6056</v>
      </c>
      <c r="J1286" s="126" t="s">
        <v>800</v>
      </c>
      <c r="K1286" s="126"/>
      <c r="L1286" s="126"/>
      <c r="M1286" s="126" t="s">
        <v>57</v>
      </c>
      <c r="N1286" s="126" t="s">
        <v>58</v>
      </c>
      <c r="O1286" s="127">
        <v>31121</v>
      </c>
      <c r="P1286" s="126"/>
      <c r="Q1286" s="126"/>
      <c r="R1286" s="126">
        <v>10.47</v>
      </c>
      <c r="S1286" s="126" t="s">
        <v>48</v>
      </c>
    </row>
    <row r="1287" spans="1:19" x14ac:dyDescent="0.25">
      <c r="A1287" s="126">
        <v>44614</v>
      </c>
      <c r="B1287" s="126" t="s">
        <v>106</v>
      </c>
      <c r="C1287" s="126" t="s">
        <v>49</v>
      </c>
      <c r="D1287" s="126" t="s">
        <v>40</v>
      </c>
      <c r="E1287" s="126"/>
      <c r="F1287" s="126" t="s">
        <v>2047</v>
      </c>
      <c r="G1287" s="126"/>
      <c r="H1287" s="126" t="s">
        <v>7</v>
      </c>
      <c r="I1287" s="126">
        <v>6095</v>
      </c>
      <c r="J1287" s="126" t="s">
        <v>800</v>
      </c>
      <c r="K1287" s="126"/>
      <c r="L1287" s="126"/>
      <c r="M1287" s="126" t="s">
        <v>57</v>
      </c>
      <c r="N1287" s="126" t="s">
        <v>58</v>
      </c>
      <c r="O1287" s="127">
        <v>32976</v>
      </c>
      <c r="P1287" s="126"/>
      <c r="Q1287" s="126"/>
      <c r="R1287" s="126">
        <v>8</v>
      </c>
      <c r="S1287" s="126" t="s">
        <v>48</v>
      </c>
    </row>
    <row r="1288" spans="1:19" x14ac:dyDescent="0.25">
      <c r="A1288" s="126">
        <v>44628</v>
      </c>
      <c r="B1288" s="126" t="s">
        <v>106</v>
      </c>
      <c r="C1288" s="126" t="s">
        <v>49</v>
      </c>
      <c r="D1288" s="126" t="s">
        <v>40</v>
      </c>
      <c r="E1288" s="126"/>
      <c r="F1288" s="126" t="s">
        <v>1295</v>
      </c>
      <c r="G1288" s="126"/>
      <c r="H1288" s="126" t="s">
        <v>7</v>
      </c>
      <c r="I1288" s="126">
        <v>6096</v>
      </c>
      <c r="J1288" s="126" t="s">
        <v>800</v>
      </c>
      <c r="K1288" s="126" t="s">
        <v>800</v>
      </c>
      <c r="L1288" s="126" t="s">
        <v>800</v>
      </c>
      <c r="M1288" s="126" t="s">
        <v>57</v>
      </c>
      <c r="N1288" s="126" t="s">
        <v>58</v>
      </c>
      <c r="O1288" s="127">
        <v>31412</v>
      </c>
      <c r="P1288" s="126"/>
      <c r="Q1288" s="126"/>
      <c r="R1288" s="126">
        <v>15.66</v>
      </c>
      <c r="S1288" s="126" t="s">
        <v>48</v>
      </c>
    </row>
    <row r="1289" spans="1:19" ht="29.25" x14ac:dyDescent="0.25">
      <c r="A1289" s="126">
        <v>44801</v>
      </c>
      <c r="B1289" s="126" t="s">
        <v>106</v>
      </c>
      <c r="C1289" s="126" t="s">
        <v>49</v>
      </c>
      <c r="D1289" s="126" t="s">
        <v>40</v>
      </c>
      <c r="E1289" s="126"/>
      <c r="F1289" s="126" t="s">
        <v>1808</v>
      </c>
      <c r="G1289" s="126"/>
      <c r="H1289" s="126" t="s">
        <v>162</v>
      </c>
      <c r="I1289" s="126">
        <v>233</v>
      </c>
      <c r="J1289" s="126" t="s">
        <v>713</v>
      </c>
      <c r="K1289" s="126" t="s">
        <v>599</v>
      </c>
      <c r="L1289" s="126" t="s">
        <v>259</v>
      </c>
      <c r="M1289" s="126" t="s">
        <v>57</v>
      </c>
      <c r="N1289" s="126" t="s">
        <v>163</v>
      </c>
      <c r="O1289" s="127">
        <v>32509</v>
      </c>
      <c r="P1289" s="126"/>
      <c r="Q1289" s="126"/>
      <c r="R1289" s="126">
        <v>38.4</v>
      </c>
      <c r="S1289" s="126" t="s">
        <v>48</v>
      </c>
    </row>
    <row r="1290" spans="1:19" ht="29.25" x14ac:dyDescent="0.25">
      <c r="A1290" s="126">
        <v>44802</v>
      </c>
      <c r="B1290" s="126" t="s">
        <v>106</v>
      </c>
      <c r="C1290" s="126" t="s">
        <v>49</v>
      </c>
      <c r="D1290" s="126" t="s">
        <v>40</v>
      </c>
      <c r="E1290" s="126"/>
      <c r="F1290" s="126" t="s">
        <v>1808</v>
      </c>
      <c r="G1290" s="126"/>
      <c r="H1290" s="126" t="s">
        <v>162</v>
      </c>
      <c r="I1290" s="126">
        <v>233</v>
      </c>
      <c r="J1290" s="126" t="s">
        <v>713</v>
      </c>
      <c r="K1290" s="126" t="s">
        <v>385</v>
      </c>
      <c r="L1290" s="126" t="s">
        <v>731</v>
      </c>
      <c r="M1290" s="126" t="s">
        <v>57</v>
      </c>
      <c r="N1290" s="126" t="s">
        <v>163</v>
      </c>
      <c r="O1290" s="127">
        <v>32509</v>
      </c>
      <c r="P1290" s="126"/>
      <c r="Q1290" s="126"/>
      <c r="R1290" s="126">
        <v>10.199999999999999</v>
      </c>
      <c r="S1290" s="126" t="s">
        <v>48</v>
      </c>
    </row>
    <row r="1291" spans="1:19" ht="43.5" x14ac:dyDescent="0.25">
      <c r="A1291" s="126">
        <v>45502</v>
      </c>
      <c r="B1291" s="126" t="s">
        <v>106</v>
      </c>
      <c r="C1291" s="126" t="s">
        <v>49</v>
      </c>
      <c r="D1291" s="126" t="s">
        <v>40</v>
      </c>
      <c r="E1291" s="126"/>
      <c r="F1291" s="126" t="s">
        <v>2186</v>
      </c>
      <c r="G1291" s="126"/>
      <c r="H1291" s="126" t="s">
        <v>7</v>
      </c>
      <c r="I1291" s="126">
        <v>2460</v>
      </c>
      <c r="J1291" s="126" t="s">
        <v>713</v>
      </c>
      <c r="K1291" s="126"/>
      <c r="L1291" s="126"/>
      <c r="M1291" s="126" t="s">
        <v>57</v>
      </c>
      <c r="N1291" s="126" t="s">
        <v>58</v>
      </c>
      <c r="O1291" s="127">
        <v>34136</v>
      </c>
      <c r="P1291" s="126"/>
      <c r="Q1291" s="126"/>
      <c r="R1291" s="126">
        <v>4.5</v>
      </c>
      <c r="S1291" s="126" t="s">
        <v>48</v>
      </c>
    </row>
    <row r="1292" spans="1:19" ht="43.5" x14ac:dyDescent="0.25">
      <c r="A1292" s="126">
        <v>45503</v>
      </c>
      <c r="B1292" s="126" t="s">
        <v>106</v>
      </c>
      <c r="C1292" s="126" t="s">
        <v>49</v>
      </c>
      <c r="D1292" s="126" t="s">
        <v>40</v>
      </c>
      <c r="E1292" s="126"/>
      <c r="F1292" s="126" t="s">
        <v>2187</v>
      </c>
      <c r="G1292" s="126"/>
      <c r="H1292" s="126" t="s">
        <v>7</v>
      </c>
      <c r="I1292" s="126">
        <v>1098</v>
      </c>
      <c r="J1292" s="126" t="s">
        <v>807</v>
      </c>
      <c r="K1292" s="126"/>
      <c r="L1292" s="126"/>
      <c r="M1292" s="126" t="s">
        <v>57</v>
      </c>
      <c r="N1292" s="126" t="s">
        <v>58</v>
      </c>
      <c r="O1292" s="127">
        <v>34177</v>
      </c>
      <c r="P1292" s="126"/>
      <c r="Q1292" s="126"/>
      <c r="R1292" s="126">
        <v>8.8000000000000007</v>
      </c>
      <c r="S1292" s="126" t="s">
        <v>48</v>
      </c>
    </row>
    <row r="1293" spans="1:19" x14ac:dyDescent="0.25">
      <c r="A1293" s="126">
        <v>45504</v>
      </c>
      <c r="B1293" s="126" t="s">
        <v>106</v>
      </c>
      <c r="C1293" s="126" t="s">
        <v>49</v>
      </c>
      <c r="D1293" s="126" t="s">
        <v>40</v>
      </c>
      <c r="E1293" s="126"/>
      <c r="F1293" s="126" t="s">
        <v>1834</v>
      </c>
      <c r="G1293" s="126"/>
      <c r="H1293" s="126" t="s">
        <v>7</v>
      </c>
      <c r="I1293" s="126">
        <v>2366</v>
      </c>
      <c r="J1293" s="126" t="s">
        <v>713</v>
      </c>
      <c r="K1293" s="126"/>
      <c r="L1293" s="126"/>
      <c r="M1293" s="126" t="s">
        <v>57</v>
      </c>
      <c r="N1293" s="126" t="s">
        <v>58</v>
      </c>
      <c r="O1293" s="127">
        <v>32533</v>
      </c>
      <c r="P1293" s="126"/>
      <c r="Q1293" s="126"/>
      <c r="R1293" s="126">
        <v>0.06</v>
      </c>
      <c r="S1293" s="126" t="s">
        <v>48</v>
      </c>
    </row>
    <row r="1294" spans="1:19" x14ac:dyDescent="0.25">
      <c r="A1294" s="126">
        <v>45505</v>
      </c>
      <c r="B1294" s="126" t="s">
        <v>106</v>
      </c>
      <c r="C1294" s="126" t="s">
        <v>49</v>
      </c>
      <c r="D1294" s="126" t="s">
        <v>40</v>
      </c>
      <c r="E1294" s="126"/>
      <c r="F1294" s="126" t="s">
        <v>1559</v>
      </c>
      <c r="G1294" s="126"/>
      <c r="H1294" s="126" t="s">
        <v>7</v>
      </c>
      <c r="I1294" s="126">
        <v>2258</v>
      </c>
      <c r="J1294" s="126" t="s">
        <v>713</v>
      </c>
      <c r="K1294" s="126"/>
      <c r="L1294" s="126"/>
      <c r="M1294" s="126" t="s">
        <v>57</v>
      </c>
      <c r="N1294" s="126" t="s">
        <v>58</v>
      </c>
      <c r="O1294" s="127">
        <v>31792</v>
      </c>
      <c r="P1294" s="126"/>
      <c r="Q1294" s="126"/>
      <c r="R1294" s="126">
        <v>0.09</v>
      </c>
      <c r="S1294" s="126" t="s">
        <v>48</v>
      </c>
    </row>
    <row r="1295" spans="1:19" ht="29.25" x14ac:dyDescent="0.25">
      <c r="A1295" s="126">
        <v>45802</v>
      </c>
      <c r="B1295" s="126" t="s">
        <v>106</v>
      </c>
      <c r="C1295" s="126" t="s">
        <v>49</v>
      </c>
      <c r="D1295" s="126" t="s">
        <v>40</v>
      </c>
      <c r="E1295" s="126"/>
      <c r="F1295" s="126" t="s">
        <v>3263</v>
      </c>
      <c r="G1295" s="126"/>
      <c r="H1295" s="126" t="s">
        <v>7</v>
      </c>
      <c r="I1295" s="126">
        <v>4100</v>
      </c>
      <c r="J1295" s="126" t="s">
        <v>44</v>
      </c>
      <c r="K1295" s="126" t="s">
        <v>44</v>
      </c>
      <c r="L1295" s="126" t="s">
        <v>45</v>
      </c>
      <c r="M1295" s="126" t="s">
        <v>57</v>
      </c>
      <c r="N1295" s="126" t="s">
        <v>58</v>
      </c>
      <c r="O1295" s="126"/>
      <c r="P1295" s="126"/>
      <c r="Q1295" s="126"/>
      <c r="R1295" s="126">
        <v>0.08</v>
      </c>
      <c r="S1295" s="126" t="s">
        <v>48</v>
      </c>
    </row>
    <row r="1296" spans="1:19" x14ac:dyDescent="0.25">
      <c r="A1296" s="126">
        <v>45801</v>
      </c>
      <c r="B1296" s="126" t="s">
        <v>106</v>
      </c>
      <c r="C1296" s="126" t="s">
        <v>49</v>
      </c>
      <c r="D1296" s="126" t="s">
        <v>40</v>
      </c>
      <c r="E1296" s="126"/>
      <c r="F1296" s="126" t="s">
        <v>1260</v>
      </c>
      <c r="G1296" s="126"/>
      <c r="H1296" s="126" t="s">
        <v>7</v>
      </c>
      <c r="I1296" s="126">
        <v>2045</v>
      </c>
      <c r="J1296" s="126" t="s">
        <v>713</v>
      </c>
      <c r="K1296" s="126" t="s">
        <v>599</v>
      </c>
      <c r="L1296" s="126" t="s">
        <v>259</v>
      </c>
      <c r="M1296" s="126" t="s">
        <v>57</v>
      </c>
      <c r="N1296" s="126" t="s">
        <v>58</v>
      </c>
      <c r="O1296" s="127">
        <v>31291</v>
      </c>
      <c r="P1296" s="126"/>
      <c r="Q1296" s="126"/>
      <c r="R1296" s="126">
        <v>36.700000000000003</v>
      </c>
      <c r="S1296" s="126" t="s">
        <v>48</v>
      </c>
    </row>
    <row r="1297" spans="1:19" ht="29.25" x14ac:dyDescent="0.25">
      <c r="A1297" s="126">
        <v>60700</v>
      </c>
      <c r="B1297" s="126" t="s">
        <v>106</v>
      </c>
      <c r="C1297" s="126" t="s">
        <v>49</v>
      </c>
      <c r="D1297" s="126" t="s">
        <v>40</v>
      </c>
      <c r="E1297" s="126" t="s">
        <v>1758</v>
      </c>
      <c r="F1297" s="126" t="s">
        <v>1759</v>
      </c>
      <c r="G1297" s="126">
        <v>7</v>
      </c>
      <c r="H1297" s="126" t="s">
        <v>43</v>
      </c>
      <c r="I1297" s="126" t="s">
        <v>1760</v>
      </c>
      <c r="J1297" s="126" t="s">
        <v>713</v>
      </c>
      <c r="K1297" s="126" t="s">
        <v>599</v>
      </c>
      <c r="L1297" s="126" t="s">
        <v>259</v>
      </c>
      <c r="M1297" s="126" t="s">
        <v>212</v>
      </c>
      <c r="N1297" s="126" t="s">
        <v>213</v>
      </c>
      <c r="O1297" s="127">
        <v>32388</v>
      </c>
      <c r="P1297" s="126" t="s">
        <v>1110</v>
      </c>
      <c r="Q1297" s="126"/>
      <c r="R1297" s="126">
        <v>7</v>
      </c>
      <c r="S1297" s="126" t="s">
        <v>48</v>
      </c>
    </row>
    <row r="1298" spans="1:19" ht="29.25" x14ac:dyDescent="0.25">
      <c r="A1298" s="126">
        <v>34300</v>
      </c>
      <c r="B1298" s="126" t="s">
        <v>106</v>
      </c>
      <c r="C1298" s="126" t="s">
        <v>49</v>
      </c>
      <c r="D1298" s="126" t="s">
        <v>40</v>
      </c>
      <c r="E1298" s="126" t="s">
        <v>1107</v>
      </c>
      <c r="F1298" s="126" t="s">
        <v>1108</v>
      </c>
      <c r="G1298" s="126">
        <v>6</v>
      </c>
      <c r="H1298" s="126" t="s">
        <v>43</v>
      </c>
      <c r="I1298" s="126" t="s">
        <v>1109</v>
      </c>
      <c r="J1298" s="126" t="s">
        <v>314</v>
      </c>
      <c r="K1298" s="126" t="s">
        <v>599</v>
      </c>
      <c r="L1298" s="126" t="s">
        <v>259</v>
      </c>
      <c r="M1298" s="126" t="s">
        <v>212</v>
      </c>
      <c r="N1298" s="126" t="s">
        <v>213</v>
      </c>
      <c r="O1298" s="127">
        <v>30944</v>
      </c>
      <c r="P1298" s="126" t="s">
        <v>1110</v>
      </c>
      <c r="Q1298" s="126"/>
      <c r="R1298" s="126">
        <v>6</v>
      </c>
      <c r="S1298" s="126" t="s">
        <v>48</v>
      </c>
    </row>
    <row r="1299" spans="1:19" ht="29.25" x14ac:dyDescent="0.25">
      <c r="A1299" s="126">
        <v>56901</v>
      </c>
      <c r="B1299" s="126" t="s">
        <v>106</v>
      </c>
      <c r="C1299" s="126" t="s">
        <v>49</v>
      </c>
      <c r="D1299" s="126" t="s">
        <v>40</v>
      </c>
      <c r="E1299" s="126" t="s">
        <v>1739</v>
      </c>
      <c r="F1299" s="126" t="s">
        <v>1740</v>
      </c>
      <c r="G1299" s="126">
        <v>4.25</v>
      </c>
      <c r="H1299" s="126" t="s">
        <v>43</v>
      </c>
      <c r="I1299" s="126" t="s">
        <v>1741</v>
      </c>
      <c r="J1299" s="126" t="s">
        <v>713</v>
      </c>
      <c r="K1299" s="126"/>
      <c r="L1299" s="126" t="s">
        <v>259</v>
      </c>
      <c r="M1299" s="126" t="s">
        <v>212</v>
      </c>
      <c r="N1299" s="126" t="s">
        <v>213</v>
      </c>
      <c r="O1299" s="127">
        <v>32313</v>
      </c>
      <c r="P1299" s="126" t="s">
        <v>1110</v>
      </c>
      <c r="Q1299" s="126"/>
      <c r="R1299" s="126">
        <v>4.25</v>
      </c>
      <c r="S1299" s="126" t="s">
        <v>48</v>
      </c>
    </row>
    <row r="1300" spans="1:19" ht="43.5" x14ac:dyDescent="0.25">
      <c r="A1300" s="126">
        <v>50801</v>
      </c>
      <c r="B1300" s="126" t="s">
        <v>106</v>
      </c>
      <c r="C1300" s="126" t="s">
        <v>49</v>
      </c>
      <c r="D1300" s="126" t="s">
        <v>40</v>
      </c>
      <c r="E1300" s="126"/>
      <c r="F1300" s="126" t="s">
        <v>1367</v>
      </c>
      <c r="G1300" s="126"/>
      <c r="H1300" s="126" t="s">
        <v>43</v>
      </c>
      <c r="I1300" s="126" t="s">
        <v>1368</v>
      </c>
      <c r="J1300" s="126" t="s">
        <v>44</v>
      </c>
      <c r="K1300" s="126" t="s">
        <v>44</v>
      </c>
      <c r="L1300" s="126" t="s">
        <v>45</v>
      </c>
      <c r="M1300" s="126" t="s">
        <v>46</v>
      </c>
      <c r="N1300" s="126" t="s">
        <v>178</v>
      </c>
      <c r="O1300" s="127">
        <v>31427</v>
      </c>
      <c r="P1300" s="126" t="s">
        <v>1369</v>
      </c>
      <c r="Q1300" s="126"/>
      <c r="R1300" s="126">
        <v>0.03</v>
      </c>
      <c r="S1300" s="126" t="s">
        <v>48</v>
      </c>
    </row>
    <row r="1301" spans="1:19" ht="43.5" x14ac:dyDescent="0.25">
      <c r="A1301" s="126">
        <v>47103</v>
      </c>
      <c r="B1301" s="126" t="s">
        <v>106</v>
      </c>
      <c r="C1301" s="126" t="s">
        <v>49</v>
      </c>
      <c r="D1301" s="126" t="s">
        <v>40</v>
      </c>
      <c r="E1301" s="126"/>
      <c r="F1301" s="126" t="s">
        <v>1136</v>
      </c>
      <c r="G1301" s="126">
        <v>1.25</v>
      </c>
      <c r="H1301" s="126" t="s">
        <v>43</v>
      </c>
      <c r="I1301" s="126" t="s">
        <v>1137</v>
      </c>
      <c r="J1301" s="126" t="s">
        <v>44</v>
      </c>
      <c r="K1301" s="126" t="s">
        <v>44</v>
      </c>
      <c r="L1301" s="126" t="s">
        <v>45</v>
      </c>
      <c r="M1301" s="126" t="s">
        <v>46</v>
      </c>
      <c r="N1301" s="126" t="s">
        <v>47</v>
      </c>
      <c r="O1301" s="127">
        <v>31044</v>
      </c>
      <c r="P1301" s="126" t="s">
        <v>1138</v>
      </c>
      <c r="Q1301" s="126"/>
      <c r="R1301" s="126">
        <v>1.25</v>
      </c>
      <c r="S1301" s="126" t="s">
        <v>48</v>
      </c>
    </row>
    <row r="1302" spans="1:19" x14ac:dyDescent="0.25">
      <c r="A1302" s="126">
        <v>47101</v>
      </c>
      <c r="B1302" s="126" t="s">
        <v>106</v>
      </c>
      <c r="C1302" s="126" t="s">
        <v>49</v>
      </c>
      <c r="D1302" s="126" t="s">
        <v>40</v>
      </c>
      <c r="E1302" s="126"/>
      <c r="F1302" s="126" t="s">
        <v>2154</v>
      </c>
      <c r="G1302" s="126"/>
      <c r="H1302" s="126" t="s">
        <v>43</v>
      </c>
      <c r="I1302" s="126" t="s">
        <v>2155</v>
      </c>
      <c r="J1302" s="126" t="s">
        <v>713</v>
      </c>
      <c r="K1302" s="126"/>
      <c r="L1302" s="126" t="s">
        <v>259</v>
      </c>
      <c r="M1302" s="126" t="s">
        <v>46</v>
      </c>
      <c r="N1302" s="126" t="s">
        <v>47</v>
      </c>
      <c r="O1302" s="127">
        <v>33843</v>
      </c>
      <c r="P1302" s="126"/>
      <c r="Q1302" s="126"/>
      <c r="R1302" s="126">
        <v>0.06</v>
      </c>
      <c r="S1302" s="126" t="s">
        <v>48</v>
      </c>
    </row>
    <row r="1303" spans="1:19" x14ac:dyDescent="0.25">
      <c r="A1303" s="126">
        <v>47102</v>
      </c>
      <c r="B1303" s="126" t="s">
        <v>106</v>
      </c>
      <c r="C1303" s="126" t="s">
        <v>49</v>
      </c>
      <c r="D1303" s="126" t="s">
        <v>40</v>
      </c>
      <c r="E1303" s="126"/>
      <c r="F1303" s="126" t="s">
        <v>1629</v>
      </c>
      <c r="G1303" s="126"/>
      <c r="H1303" s="126" t="s">
        <v>43</v>
      </c>
      <c r="I1303" s="126" t="s">
        <v>1630</v>
      </c>
      <c r="J1303" s="126" t="s">
        <v>44</v>
      </c>
      <c r="K1303" s="126" t="s">
        <v>44</v>
      </c>
      <c r="L1303" s="126" t="s">
        <v>45</v>
      </c>
      <c r="M1303" s="126" t="s">
        <v>46</v>
      </c>
      <c r="N1303" s="126" t="s">
        <v>47</v>
      </c>
      <c r="O1303" s="127">
        <v>32050</v>
      </c>
      <c r="P1303" s="126"/>
      <c r="Q1303" s="126"/>
      <c r="R1303" s="126">
        <v>0.4</v>
      </c>
      <c r="S1303" s="126" t="s">
        <v>48</v>
      </c>
    </row>
    <row r="1304" spans="1:19" x14ac:dyDescent="0.25">
      <c r="A1304" s="126">
        <v>47105</v>
      </c>
      <c r="B1304" s="126" t="s">
        <v>106</v>
      </c>
      <c r="C1304" s="126" t="s">
        <v>49</v>
      </c>
      <c r="D1304" s="126" t="s">
        <v>40</v>
      </c>
      <c r="E1304" s="126"/>
      <c r="F1304" s="126" t="s">
        <v>978</v>
      </c>
      <c r="G1304" s="126"/>
      <c r="H1304" s="126" t="s">
        <v>43</v>
      </c>
      <c r="I1304" s="126" t="s">
        <v>979</v>
      </c>
      <c r="J1304" s="126" t="s">
        <v>44</v>
      </c>
      <c r="K1304" s="126" t="s">
        <v>44</v>
      </c>
      <c r="L1304" s="126" t="s">
        <v>45</v>
      </c>
      <c r="M1304" s="126" t="s">
        <v>46</v>
      </c>
      <c r="N1304" s="126" t="s">
        <v>47</v>
      </c>
      <c r="O1304" s="127">
        <v>30498</v>
      </c>
      <c r="P1304" s="126"/>
      <c r="Q1304" s="126"/>
      <c r="R1304" s="126">
        <v>0.35</v>
      </c>
      <c r="S1304" s="126" t="s">
        <v>48</v>
      </c>
    </row>
    <row r="1305" spans="1:19" ht="29.25" x14ac:dyDescent="0.25">
      <c r="A1305" s="126">
        <v>47104</v>
      </c>
      <c r="B1305" s="126" t="s">
        <v>106</v>
      </c>
      <c r="C1305" s="126" t="s">
        <v>49</v>
      </c>
      <c r="D1305" s="126" t="s">
        <v>40</v>
      </c>
      <c r="E1305" s="126"/>
      <c r="F1305" s="126" t="s">
        <v>1213</v>
      </c>
      <c r="G1305" s="126"/>
      <c r="H1305" s="126" t="s">
        <v>43</v>
      </c>
      <c r="I1305" s="126" t="s">
        <v>1214</v>
      </c>
      <c r="J1305" s="126" t="s">
        <v>44</v>
      </c>
      <c r="K1305" s="126" t="s">
        <v>44</v>
      </c>
      <c r="L1305" s="126" t="s">
        <v>45</v>
      </c>
      <c r="M1305" s="126" t="s">
        <v>46</v>
      </c>
      <c r="N1305" s="126" t="s">
        <v>47</v>
      </c>
      <c r="O1305" s="127">
        <v>31079</v>
      </c>
      <c r="P1305" s="126"/>
      <c r="Q1305" s="126"/>
      <c r="R1305" s="126">
        <v>0.2</v>
      </c>
      <c r="S1305" s="126" t="s">
        <v>48</v>
      </c>
    </row>
    <row r="1306" spans="1:19" x14ac:dyDescent="0.25">
      <c r="A1306" s="126">
        <v>48301</v>
      </c>
      <c r="B1306" s="126" t="s">
        <v>106</v>
      </c>
      <c r="C1306" s="126" t="s">
        <v>49</v>
      </c>
      <c r="D1306" s="126" t="s">
        <v>40</v>
      </c>
      <c r="E1306" s="126"/>
      <c r="F1306" s="126" t="s">
        <v>2162</v>
      </c>
      <c r="G1306" s="126"/>
      <c r="H1306" s="126" t="s">
        <v>43</v>
      </c>
      <c r="I1306" s="126" t="s">
        <v>2161</v>
      </c>
      <c r="J1306" s="126" t="s">
        <v>44</v>
      </c>
      <c r="K1306" s="126" t="s">
        <v>44</v>
      </c>
      <c r="L1306" s="126" t="s">
        <v>45</v>
      </c>
      <c r="M1306" s="126" t="s">
        <v>46</v>
      </c>
      <c r="N1306" s="126" t="s">
        <v>47</v>
      </c>
      <c r="O1306" s="127">
        <v>33926</v>
      </c>
      <c r="P1306" s="126"/>
      <c r="Q1306" s="126"/>
      <c r="R1306" s="126">
        <v>0.1</v>
      </c>
      <c r="S1306" s="126" t="s">
        <v>48</v>
      </c>
    </row>
    <row r="1307" spans="1:19" ht="29.25" x14ac:dyDescent="0.25">
      <c r="A1307" s="126">
        <v>48302</v>
      </c>
      <c r="B1307" s="126" t="s">
        <v>106</v>
      </c>
      <c r="C1307" s="126" t="s">
        <v>49</v>
      </c>
      <c r="D1307" s="126" t="s">
        <v>40</v>
      </c>
      <c r="E1307" s="126"/>
      <c r="F1307" s="126" t="s">
        <v>3271</v>
      </c>
      <c r="G1307" s="126"/>
      <c r="H1307" s="126" t="s">
        <v>43</v>
      </c>
      <c r="I1307" s="126" t="s">
        <v>3272</v>
      </c>
      <c r="J1307" s="126" t="s">
        <v>800</v>
      </c>
      <c r="K1307" s="126" t="s">
        <v>800</v>
      </c>
      <c r="L1307" s="126" t="s">
        <v>800</v>
      </c>
      <c r="M1307" s="126" t="s">
        <v>46</v>
      </c>
      <c r="N1307" s="126" t="s">
        <v>47</v>
      </c>
      <c r="O1307" s="126"/>
      <c r="P1307" s="126"/>
      <c r="Q1307" s="126"/>
      <c r="R1307" s="126">
        <v>0.04</v>
      </c>
      <c r="S1307" s="126" t="s">
        <v>48</v>
      </c>
    </row>
    <row r="1308" spans="1:19" x14ac:dyDescent="0.25">
      <c r="A1308" s="126">
        <v>48401</v>
      </c>
      <c r="B1308" s="126" t="s">
        <v>106</v>
      </c>
      <c r="C1308" s="126" t="s">
        <v>49</v>
      </c>
      <c r="D1308" s="126" t="s">
        <v>40</v>
      </c>
      <c r="E1308" s="126"/>
      <c r="F1308" s="126" t="s">
        <v>1427</v>
      </c>
      <c r="G1308" s="126"/>
      <c r="H1308" s="126" t="s">
        <v>7</v>
      </c>
      <c r="I1308" s="126">
        <v>4055</v>
      </c>
      <c r="J1308" s="126" t="s">
        <v>44</v>
      </c>
      <c r="K1308" s="126" t="s">
        <v>44</v>
      </c>
      <c r="L1308" s="126" t="s">
        <v>45</v>
      </c>
      <c r="M1308" s="126" t="s">
        <v>57</v>
      </c>
      <c r="N1308" s="126" t="s">
        <v>58</v>
      </c>
      <c r="O1308" s="127">
        <v>31533</v>
      </c>
      <c r="P1308" s="126"/>
      <c r="Q1308" s="126"/>
      <c r="R1308" s="126">
        <v>0.15</v>
      </c>
      <c r="S1308" s="126" t="s">
        <v>48</v>
      </c>
    </row>
    <row r="1309" spans="1:19" ht="29.25" x14ac:dyDescent="0.25">
      <c r="A1309" s="126">
        <v>48402</v>
      </c>
      <c r="B1309" s="126" t="s">
        <v>106</v>
      </c>
      <c r="C1309" s="126" t="s">
        <v>49</v>
      </c>
      <c r="D1309" s="126" t="s">
        <v>40</v>
      </c>
      <c r="E1309" s="126"/>
      <c r="F1309" s="126" t="s">
        <v>1832</v>
      </c>
      <c r="G1309" s="126"/>
      <c r="H1309" s="126" t="s">
        <v>7</v>
      </c>
      <c r="I1309" s="126">
        <v>4051</v>
      </c>
      <c r="J1309" s="126" t="s">
        <v>44</v>
      </c>
      <c r="K1309" s="126" t="s">
        <v>44</v>
      </c>
      <c r="L1309" s="126" t="s">
        <v>45</v>
      </c>
      <c r="M1309" s="126" t="s">
        <v>57</v>
      </c>
      <c r="N1309" s="126" t="s">
        <v>58</v>
      </c>
      <c r="O1309" s="127">
        <v>32525</v>
      </c>
      <c r="P1309" s="126"/>
      <c r="Q1309" s="126"/>
      <c r="R1309" s="126">
        <v>0.13</v>
      </c>
      <c r="S1309" s="126" t="s">
        <v>48</v>
      </c>
    </row>
    <row r="1310" spans="1:19" ht="100.5" x14ac:dyDescent="0.25">
      <c r="A1310" s="126">
        <v>48601</v>
      </c>
      <c r="B1310" s="126" t="s">
        <v>106</v>
      </c>
      <c r="C1310" s="126" t="s">
        <v>49</v>
      </c>
      <c r="D1310" s="126" t="s">
        <v>40</v>
      </c>
      <c r="E1310" s="126"/>
      <c r="F1310" s="126" t="s">
        <v>1337</v>
      </c>
      <c r="G1310" s="126"/>
      <c r="H1310" s="126" t="s">
        <v>43</v>
      </c>
      <c r="I1310" s="126" t="s">
        <v>1338</v>
      </c>
      <c r="J1310" s="126" t="s">
        <v>800</v>
      </c>
      <c r="K1310" s="126" t="s">
        <v>800</v>
      </c>
      <c r="L1310" s="126" t="s">
        <v>800</v>
      </c>
      <c r="M1310" s="126" t="s">
        <v>46</v>
      </c>
      <c r="N1310" s="126" t="s">
        <v>47</v>
      </c>
      <c r="O1310" s="127">
        <v>31413</v>
      </c>
      <c r="P1310" s="126" t="s">
        <v>1339</v>
      </c>
      <c r="Q1310" s="126"/>
      <c r="R1310" s="126">
        <v>110</v>
      </c>
      <c r="S1310" s="126" t="s">
        <v>48</v>
      </c>
    </row>
    <row r="1311" spans="1:19" ht="86.25" x14ac:dyDescent="0.25">
      <c r="A1311" s="126">
        <v>48602</v>
      </c>
      <c r="B1311" s="126" t="s">
        <v>106</v>
      </c>
      <c r="C1311" s="126" t="s">
        <v>49</v>
      </c>
      <c r="D1311" s="126" t="s">
        <v>40</v>
      </c>
      <c r="E1311" s="126"/>
      <c r="F1311" s="126" t="s">
        <v>1577</v>
      </c>
      <c r="G1311" s="126"/>
      <c r="H1311" s="126" t="s">
        <v>43</v>
      </c>
      <c r="I1311" s="126" t="s">
        <v>1578</v>
      </c>
      <c r="J1311" s="126" t="s">
        <v>800</v>
      </c>
      <c r="K1311" s="126" t="s">
        <v>800</v>
      </c>
      <c r="L1311" s="126" t="s">
        <v>800</v>
      </c>
      <c r="M1311" s="126" t="s">
        <v>46</v>
      </c>
      <c r="N1311" s="126" t="s">
        <v>47</v>
      </c>
      <c r="O1311" s="127">
        <v>32509</v>
      </c>
      <c r="P1311" s="126" t="s">
        <v>1579</v>
      </c>
      <c r="Q1311" s="126"/>
      <c r="R1311" s="126">
        <v>70</v>
      </c>
      <c r="S1311" s="126" t="s">
        <v>48</v>
      </c>
    </row>
    <row r="1312" spans="1:19" ht="57.75" x14ac:dyDescent="0.25">
      <c r="A1312" s="126">
        <v>48603</v>
      </c>
      <c r="B1312" s="126" t="s">
        <v>106</v>
      </c>
      <c r="C1312" s="126" t="s">
        <v>49</v>
      </c>
      <c r="D1312" s="126" t="s">
        <v>40</v>
      </c>
      <c r="E1312" s="126"/>
      <c r="F1312" s="126" t="s">
        <v>1712</v>
      </c>
      <c r="G1312" s="126"/>
      <c r="H1312" s="126" t="s">
        <v>43</v>
      </c>
      <c r="I1312" s="126" t="s">
        <v>1713</v>
      </c>
      <c r="J1312" s="126" t="s">
        <v>800</v>
      </c>
      <c r="K1312" s="126" t="s">
        <v>800</v>
      </c>
      <c r="L1312" s="126" t="s">
        <v>800</v>
      </c>
      <c r="M1312" s="126" t="s">
        <v>46</v>
      </c>
      <c r="N1312" s="126" t="s">
        <v>47</v>
      </c>
      <c r="O1312" s="127">
        <v>32234</v>
      </c>
      <c r="P1312" s="126" t="s">
        <v>1714</v>
      </c>
      <c r="Q1312" s="126"/>
      <c r="R1312" s="126">
        <v>20</v>
      </c>
      <c r="S1312" s="126" t="s">
        <v>48</v>
      </c>
    </row>
    <row r="1313" spans="1:19" ht="29.25" x14ac:dyDescent="0.25">
      <c r="A1313" s="126">
        <v>48904</v>
      </c>
      <c r="B1313" s="126" t="s">
        <v>106</v>
      </c>
      <c r="C1313" s="126" t="s">
        <v>49</v>
      </c>
      <c r="D1313" s="126" t="s">
        <v>40</v>
      </c>
      <c r="E1313" s="126"/>
      <c r="F1313" s="126" t="s">
        <v>1988</v>
      </c>
      <c r="G1313" s="126"/>
      <c r="H1313" s="126" t="s">
        <v>43</v>
      </c>
      <c r="I1313" s="126" t="s">
        <v>1989</v>
      </c>
      <c r="J1313" s="126" t="s">
        <v>800</v>
      </c>
      <c r="K1313" s="126" t="s">
        <v>800</v>
      </c>
      <c r="L1313" s="126" t="s">
        <v>800</v>
      </c>
      <c r="M1313" s="126" t="s">
        <v>46</v>
      </c>
      <c r="N1313" s="126" t="s">
        <v>47</v>
      </c>
      <c r="O1313" s="127">
        <v>32874</v>
      </c>
      <c r="P1313" s="126"/>
      <c r="Q1313" s="126"/>
      <c r="R1313" s="126">
        <v>10</v>
      </c>
      <c r="S1313" s="126" t="s">
        <v>48</v>
      </c>
    </row>
    <row r="1314" spans="1:19" ht="29.25" x14ac:dyDescent="0.25">
      <c r="A1314" s="126">
        <v>48901</v>
      </c>
      <c r="B1314" s="126" t="s">
        <v>106</v>
      </c>
      <c r="C1314" s="126" t="s">
        <v>49</v>
      </c>
      <c r="D1314" s="126" t="s">
        <v>40</v>
      </c>
      <c r="E1314" s="126"/>
      <c r="F1314" s="126" t="s">
        <v>1990</v>
      </c>
      <c r="G1314" s="126"/>
      <c r="H1314" s="126" t="s">
        <v>43</v>
      </c>
      <c r="I1314" s="126" t="s">
        <v>1991</v>
      </c>
      <c r="J1314" s="126" t="s">
        <v>800</v>
      </c>
      <c r="K1314" s="126" t="s">
        <v>800</v>
      </c>
      <c r="L1314" s="126" t="s">
        <v>800</v>
      </c>
      <c r="M1314" s="126" t="s">
        <v>46</v>
      </c>
      <c r="N1314" s="126" t="s">
        <v>47</v>
      </c>
      <c r="O1314" s="127">
        <v>32874</v>
      </c>
      <c r="P1314" s="126"/>
      <c r="Q1314" s="126"/>
      <c r="R1314" s="126">
        <v>18.5</v>
      </c>
      <c r="S1314" s="126" t="s">
        <v>48</v>
      </c>
    </row>
    <row r="1315" spans="1:19" ht="29.25" x14ac:dyDescent="0.25">
      <c r="A1315" s="126">
        <v>48902</v>
      </c>
      <c r="B1315" s="126" t="s">
        <v>106</v>
      </c>
      <c r="C1315" s="126" t="s">
        <v>49</v>
      </c>
      <c r="D1315" s="126" t="s">
        <v>40</v>
      </c>
      <c r="E1315" s="126"/>
      <c r="F1315" s="126" t="s">
        <v>2098</v>
      </c>
      <c r="G1315" s="126"/>
      <c r="H1315" s="126" t="s">
        <v>43</v>
      </c>
      <c r="I1315" s="126" t="s">
        <v>2099</v>
      </c>
      <c r="J1315" s="126" t="s">
        <v>800</v>
      </c>
      <c r="K1315" s="126" t="s">
        <v>800</v>
      </c>
      <c r="L1315" s="126" t="s">
        <v>800</v>
      </c>
      <c r="M1315" s="126" t="s">
        <v>46</v>
      </c>
      <c r="N1315" s="126" t="s">
        <v>47</v>
      </c>
      <c r="O1315" s="127">
        <v>33239</v>
      </c>
      <c r="P1315" s="126"/>
      <c r="Q1315" s="126"/>
      <c r="R1315" s="126">
        <v>30</v>
      </c>
      <c r="S1315" s="126" t="s">
        <v>48</v>
      </c>
    </row>
    <row r="1316" spans="1:19" ht="29.25" x14ac:dyDescent="0.25">
      <c r="A1316" s="126">
        <v>48903</v>
      </c>
      <c r="B1316" s="126" t="s">
        <v>106</v>
      </c>
      <c r="C1316" s="126" t="s">
        <v>49</v>
      </c>
      <c r="D1316" s="126" t="s">
        <v>40</v>
      </c>
      <c r="E1316" s="126"/>
      <c r="F1316" s="126" t="s">
        <v>2100</v>
      </c>
      <c r="G1316" s="126"/>
      <c r="H1316" s="126" t="s">
        <v>43</v>
      </c>
      <c r="I1316" s="126" t="s">
        <v>2101</v>
      </c>
      <c r="J1316" s="126" t="s">
        <v>800</v>
      </c>
      <c r="K1316" s="126" t="s">
        <v>800</v>
      </c>
      <c r="L1316" s="126" t="s">
        <v>800</v>
      </c>
      <c r="M1316" s="126" t="s">
        <v>46</v>
      </c>
      <c r="N1316" s="126" t="s">
        <v>47</v>
      </c>
      <c r="O1316" s="127">
        <v>33239</v>
      </c>
      <c r="P1316" s="126"/>
      <c r="Q1316" s="126"/>
      <c r="R1316" s="126">
        <v>1.5</v>
      </c>
      <c r="S1316" s="126" t="s">
        <v>48</v>
      </c>
    </row>
    <row r="1317" spans="1:19" ht="100.5" x14ac:dyDescent="0.25">
      <c r="A1317" s="126">
        <v>48501</v>
      </c>
      <c r="B1317" s="126" t="s">
        <v>106</v>
      </c>
      <c r="C1317" s="126" t="s">
        <v>49</v>
      </c>
      <c r="D1317" s="126" t="s">
        <v>40</v>
      </c>
      <c r="E1317" s="126"/>
      <c r="F1317" s="126" t="s">
        <v>1337</v>
      </c>
      <c r="G1317" s="126"/>
      <c r="H1317" s="126" t="s">
        <v>43</v>
      </c>
      <c r="I1317" s="126" t="s">
        <v>1338</v>
      </c>
      <c r="J1317" s="126" t="s">
        <v>800</v>
      </c>
      <c r="K1317" s="126" t="s">
        <v>800</v>
      </c>
      <c r="L1317" s="126" t="s">
        <v>800</v>
      </c>
      <c r="M1317" s="126" t="s">
        <v>46</v>
      </c>
      <c r="N1317" s="126" t="s">
        <v>47</v>
      </c>
      <c r="O1317" s="127">
        <v>31413</v>
      </c>
      <c r="P1317" s="126" t="s">
        <v>1339</v>
      </c>
      <c r="Q1317" s="126"/>
      <c r="R1317" s="126">
        <v>110</v>
      </c>
      <c r="S1317" s="126" t="s">
        <v>48</v>
      </c>
    </row>
    <row r="1318" spans="1:19" ht="86.25" x14ac:dyDescent="0.25">
      <c r="A1318" s="126">
        <v>48502</v>
      </c>
      <c r="B1318" s="126" t="s">
        <v>106</v>
      </c>
      <c r="C1318" s="126" t="s">
        <v>49</v>
      </c>
      <c r="D1318" s="126" t="s">
        <v>40</v>
      </c>
      <c r="E1318" s="126"/>
      <c r="F1318" s="126" t="s">
        <v>1671</v>
      </c>
      <c r="G1318" s="126"/>
      <c r="H1318" s="126" t="s">
        <v>43</v>
      </c>
      <c r="I1318" s="126" t="s">
        <v>1672</v>
      </c>
      <c r="J1318" s="126" t="s">
        <v>800</v>
      </c>
      <c r="K1318" s="126" t="s">
        <v>800</v>
      </c>
      <c r="L1318" s="126" t="s">
        <v>800</v>
      </c>
      <c r="M1318" s="126" t="s">
        <v>46</v>
      </c>
      <c r="N1318" s="126" t="s">
        <v>47</v>
      </c>
      <c r="O1318" s="127">
        <v>32143</v>
      </c>
      <c r="P1318" s="126" t="s">
        <v>1673</v>
      </c>
      <c r="Q1318" s="126"/>
      <c r="R1318" s="126">
        <v>43.1</v>
      </c>
      <c r="S1318" s="126" t="s">
        <v>48</v>
      </c>
    </row>
    <row r="1319" spans="1:19" ht="100.5" x14ac:dyDescent="0.25">
      <c r="A1319" s="126">
        <v>48701</v>
      </c>
      <c r="B1319" s="126" t="s">
        <v>106</v>
      </c>
      <c r="C1319" s="126" t="s">
        <v>49</v>
      </c>
      <c r="D1319" s="126" t="s">
        <v>40</v>
      </c>
      <c r="E1319" s="126"/>
      <c r="F1319" s="126" t="s">
        <v>1337</v>
      </c>
      <c r="G1319" s="126"/>
      <c r="H1319" s="126" t="s">
        <v>43</v>
      </c>
      <c r="I1319" s="126" t="s">
        <v>1338</v>
      </c>
      <c r="J1319" s="126" t="s">
        <v>800</v>
      </c>
      <c r="K1319" s="126" t="s">
        <v>800</v>
      </c>
      <c r="L1319" s="126" t="s">
        <v>800</v>
      </c>
      <c r="M1319" s="126" t="s">
        <v>46</v>
      </c>
      <c r="N1319" s="126" t="s">
        <v>47</v>
      </c>
      <c r="O1319" s="127">
        <v>31413</v>
      </c>
      <c r="P1319" s="126" t="s">
        <v>1339</v>
      </c>
      <c r="Q1319" s="126"/>
      <c r="R1319" s="126">
        <v>110</v>
      </c>
      <c r="S1319" s="126" t="s">
        <v>48</v>
      </c>
    </row>
    <row r="1320" spans="1:19" ht="86.25" x14ac:dyDescent="0.25">
      <c r="A1320" s="126">
        <v>48702</v>
      </c>
      <c r="B1320" s="126" t="s">
        <v>106</v>
      </c>
      <c r="C1320" s="126" t="s">
        <v>49</v>
      </c>
      <c r="D1320" s="126" t="s">
        <v>40</v>
      </c>
      <c r="E1320" s="126"/>
      <c r="F1320" s="126" t="s">
        <v>1577</v>
      </c>
      <c r="G1320" s="126"/>
      <c r="H1320" s="126" t="s">
        <v>43</v>
      </c>
      <c r="I1320" s="126" t="s">
        <v>1578</v>
      </c>
      <c r="J1320" s="126" t="s">
        <v>800</v>
      </c>
      <c r="K1320" s="126" t="s">
        <v>800</v>
      </c>
      <c r="L1320" s="126" t="s">
        <v>800</v>
      </c>
      <c r="M1320" s="126" t="s">
        <v>46</v>
      </c>
      <c r="N1320" s="126" t="s">
        <v>47</v>
      </c>
      <c r="O1320" s="127">
        <v>32143</v>
      </c>
      <c r="P1320" s="126" t="s">
        <v>1579</v>
      </c>
      <c r="Q1320" s="126"/>
      <c r="R1320" s="126">
        <v>70</v>
      </c>
      <c r="S1320" s="126" t="s">
        <v>48</v>
      </c>
    </row>
    <row r="1321" spans="1:19" ht="29.25" x14ac:dyDescent="0.25">
      <c r="A1321" s="126">
        <v>48703</v>
      </c>
      <c r="B1321" s="126" t="s">
        <v>106</v>
      </c>
      <c r="C1321" s="126" t="s">
        <v>49</v>
      </c>
      <c r="D1321" s="126" t="s">
        <v>40</v>
      </c>
      <c r="E1321" s="126"/>
      <c r="F1321" s="126" t="s">
        <v>1715</v>
      </c>
      <c r="G1321" s="126"/>
      <c r="H1321" s="126" t="s">
        <v>43</v>
      </c>
      <c r="I1321" s="126" t="s">
        <v>1716</v>
      </c>
      <c r="J1321" s="126" t="s">
        <v>800</v>
      </c>
      <c r="K1321" s="126" t="s">
        <v>800</v>
      </c>
      <c r="L1321" s="126" t="s">
        <v>800</v>
      </c>
      <c r="M1321" s="126" t="s">
        <v>46</v>
      </c>
      <c r="N1321" s="126" t="s">
        <v>47</v>
      </c>
      <c r="O1321" s="127">
        <v>32234</v>
      </c>
      <c r="P1321" s="126"/>
      <c r="Q1321" s="126"/>
      <c r="R1321" s="126">
        <v>30</v>
      </c>
      <c r="S1321" s="126" t="s">
        <v>48</v>
      </c>
    </row>
    <row r="1322" spans="1:19" ht="86.25" x14ac:dyDescent="0.25">
      <c r="A1322" s="126">
        <v>48704</v>
      </c>
      <c r="B1322" s="126" t="s">
        <v>106</v>
      </c>
      <c r="C1322" s="126" t="s">
        <v>49</v>
      </c>
      <c r="D1322" s="126" t="s">
        <v>40</v>
      </c>
      <c r="E1322" s="126"/>
      <c r="F1322" s="126" t="s">
        <v>1671</v>
      </c>
      <c r="G1322" s="126"/>
      <c r="H1322" s="126" t="s">
        <v>43</v>
      </c>
      <c r="I1322" s="126" t="s">
        <v>1672</v>
      </c>
      <c r="J1322" s="126" t="s">
        <v>800</v>
      </c>
      <c r="K1322" s="126" t="s">
        <v>800</v>
      </c>
      <c r="L1322" s="126" t="s">
        <v>800</v>
      </c>
      <c r="M1322" s="126" t="s">
        <v>46</v>
      </c>
      <c r="N1322" s="126" t="s">
        <v>47</v>
      </c>
      <c r="O1322" s="127">
        <v>32143</v>
      </c>
      <c r="P1322" s="126" t="s">
        <v>1673</v>
      </c>
      <c r="Q1322" s="126"/>
      <c r="R1322" s="126">
        <v>43.1</v>
      </c>
      <c r="S1322" s="126" t="s">
        <v>48</v>
      </c>
    </row>
    <row r="1323" spans="1:19" ht="72" x14ac:dyDescent="0.25">
      <c r="A1323" s="126">
        <v>48705</v>
      </c>
      <c r="B1323" s="126" t="s">
        <v>106</v>
      </c>
      <c r="C1323" s="126" t="s">
        <v>49</v>
      </c>
      <c r="D1323" s="126" t="s">
        <v>40</v>
      </c>
      <c r="E1323" s="126"/>
      <c r="F1323" s="126" t="s">
        <v>1717</v>
      </c>
      <c r="G1323" s="126"/>
      <c r="H1323" s="126" t="s">
        <v>43</v>
      </c>
      <c r="I1323" s="126" t="s">
        <v>1718</v>
      </c>
      <c r="J1323" s="126" t="s">
        <v>800</v>
      </c>
      <c r="K1323" s="126" t="s">
        <v>800</v>
      </c>
      <c r="L1323" s="126" t="s">
        <v>800</v>
      </c>
      <c r="M1323" s="126" t="s">
        <v>46</v>
      </c>
      <c r="N1323" s="126" t="s">
        <v>47</v>
      </c>
      <c r="O1323" s="127">
        <v>32234</v>
      </c>
      <c r="P1323" s="126" t="s">
        <v>1678</v>
      </c>
      <c r="Q1323" s="126"/>
      <c r="R1323" s="126">
        <v>30</v>
      </c>
      <c r="S1323" s="126" t="s">
        <v>48</v>
      </c>
    </row>
    <row r="1324" spans="1:19" ht="72" x14ac:dyDescent="0.25">
      <c r="A1324" s="126">
        <v>48706</v>
      </c>
      <c r="B1324" s="126" t="s">
        <v>106</v>
      </c>
      <c r="C1324" s="126" t="s">
        <v>49</v>
      </c>
      <c r="D1324" s="126" t="s">
        <v>40</v>
      </c>
      <c r="E1324" s="126"/>
      <c r="F1324" s="126" t="s">
        <v>1676</v>
      </c>
      <c r="G1324" s="126"/>
      <c r="H1324" s="126" t="s">
        <v>43</v>
      </c>
      <c r="I1324" s="126" t="s">
        <v>1677</v>
      </c>
      <c r="J1324" s="126" t="s">
        <v>800</v>
      </c>
      <c r="K1324" s="126" t="s">
        <v>800</v>
      </c>
      <c r="L1324" s="126" t="s">
        <v>800</v>
      </c>
      <c r="M1324" s="126" t="s">
        <v>46</v>
      </c>
      <c r="N1324" s="126" t="s">
        <v>47</v>
      </c>
      <c r="O1324" s="127">
        <v>33239</v>
      </c>
      <c r="P1324" s="126" t="s">
        <v>1678</v>
      </c>
      <c r="Q1324" s="126"/>
      <c r="R1324" s="126">
        <v>15</v>
      </c>
      <c r="S1324" s="126" t="s">
        <v>48</v>
      </c>
    </row>
    <row r="1325" spans="1:19" ht="57.75" x14ac:dyDescent="0.25">
      <c r="A1325" s="126">
        <v>48707</v>
      </c>
      <c r="B1325" s="126" t="s">
        <v>106</v>
      </c>
      <c r="C1325" s="126" t="s">
        <v>49</v>
      </c>
      <c r="D1325" s="126" t="s">
        <v>40</v>
      </c>
      <c r="E1325" s="126"/>
      <c r="F1325" s="126" t="s">
        <v>1712</v>
      </c>
      <c r="G1325" s="126"/>
      <c r="H1325" s="126" t="s">
        <v>43</v>
      </c>
      <c r="I1325" s="126" t="s">
        <v>1713</v>
      </c>
      <c r="J1325" s="126" t="s">
        <v>800</v>
      </c>
      <c r="K1325" s="126" t="s">
        <v>800</v>
      </c>
      <c r="L1325" s="126" t="s">
        <v>800</v>
      </c>
      <c r="M1325" s="126" t="s">
        <v>46</v>
      </c>
      <c r="N1325" s="126" t="s">
        <v>47</v>
      </c>
      <c r="O1325" s="127">
        <v>32234</v>
      </c>
      <c r="P1325" s="126" t="s">
        <v>1714</v>
      </c>
      <c r="Q1325" s="126"/>
      <c r="R1325" s="126">
        <v>20</v>
      </c>
      <c r="S1325" s="126" t="s">
        <v>48</v>
      </c>
    </row>
    <row r="1326" spans="1:19" ht="100.5" x14ac:dyDescent="0.25">
      <c r="A1326" s="126">
        <v>48801</v>
      </c>
      <c r="B1326" s="126" t="s">
        <v>106</v>
      </c>
      <c r="C1326" s="126" t="s">
        <v>49</v>
      </c>
      <c r="D1326" s="126" t="s">
        <v>40</v>
      </c>
      <c r="E1326" s="126"/>
      <c r="F1326" s="126" t="s">
        <v>1337</v>
      </c>
      <c r="G1326" s="126"/>
      <c r="H1326" s="126" t="s">
        <v>43</v>
      </c>
      <c r="I1326" s="126" t="s">
        <v>1338</v>
      </c>
      <c r="J1326" s="126" t="s">
        <v>800</v>
      </c>
      <c r="K1326" s="126" t="s">
        <v>800</v>
      </c>
      <c r="L1326" s="126" t="s">
        <v>800</v>
      </c>
      <c r="M1326" s="126" t="s">
        <v>46</v>
      </c>
      <c r="N1326" s="126" t="s">
        <v>47</v>
      </c>
      <c r="O1326" s="127">
        <v>31413</v>
      </c>
      <c r="P1326" s="126" t="s">
        <v>1339</v>
      </c>
      <c r="Q1326" s="126"/>
      <c r="R1326" s="126">
        <v>110</v>
      </c>
      <c r="S1326" s="126" t="s">
        <v>48</v>
      </c>
    </row>
    <row r="1327" spans="1:19" x14ac:dyDescent="0.25">
      <c r="A1327" s="126">
        <v>48802</v>
      </c>
      <c r="B1327" s="126" t="s">
        <v>106</v>
      </c>
      <c r="C1327" s="126" t="s">
        <v>49</v>
      </c>
      <c r="D1327" s="126" t="s">
        <v>40</v>
      </c>
      <c r="E1327" s="126"/>
      <c r="F1327" s="126" t="s">
        <v>1872</v>
      </c>
      <c r="G1327" s="126"/>
      <c r="H1327" s="126" t="s">
        <v>43</v>
      </c>
      <c r="I1327" s="126" t="s">
        <v>1873</v>
      </c>
      <c r="J1327" s="126" t="s">
        <v>807</v>
      </c>
      <c r="K1327" s="126"/>
      <c r="L1327" s="126" t="s">
        <v>915</v>
      </c>
      <c r="M1327" s="126" t="s">
        <v>46</v>
      </c>
      <c r="N1327" s="126" t="s">
        <v>47</v>
      </c>
      <c r="O1327" s="127">
        <v>32632</v>
      </c>
      <c r="P1327" s="126"/>
      <c r="Q1327" s="126"/>
      <c r="R1327" s="126">
        <v>6</v>
      </c>
      <c r="S1327" s="126" t="s">
        <v>48</v>
      </c>
    </row>
    <row r="1328" spans="1:19" ht="29.25" x14ac:dyDescent="0.25">
      <c r="A1328" s="126">
        <v>48803</v>
      </c>
      <c r="B1328" s="126" t="s">
        <v>106</v>
      </c>
      <c r="C1328" s="126" t="s">
        <v>49</v>
      </c>
      <c r="D1328" s="126" t="s">
        <v>40</v>
      </c>
      <c r="E1328" s="126"/>
      <c r="F1328" s="126" t="s">
        <v>1705</v>
      </c>
      <c r="G1328" s="126"/>
      <c r="H1328" s="126" t="s">
        <v>43</v>
      </c>
      <c r="I1328" s="126" t="s">
        <v>1706</v>
      </c>
      <c r="J1328" s="126" t="s">
        <v>800</v>
      </c>
      <c r="K1328" s="126" t="s">
        <v>800</v>
      </c>
      <c r="L1328" s="126" t="s">
        <v>800</v>
      </c>
      <c r="M1328" s="126" t="s">
        <v>46</v>
      </c>
      <c r="N1328" s="126" t="s">
        <v>47</v>
      </c>
      <c r="O1328" s="127">
        <v>32204</v>
      </c>
      <c r="P1328" s="126"/>
      <c r="Q1328" s="126"/>
      <c r="R1328" s="126">
        <v>5.9</v>
      </c>
      <c r="S1328" s="126" t="s">
        <v>48</v>
      </c>
    </row>
    <row r="1329" spans="1:19" ht="86.25" x14ac:dyDescent="0.25">
      <c r="A1329" s="126">
        <v>48804</v>
      </c>
      <c r="B1329" s="126" t="s">
        <v>106</v>
      </c>
      <c r="C1329" s="126" t="s">
        <v>49</v>
      </c>
      <c r="D1329" s="126" t="s">
        <v>40</v>
      </c>
      <c r="E1329" s="126"/>
      <c r="F1329" s="126" t="s">
        <v>1577</v>
      </c>
      <c r="G1329" s="126"/>
      <c r="H1329" s="126" t="s">
        <v>43</v>
      </c>
      <c r="I1329" s="126" t="s">
        <v>1578</v>
      </c>
      <c r="J1329" s="126" t="s">
        <v>800</v>
      </c>
      <c r="K1329" s="126" t="s">
        <v>800</v>
      </c>
      <c r="L1329" s="126" t="s">
        <v>800</v>
      </c>
      <c r="M1329" s="126" t="s">
        <v>46</v>
      </c>
      <c r="N1329" s="126" t="s">
        <v>47</v>
      </c>
      <c r="O1329" s="127">
        <v>33239</v>
      </c>
      <c r="P1329" s="126" t="s">
        <v>1579</v>
      </c>
      <c r="Q1329" s="126"/>
      <c r="R1329" s="126">
        <v>70</v>
      </c>
      <c r="S1329" s="126" t="s">
        <v>48</v>
      </c>
    </row>
    <row r="1330" spans="1:19" ht="86.25" x14ac:dyDescent="0.25">
      <c r="A1330" s="126">
        <v>48805</v>
      </c>
      <c r="B1330" s="126" t="s">
        <v>106</v>
      </c>
      <c r="C1330" s="126" t="s">
        <v>49</v>
      </c>
      <c r="D1330" s="126" t="s">
        <v>40</v>
      </c>
      <c r="E1330" s="126"/>
      <c r="F1330" s="126" t="s">
        <v>1671</v>
      </c>
      <c r="G1330" s="126"/>
      <c r="H1330" s="126" t="s">
        <v>43</v>
      </c>
      <c r="I1330" s="126" t="s">
        <v>1672</v>
      </c>
      <c r="J1330" s="126" t="s">
        <v>800</v>
      </c>
      <c r="K1330" s="126" t="s">
        <v>800</v>
      </c>
      <c r="L1330" s="126" t="s">
        <v>800</v>
      </c>
      <c r="M1330" s="126" t="s">
        <v>46</v>
      </c>
      <c r="N1330" s="126" t="s">
        <v>47</v>
      </c>
      <c r="O1330" s="127">
        <v>32143</v>
      </c>
      <c r="P1330" s="126" t="s">
        <v>1673</v>
      </c>
      <c r="Q1330" s="126"/>
      <c r="R1330" s="126">
        <v>43.1</v>
      </c>
      <c r="S1330" s="126" t="s">
        <v>48</v>
      </c>
    </row>
    <row r="1331" spans="1:19" ht="72" x14ac:dyDescent="0.25">
      <c r="A1331" s="126">
        <v>48806</v>
      </c>
      <c r="B1331" s="126" t="s">
        <v>106</v>
      </c>
      <c r="C1331" s="126" t="s">
        <v>49</v>
      </c>
      <c r="D1331" s="126" t="s">
        <v>40</v>
      </c>
      <c r="E1331" s="126"/>
      <c r="F1331" s="126" t="s">
        <v>1717</v>
      </c>
      <c r="G1331" s="126"/>
      <c r="H1331" s="126" t="s">
        <v>43</v>
      </c>
      <c r="I1331" s="126" t="s">
        <v>1718</v>
      </c>
      <c r="J1331" s="126" t="s">
        <v>800</v>
      </c>
      <c r="K1331" s="126" t="s">
        <v>800</v>
      </c>
      <c r="L1331" s="126" t="s">
        <v>800</v>
      </c>
      <c r="M1331" s="126" t="s">
        <v>46</v>
      </c>
      <c r="N1331" s="126" t="s">
        <v>47</v>
      </c>
      <c r="O1331" s="127">
        <v>32234</v>
      </c>
      <c r="P1331" s="126" t="s">
        <v>1678</v>
      </c>
      <c r="Q1331" s="126"/>
      <c r="R1331" s="126">
        <v>30</v>
      </c>
      <c r="S1331" s="126" t="s">
        <v>48</v>
      </c>
    </row>
    <row r="1332" spans="1:19" ht="57.75" x14ac:dyDescent="0.25">
      <c r="A1332" s="126">
        <v>48807</v>
      </c>
      <c r="B1332" s="126" t="s">
        <v>106</v>
      </c>
      <c r="C1332" s="126" t="s">
        <v>49</v>
      </c>
      <c r="D1332" s="126" t="s">
        <v>40</v>
      </c>
      <c r="E1332" s="126"/>
      <c r="F1332" s="126" t="s">
        <v>1996</v>
      </c>
      <c r="G1332" s="126"/>
      <c r="H1332" s="126" t="s">
        <v>43</v>
      </c>
      <c r="I1332" s="126" t="s">
        <v>1997</v>
      </c>
      <c r="J1332" s="126" t="s">
        <v>800</v>
      </c>
      <c r="K1332" s="126" t="s">
        <v>800</v>
      </c>
      <c r="L1332" s="126" t="s">
        <v>800</v>
      </c>
      <c r="M1332" s="126" t="s">
        <v>46</v>
      </c>
      <c r="N1332" s="126" t="s">
        <v>47</v>
      </c>
      <c r="O1332" s="127">
        <v>32875</v>
      </c>
      <c r="P1332" s="126" t="s">
        <v>1998</v>
      </c>
      <c r="Q1332" s="126"/>
      <c r="R1332" s="126">
        <v>11.9</v>
      </c>
      <c r="S1332" s="126" t="s">
        <v>48</v>
      </c>
    </row>
    <row r="1333" spans="1:19" ht="72" x14ac:dyDescent="0.25">
      <c r="A1333" s="126">
        <v>48808</v>
      </c>
      <c r="B1333" s="126" t="s">
        <v>106</v>
      </c>
      <c r="C1333" s="126" t="s">
        <v>49</v>
      </c>
      <c r="D1333" s="126" t="s">
        <v>40</v>
      </c>
      <c r="E1333" s="126"/>
      <c r="F1333" s="126" t="s">
        <v>1676</v>
      </c>
      <c r="G1333" s="126"/>
      <c r="H1333" s="126" t="s">
        <v>43</v>
      </c>
      <c r="I1333" s="126" t="s">
        <v>1677</v>
      </c>
      <c r="J1333" s="126" t="s">
        <v>800</v>
      </c>
      <c r="K1333" s="126" t="s">
        <v>800</v>
      </c>
      <c r="L1333" s="126" t="s">
        <v>800</v>
      </c>
      <c r="M1333" s="126" t="s">
        <v>46</v>
      </c>
      <c r="N1333" s="126" t="s">
        <v>47</v>
      </c>
      <c r="O1333" s="127">
        <v>32143</v>
      </c>
      <c r="P1333" s="126" t="s">
        <v>1678</v>
      </c>
      <c r="Q1333" s="126"/>
      <c r="R1333" s="126">
        <v>15</v>
      </c>
      <c r="S1333" s="126" t="s">
        <v>48</v>
      </c>
    </row>
    <row r="1334" spans="1:19" ht="29.25" x14ac:dyDescent="0.25">
      <c r="A1334" s="126">
        <v>48809</v>
      </c>
      <c r="B1334" s="126" t="s">
        <v>106</v>
      </c>
      <c r="C1334" s="126" t="s">
        <v>49</v>
      </c>
      <c r="D1334" s="126" t="s">
        <v>40</v>
      </c>
      <c r="E1334" s="126"/>
      <c r="F1334" s="126" t="s">
        <v>1557</v>
      </c>
      <c r="G1334" s="126"/>
      <c r="H1334" s="126" t="s">
        <v>43</v>
      </c>
      <c r="I1334" s="126" t="s">
        <v>1558</v>
      </c>
      <c r="J1334" s="126" t="s">
        <v>800</v>
      </c>
      <c r="K1334" s="126" t="s">
        <v>800</v>
      </c>
      <c r="L1334" s="126" t="s">
        <v>800</v>
      </c>
      <c r="M1334" s="126" t="s">
        <v>46</v>
      </c>
      <c r="N1334" s="126" t="s">
        <v>47</v>
      </c>
      <c r="O1334" s="127">
        <v>31782</v>
      </c>
      <c r="P1334" s="126"/>
      <c r="Q1334" s="126"/>
      <c r="R1334" s="126">
        <v>23.8</v>
      </c>
      <c r="S1334" s="126" t="s">
        <v>48</v>
      </c>
    </row>
    <row r="1335" spans="1:19" ht="100.5" x14ac:dyDescent="0.25">
      <c r="A1335" s="126">
        <v>49001</v>
      </c>
      <c r="B1335" s="126" t="s">
        <v>106</v>
      </c>
      <c r="C1335" s="126" t="s">
        <v>49</v>
      </c>
      <c r="D1335" s="126" t="s">
        <v>40</v>
      </c>
      <c r="E1335" s="126"/>
      <c r="F1335" s="126" t="s">
        <v>1337</v>
      </c>
      <c r="G1335" s="126"/>
      <c r="H1335" s="126" t="s">
        <v>43</v>
      </c>
      <c r="I1335" s="126" t="s">
        <v>1338</v>
      </c>
      <c r="J1335" s="126" t="s">
        <v>800</v>
      </c>
      <c r="K1335" s="126" t="s">
        <v>800</v>
      </c>
      <c r="L1335" s="126" t="s">
        <v>800</v>
      </c>
      <c r="M1335" s="126" t="s">
        <v>46</v>
      </c>
      <c r="N1335" s="126" t="s">
        <v>47</v>
      </c>
      <c r="O1335" s="127">
        <v>31413</v>
      </c>
      <c r="P1335" s="126" t="s">
        <v>1339</v>
      </c>
      <c r="Q1335" s="126"/>
      <c r="R1335" s="126">
        <v>110</v>
      </c>
      <c r="S1335" s="126" t="s">
        <v>48</v>
      </c>
    </row>
    <row r="1336" spans="1:19" ht="29.25" x14ac:dyDescent="0.25">
      <c r="A1336" s="126">
        <v>49002</v>
      </c>
      <c r="B1336" s="126" t="s">
        <v>106</v>
      </c>
      <c r="C1336" s="126" t="s">
        <v>49</v>
      </c>
      <c r="D1336" s="126" t="s">
        <v>40</v>
      </c>
      <c r="E1336" s="126"/>
      <c r="F1336" s="126" t="s">
        <v>1705</v>
      </c>
      <c r="G1336" s="126"/>
      <c r="H1336" s="126" t="s">
        <v>43</v>
      </c>
      <c r="I1336" s="126" t="s">
        <v>1706</v>
      </c>
      <c r="J1336" s="126" t="s">
        <v>800</v>
      </c>
      <c r="K1336" s="126" t="s">
        <v>800</v>
      </c>
      <c r="L1336" s="126" t="s">
        <v>800</v>
      </c>
      <c r="M1336" s="126" t="s">
        <v>46</v>
      </c>
      <c r="N1336" s="126" t="s">
        <v>47</v>
      </c>
      <c r="O1336" s="127">
        <v>32204</v>
      </c>
      <c r="P1336" s="126"/>
      <c r="Q1336" s="126"/>
      <c r="R1336" s="126">
        <v>5.9</v>
      </c>
      <c r="S1336" s="126" t="s">
        <v>48</v>
      </c>
    </row>
    <row r="1337" spans="1:19" ht="86.25" x14ac:dyDescent="0.25">
      <c r="A1337" s="126">
        <v>49003</v>
      </c>
      <c r="B1337" s="126" t="s">
        <v>106</v>
      </c>
      <c r="C1337" s="126" t="s">
        <v>49</v>
      </c>
      <c r="D1337" s="126" t="s">
        <v>40</v>
      </c>
      <c r="E1337" s="126"/>
      <c r="F1337" s="126" t="s">
        <v>1577</v>
      </c>
      <c r="G1337" s="126"/>
      <c r="H1337" s="126" t="s">
        <v>43</v>
      </c>
      <c r="I1337" s="126" t="s">
        <v>1578</v>
      </c>
      <c r="J1337" s="126" t="s">
        <v>800</v>
      </c>
      <c r="K1337" s="126" t="s">
        <v>800</v>
      </c>
      <c r="L1337" s="126" t="s">
        <v>800</v>
      </c>
      <c r="M1337" s="126" t="s">
        <v>46</v>
      </c>
      <c r="N1337" s="126" t="s">
        <v>47</v>
      </c>
      <c r="O1337" s="127">
        <v>31868</v>
      </c>
      <c r="P1337" s="126" t="s">
        <v>1579</v>
      </c>
      <c r="Q1337" s="126"/>
      <c r="R1337" s="126">
        <v>70</v>
      </c>
      <c r="S1337" s="126" t="s">
        <v>48</v>
      </c>
    </row>
    <row r="1338" spans="1:19" ht="86.25" x14ac:dyDescent="0.25">
      <c r="A1338" s="126">
        <v>49004</v>
      </c>
      <c r="B1338" s="126" t="s">
        <v>106</v>
      </c>
      <c r="C1338" s="126" t="s">
        <v>49</v>
      </c>
      <c r="D1338" s="126" t="s">
        <v>40</v>
      </c>
      <c r="E1338" s="126"/>
      <c r="F1338" s="126" t="s">
        <v>1671</v>
      </c>
      <c r="G1338" s="126"/>
      <c r="H1338" s="126" t="s">
        <v>43</v>
      </c>
      <c r="I1338" s="126" t="s">
        <v>1672</v>
      </c>
      <c r="J1338" s="126" t="s">
        <v>800</v>
      </c>
      <c r="K1338" s="126" t="s">
        <v>800</v>
      </c>
      <c r="L1338" s="126" t="s">
        <v>800</v>
      </c>
      <c r="M1338" s="126" t="s">
        <v>46</v>
      </c>
      <c r="N1338" s="126" t="s">
        <v>47</v>
      </c>
      <c r="O1338" s="127">
        <v>32143</v>
      </c>
      <c r="P1338" s="126" t="s">
        <v>1673</v>
      </c>
      <c r="Q1338" s="126"/>
      <c r="R1338" s="126">
        <v>43.1</v>
      </c>
      <c r="S1338" s="126" t="s">
        <v>48</v>
      </c>
    </row>
    <row r="1339" spans="1:19" ht="72" x14ac:dyDescent="0.25">
      <c r="A1339" s="126">
        <v>49005</v>
      </c>
      <c r="B1339" s="126" t="s">
        <v>106</v>
      </c>
      <c r="C1339" s="126" t="s">
        <v>49</v>
      </c>
      <c r="D1339" s="126" t="s">
        <v>40</v>
      </c>
      <c r="E1339" s="126"/>
      <c r="F1339" s="126" t="s">
        <v>1717</v>
      </c>
      <c r="G1339" s="126"/>
      <c r="H1339" s="126" t="s">
        <v>43</v>
      </c>
      <c r="I1339" s="126" t="s">
        <v>1718</v>
      </c>
      <c r="J1339" s="126" t="s">
        <v>800</v>
      </c>
      <c r="K1339" s="126" t="s">
        <v>800</v>
      </c>
      <c r="L1339" s="126" t="s">
        <v>800</v>
      </c>
      <c r="M1339" s="126" t="s">
        <v>46</v>
      </c>
      <c r="N1339" s="126" t="s">
        <v>47</v>
      </c>
      <c r="O1339" s="127">
        <v>32234</v>
      </c>
      <c r="P1339" s="126" t="s">
        <v>1678</v>
      </c>
      <c r="Q1339" s="126"/>
      <c r="R1339" s="126">
        <v>30</v>
      </c>
      <c r="S1339" s="126" t="s">
        <v>48</v>
      </c>
    </row>
    <row r="1340" spans="1:19" ht="57.75" x14ac:dyDescent="0.25">
      <c r="A1340" s="126">
        <v>49006</v>
      </c>
      <c r="B1340" s="126" t="s">
        <v>106</v>
      </c>
      <c r="C1340" s="126" t="s">
        <v>49</v>
      </c>
      <c r="D1340" s="126" t="s">
        <v>40</v>
      </c>
      <c r="E1340" s="126"/>
      <c r="F1340" s="126" t="s">
        <v>1996</v>
      </c>
      <c r="G1340" s="126"/>
      <c r="H1340" s="126" t="s">
        <v>43</v>
      </c>
      <c r="I1340" s="126" t="s">
        <v>1997</v>
      </c>
      <c r="J1340" s="126" t="s">
        <v>800</v>
      </c>
      <c r="K1340" s="126" t="s">
        <v>800</v>
      </c>
      <c r="L1340" s="126" t="s">
        <v>800</v>
      </c>
      <c r="M1340" s="126" t="s">
        <v>46</v>
      </c>
      <c r="N1340" s="126" t="s">
        <v>47</v>
      </c>
      <c r="O1340" s="127">
        <v>32875</v>
      </c>
      <c r="P1340" s="126" t="s">
        <v>1998</v>
      </c>
      <c r="Q1340" s="126"/>
      <c r="R1340" s="126">
        <v>11.9</v>
      </c>
      <c r="S1340" s="126" t="s">
        <v>48</v>
      </c>
    </row>
    <row r="1341" spans="1:19" ht="72" x14ac:dyDescent="0.25">
      <c r="A1341" s="126">
        <v>49007</v>
      </c>
      <c r="B1341" s="126" t="s">
        <v>106</v>
      </c>
      <c r="C1341" s="126" t="s">
        <v>49</v>
      </c>
      <c r="D1341" s="126" t="s">
        <v>40</v>
      </c>
      <c r="E1341" s="126"/>
      <c r="F1341" s="126" t="s">
        <v>1676</v>
      </c>
      <c r="G1341" s="126"/>
      <c r="H1341" s="126" t="s">
        <v>43</v>
      </c>
      <c r="I1341" s="126" t="s">
        <v>1677</v>
      </c>
      <c r="J1341" s="126" t="s">
        <v>800</v>
      </c>
      <c r="K1341" s="126" t="s">
        <v>800</v>
      </c>
      <c r="L1341" s="126" t="s">
        <v>800</v>
      </c>
      <c r="M1341" s="126" t="s">
        <v>46</v>
      </c>
      <c r="N1341" s="126" t="s">
        <v>47</v>
      </c>
      <c r="O1341" s="127">
        <v>33239</v>
      </c>
      <c r="P1341" s="126" t="s">
        <v>1678</v>
      </c>
      <c r="Q1341" s="126"/>
      <c r="R1341" s="126">
        <v>15</v>
      </c>
      <c r="S1341" s="126" t="s">
        <v>48</v>
      </c>
    </row>
    <row r="1342" spans="1:19" x14ac:dyDescent="0.25">
      <c r="A1342" s="126">
        <v>49101</v>
      </c>
      <c r="B1342" s="126" t="s">
        <v>106</v>
      </c>
      <c r="C1342" s="126" t="s">
        <v>49</v>
      </c>
      <c r="D1342" s="126" t="s">
        <v>40</v>
      </c>
      <c r="E1342" s="126"/>
      <c r="F1342" s="126" t="s">
        <v>1830</v>
      </c>
      <c r="G1342" s="126"/>
      <c r="H1342" s="126" t="s">
        <v>43</v>
      </c>
      <c r="I1342" s="126" t="s">
        <v>1829</v>
      </c>
      <c r="J1342" s="126" t="s">
        <v>713</v>
      </c>
      <c r="K1342" s="126" t="s">
        <v>599</v>
      </c>
      <c r="L1342" s="126" t="s">
        <v>259</v>
      </c>
      <c r="M1342" s="126" t="s">
        <v>46</v>
      </c>
      <c r="N1342" s="126" t="s">
        <v>47</v>
      </c>
      <c r="O1342" s="127">
        <v>32519</v>
      </c>
      <c r="P1342" s="126"/>
      <c r="Q1342" s="126"/>
      <c r="R1342" s="126">
        <v>46</v>
      </c>
      <c r="S1342" s="126" t="s">
        <v>48</v>
      </c>
    </row>
    <row r="1343" spans="1:19" x14ac:dyDescent="0.25">
      <c r="A1343" s="126">
        <v>49102</v>
      </c>
      <c r="B1343" s="126" t="s">
        <v>106</v>
      </c>
      <c r="C1343" s="126" t="s">
        <v>49</v>
      </c>
      <c r="D1343" s="126" t="s">
        <v>40</v>
      </c>
      <c r="E1343" s="126"/>
      <c r="F1343" s="126" t="s">
        <v>1831</v>
      </c>
      <c r="G1343" s="126"/>
      <c r="H1343" s="126" t="s">
        <v>43</v>
      </c>
      <c r="I1343" s="126" t="s">
        <v>1829</v>
      </c>
      <c r="J1343" s="126" t="s">
        <v>713</v>
      </c>
      <c r="K1343" s="126" t="s">
        <v>385</v>
      </c>
      <c r="L1343" s="126" t="s">
        <v>731</v>
      </c>
      <c r="M1343" s="126" t="s">
        <v>46</v>
      </c>
      <c r="N1343" s="126" t="s">
        <v>47</v>
      </c>
      <c r="O1343" s="127">
        <v>32519</v>
      </c>
      <c r="P1343" s="126"/>
      <c r="Q1343" s="126"/>
      <c r="R1343" s="126">
        <v>23</v>
      </c>
      <c r="S1343" s="126" t="s">
        <v>48</v>
      </c>
    </row>
    <row r="1344" spans="1:19" ht="29.25" x14ac:dyDescent="0.25">
      <c r="A1344" s="126">
        <v>50200</v>
      </c>
      <c r="B1344" s="126" t="s">
        <v>106</v>
      </c>
      <c r="C1344" s="126" t="s">
        <v>49</v>
      </c>
      <c r="D1344" s="126" t="s">
        <v>40</v>
      </c>
      <c r="E1344" s="126"/>
      <c r="F1344" s="126" t="s">
        <v>1866</v>
      </c>
      <c r="G1344" s="126"/>
      <c r="H1344" s="126" t="s">
        <v>43</v>
      </c>
      <c r="I1344" s="126" t="s">
        <v>1867</v>
      </c>
      <c r="J1344" s="126" t="s">
        <v>44</v>
      </c>
      <c r="K1344" s="126" t="s">
        <v>44</v>
      </c>
      <c r="L1344" s="126" t="s">
        <v>45</v>
      </c>
      <c r="M1344" s="126" t="s">
        <v>46</v>
      </c>
      <c r="N1344" s="126" t="s">
        <v>47</v>
      </c>
      <c r="O1344" s="127">
        <v>32609</v>
      </c>
      <c r="P1344" s="126"/>
      <c r="Q1344" s="126"/>
      <c r="R1344" s="126">
        <v>8.75</v>
      </c>
      <c r="S1344" s="126" t="s">
        <v>48</v>
      </c>
    </row>
    <row r="1345" spans="1:19" ht="29.25" x14ac:dyDescent="0.25">
      <c r="A1345" s="126">
        <v>50300</v>
      </c>
      <c r="B1345" s="126" t="s">
        <v>106</v>
      </c>
      <c r="C1345" s="126" t="s">
        <v>49</v>
      </c>
      <c r="D1345" s="126" t="s">
        <v>40</v>
      </c>
      <c r="E1345" s="126"/>
      <c r="F1345" s="126" t="s">
        <v>1868</v>
      </c>
      <c r="G1345" s="126"/>
      <c r="H1345" s="126" t="s">
        <v>43</v>
      </c>
      <c r="I1345" s="126" t="s">
        <v>1869</v>
      </c>
      <c r="J1345" s="126" t="s">
        <v>44</v>
      </c>
      <c r="K1345" s="126" t="s">
        <v>44</v>
      </c>
      <c r="L1345" s="126" t="s">
        <v>45</v>
      </c>
      <c r="M1345" s="126" t="s">
        <v>46</v>
      </c>
      <c r="N1345" s="126" t="s">
        <v>47</v>
      </c>
      <c r="O1345" s="127">
        <v>32613</v>
      </c>
      <c r="P1345" s="126"/>
      <c r="Q1345" s="126"/>
      <c r="R1345" s="126">
        <v>10</v>
      </c>
      <c r="S1345" s="126" t="s">
        <v>48</v>
      </c>
    </row>
    <row r="1346" spans="1:19" x14ac:dyDescent="0.25">
      <c r="A1346" s="126">
        <v>59601</v>
      </c>
      <c r="B1346" s="126" t="s">
        <v>106</v>
      </c>
      <c r="C1346" s="126" t="s">
        <v>49</v>
      </c>
      <c r="D1346" s="126" t="s">
        <v>40</v>
      </c>
      <c r="E1346" s="126" t="s">
        <v>1409</v>
      </c>
      <c r="F1346" s="126" t="s">
        <v>1410</v>
      </c>
      <c r="G1346" s="126">
        <v>2.2000000000000002</v>
      </c>
      <c r="H1346" s="126" t="s">
        <v>43</v>
      </c>
      <c r="I1346" s="126" t="s">
        <v>1411</v>
      </c>
      <c r="J1346" s="126" t="s">
        <v>44</v>
      </c>
      <c r="K1346" s="126" t="s">
        <v>44</v>
      </c>
      <c r="L1346" s="126" t="s">
        <v>45</v>
      </c>
      <c r="M1346" s="126" t="s">
        <v>46</v>
      </c>
      <c r="N1346" s="126" t="s">
        <v>1408</v>
      </c>
      <c r="O1346" s="127">
        <v>31517</v>
      </c>
      <c r="P1346" s="126"/>
      <c r="Q1346" s="126"/>
      <c r="R1346" s="126">
        <v>2.2000000000000002</v>
      </c>
      <c r="S1346" s="126" t="s">
        <v>48</v>
      </c>
    </row>
    <row r="1347" spans="1:19" x14ac:dyDescent="0.25">
      <c r="A1347" s="126">
        <v>59602</v>
      </c>
      <c r="B1347" s="126" t="s">
        <v>106</v>
      </c>
      <c r="C1347" s="126" t="s">
        <v>49</v>
      </c>
      <c r="D1347" s="126" t="s">
        <v>40</v>
      </c>
      <c r="E1347" s="126" t="s">
        <v>1412</v>
      </c>
      <c r="F1347" s="126" t="s">
        <v>1413</v>
      </c>
      <c r="G1347" s="126">
        <v>1.1000000000000001</v>
      </c>
      <c r="H1347" s="126" t="s">
        <v>43</v>
      </c>
      <c r="I1347" s="126" t="s">
        <v>1411</v>
      </c>
      <c r="J1347" s="126" t="s">
        <v>44</v>
      </c>
      <c r="K1347" s="126" t="s">
        <v>44</v>
      </c>
      <c r="L1347" s="126" t="s">
        <v>45</v>
      </c>
      <c r="M1347" s="126" t="s">
        <v>46</v>
      </c>
      <c r="N1347" s="126" t="s">
        <v>1408</v>
      </c>
      <c r="O1347" s="127">
        <v>31517</v>
      </c>
      <c r="P1347" s="126"/>
      <c r="Q1347" s="126"/>
      <c r="R1347" s="126">
        <v>1.1000000000000001</v>
      </c>
      <c r="S1347" s="126" t="s">
        <v>48</v>
      </c>
    </row>
    <row r="1348" spans="1:19" x14ac:dyDescent="0.25">
      <c r="A1348" s="126">
        <v>50802</v>
      </c>
      <c r="B1348" s="126" t="s">
        <v>106</v>
      </c>
      <c r="C1348" s="126" t="s">
        <v>49</v>
      </c>
      <c r="D1348" s="126" t="s">
        <v>40</v>
      </c>
      <c r="E1348" s="126"/>
      <c r="F1348" s="126" t="s">
        <v>1000</v>
      </c>
      <c r="G1348" s="126"/>
      <c r="H1348" s="126" t="s">
        <v>43</v>
      </c>
      <c r="I1348" s="126" t="s">
        <v>1001</v>
      </c>
      <c r="J1348" s="126" t="s">
        <v>44</v>
      </c>
      <c r="K1348" s="126" t="s">
        <v>44</v>
      </c>
      <c r="L1348" s="126" t="s">
        <v>45</v>
      </c>
      <c r="M1348" s="126" t="s">
        <v>46</v>
      </c>
      <c r="N1348" s="126" t="s">
        <v>178</v>
      </c>
      <c r="O1348" s="127">
        <v>30655</v>
      </c>
      <c r="P1348" s="126"/>
      <c r="Q1348" s="126"/>
      <c r="R1348" s="126">
        <v>0.03</v>
      </c>
      <c r="S1348" s="126" t="s">
        <v>48</v>
      </c>
    </row>
    <row r="1349" spans="1:19" x14ac:dyDescent="0.25">
      <c r="A1349" s="126">
        <v>51701</v>
      </c>
      <c r="B1349" s="126" t="s">
        <v>106</v>
      </c>
      <c r="C1349" s="126" t="s">
        <v>49</v>
      </c>
      <c r="D1349" s="126" t="s">
        <v>40</v>
      </c>
      <c r="E1349" s="126"/>
      <c r="F1349" s="126" t="s">
        <v>3276</v>
      </c>
      <c r="G1349" s="126"/>
      <c r="H1349" s="126" t="s">
        <v>43</v>
      </c>
      <c r="I1349" s="126" t="s">
        <v>3277</v>
      </c>
      <c r="J1349" s="126" t="s">
        <v>800</v>
      </c>
      <c r="K1349" s="126" t="s">
        <v>800</v>
      </c>
      <c r="L1349" s="126" t="s">
        <v>800</v>
      </c>
      <c r="M1349" s="126" t="s">
        <v>46</v>
      </c>
      <c r="N1349" s="126" t="s">
        <v>47</v>
      </c>
      <c r="O1349" s="126"/>
      <c r="P1349" s="126"/>
      <c r="Q1349" s="126"/>
      <c r="R1349" s="126">
        <v>0.01</v>
      </c>
      <c r="S1349" s="126" t="s">
        <v>48</v>
      </c>
    </row>
    <row r="1350" spans="1:19" ht="29.25" x14ac:dyDescent="0.25">
      <c r="A1350" s="126">
        <v>51703</v>
      </c>
      <c r="B1350" s="126" t="s">
        <v>106</v>
      </c>
      <c r="C1350" s="126" t="s">
        <v>49</v>
      </c>
      <c r="D1350" s="126" t="s">
        <v>40</v>
      </c>
      <c r="E1350" s="126"/>
      <c r="F1350" s="126" t="s">
        <v>1258</v>
      </c>
      <c r="G1350" s="126"/>
      <c r="H1350" s="126" t="s">
        <v>43</v>
      </c>
      <c r="I1350" s="126" t="s">
        <v>1259</v>
      </c>
      <c r="J1350" s="126" t="s">
        <v>713</v>
      </c>
      <c r="K1350" s="126"/>
      <c r="L1350" s="126" t="s">
        <v>259</v>
      </c>
      <c r="M1350" s="126" t="s">
        <v>46</v>
      </c>
      <c r="N1350" s="126" t="s">
        <v>47</v>
      </c>
      <c r="O1350" s="127">
        <v>31274</v>
      </c>
      <c r="P1350" s="126"/>
      <c r="Q1350" s="126"/>
      <c r="R1350" s="126">
        <v>0.08</v>
      </c>
      <c r="S1350" s="126" t="s">
        <v>48</v>
      </c>
    </row>
    <row r="1351" spans="1:19" x14ac:dyDescent="0.25">
      <c r="A1351" s="126">
        <v>51704</v>
      </c>
      <c r="B1351" s="126" t="s">
        <v>106</v>
      </c>
      <c r="C1351" s="126" t="s">
        <v>49</v>
      </c>
      <c r="D1351" s="126" t="s">
        <v>40</v>
      </c>
      <c r="E1351" s="126"/>
      <c r="F1351" s="126" t="s">
        <v>1583</v>
      </c>
      <c r="G1351" s="126"/>
      <c r="H1351" s="126" t="s">
        <v>43</v>
      </c>
      <c r="I1351" s="126" t="s">
        <v>1584</v>
      </c>
      <c r="J1351" s="126" t="s">
        <v>44</v>
      </c>
      <c r="K1351" s="126" t="s">
        <v>44</v>
      </c>
      <c r="L1351" s="126" t="s">
        <v>45</v>
      </c>
      <c r="M1351" s="126" t="s">
        <v>46</v>
      </c>
      <c r="N1351" s="126" t="s">
        <v>47</v>
      </c>
      <c r="O1351" s="127">
        <v>31898</v>
      </c>
      <c r="P1351" s="126"/>
      <c r="Q1351" s="126"/>
      <c r="R1351" s="126">
        <v>0.09</v>
      </c>
      <c r="S1351" s="126" t="s">
        <v>48</v>
      </c>
    </row>
    <row r="1352" spans="1:19" x14ac:dyDescent="0.25">
      <c r="A1352" s="126">
        <v>51705</v>
      </c>
      <c r="B1352" s="126" t="s">
        <v>106</v>
      </c>
      <c r="C1352" s="126" t="s">
        <v>49</v>
      </c>
      <c r="D1352" s="126" t="s">
        <v>40</v>
      </c>
      <c r="E1352" s="126"/>
      <c r="F1352" s="126" t="s">
        <v>3278</v>
      </c>
      <c r="G1352" s="126"/>
      <c r="H1352" s="126" t="s">
        <v>43</v>
      </c>
      <c r="I1352" s="126" t="s">
        <v>3279</v>
      </c>
      <c r="J1352" s="126" t="s">
        <v>800</v>
      </c>
      <c r="K1352" s="126" t="s">
        <v>800</v>
      </c>
      <c r="L1352" s="126" t="s">
        <v>800</v>
      </c>
      <c r="M1352" s="126" t="s">
        <v>46</v>
      </c>
      <c r="N1352" s="126" t="s">
        <v>47</v>
      </c>
      <c r="O1352" s="126"/>
      <c r="P1352" s="126"/>
      <c r="Q1352" s="126"/>
      <c r="R1352" s="126">
        <v>0</v>
      </c>
      <c r="S1352" s="126" t="s">
        <v>48</v>
      </c>
    </row>
    <row r="1353" spans="1:19" x14ac:dyDescent="0.25">
      <c r="A1353" s="126">
        <v>51708</v>
      </c>
      <c r="B1353" s="126" t="s">
        <v>106</v>
      </c>
      <c r="C1353" s="126" t="s">
        <v>49</v>
      </c>
      <c r="D1353" s="126" t="s">
        <v>40</v>
      </c>
      <c r="E1353" s="126"/>
      <c r="F1353" s="126" t="s">
        <v>2256</v>
      </c>
      <c r="G1353" s="126"/>
      <c r="H1353" s="126" t="s">
        <v>43</v>
      </c>
      <c r="I1353" s="126" t="s">
        <v>2257</v>
      </c>
      <c r="J1353" s="126" t="s">
        <v>1055</v>
      </c>
      <c r="K1353" s="126" t="s">
        <v>2179</v>
      </c>
      <c r="L1353" s="126" t="s">
        <v>1056</v>
      </c>
      <c r="M1353" s="126" t="s">
        <v>46</v>
      </c>
      <c r="N1353" s="126" t="s">
        <v>47</v>
      </c>
      <c r="O1353" s="127">
        <v>35226</v>
      </c>
      <c r="P1353" s="126"/>
      <c r="Q1353" s="126"/>
      <c r="R1353" s="126">
        <v>0.01</v>
      </c>
      <c r="S1353" s="126" t="s">
        <v>48</v>
      </c>
    </row>
    <row r="1354" spans="1:19" ht="29.25" x14ac:dyDescent="0.25">
      <c r="A1354" s="126">
        <v>51709</v>
      </c>
      <c r="B1354" s="126" t="s">
        <v>106</v>
      </c>
      <c r="C1354" s="126" t="s">
        <v>49</v>
      </c>
      <c r="D1354" s="126" t="s">
        <v>40</v>
      </c>
      <c r="E1354" s="126"/>
      <c r="F1354" s="126" t="s">
        <v>2177</v>
      </c>
      <c r="G1354" s="126"/>
      <c r="H1354" s="126" t="s">
        <v>43</v>
      </c>
      <c r="I1354" s="126" t="s">
        <v>2178</v>
      </c>
      <c r="J1354" s="126" t="s">
        <v>1055</v>
      </c>
      <c r="K1354" s="126" t="s">
        <v>2179</v>
      </c>
      <c r="L1354" s="126" t="s">
        <v>1056</v>
      </c>
      <c r="M1354" s="126" t="s">
        <v>46</v>
      </c>
      <c r="N1354" s="126" t="s">
        <v>47</v>
      </c>
      <c r="O1354" s="127">
        <v>34075</v>
      </c>
      <c r="P1354" s="126"/>
      <c r="Q1354" s="126"/>
      <c r="R1354" s="126">
        <v>0.01</v>
      </c>
      <c r="S1354" s="126" t="s">
        <v>48</v>
      </c>
    </row>
    <row r="1355" spans="1:19" x14ac:dyDescent="0.25">
      <c r="A1355" s="126">
        <v>84901</v>
      </c>
      <c r="B1355" s="126" t="s">
        <v>106</v>
      </c>
      <c r="C1355" s="126" t="s">
        <v>49</v>
      </c>
      <c r="D1355" s="126" t="s">
        <v>40</v>
      </c>
      <c r="E1355" s="126"/>
      <c r="F1355" s="126" t="s">
        <v>3285</v>
      </c>
      <c r="G1355" s="126"/>
      <c r="H1355" s="126" t="s">
        <v>3282</v>
      </c>
      <c r="I1355" s="126">
        <v>1038</v>
      </c>
      <c r="J1355" s="126" t="s">
        <v>807</v>
      </c>
      <c r="K1355" s="126"/>
      <c r="L1355" s="126"/>
      <c r="M1355" s="126" t="s">
        <v>57</v>
      </c>
      <c r="N1355" s="126" t="s">
        <v>3282</v>
      </c>
      <c r="O1355" s="126"/>
      <c r="P1355" s="126"/>
      <c r="Q1355" s="126"/>
      <c r="R1355" s="126">
        <v>49.9</v>
      </c>
      <c r="S1355" s="126" t="s">
        <v>3284</v>
      </c>
    </row>
    <row r="1356" spans="1:19" x14ac:dyDescent="0.25">
      <c r="A1356" s="126">
        <v>84902</v>
      </c>
      <c r="B1356" s="126" t="s">
        <v>106</v>
      </c>
      <c r="C1356" s="126" t="s">
        <v>49</v>
      </c>
      <c r="D1356" s="126" t="s">
        <v>40</v>
      </c>
      <c r="E1356" s="126"/>
      <c r="F1356" s="126" t="s">
        <v>3286</v>
      </c>
      <c r="G1356" s="126"/>
      <c r="H1356" s="126" t="s">
        <v>3282</v>
      </c>
      <c r="I1356" s="126">
        <v>3004</v>
      </c>
      <c r="J1356" s="126" t="s">
        <v>663</v>
      </c>
      <c r="K1356" s="126" t="s">
        <v>385</v>
      </c>
      <c r="L1356" s="126" t="s">
        <v>663</v>
      </c>
      <c r="M1356" s="126" t="s">
        <v>57</v>
      </c>
      <c r="N1356" s="126" t="s">
        <v>3282</v>
      </c>
      <c r="O1356" s="126"/>
      <c r="P1356" s="126"/>
      <c r="Q1356" s="126"/>
      <c r="R1356" s="126">
        <v>42</v>
      </c>
      <c r="S1356" s="126" t="s">
        <v>3284</v>
      </c>
    </row>
    <row r="1357" spans="1:19" x14ac:dyDescent="0.25">
      <c r="A1357" s="126">
        <v>84903</v>
      </c>
      <c r="B1357" s="126" t="s">
        <v>106</v>
      </c>
      <c r="C1357" s="126" t="s">
        <v>49</v>
      </c>
      <c r="D1357" s="126" t="s">
        <v>40</v>
      </c>
      <c r="E1357" s="126"/>
      <c r="F1357" s="126" t="s">
        <v>3287</v>
      </c>
      <c r="G1357" s="126"/>
      <c r="H1357" s="126" t="s">
        <v>3282</v>
      </c>
      <c r="I1357" s="126">
        <v>3009</v>
      </c>
      <c r="J1357" s="126" t="s">
        <v>663</v>
      </c>
      <c r="K1357" s="126" t="s">
        <v>385</v>
      </c>
      <c r="L1357" s="126" t="s">
        <v>663</v>
      </c>
      <c r="M1357" s="126" t="s">
        <v>57</v>
      </c>
      <c r="N1357" s="126" t="s">
        <v>3282</v>
      </c>
      <c r="O1357" s="126"/>
      <c r="P1357" s="126"/>
      <c r="Q1357" s="126"/>
      <c r="R1357" s="126">
        <v>42</v>
      </c>
      <c r="S1357" s="126" t="s">
        <v>3284</v>
      </c>
    </row>
    <row r="1358" spans="1:19" x14ac:dyDescent="0.25">
      <c r="A1358" s="126">
        <v>84904</v>
      </c>
      <c r="B1358" s="126" t="s">
        <v>106</v>
      </c>
      <c r="C1358" s="126" t="s">
        <v>49</v>
      </c>
      <c r="D1358" s="126" t="s">
        <v>40</v>
      </c>
      <c r="E1358" s="126"/>
      <c r="F1358" s="126" t="s">
        <v>3288</v>
      </c>
      <c r="G1358" s="126"/>
      <c r="H1358" s="126" t="s">
        <v>3282</v>
      </c>
      <c r="I1358" s="126">
        <v>3001</v>
      </c>
      <c r="J1358" s="126" t="s">
        <v>663</v>
      </c>
      <c r="K1358" s="126" t="s">
        <v>385</v>
      </c>
      <c r="L1358" s="126" t="s">
        <v>663</v>
      </c>
      <c r="M1358" s="126" t="s">
        <v>57</v>
      </c>
      <c r="N1358" s="126" t="s">
        <v>3282</v>
      </c>
      <c r="O1358" s="126"/>
      <c r="P1358" s="126"/>
      <c r="Q1358" s="126"/>
      <c r="R1358" s="126">
        <v>52</v>
      </c>
      <c r="S1358" s="126" t="s">
        <v>3284</v>
      </c>
    </row>
    <row r="1359" spans="1:19" x14ac:dyDescent="0.25">
      <c r="A1359" s="126">
        <v>84905</v>
      </c>
      <c r="B1359" s="126" t="s">
        <v>106</v>
      </c>
      <c r="C1359" s="126" t="s">
        <v>49</v>
      </c>
      <c r="D1359" s="126" t="s">
        <v>40</v>
      </c>
      <c r="E1359" s="126"/>
      <c r="F1359" s="126" t="s">
        <v>3289</v>
      </c>
      <c r="G1359" s="126"/>
      <c r="H1359" s="126" t="s">
        <v>3282</v>
      </c>
      <c r="I1359" s="126">
        <v>3026</v>
      </c>
      <c r="J1359" s="126" t="s">
        <v>663</v>
      </c>
      <c r="K1359" s="126" t="s">
        <v>385</v>
      </c>
      <c r="L1359" s="126" t="s">
        <v>663</v>
      </c>
      <c r="M1359" s="126" t="s">
        <v>57</v>
      </c>
      <c r="N1359" s="126" t="s">
        <v>3282</v>
      </c>
      <c r="O1359" s="126"/>
      <c r="P1359" s="126"/>
      <c r="Q1359" s="126"/>
      <c r="R1359" s="126">
        <v>42</v>
      </c>
      <c r="S1359" s="126" t="s">
        <v>3284</v>
      </c>
    </row>
    <row r="1360" spans="1:19" x14ac:dyDescent="0.25">
      <c r="A1360" s="126">
        <v>84906</v>
      </c>
      <c r="B1360" s="126" t="s">
        <v>106</v>
      </c>
      <c r="C1360" s="126" t="s">
        <v>49</v>
      </c>
      <c r="D1360" s="126" t="s">
        <v>40</v>
      </c>
      <c r="E1360" s="126"/>
      <c r="F1360" s="126" t="s">
        <v>3290</v>
      </c>
      <c r="G1360" s="126"/>
      <c r="H1360" s="126" t="s">
        <v>3282</v>
      </c>
      <c r="I1360" s="126">
        <v>3010</v>
      </c>
      <c r="J1360" s="126" t="s">
        <v>663</v>
      </c>
      <c r="K1360" s="126" t="s">
        <v>385</v>
      </c>
      <c r="L1360" s="126" t="s">
        <v>663</v>
      </c>
      <c r="M1360" s="126" t="s">
        <v>57</v>
      </c>
      <c r="N1360" s="126" t="s">
        <v>3282</v>
      </c>
      <c r="O1360" s="126"/>
      <c r="P1360" s="126"/>
      <c r="Q1360" s="126"/>
      <c r="R1360" s="126">
        <v>38</v>
      </c>
      <c r="S1360" s="126" t="s">
        <v>3284</v>
      </c>
    </row>
    <row r="1361" spans="1:19" x14ac:dyDescent="0.25">
      <c r="A1361" s="126">
        <v>84907</v>
      </c>
      <c r="B1361" s="126" t="s">
        <v>106</v>
      </c>
      <c r="C1361" s="126" t="s">
        <v>49</v>
      </c>
      <c r="D1361" s="126" t="s">
        <v>40</v>
      </c>
      <c r="E1361" s="126"/>
      <c r="F1361" s="126" t="s">
        <v>3291</v>
      </c>
      <c r="G1361" s="126"/>
      <c r="H1361" s="126" t="s">
        <v>3282</v>
      </c>
      <c r="I1361" s="126">
        <v>3012</v>
      </c>
      <c r="J1361" s="126" t="s">
        <v>663</v>
      </c>
      <c r="K1361" s="126" t="s">
        <v>385</v>
      </c>
      <c r="L1361" s="126" t="s">
        <v>663</v>
      </c>
      <c r="M1361" s="126" t="s">
        <v>57</v>
      </c>
      <c r="N1361" s="126" t="s">
        <v>3282</v>
      </c>
      <c r="O1361" s="126"/>
      <c r="P1361" s="126"/>
      <c r="Q1361" s="126"/>
      <c r="R1361" s="126">
        <v>19</v>
      </c>
      <c r="S1361" s="126" t="s">
        <v>3284</v>
      </c>
    </row>
    <row r="1362" spans="1:19" x14ac:dyDescent="0.25">
      <c r="A1362" s="126">
        <v>84908</v>
      </c>
      <c r="B1362" s="126" t="s">
        <v>106</v>
      </c>
      <c r="C1362" s="126" t="s">
        <v>49</v>
      </c>
      <c r="D1362" s="126" t="s">
        <v>40</v>
      </c>
      <c r="E1362" s="126"/>
      <c r="F1362" s="126" t="s">
        <v>3292</v>
      </c>
      <c r="G1362" s="126"/>
      <c r="H1362" s="126" t="s">
        <v>3282</v>
      </c>
      <c r="I1362" s="126">
        <v>3050</v>
      </c>
      <c r="J1362" s="126" t="s">
        <v>663</v>
      </c>
      <c r="K1362" s="126" t="s">
        <v>385</v>
      </c>
      <c r="L1362" s="126" t="s">
        <v>663</v>
      </c>
      <c r="M1362" s="126" t="s">
        <v>57</v>
      </c>
      <c r="N1362" s="126" t="s">
        <v>3282</v>
      </c>
      <c r="O1362" s="126"/>
      <c r="P1362" s="126"/>
      <c r="Q1362" s="126"/>
      <c r="R1362" s="126">
        <v>36</v>
      </c>
      <c r="S1362" s="126" t="s">
        <v>3284</v>
      </c>
    </row>
    <row r="1363" spans="1:19" ht="29.25" x14ac:dyDescent="0.25">
      <c r="A1363" s="126">
        <v>84909</v>
      </c>
      <c r="B1363" s="126" t="s">
        <v>106</v>
      </c>
      <c r="C1363" s="126" t="s">
        <v>49</v>
      </c>
      <c r="D1363" s="126" t="s">
        <v>40</v>
      </c>
      <c r="E1363" s="126"/>
      <c r="F1363" s="126" t="s">
        <v>3293</v>
      </c>
      <c r="G1363" s="126"/>
      <c r="H1363" s="126" t="s">
        <v>3282</v>
      </c>
      <c r="I1363" s="126">
        <v>3039</v>
      </c>
      <c r="J1363" s="126" t="s">
        <v>663</v>
      </c>
      <c r="K1363" s="126" t="s">
        <v>385</v>
      </c>
      <c r="L1363" s="126" t="s">
        <v>663</v>
      </c>
      <c r="M1363" s="126" t="s">
        <v>57</v>
      </c>
      <c r="N1363" s="126" t="s">
        <v>3282</v>
      </c>
      <c r="O1363" s="126"/>
      <c r="P1363" s="126"/>
      <c r="Q1363" s="126"/>
      <c r="R1363" s="126">
        <v>10</v>
      </c>
      <c r="S1363" s="126" t="s">
        <v>3284</v>
      </c>
    </row>
    <row r="1364" spans="1:19" ht="29.25" x14ac:dyDescent="0.25">
      <c r="A1364" s="126">
        <v>84910</v>
      </c>
      <c r="B1364" s="126" t="s">
        <v>106</v>
      </c>
      <c r="C1364" s="126" t="s">
        <v>49</v>
      </c>
      <c r="D1364" s="126" t="s">
        <v>40</v>
      </c>
      <c r="E1364" s="126"/>
      <c r="F1364" s="126" t="s">
        <v>3294</v>
      </c>
      <c r="G1364" s="126"/>
      <c r="H1364" s="126" t="s">
        <v>3282</v>
      </c>
      <c r="I1364" s="126">
        <v>3028</v>
      </c>
      <c r="J1364" s="126" t="s">
        <v>663</v>
      </c>
      <c r="K1364" s="126" t="s">
        <v>385</v>
      </c>
      <c r="L1364" s="126" t="s">
        <v>663</v>
      </c>
      <c r="M1364" s="126" t="s">
        <v>57</v>
      </c>
      <c r="N1364" s="126" t="s">
        <v>3282</v>
      </c>
      <c r="O1364" s="126"/>
      <c r="P1364" s="126"/>
      <c r="Q1364" s="126"/>
      <c r="R1364" s="126">
        <v>20</v>
      </c>
      <c r="S1364" s="126" t="s">
        <v>3284</v>
      </c>
    </row>
    <row r="1365" spans="1:19" ht="29.25" x14ac:dyDescent="0.25">
      <c r="A1365" s="126">
        <v>84911</v>
      </c>
      <c r="B1365" s="126" t="s">
        <v>106</v>
      </c>
      <c r="C1365" s="126" t="s">
        <v>49</v>
      </c>
      <c r="D1365" s="126" t="s">
        <v>40</v>
      </c>
      <c r="E1365" s="126"/>
      <c r="F1365" s="126" t="s">
        <v>3295</v>
      </c>
      <c r="G1365" s="126"/>
      <c r="H1365" s="126" t="s">
        <v>3282</v>
      </c>
      <c r="I1365" s="126">
        <v>3025</v>
      </c>
      <c r="J1365" s="126" t="s">
        <v>663</v>
      </c>
      <c r="K1365" s="126" t="s">
        <v>385</v>
      </c>
      <c r="L1365" s="126" t="s">
        <v>663</v>
      </c>
      <c r="M1365" s="126" t="s">
        <v>57</v>
      </c>
      <c r="N1365" s="126" t="s">
        <v>3282</v>
      </c>
      <c r="O1365" s="126"/>
      <c r="P1365" s="126"/>
      <c r="Q1365" s="126"/>
      <c r="R1365" s="126">
        <v>49.8</v>
      </c>
      <c r="S1365" s="126" t="s">
        <v>3284</v>
      </c>
    </row>
    <row r="1366" spans="1:19" ht="29.25" x14ac:dyDescent="0.25">
      <c r="A1366" s="126">
        <v>84912</v>
      </c>
      <c r="B1366" s="126" t="s">
        <v>106</v>
      </c>
      <c r="C1366" s="126" t="s">
        <v>49</v>
      </c>
      <c r="D1366" s="126" t="s">
        <v>40</v>
      </c>
      <c r="E1366" s="126"/>
      <c r="F1366" s="126" t="s">
        <v>3296</v>
      </c>
      <c r="G1366" s="126"/>
      <c r="H1366" s="126" t="s">
        <v>3282</v>
      </c>
      <c r="I1366" s="126">
        <v>3021</v>
      </c>
      <c r="J1366" s="126" t="s">
        <v>663</v>
      </c>
      <c r="K1366" s="126" t="s">
        <v>385</v>
      </c>
      <c r="L1366" s="126" t="s">
        <v>663</v>
      </c>
      <c r="M1366" s="126" t="s">
        <v>57</v>
      </c>
      <c r="N1366" s="126" t="s">
        <v>3282</v>
      </c>
      <c r="O1366" s="126"/>
      <c r="P1366" s="126"/>
      <c r="Q1366" s="126"/>
      <c r="R1366" s="126">
        <v>37</v>
      </c>
      <c r="S1366" s="126" t="s">
        <v>3284</v>
      </c>
    </row>
    <row r="1367" spans="1:19" ht="29.25" x14ac:dyDescent="0.25">
      <c r="A1367" s="126">
        <v>84913</v>
      </c>
      <c r="B1367" s="126" t="s">
        <v>106</v>
      </c>
      <c r="C1367" s="126" t="s">
        <v>49</v>
      </c>
      <c r="D1367" s="126" t="s">
        <v>40</v>
      </c>
      <c r="E1367" s="126"/>
      <c r="F1367" s="126" t="s">
        <v>3297</v>
      </c>
      <c r="G1367" s="126"/>
      <c r="H1367" s="126" t="s">
        <v>3282</v>
      </c>
      <c r="I1367" s="126">
        <v>3006</v>
      </c>
      <c r="J1367" s="126" t="s">
        <v>663</v>
      </c>
      <c r="K1367" s="126" t="s">
        <v>385</v>
      </c>
      <c r="L1367" s="126" t="s">
        <v>663</v>
      </c>
      <c r="M1367" s="126" t="s">
        <v>57</v>
      </c>
      <c r="N1367" s="126" t="s">
        <v>3282</v>
      </c>
      <c r="O1367" s="126"/>
      <c r="P1367" s="126"/>
      <c r="Q1367" s="126"/>
      <c r="R1367" s="126">
        <v>34</v>
      </c>
      <c r="S1367" s="126" t="s">
        <v>3284</v>
      </c>
    </row>
    <row r="1368" spans="1:19" ht="29.25" x14ac:dyDescent="0.25">
      <c r="A1368" s="126">
        <v>85101</v>
      </c>
      <c r="B1368" s="126" t="s">
        <v>106</v>
      </c>
      <c r="C1368" s="126" t="s">
        <v>49</v>
      </c>
      <c r="D1368" s="126" t="s">
        <v>40</v>
      </c>
      <c r="E1368" s="126"/>
      <c r="F1368" s="126" t="s">
        <v>3306</v>
      </c>
      <c r="G1368" s="126"/>
      <c r="H1368" s="126" t="s">
        <v>7</v>
      </c>
      <c r="I1368" s="126">
        <v>1018</v>
      </c>
      <c r="J1368" s="126" t="s">
        <v>807</v>
      </c>
      <c r="K1368" s="126"/>
      <c r="L1368" s="126"/>
      <c r="M1368" s="126" t="s">
        <v>57</v>
      </c>
      <c r="N1368" s="126" t="s">
        <v>58</v>
      </c>
      <c r="O1368" s="126"/>
      <c r="P1368" s="126"/>
      <c r="Q1368" s="126"/>
      <c r="R1368" s="126">
        <v>12</v>
      </c>
      <c r="S1368" s="126" t="s">
        <v>3284</v>
      </c>
    </row>
    <row r="1369" spans="1:19" ht="29.25" x14ac:dyDescent="0.25">
      <c r="A1369" s="126">
        <v>85102</v>
      </c>
      <c r="B1369" s="126" t="s">
        <v>106</v>
      </c>
      <c r="C1369" s="126" t="s">
        <v>49</v>
      </c>
      <c r="D1369" s="126" t="s">
        <v>40</v>
      </c>
      <c r="E1369" s="126"/>
      <c r="F1369" s="126" t="s">
        <v>3307</v>
      </c>
      <c r="G1369" s="126"/>
      <c r="H1369" s="126" t="s">
        <v>7</v>
      </c>
      <c r="I1369" s="126">
        <v>1022</v>
      </c>
      <c r="J1369" s="126" t="s">
        <v>807</v>
      </c>
      <c r="K1369" s="126"/>
      <c r="L1369" s="126"/>
      <c r="M1369" s="126" t="s">
        <v>57</v>
      </c>
      <c r="N1369" s="126" t="s">
        <v>58</v>
      </c>
      <c r="O1369" s="126"/>
      <c r="P1369" s="126"/>
      <c r="Q1369" s="126"/>
      <c r="R1369" s="126">
        <v>12</v>
      </c>
      <c r="S1369" s="126" t="s">
        <v>3284</v>
      </c>
    </row>
    <row r="1370" spans="1:19" ht="29.25" x14ac:dyDescent="0.25">
      <c r="A1370" s="126">
        <v>85103</v>
      </c>
      <c r="B1370" s="126" t="s">
        <v>106</v>
      </c>
      <c r="C1370" s="126" t="s">
        <v>49</v>
      </c>
      <c r="D1370" s="126" t="s">
        <v>40</v>
      </c>
      <c r="E1370" s="126"/>
      <c r="F1370" s="126" t="s">
        <v>3308</v>
      </c>
      <c r="G1370" s="126"/>
      <c r="H1370" s="126" t="s">
        <v>7</v>
      </c>
      <c r="I1370" s="126">
        <v>4005</v>
      </c>
      <c r="J1370" s="126" t="s">
        <v>44</v>
      </c>
      <c r="K1370" s="126" t="s">
        <v>44</v>
      </c>
      <c r="L1370" s="126" t="s">
        <v>45</v>
      </c>
      <c r="M1370" s="126" t="s">
        <v>57</v>
      </c>
      <c r="N1370" s="126" t="s">
        <v>58</v>
      </c>
      <c r="O1370" s="126"/>
      <c r="P1370" s="126"/>
      <c r="Q1370" s="126"/>
      <c r="R1370" s="126">
        <v>10.1</v>
      </c>
      <c r="S1370" s="126" t="s">
        <v>3284</v>
      </c>
    </row>
    <row r="1371" spans="1:19" ht="29.25" x14ac:dyDescent="0.25">
      <c r="A1371" s="126">
        <v>53301</v>
      </c>
      <c r="B1371" s="126" t="s">
        <v>106</v>
      </c>
      <c r="C1371" s="126" t="s">
        <v>49</v>
      </c>
      <c r="D1371" s="126" t="s">
        <v>40</v>
      </c>
      <c r="E1371" s="126"/>
      <c r="F1371" s="126" t="s">
        <v>1723</v>
      </c>
      <c r="G1371" s="126"/>
      <c r="H1371" s="126" t="s">
        <v>7</v>
      </c>
      <c r="I1371" s="126">
        <v>1082</v>
      </c>
      <c r="J1371" s="126" t="s">
        <v>807</v>
      </c>
      <c r="K1371" s="126"/>
      <c r="L1371" s="126"/>
      <c r="M1371" s="126" t="s">
        <v>57</v>
      </c>
      <c r="N1371" s="126" t="s">
        <v>58</v>
      </c>
      <c r="O1371" s="127">
        <v>32283</v>
      </c>
      <c r="P1371" s="126"/>
      <c r="Q1371" s="126"/>
      <c r="R1371" s="126">
        <v>7</v>
      </c>
      <c r="S1371" s="126" t="s">
        <v>48</v>
      </c>
    </row>
    <row r="1372" spans="1:19" ht="29.25" x14ac:dyDescent="0.25">
      <c r="A1372" s="126">
        <v>53302</v>
      </c>
      <c r="B1372" s="126" t="s">
        <v>106</v>
      </c>
      <c r="C1372" s="126" t="s">
        <v>49</v>
      </c>
      <c r="D1372" s="126" t="s">
        <v>40</v>
      </c>
      <c r="E1372" s="126"/>
      <c r="F1372" s="126" t="s">
        <v>2022</v>
      </c>
      <c r="G1372" s="126"/>
      <c r="H1372" s="126" t="s">
        <v>7</v>
      </c>
      <c r="I1372" s="126">
        <v>2396</v>
      </c>
      <c r="J1372" s="126" t="s">
        <v>713</v>
      </c>
      <c r="K1372" s="126"/>
      <c r="L1372" s="126"/>
      <c r="M1372" s="126" t="s">
        <v>57</v>
      </c>
      <c r="N1372" s="126" t="s">
        <v>58</v>
      </c>
      <c r="O1372" s="127">
        <v>32947</v>
      </c>
      <c r="P1372" s="126"/>
      <c r="Q1372" s="126"/>
      <c r="R1372" s="126">
        <v>0.06</v>
      </c>
      <c r="S1372" s="126" t="s">
        <v>48</v>
      </c>
    </row>
    <row r="1373" spans="1:19" ht="29.25" x14ac:dyDescent="0.25">
      <c r="A1373" s="126">
        <v>53401</v>
      </c>
      <c r="B1373" s="126" t="s">
        <v>106</v>
      </c>
      <c r="C1373" s="126" t="s">
        <v>49</v>
      </c>
      <c r="D1373" s="126" t="s">
        <v>40</v>
      </c>
      <c r="E1373" s="126"/>
      <c r="F1373" s="126" t="s">
        <v>2234</v>
      </c>
      <c r="G1373" s="126"/>
      <c r="H1373" s="126" t="s">
        <v>7</v>
      </c>
      <c r="I1373" s="126">
        <v>2475</v>
      </c>
      <c r="J1373" s="126" t="s">
        <v>713</v>
      </c>
      <c r="K1373" s="126"/>
      <c r="L1373" s="126"/>
      <c r="M1373" s="126" t="s">
        <v>57</v>
      </c>
      <c r="N1373" s="126" t="s">
        <v>58</v>
      </c>
      <c r="O1373" s="127">
        <v>34899</v>
      </c>
      <c r="P1373" s="126"/>
      <c r="Q1373" s="126"/>
      <c r="R1373" s="126">
        <v>2.75</v>
      </c>
      <c r="S1373" s="126" t="s">
        <v>48</v>
      </c>
    </row>
    <row r="1374" spans="1:19" ht="29.25" x14ac:dyDescent="0.25">
      <c r="A1374" s="126">
        <v>53402</v>
      </c>
      <c r="B1374" s="126" t="s">
        <v>106</v>
      </c>
      <c r="C1374" s="126" t="s">
        <v>49</v>
      </c>
      <c r="D1374" s="126" t="s">
        <v>40</v>
      </c>
      <c r="E1374" s="126"/>
      <c r="F1374" s="126" t="s">
        <v>1469</v>
      </c>
      <c r="G1374" s="126"/>
      <c r="H1374" s="126" t="s">
        <v>7</v>
      </c>
      <c r="I1374" s="126">
        <v>1026</v>
      </c>
      <c r="J1374" s="126" t="s">
        <v>807</v>
      </c>
      <c r="K1374" s="126"/>
      <c r="L1374" s="126"/>
      <c r="M1374" s="126" t="s">
        <v>57</v>
      </c>
      <c r="N1374" s="126" t="s">
        <v>58</v>
      </c>
      <c r="O1374" s="127">
        <v>31729</v>
      </c>
      <c r="P1374" s="126"/>
      <c r="Q1374" s="126"/>
      <c r="R1374" s="126">
        <v>10.5</v>
      </c>
      <c r="S1374" s="126" t="s">
        <v>48</v>
      </c>
    </row>
    <row r="1375" spans="1:19" x14ac:dyDescent="0.25">
      <c r="A1375" s="126">
        <v>53403</v>
      </c>
      <c r="B1375" s="126" t="s">
        <v>106</v>
      </c>
      <c r="C1375" s="126" t="s">
        <v>49</v>
      </c>
      <c r="D1375" s="126" t="s">
        <v>40</v>
      </c>
      <c r="E1375" s="126"/>
      <c r="F1375" s="126" t="s">
        <v>2185</v>
      </c>
      <c r="G1375" s="126"/>
      <c r="H1375" s="126" t="s">
        <v>7</v>
      </c>
      <c r="I1375" s="126">
        <v>2441</v>
      </c>
      <c r="J1375" s="126" t="s">
        <v>713</v>
      </c>
      <c r="K1375" s="126"/>
      <c r="L1375" s="126"/>
      <c r="M1375" s="126" t="s">
        <v>57</v>
      </c>
      <c r="N1375" s="126" t="s">
        <v>58</v>
      </c>
      <c r="O1375" s="127">
        <v>34129</v>
      </c>
      <c r="P1375" s="126"/>
      <c r="Q1375" s="126"/>
      <c r="R1375" s="126">
        <v>0.35</v>
      </c>
      <c r="S1375" s="126" t="s">
        <v>48</v>
      </c>
    </row>
    <row r="1376" spans="1:19" ht="43.5" x14ac:dyDescent="0.25">
      <c r="A1376" s="126">
        <v>50600</v>
      </c>
      <c r="B1376" s="126" t="s">
        <v>106</v>
      </c>
      <c r="C1376" s="126" t="s">
        <v>49</v>
      </c>
      <c r="D1376" s="126" t="s">
        <v>40</v>
      </c>
      <c r="E1376" s="126" t="s">
        <v>1900</v>
      </c>
      <c r="F1376" s="126" t="s">
        <v>1901</v>
      </c>
      <c r="G1376" s="126">
        <v>36.799999999999997</v>
      </c>
      <c r="H1376" s="126" t="s">
        <v>43</v>
      </c>
      <c r="I1376" s="126" t="s">
        <v>1902</v>
      </c>
      <c r="J1376" s="126" t="s">
        <v>807</v>
      </c>
      <c r="K1376" s="126" t="s">
        <v>385</v>
      </c>
      <c r="L1376" s="126" t="s">
        <v>808</v>
      </c>
      <c r="M1376" s="126" t="s">
        <v>46</v>
      </c>
      <c r="N1376" s="126" t="s">
        <v>809</v>
      </c>
      <c r="O1376" s="127">
        <v>32715</v>
      </c>
      <c r="P1376" s="126" t="s">
        <v>810</v>
      </c>
      <c r="Q1376" s="126"/>
      <c r="R1376" s="126">
        <v>36.799999999999997</v>
      </c>
      <c r="S1376" s="126" t="s">
        <v>48</v>
      </c>
    </row>
    <row r="1377" spans="1:19" ht="43.5" x14ac:dyDescent="0.25">
      <c r="A1377" s="126">
        <v>29800</v>
      </c>
      <c r="B1377" s="126" t="s">
        <v>106</v>
      </c>
      <c r="C1377" s="126" t="s">
        <v>49</v>
      </c>
      <c r="D1377" s="126" t="s">
        <v>40</v>
      </c>
      <c r="E1377" s="126" t="s">
        <v>804</v>
      </c>
      <c r="F1377" s="126" t="s">
        <v>805</v>
      </c>
      <c r="G1377" s="126">
        <v>16.5</v>
      </c>
      <c r="H1377" s="126" t="s">
        <v>43</v>
      </c>
      <c r="I1377" s="126" t="s">
        <v>806</v>
      </c>
      <c r="J1377" s="126" t="s">
        <v>807</v>
      </c>
      <c r="K1377" s="126" t="s">
        <v>385</v>
      </c>
      <c r="L1377" s="126" t="s">
        <v>808</v>
      </c>
      <c r="M1377" s="126" t="s">
        <v>46</v>
      </c>
      <c r="N1377" s="126" t="s">
        <v>809</v>
      </c>
      <c r="O1377" s="127">
        <v>29864</v>
      </c>
      <c r="P1377" s="126" t="s">
        <v>810</v>
      </c>
      <c r="Q1377" s="126"/>
      <c r="R1377" s="126">
        <v>16.5</v>
      </c>
      <c r="S1377" s="126" t="s">
        <v>48</v>
      </c>
    </row>
    <row r="1378" spans="1:19" ht="43.5" x14ac:dyDescent="0.25">
      <c r="A1378" s="126">
        <v>75200</v>
      </c>
      <c r="B1378" s="126" t="s">
        <v>106</v>
      </c>
      <c r="C1378" s="126" t="s">
        <v>49</v>
      </c>
      <c r="D1378" s="126" t="s">
        <v>40</v>
      </c>
      <c r="E1378" s="126" t="s">
        <v>1247</v>
      </c>
      <c r="F1378" s="126" t="s">
        <v>1248</v>
      </c>
      <c r="G1378" s="126">
        <v>1.25</v>
      </c>
      <c r="H1378" s="126" t="s">
        <v>43</v>
      </c>
      <c r="I1378" s="126" t="s">
        <v>1249</v>
      </c>
      <c r="J1378" s="126" t="s">
        <v>663</v>
      </c>
      <c r="K1378" s="126" t="s">
        <v>385</v>
      </c>
      <c r="L1378" s="126" t="s">
        <v>663</v>
      </c>
      <c r="M1378" s="126" t="s">
        <v>46</v>
      </c>
      <c r="N1378" s="126" t="s">
        <v>809</v>
      </c>
      <c r="O1378" s="127">
        <v>31209</v>
      </c>
      <c r="P1378" s="126" t="s">
        <v>810</v>
      </c>
      <c r="Q1378" s="126"/>
      <c r="R1378" s="126">
        <v>1.25</v>
      </c>
      <c r="S1378" s="126" t="s">
        <v>48</v>
      </c>
    </row>
    <row r="1379" spans="1:19" ht="43.5" x14ac:dyDescent="0.25">
      <c r="A1379" s="126">
        <v>34800</v>
      </c>
      <c r="B1379" s="126" t="s">
        <v>106</v>
      </c>
      <c r="C1379" s="126" t="s">
        <v>49</v>
      </c>
      <c r="D1379" s="126" t="s">
        <v>40</v>
      </c>
      <c r="E1379" s="126" t="s">
        <v>1768</v>
      </c>
      <c r="F1379" s="126" t="s">
        <v>1769</v>
      </c>
      <c r="G1379" s="126">
        <v>2.6</v>
      </c>
      <c r="H1379" s="126" t="s">
        <v>43</v>
      </c>
      <c r="I1379" s="126" t="s">
        <v>1770</v>
      </c>
      <c r="J1379" s="126" t="s">
        <v>663</v>
      </c>
      <c r="K1379" s="126" t="s">
        <v>385</v>
      </c>
      <c r="L1379" s="126" t="s">
        <v>663</v>
      </c>
      <c r="M1379" s="126" t="s">
        <v>46</v>
      </c>
      <c r="N1379" s="126" t="s">
        <v>809</v>
      </c>
      <c r="O1379" s="127">
        <v>32397</v>
      </c>
      <c r="P1379" s="126" t="s">
        <v>810</v>
      </c>
      <c r="Q1379" s="126"/>
      <c r="R1379" s="126">
        <v>2.6</v>
      </c>
      <c r="S1379" s="126" t="s">
        <v>48</v>
      </c>
    </row>
    <row r="1380" spans="1:19" ht="29.25" x14ac:dyDescent="0.25">
      <c r="A1380" s="126">
        <v>53701</v>
      </c>
      <c r="B1380" s="126" t="s">
        <v>106</v>
      </c>
      <c r="C1380" s="126" t="s">
        <v>49</v>
      </c>
      <c r="D1380" s="126" t="s">
        <v>40</v>
      </c>
      <c r="E1380" s="126"/>
      <c r="F1380" s="126" t="s">
        <v>3309</v>
      </c>
      <c r="G1380" s="126"/>
      <c r="H1380" s="126" t="s">
        <v>7</v>
      </c>
      <c r="I1380" s="126">
        <v>4050</v>
      </c>
      <c r="J1380" s="126" t="s">
        <v>44</v>
      </c>
      <c r="K1380" s="126"/>
      <c r="L1380" s="126"/>
      <c r="M1380" s="126" t="s">
        <v>57</v>
      </c>
      <c r="N1380" s="126" t="s">
        <v>58</v>
      </c>
      <c r="O1380" s="126"/>
      <c r="P1380" s="126"/>
      <c r="Q1380" s="126"/>
      <c r="R1380" s="126">
        <v>0.28000000000000003</v>
      </c>
      <c r="S1380" s="126" t="s">
        <v>48</v>
      </c>
    </row>
    <row r="1381" spans="1:19" x14ac:dyDescent="0.25">
      <c r="A1381" s="126">
        <v>53702</v>
      </c>
      <c r="B1381" s="126" t="s">
        <v>106</v>
      </c>
      <c r="C1381" s="126" t="s">
        <v>49</v>
      </c>
      <c r="D1381" s="126" t="s">
        <v>40</v>
      </c>
      <c r="E1381" s="126"/>
      <c r="F1381" s="126" t="s">
        <v>1744</v>
      </c>
      <c r="G1381" s="126"/>
      <c r="H1381" s="126" t="s">
        <v>7</v>
      </c>
      <c r="I1381" s="126">
        <v>2003</v>
      </c>
      <c r="J1381" s="126" t="s">
        <v>713</v>
      </c>
      <c r="K1381" s="126"/>
      <c r="L1381" s="126"/>
      <c r="M1381" s="126" t="s">
        <v>57</v>
      </c>
      <c r="N1381" s="126" t="s">
        <v>58</v>
      </c>
      <c r="O1381" s="127">
        <v>32335</v>
      </c>
      <c r="P1381" s="126"/>
      <c r="Q1381" s="126"/>
      <c r="R1381" s="126">
        <v>5</v>
      </c>
      <c r="S1381" s="126" t="s">
        <v>48</v>
      </c>
    </row>
    <row r="1382" spans="1:19" ht="29.25" x14ac:dyDescent="0.25">
      <c r="A1382" s="126">
        <v>50900</v>
      </c>
      <c r="B1382" s="126" t="s">
        <v>106</v>
      </c>
      <c r="C1382" s="126" t="s">
        <v>49</v>
      </c>
      <c r="D1382" s="126" t="s">
        <v>40</v>
      </c>
      <c r="E1382" s="126" t="s">
        <v>959</v>
      </c>
      <c r="F1382" s="126" t="s">
        <v>960</v>
      </c>
      <c r="G1382" s="126">
        <v>2.2000000000000002</v>
      </c>
      <c r="H1382" s="126" t="s">
        <v>43</v>
      </c>
      <c r="I1382" s="126" t="s">
        <v>961</v>
      </c>
      <c r="J1382" s="126" t="s">
        <v>44</v>
      </c>
      <c r="K1382" s="126" t="s">
        <v>44</v>
      </c>
      <c r="L1382" s="126" t="s">
        <v>45</v>
      </c>
      <c r="M1382" s="126" t="s">
        <v>46</v>
      </c>
      <c r="N1382" s="126" t="s">
        <v>178</v>
      </c>
      <c r="O1382" s="127">
        <v>30416</v>
      </c>
      <c r="P1382" s="126" t="s">
        <v>962</v>
      </c>
      <c r="Q1382" s="126"/>
      <c r="R1382" s="126">
        <v>2.5</v>
      </c>
      <c r="S1382" s="126" t="s">
        <v>48</v>
      </c>
    </row>
    <row r="1383" spans="1:19" ht="29.25" x14ac:dyDescent="0.25">
      <c r="A1383" s="126">
        <v>51706</v>
      </c>
      <c r="B1383" s="126" t="s">
        <v>106</v>
      </c>
      <c r="C1383" s="126" t="s">
        <v>49</v>
      </c>
      <c r="D1383" s="126" t="s">
        <v>40</v>
      </c>
      <c r="E1383" s="126" t="s">
        <v>1699</v>
      </c>
      <c r="F1383" s="126" t="s">
        <v>1700</v>
      </c>
      <c r="G1383" s="126">
        <v>1</v>
      </c>
      <c r="H1383" s="126" t="s">
        <v>43</v>
      </c>
      <c r="I1383" s="126" t="s">
        <v>1701</v>
      </c>
      <c r="J1383" s="126" t="s">
        <v>44</v>
      </c>
      <c r="K1383" s="126" t="s">
        <v>44</v>
      </c>
      <c r="L1383" s="126" t="s">
        <v>45</v>
      </c>
      <c r="M1383" s="126" t="s">
        <v>46</v>
      </c>
      <c r="N1383" s="126" t="s">
        <v>47</v>
      </c>
      <c r="O1383" s="127">
        <v>32196</v>
      </c>
      <c r="P1383" s="126" t="s">
        <v>962</v>
      </c>
      <c r="Q1383" s="126"/>
      <c r="R1383" s="126">
        <v>1</v>
      </c>
      <c r="S1383" s="126" t="s">
        <v>48</v>
      </c>
    </row>
    <row r="1384" spans="1:19" x14ac:dyDescent="0.25">
      <c r="A1384" s="126">
        <v>54101</v>
      </c>
      <c r="B1384" s="126" t="s">
        <v>106</v>
      </c>
      <c r="C1384" s="126" t="s">
        <v>49</v>
      </c>
      <c r="D1384" s="126" t="s">
        <v>40</v>
      </c>
      <c r="E1384" s="126"/>
      <c r="F1384" s="126" t="s">
        <v>1476</v>
      </c>
      <c r="G1384" s="126"/>
      <c r="H1384" s="126" t="s">
        <v>7</v>
      </c>
      <c r="I1384" s="126">
        <v>5017</v>
      </c>
      <c r="J1384" s="126" t="s">
        <v>1055</v>
      </c>
      <c r="K1384" s="126" t="s">
        <v>385</v>
      </c>
      <c r="L1384" s="126" t="s">
        <v>1056</v>
      </c>
      <c r="M1384" s="126" t="s">
        <v>57</v>
      </c>
      <c r="N1384" s="126" t="s">
        <v>58</v>
      </c>
      <c r="O1384" s="127">
        <v>31764</v>
      </c>
      <c r="P1384" s="126"/>
      <c r="Q1384" s="126"/>
      <c r="R1384" s="126">
        <v>30</v>
      </c>
      <c r="S1384" s="126" t="s">
        <v>48</v>
      </c>
    </row>
    <row r="1385" spans="1:19" x14ac:dyDescent="0.25">
      <c r="A1385" s="126">
        <v>54102</v>
      </c>
      <c r="B1385" s="126" t="s">
        <v>106</v>
      </c>
      <c r="C1385" s="126" t="s">
        <v>49</v>
      </c>
      <c r="D1385" s="126" t="s">
        <v>40</v>
      </c>
      <c r="E1385" s="126"/>
      <c r="F1385" s="126" t="s">
        <v>1479</v>
      </c>
      <c r="G1385" s="126"/>
      <c r="H1385" s="126" t="s">
        <v>7</v>
      </c>
      <c r="I1385" s="126">
        <v>5018</v>
      </c>
      <c r="J1385" s="126" t="s">
        <v>1055</v>
      </c>
      <c r="K1385" s="126" t="s">
        <v>385</v>
      </c>
      <c r="L1385" s="126" t="s">
        <v>1056</v>
      </c>
      <c r="M1385" s="126" t="s">
        <v>57</v>
      </c>
      <c r="N1385" s="126" t="s">
        <v>58</v>
      </c>
      <c r="O1385" s="127">
        <v>31769</v>
      </c>
      <c r="P1385" s="126"/>
      <c r="Q1385" s="126"/>
      <c r="R1385" s="126">
        <v>30</v>
      </c>
      <c r="S1385" s="126" t="s">
        <v>48</v>
      </c>
    </row>
    <row r="1386" spans="1:19" x14ac:dyDescent="0.25">
      <c r="A1386" s="126">
        <v>54103</v>
      </c>
      <c r="B1386" s="126" t="s">
        <v>106</v>
      </c>
      <c r="C1386" s="126" t="s">
        <v>49</v>
      </c>
      <c r="D1386" s="126" t="s">
        <v>40</v>
      </c>
      <c r="E1386" s="126"/>
      <c r="F1386" s="126" t="s">
        <v>1628</v>
      </c>
      <c r="G1386" s="126"/>
      <c r="H1386" s="126" t="s">
        <v>7</v>
      </c>
      <c r="I1386" s="126">
        <v>5019</v>
      </c>
      <c r="J1386" s="126" t="s">
        <v>1055</v>
      </c>
      <c r="K1386" s="126" t="s">
        <v>385</v>
      </c>
      <c r="L1386" s="126" t="s">
        <v>1056</v>
      </c>
      <c r="M1386" s="126" t="s">
        <v>57</v>
      </c>
      <c r="N1386" s="126" t="s">
        <v>58</v>
      </c>
      <c r="O1386" s="127">
        <v>32049</v>
      </c>
      <c r="P1386" s="126"/>
      <c r="Q1386" s="126"/>
      <c r="R1386" s="126">
        <v>30</v>
      </c>
      <c r="S1386" s="126" t="s">
        <v>48</v>
      </c>
    </row>
    <row r="1387" spans="1:19" x14ac:dyDescent="0.25">
      <c r="A1387" s="126">
        <v>54104</v>
      </c>
      <c r="B1387" s="126" t="s">
        <v>106</v>
      </c>
      <c r="C1387" s="126" t="s">
        <v>49</v>
      </c>
      <c r="D1387" s="126" t="s">
        <v>40</v>
      </c>
      <c r="E1387" s="126"/>
      <c r="F1387" s="126" t="s">
        <v>1798</v>
      </c>
      <c r="G1387" s="126"/>
      <c r="H1387" s="126" t="s">
        <v>7</v>
      </c>
      <c r="I1387" s="126">
        <v>5020</v>
      </c>
      <c r="J1387" s="126" t="s">
        <v>1055</v>
      </c>
      <c r="K1387" s="126" t="s">
        <v>385</v>
      </c>
      <c r="L1387" s="126" t="s">
        <v>1056</v>
      </c>
      <c r="M1387" s="126" t="s">
        <v>57</v>
      </c>
      <c r="N1387" s="126" t="s">
        <v>58</v>
      </c>
      <c r="O1387" s="127">
        <v>32502</v>
      </c>
      <c r="P1387" s="126"/>
      <c r="Q1387" s="126"/>
      <c r="R1387" s="126">
        <v>30</v>
      </c>
      <c r="S1387" s="126" t="s">
        <v>48</v>
      </c>
    </row>
    <row r="1388" spans="1:19" x14ac:dyDescent="0.25">
      <c r="A1388" s="126">
        <v>54105</v>
      </c>
      <c r="B1388" s="126" t="s">
        <v>106</v>
      </c>
      <c r="C1388" s="126" t="s">
        <v>49</v>
      </c>
      <c r="D1388" s="126" t="s">
        <v>40</v>
      </c>
      <c r="E1388" s="126"/>
      <c r="F1388" s="126" t="s">
        <v>1799</v>
      </c>
      <c r="G1388" s="126"/>
      <c r="H1388" s="126" t="s">
        <v>7</v>
      </c>
      <c r="I1388" s="126">
        <v>5021</v>
      </c>
      <c r="J1388" s="126" t="s">
        <v>1055</v>
      </c>
      <c r="K1388" s="126" t="s">
        <v>385</v>
      </c>
      <c r="L1388" s="126" t="s">
        <v>1056</v>
      </c>
      <c r="M1388" s="126" t="s">
        <v>57</v>
      </c>
      <c r="N1388" s="126" t="s">
        <v>58</v>
      </c>
      <c r="O1388" s="127">
        <v>32506</v>
      </c>
      <c r="P1388" s="126"/>
      <c r="Q1388" s="126"/>
      <c r="R1388" s="126">
        <v>30</v>
      </c>
      <c r="S1388" s="126" t="s">
        <v>48</v>
      </c>
    </row>
    <row r="1389" spans="1:19" x14ac:dyDescent="0.25">
      <c r="A1389" s="126">
        <v>54201</v>
      </c>
      <c r="B1389" s="126" t="s">
        <v>106</v>
      </c>
      <c r="C1389" s="126" t="s">
        <v>49</v>
      </c>
      <c r="D1389" s="126" t="s">
        <v>40</v>
      </c>
      <c r="E1389" s="126"/>
      <c r="F1389" s="126" t="s">
        <v>1959</v>
      </c>
      <c r="G1389" s="126"/>
      <c r="H1389" s="126" t="s">
        <v>7</v>
      </c>
      <c r="I1389" s="126">
        <v>5050</v>
      </c>
      <c r="J1389" s="126" t="s">
        <v>1055</v>
      </c>
      <c r="K1389" s="126" t="s">
        <v>385</v>
      </c>
      <c r="L1389" s="126" t="s">
        <v>1056</v>
      </c>
      <c r="M1389" s="126" t="s">
        <v>57</v>
      </c>
      <c r="N1389" s="126" t="s">
        <v>58</v>
      </c>
      <c r="O1389" s="127">
        <v>32871</v>
      </c>
      <c r="P1389" s="126"/>
      <c r="Q1389" s="126"/>
      <c r="R1389" s="126">
        <v>80</v>
      </c>
      <c r="S1389" s="126" t="s">
        <v>48</v>
      </c>
    </row>
    <row r="1390" spans="1:19" x14ac:dyDescent="0.25">
      <c r="A1390" s="126">
        <v>54202</v>
      </c>
      <c r="B1390" s="126" t="s">
        <v>106</v>
      </c>
      <c r="C1390" s="126" t="s">
        <v>49</v>
      </c>
      <c r="D1390" s="126" t="s">
        <v>40</v>
      </c>
      <c r="E1390" s="126"/>
      <c r="F1390" s="126" t="s">
        <v>2073</v>
      </c>
      <c r="G1390" s="126"/>
      <c r="H1390" s="126" t="s">
        <v>7</v>
      </c>
      <c r="I1390" s="126">
        <v>5051</v>
      </c>
      <c r="J1390" s="126" t="s">
        <v>1055</v>
      </c>
      <c r="K1390" s="126" t="s">
        <v>385</v>
      </c>
      <c r="L1390" s="126" t="s">
        <v>1056</v>
      </c>
      <c r="M1390" s="126" t="s">
        <v>57</v>
      </c>
      <c r="N1390" s="126" t="s">
        <v>58</v>
      </c>
      <c r="O1390" s="127">
        <v>33157</v>
      </c>
      <c r="P1390" s="126"/>
      <c r="Q1390" s="126"/>
      <c r="R1390" s="126">
        <v>80</v>
      </c>
      <c r="S1390" s="126" t="s">
        <v>48</v>
      </c>
    </row>
    <row r="1391" spans="1:19" ht="29.25" x14ac:dyDescent="0.25">
      <c r="A1391" s="126">
        <v>55101</v>
      </c>
      <c r="B1391" s="126" t="s">
        <v>106</v>
      </c>
      <c r="C1391" s="126" t="s">
        <v>49</v>
      </c>
      <c r="D1391" s="126" t="s">
        <v>40</v>
      </c>
      <c r="E1391" s="126" t="s">
        <v>1563</v>
      </c>
      <c r="F1391" s="126" t="s">
        <v>1564</v>
      </c>
      <c r="G1391" s="126"/>
      <c r="H1391" s="126" t="s">
        <v>43</v>
      </c>
      <c r="I1391" s="126" t="s">
        <v>1562</v>
      </c>
      <c r="J1391" s="126" t="s">
        <v>713</v>
      </c>
      <c r="K1391" s="126"/>
      <c r="L1391" s="126" t="s">
        <v>259</v>
      </c>
      <c r="M1391" s="126" t="s">
        <v>46</v>
      </c>
      <c r="N1391" s="126" t="s">
        <v>47</v>
      </c>
      <c r="O1391" s="127">
        <v>31831</v>
      </c>
      <c r="P1391" s="126"/>
      <c r="Q1391" s="126"/>
      <c r="R1391" s="126">
        <v>46</v>
      </c>
      <c r="S1391" s="126" t="s">
        <v>48</v>
      </c>
    </row>
    <row r="1392" spans="1:19" ht="29.25" x14ac:dyDescent="0.25">
      <c r="A1392" s="126">
        <v>55102</v>
      </c>
      <c r="B1392" s="126" t="s">
        <v>106</v>
      </c>
      <c r="C1392" s="126" t="s">
        <v>49</v>
      </c>
      <c r="D1392" s="126" t="s">
        <v>40</v>
      </c>
      <c r="E1392" s="126" t="s">
        <v>1565</v>
      </c>
      <c r="F1392" s="126" t="s">
        <v>1564</v>
      </c>
      <c r="G1392" s="126"/>
      <c r="H1392" s="126" t="s">
        <v>43</v>
      </c>
      <c r="I1392" s="126" t="s">
        <v>1562</v>
      </c>
      <c r="J1392" s="126" t="s">
        <v>713</v>
      </c>
      <c r="K1392" s="126"/>
      <c r="L1392" s="126" t="s">
        <v>259</v>
      </c>
      <c r="M1392" s="126" t="s">
        <v>46</v>
      </c>
      <c r="N1392" s="126" t="s">
        <v>47</v>
      </c>
      <c r="O1392" s="127">
        <v>31831</v>
      </c>
      <c r="P1392" s="126"/>
      <c r="Q1392" s="126"/>
      <c r="R1392" s="126">
        <v>46</v>
      </c>
      <c r="S1392" s="126" t="s">
        <v>48</v>
      </c>
    </row>
    <row r="1393" spans="1:19" ht="29.25" x14ac:dyDescent="0.25">
      <c r="A1393" s="126">
        <v>55103</v>
      </c>
      <c r="B1393" s="126" t="s">
        <v>106</v>
      </c>
      <c r="C1393" s="126" t="s">
        <v>49</v>
      </c>
      <c r="D1393" s="126" t="s">
        <v>40</v>
      </c>
      <c r="E1393" s="126" t="s">
        <v>1566</v>
      </c>
      <c r="F1393" s="126" t="s">
        <v>1564</v>
      </c>
      <c r="G1393" s="126"/>
      <c r="H1393" s="126" t="s">
        <v>43</v>
      </c>
      <c r="I1393" s="126" t="s">
        <v>1562</v>
      </c>
      <c r="J1393" s="126" t="s">
        <v>713</v>
      </c>
      <c r="K1393" s="126"/>
      <c r="L1393" s="126" t="s">
        <v>259</v>
      </c>
      <c r="M1393" s="126" t="s">
        <v>46</v>
      </c>
      <c r="N1393" s="126" t="s">
        <v>47</v>
      </c>
      <c r="O1393" s="127">
        <v>31831</v>
      </c>
      <c r="P1393" s="126"/>
      <c r="Q1393" s="126"/>
      <c r="R1393" s="126">
        <v>35</v>
      </c>
      <c r="S1393" s="126" t="s">
        <v>48</v>
      </c>
    </row>
    <row r="1394" spans="1:19" ht="29.25" x14ac:dyDescent="0.25">
      <c r="A1394" s="126">
        <v>55302</v>
      </c>
      <c r="B1394" s="126" t="s">
        <v>106</v>
      </c>
      <c r="C1394" s="126" t="s">
        <v>49</v>
      </c>
      <c r="D1394" s="126" t="s">
        <v>40</v>
      </c>
      <c r="E1394" s="126"/>
      <c r="F1394" s="126" t="s">
        <v>2060</v>
      </c>
      <c r="G1394" s="126"/>
      <c r="H1394" s="126" t="s">
        <v>43</v>
      </c>
      <c r="I1394" s="126" t="s">
        <v>2061</v>
      </c>
      <c r="J1394" s="126" t="s">
        <v>44</v>
      </c>
      <c r="K1394" s="126" t="s">
        <v>44</v>
      </c>
      <c r="L1394" s="126" t="s">
        <v>45</v>
      </c>
      <c r="M1394" s="126" t="s">
        <v>46</v>
      </c>
      <c r="N1394" s="126" t="s">
        <v>47</v>
      </c>
      <c r="O1394" s="127">
        <v>33108</v>
      </c>
      <c r="P1394" s="126"/>
      <c r="Q1394" s="126"/>
      <c r="R1394" s="126">
        <v>0.45</v>
      </c>
      <c r="S1394" s="126" t="s">
        <v>48</v>
      </c>
    </row>
    <row r="1395" spans="1:19" x14ac:dyDescent="0.25">
      <c r="A1395" s="126">
        <v>55301</v>
      </c>
      <c r="B1395" s="126" t="s">
        <v>106</v>
      </c>
      <c r="C1395" s="126" t="s">
        <v>49</v>
      </c>
      <c r="D1395" s="126" t="s">
        <v>40</v>
      </c>
      <c r="E1395" s="126"/>
      <c r="F1395" s="126" t="s">
        <v>2058</v>
      </c>
      <c r="G1395" s="126"/>
      <c r="H1395" s="126" t="s">
        <v>43</v>
      </c>
      <c r="I1395" s="126" t="s">
        <v>2059</v>
      </c>
      <c r="J1395" s="126" t="s">
        <v>44</v>
      </c>
      <c r="K1395" s="126" t="s">
        <v>44</v>
      </c>
      <c r="L1395" s="126" t="s">
        <v>45</v>
      </c>
      <c r="M1395" s="126" t="s">
        <v>46</v>
      </c>
      <c r="N1395" s="126" t="s">
        <v>47</v>
      </c>
      <c r="O1395" s="127">
        <v>33104</v>
      </c>
      <c r="P1395" s="126"/>
      <c r="Q1395" s="126"/>
      <c r="R1395" s="126">
        <v>1</v>
      </c>
      <c r="S1395" s="126" t="s">
        <v>48</v>
      </c>
    </row>
    <row r="1396" spans="1:19" ht="29.25" x14ac:dyDescent="0.25">
      <c r="A1396" s="126">
        <v>56301</v>
      </c>
      <c r="B1396" s="126" t="s">
        <v>106</v>
      </c>
      <c r="C1396" s="126" t="s">
        <v>49</v>
      </c>
      <c r="D1396" s="126" t="s">
        <v>40</v>
      </c>
      <c r="E1396" s="126"/>
      <c r="F1396" s="126" t="s">
        <v>3314</v>
      </c>
      <c r="G1396" s="126"/>
      <c r="H1396" s="126" t="s">
        <v>43</v>
      </c>
      <c r="I1396" s="126" t="s">
        <v>3315</v>
      </c>
      <c r="J1396" s="126" t="s">
        <v>44</v>
      </c>
      <c r="K1396" s="126" t="s">
        <v>44</v>
      </c>
      <c r="L1396" s="126" t="s">
        <v>45</v>
      </c>
      <c r="M1396" s="126" t="s">
        <v>212</v>
      </c>
      <c r="N1396" s="126" t="s">
        <v>213</v>
      </c>
      <c r="O1396" s="126"/>
      <c r="P1396" s="126"/>
      <c r="Q1396" s="126"/>
      <c r="R1396" s="126">
        <v>0.78</v>
      </c>
      <c r="S1396" s="126" t="s">
        <v>48</v>
      </c>
    </row>
    <row r="1397" spans="1:19" ht="29.25" x14ac:dyDescent="0.25">
      <c r="A1397" s="126">
        <v>56501</v>
      </c>
      <c r="B1397" s="126" t="s">
        <v>106</v>
      </c>
      <c r="C1397" s="126" t="s">
        <v>49</v>
      </c>
      <c r="D1397" s="126" t="s">
        <v>40</v>
      </c>
      <c r="E1397" s="126"/>
      <c r="F1397" s="126" t="s">
        <v>1721</v>
      </c>
      <c r="G1397" s="126"/>
      <c r="H1397" s="126" t="s">
        <v>7</v>
      </c>
      <c r="I1397" s="126">
        <v>2265</v>
      </c>
      <c r="J1397" s="126" t="s">
        <v>713</v>
      </c>
      <c r="K1397" s="126"/>
      <c r="L1397" s="126"/>
      <c r="M1397" s="126" t="s">
        <v>57</v>
      </c>
      <c r="N1397" s="126" t="s">
        <v>58</v>
      </c>
      <c r="O1397" s="127">
        <v>32273</v>
      </c>
      <c r="P1397" s="126"/>
      <c r="Q1397" s="126"/>
      <c r="R1397" s="126">
        <v>0.1</v>
      </c>
      <c r="S1397" s="126" t="s">
        <v>48</v>
      </c>
    </row>
    <row r="1398" spans="1:19" x14ac:dyDescent="0.25">
      <c r="A1398" s="126">
        <v>56505</v>
      </c>
      <c r="B1398" s="126" t="s">
        <v>106</v>
      </c>
      <c r="C1398" s="126" t="s">
        <v>49</v>
      </c>
      <c r="D1398" s="126" t="s">
        <v>40</v>
      </c>
      <c r="E1398" s="126"/>
      <c r="F1398" s="126" t="s">
        <v>3316</v>
      </c>
      <c r="G1398" s="126"/>
      <c r="H1398" s="126" t="s">
        <v>7</v>
      </c>
      <c r="I1398" s="126">
        <v>2062</v>
      </c>
      <c r="J1398" s="126" t="s">
        <v>713</v>
      </c>
      <c r="K1398" s="126"/>
      <c r="L1398" s="126"/>
      <c r="M1398" s="126" t="s">
        <v>57</v>
      </c>
      <c r="N1398" s="126" t="s">
        <v>58</v>
      </c>
      <c r="O1398" s="126"/>
      <c r="P1398" s="126"/>
      <c r="Q1398" s="126"/>
      <c r="R1398" s="126">
        <v>0.06</v>
      </c>
      <c r="S1398" s="126" t="s">
        <v>48</v>
      </c>
    </row>
    <row r="1399" spans="1:19" ht="29.25" x14ac:dyDescent="0.25">
      <c r="A1399" s="126">
        <v>56503</v>
      </c>
      <c r="B1399" s="126" t="s">
        <v>106</v>
      </c>
      <c r="C1399" s="126" t="s">
        <v>49</v>
      </c>
      <c r="D1399" s="126" t="s">
        <v>40</v>
      </c>
      <c r="E1399" s="126"/>
      <c r="F1399" s="126" t="s">
        <v>992</v>
      </c>
      <c r="G1399" s="126"/>
      <c r="H1399" s="126" t="s">
        <v>7</v>
      </c>
      <c r="I1399" s="126">
        <v>1009</v>
      </c>
      <c r="J1399" s="126" t="s">
        <v>807</v>
      </c>
      <c r="K1399" s="126"/>
      <c r="L1399" s="126"/>
      <c r="M1399" s="126" t="s">
        <v>57</v>
      </c>
      <c r="N1399" s="126" t="s">
        <v>58</v>
      </c>
      <c r="O1399" s="127">
        <v>30642</v>
      </c>
      <c r="P1399" s="126"/>
      <c r="Q1399" s="126"/>
      <c r="R1399" s="126">
        <v>2.5499999999999998</v>
      </c>
      <c r="S1399" s="126" t="s">
        <v>48</v>
      </c>
    </row>
    <row r="1400" spans="1:19" ht="29.25" x14ac:dyDescent="0.25">
      <c r="A1400" s="126">
        <v>56601</v>
      </c>
      <c r="B1400" s="126" t="s">
        <v>106</v>
      </c>
      <c r="C1400" s="126" t="s">
        <v>49</v>
      </c>
      <c r="D1400" s="126" t="s">
        <v>40</v>
      </c>
      <c r="E1400" s="126"/>
      <c r="F1400" s="126" t="s">
        <v>1776</v>
      </c>
      <c r="G1400" s="126"/>
      <c r="H1400" s="126" t="s">
        <v>43</v>
      </c>
      <c r="I1400" s="126" t="s">
        <v>1777</v>
      </c>
      <c r="J1400" s="126" t="s">
        <v>44</v>
      </c>
      <c r="K1400" s="126" t="s">
        <v>44</v>
      </c>
      <c r="L1400" s="126" t="s">
        <v>45</v>
      </c>
      <c r="M1400" s="126" t="s">
        <v>46</v>
      </c>
      <c r="N1400" s="126" t="s">
        <v>47</v>
      </c>
      <c r="O1400" s="127">
        <v>32478</v>
      </c>
      <c r="P1400" s="126"/>
      <c r="Q1400" s="126"/>
      <c r="R1400" s="126">
        <v>0.8</v>
      </c>
      <c r="S1400" s="126" t="s">
        <v>48</v>
      </c>
    </row>
    <row r="1401" spans="1:19" ht="29.25" x14ac:dyDescent="0.25">
      <c r="A1401" s="126">
        <v>56902</v>
      </c>
      <c r="B1401" s="126" t="s">
        <v>106</v>
      </c>
      <c r="C1401" s="126" t="s">
        <v>49</v>
      </c>
      <c r="D1401" s="126" t="s">
        <v>40</v>
      </c>
      <c r="E1401" s="126"/>
      <c r="F1401" s="126" t="s">
        <v>2103</v>
      </c>
      <c r="G1401" s="126"/>
      <c r="H1401" s="126" t="s">
        <v>43</v>
      </c>
      <c r="I1401" s="126" t="s">
        <v>2104</v>
      </c>
      <c r="J1401" s="126" t="s">
        <v>807</v>
      </c>
      <c r="K1401" s="126"/>
      <c r="L1401" s="126"/>
      <c r="M1401" s="126" t="s">
        <v>212</v>
      </c>
      <c r="N1401" s="126" t="s">
        <v>213</v>
      </c>
      <c r="O1401" s="127">
        <v>33274</v>
      </c>
      <c r="P1401" s="126"/>
      <c r="Q1401" s="126"/>
      <c r="R1401" s="126">
        <v>0.05</v>
      </c>
      <c r="S1401" s="126" t="s">
        <v>48</v>
      </c>
    </row>
    <row r="1402" spans="1:19" x14ac:dyDescent="0.25">
      <c r="A1402" s="126">
        <v>57001</v>
      </c>
      <c r="B1402" s="126" t="s">
        <v>106</v>
      </c>
      <c r="C1402" s="126" t="s">
        <v>49</v>
      </c>
      <c r="D1402" s="126" t="s">
        <v>40</v>
      </c>
      <c r="E1402" s="126"/>
      <c r="F1402" s="126" t="s">
        <v>3323</v>
      </c>
      <c r="G1402" s="126"/>
      <c r="H1402" s="126" t="s">
        <v>43</v>
      </c>
      <c r="I1402" s="126" t="s">
        <v>3324</v>
      </c>
      <c r="J1402" s="126" t="s">
        <v>713</v>
      </c>
      <c r="K1402" s="126"/>
      <c r="L1402" s="126" t="s">
        <v>259</v>
      </c>
      <c r="M1402" s="126" t="s">
        <v>46</v>
      </c>
      <c r="N1402" s="126" t="s">
        <v>47</v>
      </c>
      <c r="O1402" s="126"/>
      <c r="P1402" s="126"/>
      <c r="Q1402" s="126"/>
      <c r="R1402" s="126">
        <v>0.06</v>
      </c>
      <c r="S1402" s="126" t="s">
        <v>48</v>
      </c>
    </row>
    <row r="1403" spans="1:19" ht="57.75" x14ac:dyDescent="0.25">
      <c r="A1403" s="126">
        <v>58001</v>
      </c>
      <c r="B1403" s="126" t="s">
        <v>106</v>
      </c>
      <c r="C1403" s="126" t="s">
        <v>49</v>
      </c>
      <c r="D1403" s="126" t="s">
        <v>40</v>
      </c>
      <c r="E1403" s="126"/>
      <c r="F1403" s="126" t="s">
        <v>1462</v>
      </c>
      <c r="G1403" s="126">
        <v>2.2000000000000002</v>
      </c>
      <c r="H1403" s="126" t="s">
        <v>43</v>
      </c>
      <c r="I1403" s="126" t="s">
        <v>1463</v>
      </c>
      <c r="J1403" s="126" t="s">
        <v>807</v>
      </c>
      <c r="K1403" s="126"/>
      <c r="L1403" s="126"/>
      <c r="M1403" s="126" t="s">
        <v>46</v>
      </c>
      <c r="N1403" s="126" t="s">
        <v>47</v>
      </c>
      <c r="O1403" s="127">
        <v>31707</v>
      </c>
      <c r="P1403" s="126" t="s">
        <v>1464</v>
      </c>
      <c r="Q1403" s="126"/>
      <c r="R1403" s="126">
        <v>2.2000000000000002</v>
      </c>
      <c r="S1403" s="126" t="s">
        <v>48</v>
      </c>
    </row>
    <row r="1404" spans="1:19" ht="43.5" x14ac:dyDescent="0.25">
      <c r="A1404" s="126">
        <v>59701</v>
      </c>
      <c r="B1404" s="126" t="s">
        <v>106</v>
      </c>
      <c r="C1404" s="126" t="s">
        <v>49</v>
      </c>
      <c r="D1404" s="126" t="s">
        <v>40</v>
      </c>
      <c r="E1404" s="126"/>
      <c r="F1404" s="126" t="s">
        <v>1910</v>
      </c>
      <c r="G1404" s="126"/>
      <c r="H1404" s="126" t="s">
        <v>43</v>
      </c>
      <c r="I1404" s="126" t="s">
        <v>1911</v>
      </c>
      <c r="J1404" s="126" t="s">
        <v>713</v>
      </c>
      <c r="K1404" s="126"/>
      <c r="L1404" s="126" t="s">
        <v>259</v>
      </c>
      <c r="M1404" s="126" t="s">
        <v>46</v>
      </c>
      <c r="N1404" s="126" t="s">
        <v>47</v>
      </c>
      <c r="O1404" s="127">
        <v>32787</v>
      </c>
      <c r="P1404" s="126" t="s">
        <v>1912</v>
      </c>
      <c r="Q1404" s="126"/>
      <c r="R1404" s="126">
        <v>0.06</v>
      </c>
      <c r="S1404" s="126" t="s">
        <v>48</v>
      </c>
    </row>
    <row r="1405" spans="1:19" ht="43.5" x14ac:dyDescent="0.25">
      <c r="A1405" s="126">
        <v>59706</v>
      </c>
      <c r="B1405" s="126" t="s">
        <v>106</v>
      </c>
      <c r="C1405" s="126" t="s">
        <v>49</v>
      </c>
      <c r="D1405" s="126" t="s">
        <v>40</v>
      </c>
      <c r="E1405" s="126"/>
      <c r="F1405" s="126" t="s">
        <v>3327</v>
      </c>
      <c r="G1405" s="126"/>
      <c r="H1405" s="126" t="s">
        <v>43</v>
      </c>
      <c r="I1405" s="126" t="s">
        <v>3328</v>
      </c>
      <c r="J1405" s="126" t="s">
        <v>713</v>
      </c>
      <c r="K1405" s="126"/>
      <c r="L1405" s="126" t="s">
        <v>259</v>
      </c>
      <c r="M1405" s="126" t="s">
        <v>46</v>
      </c>
      <c r="N1405" s="126" t="s">
        <v>47</v>
      </c>
      <c r="O1405" s="126"/>
      <c r="P1405" s="126" t="s">
        <v>1912</v>
      </c>
      <c r="Q1405" s="126"/>
      <c r="R1405" s="126">
        <v>0.06</v>
      </c>
      <c r="S1405" s="126" t="s">
        <v>48</v>
      </c>
    </row>
    <row r="1406" spans="1:19" x14ac:dyDescent="0.25">
      <c r="A1406" s="126">
        <v>57403</v>
      </c>
      <c r="B1406" s="126" t="s">
        <v>106</v>
      </c>
      <c r="C1406" s="126" t="s">
        <v>49</v>
      </c>
      <c r="D1406" s="126" t="s">
        <v>40</v>
      </c>
      <c r="E1406" s="126"/>
      <c r="F1406" s="126" t="s">
        <v>1197</v>
      </c>
      <c r="G1406" s="126"/>
      <c r="H1406" s="126" t="s">
        <v>162</v>
      </c>
      <c r="I1406" s="126">
        <v>151</v>
      </c>
      <c r="J1406" s="126" t="s">
        <v>44</v>
      </c>
      <c r="K1406" s="126" t="s">
        <v>44</v>
      </c>
      <c r="L1406" s="126" t="s">
        <v>45</v>
      </c>
      <c r="M1406" s="126" t="s">
        <v>57</v>
      </c>
      <c r="N1406" s="126" t="s">
        <v>163</v>
      </c>
      <c r="O1406" s="127">
        <v>31048</v>
      </c>
      <c r="P1406" s="126"/>
      <c r="Q1406" s="126"/>
      <c r="R1406" s="126">
        <v>1.99</v>
      </c>
      <c r="S1406" s="126" t="s">
        <v>48</v>
      </c>
    </row>
    <row r="1407" spans="1:19" x14ac:dyDescent="0.25">
      <c r="A1407" s="126">
        <v>57404</v>
      </c>
      <c r="B1407" s="126" t="s">
        <v>106</v>
      </c>
      <c r="C1407" s="126" t="s">
        <v>49</v>
      </c>
      <c r="D1407" s="126" t="s">
        <v>40</v>
      </c>
      <c r="E1407" s="126"/>
      <c r="F1407" s="126" t="s">
        <v>1525</v>
      </c>
      <c r="G1407" s="126"/>
      <c r="H1407" s="126" t="s">
        <v>162</v>
      </c>
      <c r="I1407" s="126">
        <v>17</v>
      </c>
      <c r="J1407" s="126" t="s">
        <v>44</v>
      </c>
      <c r="K1407" s="126" t="s">
        <v>44</v>
      </c>
      <c r="L1407" s="126" t="s">
        <v>45</v>
      </c>
      <c r="M1407" s="126" t="s">
        <v>57</v>
      </c>
      <c r="N1407" s="126" t="s">
        <v>163</v>
      </c>
      <c r="O1407" s="127">
        <v>31778</v>
      </c>
      <c r="P1407" s="126"/>
      <c r="Q1407" s="126"/>
      <c r="R1407" s="126">
        <v>1.49</v>
      </c>
      <c r="S1407" s="126" t="s">
        <v>48</v>
      </c>
    </row>
    <row r="1408" spans="1:19" x14ac:dyDescent="0.25">
      <c r="A1408" s="126">
        <v>57413</v>
      </c>
      <c r="B1408" s="126" t="s">
        <v>106</v>
      </c>
      <c r="C1408" s="126" t="s">
        <v>49</v>
      </c>
      <c r="D1408" s="126" t="s">
        <v>40</v>
      </c>
      <c r="E1408" s="126"/>
      <c r="F1408" s="126" t="s">
        <v>1198</v>
      </c>
      <c r="G1408" s="126"/>
      <c r="H1408" s="126" t="s">
        <v>162</v>
      </c>
      <c r="I1408" s="126">
        <v>150</v>
      </c>
      <c r="J1408" s="126" t="s">
        <v>44</v>
      </c>
      <c r="K1408" s="126" t="s">
        <v>44</v>
      </c>
      <c r="L1408" s="126" t="s">
        <v>45</v>
      </c>
      <c r="M1408" s="126" t="s">
        <v>57</v>
      </c>
      <c r="N1408" s="126" t="s">
        <v>163</v>
      </c>
      <c r="O1408" s="127">
        <v>31048</v>
      </c>
      <c r="P1408" s="126"/>
      <c r="Q1408" s="126"/>
      <c r="R1408" s="126">
        <v>0.8</v>
      </c>
      <c r="S1408" s="126" t="s">
        <v>48</v>
      </c>
    </row>
    <row r="1409" spans="1:19" x14ac:dyDescent="0.25">
      <c r="A1409" s="126">
        <v>57405</v>
      </c>
      <c r="B1409" s="126" t="s">
        <v>106</v>
      </c>
      <c r="C1409" s="126" t="s">
        <v>49</v>
      </c>
      <c r="D1409" s="126" t="s">
        <v>40</v>
      </c>
      <c r="E1409" s="126"/>
      <c r="F1409" s="126" t="s">
        <v>916</v>
      </c>
      <c r="G1409" s="126"/>
      <c r="H1409" s="126" t="s">
        <v>162</v>
      </c>
      <c r="I1409" s="126">
        <v>9</v>
      </c>
      <c r="J1409" s="126" t="s">
        <v>713</v>
      </c>
      <c r="K1409" s="126"/>
      <c r="L1409" s="126" t="s">
        <v>259</v>
      </c>
      <c r="M1409" s="126" t="s">
        <v>57</v>
      </c>
      <c r="N1409" s="126" t="s">
        <v>163</v>
      </c>
      <c r="O1409" s="127">
        <v>30317</v>
      </c>
      <c r="P1409" s="126"/>
      <c r="Q1409" s="126"/>
      <c r="R1409" s="126">
        <v>1.05</v>
      </c>
      <c r="S1409" s="126" t="s">
        <v>48</v>
      </c>
    </row>
    <row r="1410" spans="1:19" ht="29.25" x14ac:dyDescent="0.25">
      <c r="A1410" s="126">
        <v>57414</v>
      </c>
      <c r="B1410" s="126" t="s">
        <v>106</v>
      </c>
      <c r="C1410" s="126" t="s">
        <v>49</v>
      </c>
      <c r="D1410" s="126" t="s">
        <v>40</v>
      </c>
      <c r="E1410" s="126"/>
      <c r="F1410" s="126" t="s">
        <v>1039</v>
      </c>
      <c r="G1410" s="126"/>
      <c r="H1410" s="126" t="s">
        <v>162</v>
      </c>
      <c r="I1410" s="126">
        <v>208</v>
      </c>
      <c r="J1410" s="126" t="s">
        <v>713</v>
      </c>
      <c r="K1410" s="126"/>
      <c r="L1410" s="126" t="s">
        <v>259</v>
      </c>
      <c r="M1410" s="126" t="s">
        <v>57</v>
      </c>
      <c r="N1410" s="126" t="s">
        <v>163</v>
      </c>
      <c r="O1410" s="127">
        <v>30682</v>
      </c>
      <c r="P1410" s="126"/>
      <c r="Q1410" s="126"/>
      <c r="R1410" s="126">
        <v>1.6</v>
      </c>
      <c r="S1410" s="126" t="s">
        <v>48</v>
      </c>
    </row>
    <row r="1411" spans="1:19" x14ac:dyDescent="0.25">
      <c r="A1411" s="126">
        <v>57416</v>
      </c>
      <c r="B1411" s="126" t="s">
        <v>106</v>
      </c>
      <c r="C1411" s="126" t="s">
        <v>49</v>
      </c>
      <c r="D1411" s="126" t="s">
        <v>40</v>
      </c>
      <c r="E1411" s="126"/>
      <c r="F1411" s="126" t="s">
        <v>1348</v>
      </c>
      <c r="G1411" s="126"/>
      <c r="H1411" s="126" t="s">
        <v>162</v>
      </c>
      <c r="I1411" s="126">
        <v>77</v>
      </c>
      <c r="J1411" s="126" t="s">
        <v>713</v>
      </c>
      <c r="K1411" s="126"/>
      <c r="L1411" s="126" t="s">
        <v>259</v>
      </c>
      <c r="M1411" s="126" t="s">
        <v>57</v>
      </c>
      <c r="N1411" s="126" t="s">
        <v>163</v>
      </c>
      <c r="O1411" s="127">
        <v>31413</v>
      </c>
      <c r="P1411" s="126"/>
      <c r="Q1411" s="126"/>
      <c r="R1411" s="126">
        <v>1.3</v>
      </c>
      <c r="S1411" s="126" t="s">
        <v>48</v>
      </c>
    </row>
    <row r="1412" spans="1:19" ht="29.25" x14ac:dyDescent="0.25">
      <c r="A1412" s="126">
        <v>57418</v>
      </c>
      <c r="B1412" s="126" t="s">
        <v>106</v>
      </c>
      <c r="C1412" s="126" t="s">
        <v>49</v>
      </c>
      <c r="D1412" s="126" t="s">
        <v>40</v>
      </c>
      <c r="E1412" s="126"/>
      <c r="F1412" s="126" t="s">
        <v>1199</v>
      </c>
      <c r="G1412" s="126"/>
      <c r="H1412" s="126" t="s">
        <v>162</v>
      </c>
      <c r="I1412" s="126">
        <v>119</v>
      </c>
      <c r="J1412" s="126" t="s">
        <v>44</v>
      </c>
      <c r="K1412" s="126" t="s">
        <v>44</v>
      </c>
      <c r="L1412" s="126" t="s">
        <v>45</v>
      </c>
      <c r="M1412" s="126" t="s">
        <v>57</v>
      </c>
      <c r="N1412" s="126" t="s">
        <v>163</v>
      </c>
      <c r="O1412" s="127">
        <v>31048</v>
      </c>
      <c r="P1412" s="126"/>
      <c r="Q1412" s="126"/>
      <c r="R1412" s="126">
        <v>0.35</v>
      </c>
      <c r="S1412" s="126" t="s">
        <v>48</v>
      </c>
    </row>
    <row r="1413" spans="1:19" x14ac:dyDescent="0.25">
      <c r="A1413" s="126">
        <v>57420</v>
      </c>
      <c r="B1413" s="126" t="s">
        <v>106</v>
      </c>
      <c r="C1413" s="126" t="s">
        <v>49</v>
      </c>
      <c r="D1413" s="126" t="s">
        <v>40</v>
      </c>
      <c r="E1413" s="126"/>
      <c r="F1413" s="126" t="s">
        <v>1040</v>
      </c>
      <c r="G1413" s="126"/>
      <c r="H1413" s="126" t="s">
        <v>162</v>
      </c>
      <c r="I1413" s="126">
        <v>92</v>
      </c>
      <c r="J1413" s="126" t="s">
        <v>713</v>
      </c>
      <c r="K1413" s="126"/>
      <c r="L1413" s="126" t="s">
        <v>259</v>
      </c>
      <c r="M1413" s="126" t="s">
        <v>57</v>
      </c>
      <c r="N1413" s="126" t="s">
        <v>163</v>
      </c>
      <c r="O1413" s="127">
        <v>30682</v>
      </c>
      <c r="P1413" s="126"/>
      <c r="Q1413" s="126"/>
      <c r="R1413" s="126">
        <v>1.3</v>
      </c>
      <c r="S1413" s="126" t="s">
        <v>48</v>
      </c>
    </row>
    <row r="1414" spans="1:19" x14ac:dyDescent="0.25">
      <c r="A1414" s="126">
        <v>57417</v>
      </c>
      <c r="B1414" s="126" t="s">
        <v>106</v>
      </c>
      <c r="C1414" s="126" t="s">
        <v>49</v>
      </c>
      <c r="D1414" s="126" t="s">
        <v>40</v>
      </c>
      <c r="E1414" s="126"/>
      <c r="F1414" s="126" t="s">
        <v>1041</v>
      </c>
      <c r="G1414" s="126"/>
      <c r="H1414" s="126" t="s">
        <v>162</v>
      </c>
      <c r="I1414" s="126">
        <v>19</v>
      </c>
      <c r="J1414" s="126" t="s">
        <v>713</v>
      </c>
      <c r="K1414" s="126"/>
      <c r="L1414" s="126" t="s">
        <v>259</v>
      </c>
      <c r="M1414" s="126" t="s">
        <v>57</v>
      </c>
      <c r="N1414" s="126" t="s">
        <v>163</v>
      </c>
      <c r="O1414" s="127">
        <v>30682</v>
      </c>
      <c r="P1414" s="126"/>
      <c r="Q1414" s="126"/>
      <c r="R1414" s="126">
        <v>1.3</v>
      </c>
      <c r="S1414" s="126" t="s">
        <v>48</v>
      </c>
    </row>
    <row r="1415" spans="1:19" ht="29.25" x14ac:dyDescent="0.25">
      <c r="A1415" s="126">
        <v>57415</v>
      </c>
      <c r="B1415" s="126" t="s">
        <v>106</v>
      </c>
      <c r="C1415" s="126" t="s">
        <v>49</v>
      </c>
      <c r="D1415" s="126" t="s">
        <v>40</v>
      </c>
      <c r="E1415" s="126"/>
      <c r="F1415" s="126" t="s">
        <v>161</v>
      </c>
      <c r="G1415" s="126"/>
      <c r="H1415" s="126" t="s">
        <v>162</v>
      </c>
      <c r="I1415" s="126">
        <v>225</v>
      </c>
      <c r="J1415" s="126" t="s">
        <v>44</v>
      </c>
      <c r="K1415" s="126" t="s">
        <v>44</v>
      </c>
      <c r="L1415" s="126" t="s">
        <v>45</v>
      </c>
      <c r="M1415" s="126" t="s">
        <v>57</v>
      </c>
      <c r="N1415" s="126" t="s">
        <v>163</v>
      </c>
      <c r="O1415" s="127">
        <v>5480</v>
      </c>
      <c r="P1415" s="126"/>
      <c r="Q1415" s="126"/>
      <c r="R1415" s="126">
        <v>0.45</v>
      </c>
      <c r="S1415" s="126" t="s">
        <v>48</v>
      </c>
    </row>
    <row r="1416" spans="1:19" ht="57.75" x14ac:dyDescent="0.25">
      <c r="A1416" s="126">
        <v>53000</v>
      </c>
      <c r="B1416" s="126" t="s">
        <v>106</v>
      </c>
      <c r="C1416" s="126" t="s">
        <v>49</v>
      </c>
      <c r="D1416" s="126" t="s">
        <v>40</v>
      </c>
      <c r="E1416" s="126" t="s">
        <v>1683</v>
      </c>
      <c r="F1416" s="126" t="s">
        <v>1684</v>
      </c>
      <c r="G1416" s="126">
        <v>5</v>
      </c>
      <c r="H1416" s="126" t="s">
        <v>162</v>
      </c>
      <c r="I1416" s="126">
        <v>388</v>
      </c>
      <c r="J1416" s="126" t="s">
        <v>713</v>
      </c>
      <c r="K1416" s="126" t="s">
        <v>315</v>
      </c>
      <c r="L1416" s="126" t="s">
        <v>259</v>
      </c>
      <c r="M1416" s="126" t="s">
        <v>57</v>
      </c>
      <c r="N1416" s="126" t="s">
        <v>163</v>
      </c>
      <c r="O1416" s="127">
        <v>32143</v>
      </c>
      <c r="P1416" s="126" t="s">
        <v>1685</v>
      </c>
      <c r="Q1416" s="126"/>
      <c r="R1416" s="126">
        <v>3.25</v>
      </c>
      <c r="S1416" s="126" t="s">
        <v>48</v>
      </c>
    </row>
    <row r="1417" spans="1:19" x14ac:dyDescent="0.25">
      <c r="A1417" s="126">
        <v>69100</v>
      </c>
      <c r="B1417" s="126" t="s">
        <v>106</v>
      </c>
      <c r="C1417" s="126" t="s">
        <v>49</v>
      </c>
      <c r="D1417" s="126" t="s">
        <v>40</v>
      </c>
      <c r="E1417" s="126" t="s">
        <v>2226</v>
      </c>
      <c r="F1417" s="126" t="s">
        <v>2227</v>
      </c>
      <c r="G1417" s="126">
        <v>5</v>
      </c>
      <c r="H1417" s="126" t="s">
        <v>162</v>
      </c>
      <c r="I1417" s="126">
        <v>440</v>
      </c>
      <c r="J1417" s="126" t="s">
        <v>314</v>
      </c>
      <c r="K1417" s="126" t="s">
        <v>599</v>
      </c>
      <c r="L1417" s="126" t="s">
        <v>259</v>
      </c>
      <c r="M1417" s="126" t="s">
        <v>57</v>
      </c>
      <c r="N1417" s="126" t="s">
        <v>163</v>
      </c>
      <c r="O1417" s="127">
        <v>34700</v>
      </c>
      <c r="P1417" s="126"/>
      <c r="Q1417" s="126"/>
      <c r="R1417" s="126">
        <v>9.5</v>
      </c>
      <c r="S1417" s="126" t="s">
        <v>48</v>
      </c>
    </row>
    <row r="1418" spans="1:19" ht="29.25" x14ac:dyDescent="0.25">
      <c r="A1418" s="126">
        <v>57406</v>
      </c>
      <c r="B1418" s="126" t="s">
        <v>106</v>
      </c>
      <c r="C1418" s="126" t="s">
        <v>49</v>
      </c>
      <c r="D1418" s="126" t="s">
        <v>40</v>
      </c>
      <c r="E1418" s="126"/>
      <c r="F1418" s="126" t="s">
        <v>3330</v>
      </c>
      <c r="G1418" s="126"/>
      <c r="H1418" s="126" t="s">
        <v>162</v>
      </c>
      <c r="I1418" s="126">
        <v>374</v>
      </c>
      <c r="J1418" s="126" t="s">
        <v>713</v>
      </c>
      <c r="K1418" s="126"/>
      <c r="L1418" s="126" t="s">
        <v>259</v>
      </c>
      <c r="M1418" s="126" t="s">
        <v>57</v>
      </c>
      <c r="N1418" s="126" t="s">
        <v>163</v>
      </c>
      <c r="O1418" s="126"/>
      <c r="P1418" s="126"/>
      <c r="Q1418" s="126"/>
      <c r="R1418" s="126">
        <v>0.6</v>
      </c>
      <c r="S1418" s="126" t="s">
        <v>48</v>
      </c>
    </row>
    <row r="1419" spans="1:19" x14ac:dyDescent="0.25">
      <c r="A1419" s="126">
        <v>57408</v>
      </c>
      <c r="B1419" s="126" t="s">
        <v>106</v>
      </c>
      <c r="C1419" s="126" t="s">
        <v>49</v>
      </c>
      <c r="D1419" s="126" t="s">
        <v>40</v>
      </c>
      <c r="E1419" s="126"/>
      <c r="F1419" s="126" t="s">
        <v>1042</v>
      </c>
      <c r="G1419" s="126"/>
      <c r="H1419" s="126" t="s">
        <v>162</v>
      </c>
      <c r="I1419" s="126">
        <v>75</v>
      </c>
      <c r="J1419" s="126" t="s">
        <v>713</v>
      </c>
      <c r="K1419" s="126"/>
      <c r="L1419" s="126" t="s">
        <v>259</v>
      </c>
      <c r="M1419" s="126" t="s">
        <v>57</v>
      </c>
      <c r="N1419" s="126" t="s">
        <v>163</v>
      </c>
      <c r="O1419" s="127">
        <v>30682</v>
      </c>
      <c r="P1419" s="126"/>
      <c r="Q1419" s="126"/>
      <c r="R1419" s="126">
        <v>1.54</v>
      </c>
      <c r="S1419" s="126" t="s">
        <v>48</v>
      </c>
    </row>
    <row r="1420" spans="1:19" x14ac:dyDescent="0.25">
      <c r="A1420" s="126">
        <v>57501</v>
      </c>
      <c r="B1420" s="126" t="s">
        <v>106</v>
      </c>
      <c r="C1420" s="126" t="s">
        <v>49</v>
      </c>
      <c r="D1420" s="126" t="s">
        <v>40</v>
      </c>
      <c r="E1420" s="126"/>
      <c r="F1420" s="126" t="s">
        <v>1707</v>
      </c>
      <c r="G1420" s="126"/>
      <c r="H1420" s="126" t="s">
        <v>43</v>
      </c>
      <c r="I1420" s="126" t="s">
        <v>1708</v>
      </c>
      <c r="J1420" s="126" t="s">
        <v>713</v>
      </c>
      <c r="K1420" s="126"/>
      <c r="L1420" s="126" t="s">
        <v>259</v>
      </c>
      <c r="M1420" s="126" t="s">
        <v>46</v>
      </c>
      <c r="N1420" s="126" t="s">
        <v>1455</v>
      </c>
      <c r="O1420" s="127">
        <v>32225</v>
      </c>
      <c r="P1420" s="126"/>
      <c r="Q1420" s="126"/>
      <c r="R1420" s="126">
        <v>0.06</v>
      </c>
      <c r="S1420" s="126" t="s">
        <v>48</v>
      </c>
    </row>
    <row r="1421" spans="1:19" ht="29.25" x14ac:dyDescent="0.25">
      <c r="A1421" s="126">
        <v>57502</v>
      </c>
      <c r="B1421" s="126" t="s">
        <v>106</v>
      </c>
      <c r="C1421" s="126" t="s">
        <v>49</v>
      </c>
      <c r="D1421" s="126" t="s">
        <v>40</v>
      </c>
      <c r="E1421" s="126"/>
      <c r="F1421" s="126" t="s">
        <v>1625</v>
      </c>
      <c r="G1421" s="126"/>
      <c r="H1421" s="126" t="s">
        <v>43</v>
      </c>
      <c r="I1421" s="126" t="s">
        <v>1626</v>
      </c>
      <c r="J1421" s="126" t="s">
        <v>713</v>
      </c>
      <c r="K1421" s="126"/>
      <c r="L1421" s="126" t="s">
        <v>259</v>
      </c>
      <c r="M1421" s="126" t="s">
        <v>46</v>
      </c>
      <c r="N1421" s="126" t="s">
        <v>1455</v>
      </c>
      <c r="O1421" s="127">
        <v>32029</v>
      </c>
      <c r="P1421" s="126"/>
      <c r="Q1421" s="126"/>
      <c r="R1421" s="126">
        <v>0.09</v>
      </c>
      <c r="S1421" s="126" t="s">
        <v>48</v>
      </c>
    </row>
    <row r="1422" spans="1:19" ht="29.25" x14ac:dyDescent="0.25">
      <c r="A1422" s="126">
        <v>57504</v>
      </c>
      <c r="B1422" s="126" t="s">
        <v>106</v>
      </c>
      <c r="C1422" s="126" t="s">
        <v>49</v>
      </c>
      <c r="D1422" s="126" t="s">
        <v>40</v>
      </c>
      <c r="E1422" s="126"/>
      <c r="F1422" s="126" t="s">
        <v>1600</v>
      </c>
      <c r="G1422" s="126"/>
      <c r="H1422" s="126" t="s">
        <v>43</v>
      </c>
      <c r="I1422" s="126" t="s">
        <v>1601</v>
      </c>
      <c r="J1422" s="126" t="s">
        <v>713</v>
      </c>
      <c r="K1422" s="126"/>
      <c r="L1422" s="126" t="s">
        <v>259</v>
      </c>
      <c r="M1422" s="126" t="s">
        <v>46</v>
      </c>
      <c r="N1422" s="126" t="s">
        <v>1455</v>
      </c>
      <c r="O1422" s="127">
        <v>31929</v>
      </c>
      <c r="P1422" s="126"/>
      <c r="Q1422" s="126"/>
      <c r="R1422" s="126">
        <v>1.5</v>
      </c>
      <c r="S1422" s="126" t="s">
        <v>48</v>
      </c>
    </row>
    <row r="1423" spans="1:19" x14ac:dyDescent="0.25">
      <c r="A1423" s="126">
        <v>57503</v>
      </c>
      <c r="B1423" s="126" t="s">
        <v>106</v>
      </c>
      <c r="C1423" s="126" t="s">
        <v>49</v>
      </c>
      <c r="D1423" s="126" t="s">
        <v>40</v>
      </c>
      <c r="E1423" s="126"/>
      <c r="F1423" s="126" t="s">
        <v>2152</v>
      </c>
      <c r="G1423" s="126"/>
      <c r="H1423" s="126" t="s">
        <v>43</v>
      </c>
      <c r="I1423" s="126" t="s">
        <v>2153</v>
      </c>
      <c r="J1423" s="126" t="s">
        <v>713</v>
      </c>
      <c r="K1423" s="126"/>
      <c r="L1423" s="126" t="s">
        <v>259</v>
      </c>
      <c r="M1423" s="126" t="s">
        <v>46</v>
      </c>
      <c r="N1423" s="126" t="s">
        <v>1455</v>
      </c>
      <c r="O1423" s="127">
        <v>33756</v>
      </c>
      <c r="P1423" s="126"/>
      <c r="Q1423" s="126"/>
      <c r="R1423" s="126">
        <v>0.08</v>
      </c>
      <c r="S1423" s="126" t="s">
        <v>48</v>
      </c>
    </row>
    <row r="1424" spans="1:19" ht="43.5" x14ac:dyDescent="0.25">
      <c r="A1424" s="126">
        <v>72701</v>
      </c>
      <c r="B1424" s="126" t="s">
        <v>106</v>
      </c>
      <c r="C1424" s="126" t="s">
        <v>49</v>
      </c>
      <c r="D1424" s="126" t="s">
        <v>40</v>
      </c>
      <c r="E1424" s="126"/>
      <c r="F1424" s="126" t="s">
        <v>2269</v>
      </c>
      <c r="G1424" s="126"/>
      <c r="H1424" s="126" t="s">
        <v>43</v>
      </c>
      <c r="I1424" s="126" t="s">
        <v>2270</v>
      </c>
      <c r="J1424" s="126" t="s">
        <v>713</v>
      </c>
      <c r="K1424" s="126" t="s">
        <v>599</v>
      </c>
      <c r="L1424" s="126" t="s">
        <v>259</v>
      </c>
      <c r="M1424" s="126" t="s">
        <v>46</v>
      </c>
      <c r="N1424" s="126" t="s">
        <v>47</v>
      </c>
      <c r="O1424" s="127">
        <v>35821</v>
      </c>
      <c r="P1424" s="126"/>
      <c r="Q1424" s="126"/>
      <c r="R1424" s="126">
        <v>4.75</v>
      </c>
      <c r="S1424" s="126" t="s">
        <v>48</v>
      </c>
    </row>
    <row r="1425" spans="1:19" ht="43.5" x14ac:dyDescent="0.25">
      <c r="A1425" s="126">
        <v>72702</v>
      </c>
      <c r="B1425" s="126" t="s">
        <v>106</v>
      </c>
      <c r="C1425" s="126" t="s">
        <v>49</v>
      </c>
      <c r="D1425" s="126" t="s">
        <v>40</v>
      </c>
      <c r="E1425" s="126"/>
      <c r="F1425" s="126" t="s">
        <v>2271</v>
      </c>
      <c r="G1425" s="126"/>
      <c r="H1425" s="126" t="s">
        <v>43</v>
      </c>
      <c r="I1425" s="126" t="s">
        <v>2270</v>
      </c>
      <c r="J1425" s="126" t="s">
        <v>713</v>
      </c>
      <c r="K1425" s="126" t="s">
        <v>599</v>
      </c>
      <c r="L1425" s="126" t="s">
        <v>259</v>
      </c>
      <c r="M1425" s="126" t="s">
        <v>46</v>
      </c>
      <c r="N1425" s="126" t="s">
        <v>47</v>
      </c>
      <c r="O1425" s="127">
        <v>35821</v>
      </c>
      <c r="P1425" s="126"/>
      <c r="Q1425" s="126"/>
      <c r="R1425" s="126">
        <v>4.75</v>
      </c>
      <c r="S1425" s="126" t="s">
        <v>48</v>
      </c>
    </row>
    <row r="1426" spans="1:19" ht="43.5" x14ac:dyDescent="0.25">
      <c r="A1426" s="126">
        <v>72703</v>
      </c>
      <c r="B1426" s="126" t="s">
        <v>106</v>
      </c>
      <c r="C1426" s="126" t="s">
        <v>49</v>
      </c>
      <c r="D1426" s="126" t="s">
        <v>40</v>
      </c>
      <c r="E1426" s="126"/>
      <c r="F1426" s="126" t="s">
        <v>2272</v>
      </c>
      <c r="G1426" s="126"/>
      <c r="H1426" s="126" t="s">
        <v>43</v>
      </c>
      <c r="I1426" s="126" t="s">
        <v>2270</v>
      </c>
      <c r="J1426" s="126" t="s">
        <v>713</v>
      </c>
      <c r="K1426" s="126" t="s">
        <v>385</v>
      </c>
      <c r="L1426" s="126" t="s">
        <v>731</v>
      </c>
      <c r="M1426" s="126" t="s">
        <v>46</v>
      </c>
      <c r="N1426" s="126" t="s">
        <v>47</v>
      </c>
      <c r="O1426" s="127">
        <v>35821</v>
      </c>
      <c r="P1426" s="126"/>
      <c r="Q1426" s="126"/>
      <c r="R1426" s="126">
        <v>3.75</v>
      </c>
      <c r="S1426" s="126" t="s">
        <v>48</v>
      </c>
    </row>
    <row r="1427" spans="1:19" ht="29.25" x14ac:dyDescent="0.25">
      <c r="A1427" s="126">
        <v>58301</v>
      </c>
      <c r="B1427" s="126" t="s">
        <v>106</v>
      </c>
      <c r="C1427" s="126" t="s">
        <v>49</v>
      </c>
      <c r="D1427" s="126" t="s">
        <v>40</v>
      </c>
      <c r="E1427" s="126"/>
      <c r="F1427" s="126" t="s">
        <v>851</v>
      </c>
      <c r="G1427" s="126"/>
      <c r="H1427" s="126" t="s">
        <v>7</v>
      </c>
      <c r="I1427" s="126">
        <v>4010</v>
      </c>
      <c r="J1427" s="126" t="s">
        <v>44</v>
      </c>
      <c r="K1427" s="126" t="s">
        <v>44</v>
      </c>
      <c r="L1427" s="126" t="s">
        <v>45</v>
      </c>
      <c r="M1427" s="126" t="s">
        <v>57</v>
      </c>
      <c r="N1427" s="126" t="s">
        <v>58</v>
      </c>
      <c r="O1427" s="127">
        <v>30225</v>
      </c>
      <c r="P1427" s="126"/>
      <c r="Q1427" s="126"/>
      <c r="R1427" s="126">
        <v>0.55000000000000004</v>
      </c>
      <c r="S1427" s="126" t="s">
        <v>48</v>
      </c>
    </row>
    <row r="1428" spans="1:19" ht="29.25" x14ac:dyDescent="0.25">
      <c r="A1428" s="126">
        <v>58302</v>
      </c>
      <c r="B1428" s="126" t="s">
        <v>106</v>
      </c>
      <c r="C1428" s="126" t="s">
        <v>49</v>
      </c>
      <c r="D1428" s="126" t="s">
        <v>40</v>
      </c>
      <c r="E1428" s="126"/>
      <c r="F1428" s="126" t="s">
        <v>1445</v>
      </c>
      <c r="G1428" s="126"/>
      <c r="H1428" s="126" t="s">
        <v>7</v>
      </c>
      <c r="I1428" s="126">
        <v>4052</v>
      </c>
      <c r="J1428" s="126" t="s">
        <v>44</v>
      </c>
      <c r="K1428" s="126" t="s">
        <v>44</v>
      </c>
      <c r="L1428" s="126" t="s">
        <v>45</v>
      </c>
      <c r="M1428" s="126" t="s">
        <v>57</v>
      </c>
      <c r="N1428" s="126" t="s">
        <v>58</v>
      </c>
      <c r="O1428" s="127">
        <v>31594</v>
      </c>
      <c r="P1428" s="126"/>
      <c r="Q1428" s="126"/>
      <c r="R1428" s="126">
        <v>0.25</v>
      </c>
      <c r="S1428" s="126" t="s">
        <v>48</v>
      </c>
    </row>
    <row r="1429" spans="1:19" ht="29.25" x14ac:dyDescent="0.25">
      <c r="A1429" s="126">
        <v>58303</v>
      </c>
      <c r="B1429" s="126" t="s">
        <v>106</v>
      </c>
      <c r="C1429" s="126" t="s">
        <v>49</v>
      </c>
      <c r="D1429" s="126" t="s">
        <v>40</v>
      </c>
      <c r="E1429" s="126"/>
      <c r="F1429" s="126" t="s">
        <v>1659</v>
      </c>
      <c r="G1429" s="126"/>
      <c r="H1429" s="126" t="s">
        <v>7</v>
      </c>
      <c r="I1429" s="126">
        <v>2042</v>
      </c>
      <c r="J1429" s="126" t="s">
        <v>713</v>
      </c>
      <c r="K1429" s="126"/>
      <c r="L1429" s="126"/>
      <c r="M1429" s="126" t="s">
        <v>57</v>
      </c>
      <c r="N1429" s="126" t="s">
        <v>58</v>
      </c>
      <c r="O1429" s="127">
        <v>32138</v>
      </c>
      <c r="P1429" s="126"/>
      <c r="Q1429" s="126"/>
      <c r="R1429" s="126">
        <v>27.89</v>
      </c>
      <c r="S1429" s="126" t="s">
        <v>48</v>
      </c>
    </row>
    <row r="1430" spans="1:19" ht="29.25" x14ac:dyDescent="0.25">
      <c r="A1430" s="126">
        <v>58304</v>
      </c>
      <c r="B1430" s="126" t="s">
        <v>106</v>
      </c>
      <c r="C1430" s="126" t="s">
        <v>49</v>
      </c>
      <c r="D1430" s="126" t="s">
        <v>40</v>
      </c>
      <c r="E1430" s="126"/>
      <c r="F1430" s="126" t="s">
        <v>1446</v>
      </c>
      <c r="G1430" s="126"/>
      <c r="H1430" s="126" t="s">
        <v>7</v>
      </c>
      <c r="I1430" s="126">
        <v>2213</v>
      </c>
      <c r="J1430" s="126" t="s">
        <v>713</v>
      </c>
      <c r="K1430" s="126"/>
      <c r="L1430" s="126"/>
      <c r="M1430" s="126" t="s">
        <v>57</v>
      </c>
      <c r="N1430" s="126" t="s">
        <v>58</v>
      </c>
      <c r="O1430" s="127">
        <v>31603</v>
      </c>
      <c r="P1430" s="126"/>
      <c r="Q1430" s="126"/>
      <c r="R1430" s="126">
        <v>0.06</v>
      </c>
      <c r="S1430" s="126" t="s">
        <v>48</v>
      </c>
    </row>
    <row r="1431" spans="1:19" ht="29.25" x14ac:dyDescent="0.25">
      <c r="A1431" s="126">
        <v>58305</v>
      </c>
      <c r="B1431" s="126" t="s">
        <v>106</v>
      </c>
      <c r="C1431" s="126" t="s">
        <v>49</v>
      </c>
      <c r="D1431" s="126" t="s">
        <v>40</v>
      </c>
      <c r="E1431" s="126"/>
      <c r="F1431" s="126" t="s">
        <v>1440</v>
      </c>
      <c r="G1431" s="126"/>
      <c r="H1431" s="126" t="s">
        <v>7</v>
      </c>
      <c r="I1431" s="126">
        <v>2236</v>
      </c>
      <c r="J1431" s="126" t="s">
        <v>713</v>
      </c>
      <c r="K1431" s="126"/>
      <c r="L1431" s="126"/>
      <c r="M1431" s="126" t="s">
        <v>57</v>
      </c>
      <c r="N1431" s="126" t="s">
        <v>58</v>
      </c>
      <c r="O1431" s="127">
        <v>31573</v>
      </c>
      <c r="P1431" s="126"/>
      <c r="Q1431" s="126"/>
      <c r="R1431" s="126">
        <v>0.06</v>
      </c>
      <c r="S1431" s="126" t="s">
        <v>48</v>
      </c>
    </row>
    <row r="1432" spans="1:19" x14ac:dyDescent="0.25">
      <c r="A1432" s="126">
        <v>58406</v>
      </c>
      <c r="B1432" s="126" t="s">
        <v>106</v>
      </c>
      <c r="C1432" s="126" t="s">
        <v>49</v>
      </c>
      <c r="D1432" s="126" t="s">
        <v>40</v>
      </c>
      <c r="E1432" s="126"/>
      <c r="F1432" s="126" t="s">
        <v>2175</v>
      </c>
      <c r="G1432" s="126"/>
      <c r="H1432" s="126" t="s">
        <v>43</v>
      </c>
      <c r="I1432" s="126" t="s">
        <v>2176</v>
      </c>
      <c r="J1432" s="126" t="s">
        <v>807</v>
      </c>
      <c r="K1432" s="126"/>
      <c r="L1432" s="126" t="s">
        <v>1008</v>
      </c>
      <c r="M1432" s="126" t="s">
        <v>46</v>
      </c>
      <c r="N1432" s="126" t="s">
        <v>47</v>
      </c>
      <c r="O1432" s="127">
        <v>33992</v>
      </c>
      <c r="P1432" s="126"/>
      <c r="Q1432" s="126"/>
      <c r="R1432" s="126">
        <v>0.55000000000000004</v>
      </c>
      <c r="S1432" s="126" t="s">
        <v>48</v>
      </c>
    </row>
    <row r="1433" spans="1:19" x14ac:dyDescent="0.25">
      <c r="A1433" s="126">
        <v>59702</v>
      </c>
      <c r="B1433" s="126" t="s">
        <v>106</v>
      </c>
      <c r="C1433" s="126" t="s">
        <v>49</v>
      </c>
      <c r="D1433" s="126" t="s">
        <v>40</v>
      </c>
      <c r="E1433" s="126"/>
      <c r="F1433" s="126" t="s">
        <v>847</v>
      </c>
      <c r="G1433" s="126"/>
      <c r="H1433" s="126" t="s">
        <v>43</v>
      </c>
      <c r="I1433" s="126" t="s">
        <v>848</v>
      </c>
      <c r="J1433" s="126" t="s">
        <v>800</v>
      </c>
      <c r="K1433" s="126" t="s">
        <v>800</v>
      </c>
      <c r="L1433" s="126" t="s">
        <v>800</v>
      </c>
      <c r="M1433" s="126" t="s">
        <v>46</v>
      </c>
      <c r="N1433" s="126" t="s">
        <v>47</v>
      </c>
      <c r="O1433" s="127">
        <v>30165</v>
      </c>
      <c r="P1433" s="126"/>
      <c r="Q1433" s="126"/>
      <c r="R1433" s="126">
        <v>0.01</v>
      </c>
      <c r="S1433" s="126" t="s">
        <v>48</v>
      </c>
    </row>
    <row r="1434" spans="1:19" ht="29.25" x14ac:dyDescent="0.25">
      <c r="A1434" s="126">
        <v>59703</v>
      </c>
      <c r="B1434" s="126" t="s">
        <v>106</v>
      </c>
      <c r="C1434" s="126" t="s">
        <v>49</v>
      </c>
      <c r="D1434" s="126" t="s">
        <v>40</v>
      </c>
      <c r="E1434" s="126"/>
      <c r="F1434" s="126" t="s">
        <v>1694</v>
      </c>
      <c r="G1434" s="126"/>
      <c r="H1434" s="126" t="s">
        <v>43</v>
      </c>
      <c r="I1434" s="126" t="s">
        <v>1695</v>
      </c>
      <c r="J1434" s="126" t="s">
        <v>713</v>
      </c>
      <c r="K1434" s="126"/>
      <c r="L1434" s="126" t="s">
        <v>259</v>
      </c>
      <c r="M1434" s="126" t="s">
        <v>46</v>
      </c>
      <c r="N1434" s="126" t="s">
        <v>47</v>
      </c>
      <c r="O1434" s="127">
        <v>32175</v>
      </c>
      <c r="P1434" s="126"/>
      <c r="Q1434" s="126"/>
      <c r="R1434" s="126">
        <v>0.06</v>
      </c>
      <c r="S1434" s="126" t="s">
        <v>48</v>
      </c>
    </row>
    <row r="1435" spans="1:19" x14ac:dyDescent="0.25">
      <c r="A1435" s="126">
        <v>59704</v>
      </c>
      <c r="B1435" s="126" t="s">
        <v>106</v>
      </c>
      <c r="C1435" s="126" t="s">
        <v>49</v>
      </c>
      <c r="D1435" s="126" t="s">
        <v>40</v>
      </c>
      <c r="E1435" s="126"/>
      <c r="F1435" s="126" t="s">
        <v>798</v>
      </c>
      <c r="G1435" s="126"/>
      <c r="H1435" s="126" t="s">
        <v>43</v>
      </c>
      <c r="I1435" s="126" t="s">
        <v>799</v>
      </c>
      <c r="J1435" s="126" t="s">
        <v>800</v>
      </c>
      <c r="K1435" s="126" t="s">
        <v>800</v>
      </c>
      <c r="L1435" s="126" t="s">
        <v>800</v>
      </c>
      <c r="M1435" s="126" t="s">
        <v>46</v>
      </c>
      <c r="N1435" s="126" t="s">
        <v>47</v>
      </c>
      <c r="O1435" s="127">
        <v>29755</v>
      </c>
      <c r="P1435" s="126"/>
      <c r="Q1435" s="126"/>
      <c r="R1435" s="126">
        <v>0.01</v>
      </c>
      <c r="S1435" s="126" t="s">
        <v>48</v>
      </c>
    </row>
    <row r="1436" spans="1:19" ht="29.25" x14ac:dyDescent="0.25">
      <c r="A1436" s="126">
        <v>59705</v>
      </c>
      <c r="B1436" s="126" t="s">
        <v>106</v>
      </c>
      <c r="C1436" s="126" t="s">
        <v>49</v>
      </c>
      <c r="D1436" s="126" t="s">
        <v>40</v>
      </c>
      <c r="E1436" s="126"/>
      <c r="F1436" s="126" t="s">
        <v>3337</v>
      </c>
      <c r="G1436" s="126"/>
      <c r="H1436" s="126" t="s">
        <v>43</v>
      </c>
      <c r="I1436" s="126" t="s">
        <v>3338</v>
      </c>
      <c r="J1436" s="126" t="s">
        <v>800</v>
      </c>
      <c r="K1436" s="126" t="s">
        <v>800</v>
      </c>
      <c r="L1436" s="126" t="s">
        <v>800</v>
      </c>
      <c r="M1436" s="126" t="s">
        <v>46</v>
      </c>
      <c r="N1436" s="126" t="s">
        <v>47</v>
      </c>
      <c r="O1436" s="126"/>
      <c r="P1436" s="126"/>
      <c r="Q1436" s="126"/>
      <c r="R1436" s="126">
        <v>0.01</v>
      </c>
      <c r="S1436" s="126" t="s">
        <v>48</v>
      </c>
    </row>
    <row r="1437" spans="1:19" ht="57.75" x14ac:dyDescent="0.25">
      <c r="A1437" s="126">
        <v>58403</v>
      </c>
      <c r="B1437" s="126" t="s">
        <v>106</v>
      </c>
      <c r="C1437" s="126" t="s">
        <v>49</v>
      </c>
      <c r="D1437" s="126" t="s">
        <v>40</v>
      </c>
      <c r="E1437" s="126"/>
      <c r="F1437" s="126" t="s">
        <v>1614</v>
      </c>
      <c r="G1437" s="126">
        <v>3.8</v>
      </c>
      <c r="H1437" s="126" t="s">
        <v>43</v>
      </c>
      <c r="I1437" s="126" t="s">
        <v>1615</v>
      </c>
      <c r="J1437" s="126" t="s">
        <v>44</v>
      </c>
      <c r="K1437" s="126" t="s">
        <v>44</v>
      </c>
      <c r="L1437" s="126" t="s">
        <v>45</v>
      </c>
      <c r="M1437" s="126" t="s">
        <v>46</v>
      </c>
      <c r="N1437" s="126" t="s">
        <v>47</v>
      </c>
      <c r="O1437" s="127">
        <v>31971</v>
      </c>
      <c r="P1437" s="126" t="s">
        <v>1616</v>
      </c>
      <c r="Q1437" s="126"/>
      <c r="R1437" s="126">
        <v>3.8</v>
      </c>
      <c r="S1437" s="126" t="s">
        <v>48</v>
      </c>
    </row>
    <row r="1438" spans="1:19" ht="29.25" x14ac:dyDescent="0.25">
      <c r="A1438" s="126">
        <v>61601</v>
      </c>
      <c r="B1438" s="126" t="s">
        <v>106</v>
      </c>
      <c r="C1438" s="126" t="s">
        <v>49</v>
      </c>
      <c r="D1438" s="126" t="s">
        <v>40</v>
      </c>
      <c r="E1438" s="126"/>
      <c r="F1438" s="126" t="s">
        <v>1477</v>
      </c>
      <c r="G1438" s="126"/>
      <c r="H1438" s="126" t="s">
        <v>7</v>
      </c>
      <c r="I1438" s="126">
        <v>4137</v>
      </c>
      <c r="J1438" s="126" t="s">
        <v>44</v>
      </c>
      <c r="K1438" s="126"/>
      <c r="L1438" s="126"/>
      <c r="M1438" s="126" t="s">
        <v>57</v>
      </c>
      <c r="N1438" s="126" t="s">
        <v>58</v>
      </c>
      <c r="O1438" s="127">
        <v>31766</v>
      </c>
      <c r="P1438" s="126"/>
      <c r="Q1438" s="126"/>
      <c r="R1438" s="126">
        <v>0.34</v>
      </c>
      <c r="S1438" s="126" t="s">
        <v>48</v>
      </c>
    </row>
    <row r="1439" spans="1:19" x14ac:dyDescent="0.25">
      <c r="A1439" s="126">
        <v>61602</v>
      </c>
      <c r="B1439" s="126" t="s">
        <v>106</v>
      </c>
      <c r="C1439" s="126" t="s">
        <v>49</v>
      </c>
      <c r="D1439" s="126" t="s">
        <v>40</v>
      </c>
      <c r="E1439" s="126"/>
      <c r="F1439" s="126" t="s">
        <v>1118</v>
      </c>
      <c r="G1439" s="126"/>
      <c r="H1439" s="126" t="s">
        <v>7</v>
      </c>
      <c r="I1439" s="126">
        <v>1010</v>
      </c>
      <c r="J1439" s="126" t="s">
        <v>807</v>
      </c>
      <c r="K1439" s="126"/>
      <c r="L1439" s="126"/>
      <c r="M1439" s="126" t="s">
        <v>57</v>
      </c>
      <c r="N1439" s="126" t="s">
        <v>58</v>
      </c>
      <c r="O1439" s="127">
        <v>30980</v>
      </c>
      <c r="P1439" s="126"/>
      <c r="Q1439" s="126"/>
      <c r="R1439" s="126">
        <v>4.9000000000000004</v>
      </c>
      <c r="S1439" s="126" t="s">
        <v>48</v>
      </c>
    </row>
    <row r="1440" spans="1:19" x14ac:dyDescent="0.25">
      <c r="A1440" s="126">
        <v>62001</v>
      </c>
      <c r="B1440" s="126" t="s">
        <v>106</v>
      </c>
      <c r="C1440" s="126" t="s">
        <v>49</v>
      </c>
      <c r="D1440" s="126" t="s">
        <v>40</v>
      </c>
      <c r="E1440" s="126"/>
      <c r="F1440" s="126" t="s">
        <v>1534</v>
      </c>
      <c r="G1440" s="126"/>
      <c r="H1440" s="126" t="s">
        <v>162</v>
      </c>
      <c r="I1440" s="126">
        <v>153</v>
      </c>
      <c r="J1440" s="126" t="s">
        <v>807</v>
      </c>
      <c r="K1440" s="126"/>
      <c r="L1440" s="126" t="s">
        <v>915</v>
      </c>
      <c r="M1440" s="126" t="s">
        <v>57</v>
      </c>
      <c r="N1440" s="126" t="s">
        <v>163</v>
      </c>
      <c r="O1440" s="127">
        <v>31778</v>
      </c>
      <c r="P1440" s="126"/>
      <c r="Q1440" s="126"/>
      <c r="R1440" s="126">
        <v>1.88</v>
      </c>
      <c r="S1440" s="126" t="s">
        <v>48</v>
      </c>
    </row>
    <row r="1441" spans="1:19" x14ac:dyDescent="0.25">
      <c r="A1441" s="126">
        <v>62002</v>
      </c>
      <c r="B1441" s="126" t="s">
        <v>106</v>
      </c>
      <c r="C1441" s="126" t="s">
        <v>49</v>
      </c>
      <c r="D1441" s="126" t="s">
        <v>40</v>
      </c>
      <c r="E1441" s="126"/>
      <c r="F1441" s="126" t="s">
        <v>2102</v>
      </c>
      <c r="G1441" s="126"/>
      <c r="H1441" s="126" t="s">
        <v>162</v>
      </c>
      <c r="I1441" s="126">
        <v>154</v>
      </c>
      <c r="J1441" s="126" t="s">
        <v>807</v>
      </c>
      <c r="K1441" s="126"/>
      <c r="L1441" s="126" t="s">
        <v>915</v>
      </c>
      <c r="M1441" s="126" t="s">
        <v>57</v>
      </c>
      <c r="N1441" s="126" t="s">
        <v>163</v>
      </c>
      <c r="O1441" s="127">
        <v>33239</v>
      </c>
      <c r="P1441" s="126"/>
      <c r="Q1441" s="126"/>
      <c r="R1441" s="126">
        <v>1.88</v>
      </c>
      <c r="S1441" s="126" t="s">
        <v>48</v>
      </c>
    </row>
    <row r="1442" spans="1:19" x14ac:dyDescent="0.25">
      <c r="A1442" s="126">
        <v>62202</v>
      </c>
      <c r="B1442" s="126" t="s">
        <v>106</v>
      </c>
      <c r="C1442" s="126" t="s">
        <v>49</v>
      </c>
      <c r="D1442" s="126" t="s">
        <v>40</v>
      </c>
      <c r="E1442" s="126"/>
      <c r="F1442" s="126" t="s">
        <v>1747</v>
      </c>
      <c r="G1442" s="126"/>
      <c r="H1442" s="126" t="s">
        <v>7</v>
      </c>
      <c r="I1442" s="126">
        <v>2178</v>
      </c>
      <c r="J1442" s="126" t="s">
        <v>713</v>
      </c>
      <c r="K1442" s="126"/>
      <c r="L1442" s="126"/>
      <c r="M1442" s="126" t="s">
        <v>57</v>
      </c>
      <c r="N1442" s="126" t="s">
        <v>58</v>
      </c>
      <c r="O1442" s="127">
        <v>32338</v>
      </c>
      <c r="P1442" s="126"/>
      <c r="Q1442" s="126"/>
      <c r="R1442" s="126">
        <v>0.18</v>
      </c>
      <c r="S1442" s="126" t="s">
        <v>48</v>
      </c>
    </row>
    <row r="1443" spans="1:19" ht="29.25" x14ac:dyDescent="0.25">
      <c r="A1443" s="126">
        <v>62203</v>
      </c>
      <c r="B1443" s="126" t="s">
        <v>106</v>
      </c>
      <c r="C1443" s="126" t="s">
        <v>49</v>
      </c>
      <c r="D1443" s="126" t="s">
        <v>40</v>
      </c>
      <c r="E1443" s="126"/>
      <c r="F1443" s="126" t="s">
        <v>1254</v>
      </c>
      <c r="G1443" s="126"/>
      <c r="H1443" s="126" t="s">
        <v>7</v>
      </c>
      <c r="I1443" s="126">
        <v>2066</v>
      </c>
      <c r="J1443" s="126" t="s">
        <v>713</v>
      </c>
      <c r="K1443" s="126"/>
      <c r="L1443" s="126"/>
      <c r="M1443" s="126" t="s">
        <v>57</v>
      </c>
      <c r="N1443" s="126" t="s">
        <v>58</v>
      </c>
      <c r="O1443" s="127">
        <v>31229</v>
      </c>
      <c r="P1443" s="126"/>
      <c r="Q1443" s="126"/>
      <c r="R1443" s="126">
        <v>0.08</v>
      </c>
      <c r="S1443" s="126" t="s">
        <v>48</v>
      </c>
    </row>
    <row r="1444" spans="1:19" x14ac:dyDescent="0.25">
      <c r="A1444" s="126">
        <v>62204</v>
      </c>
      <c r="B1444" s="126" t="s">
        <v>106</v>
      </c>
      <c r="C1444" s="126" t="s">
        <v>49</v>
      </c>
      <c r="D1444" s="126" t="s">
        <v>40</v>
      </c>
      <c r="E1444" s="126"/>
      <c r="F1444" s="126" t="s">
        <v>2056</v>
      </c>
      <c r="G1444" s="126"/>
      <c r="H1444" s="126" t="s">
        <v>7</v>
      </c>
      <c r="I1444" s="126">
        <v>4147</v>
      </c>
      <c r="J1444" s="126" t="s">
        <v>44</v>
      </c>
      <c r="K1444" s="126"/>
      <c r="L1444" s="126"/>
      <c r="M1444" s="126" t="s">
        <v>57</v>
      </c>
      <c r="N1444" s="126" t="s">
        <v>58</v>
      </c>
      <c r="O1444" s="127">
        <v>33090</v>
      </c>
      <c r="P1444" s="126"/>
      <c r="Q1444" s="126"/>
      <c r="R1444" s="126">
        <v>0.87</v>
      </c>
      <c r="S1444" s="126" t="s">
        <v>48</v>
      </c>
    </row>
    <row r="1445" spans="1:19" x14ac:dyDescent="0.25">
      <c r="A1445" s="126">
        <v>62205</v>
      </c>
      <c r="B1445" s="126" t="s">
        <v>106</v>
      </c>
      <c r="C1445" s="126" t="s">
        <v>49</v>
      </c>
      <c r="D1445" s="126" t="s">
        <v>40</v>
      </c>
      <c r="E1445" s="126"/>
      <c r="F1445" s="126" t="s">
        <v>1119</v>
      </c>
      <c r="G1445" s="126"/>
      <c r="H1445" s="126" t="s">
        <v>7</v>
      </c>
      <c r="I1445" s="126">
        <v>2037</v>
      </c>
      <c r="J1445" s="126" t="s">
        <v>713</v>
      </c>
      <c r="K1445" s="126"/>
      <c r="L1445" s="126"/>
      <c r="M1445" s="126" t="s">
        <v>57</v>
      </c>
      <c r="N1445" s="126" t="s">
        <v>58</v>
      </c>
      <c r="O1445" s="127">
        <v>30987</v>
      </c>
      <c r="P1445" s="126"/>
      <c r="Q1445" s="126"/>
      <c r="R1445" s="126">
        <v>4.5</v>
      </c>
      <c r="S1445" s="126" t="s">
        <v>48</v>
      </c>
    </row>
    <row r="1446" spans="1:19" ht="29.25" x14ac:dyDescent="0.25">
      <c r="A1446" s="126">
        <v>62206</v>
      </c>
      <c r="B1446" s="126" t="s">
        <v>106</v>
      </c>
      <c r="C1446" s="126" t="s">
        <v>49</v>
      </c>
      <c r="D1446" s="126" t="s">
        <v>40</v>
      </c>
      <c r="E1446" s="126"/>
      <c r="F1446" s="126" t="s">
        <v>1111</v>
      </c>
      <c r="G1446" s="126"/>
      <c r="H1446" s="126" t="s">
        <v>7</v>
      </c>
      <c r="I1446" s="126">
        <v>2031</v>
      </c>
      <c r="J1446" s="126" t="s">
        <v>713</v>
      </c>
      <c r="K1446" s="126"/>
      <c r="L1446" s="126"/>
      <c r="M1446" s="126" t="s">
        <v>57</v>
      </c>
      <c r="N1446" s="126" t="s">
        <v>58</v>
      </c>
      <c r="O1446" s="127">
        <v>30956</v>
      </c>
      <c r="P1446" s="126"/>
      <c r="Q1446" s="126"/>
      <c r="R1446" s="126">
        <v>1.4</v>
      </c>
      <c r="S1446" s="126" t="s">
        <v>48</v>
      </c>
    </row>
    <row r="1447" spans="1:19" ht="29.25" x14ac:dyDescent="0.25">
      <c r="A1447" s="126">
        <v>62209</v>
      </c>
      <c r="B1447" s="126" t="s">
        <v>106</v>
      </c>
      <c r="C1447" s="126" t="s">
        <v>49</v>
      </c>
      <c r="D1447" s="126" t="s">
        <v>40</v>
      </c>
      <c r="E1447" s="126"/>
      <c r="F1447" s="126" t="s">
        <v>1580</v>
      </c>
      <c r="G1447" s="126"/>
      <c r="H1447" s="126" t="s">
        <v>7</v>
      </c>
      <c r="I1447" s="126">
        <v>4035</v>
      </c>
      <c r="J1447" s="126" t="s">
        <v>44</v>
      </c>
      <c r="K1447" s="126"/>
      <c r="L1447" s="126"/>
      <c r="M1447" s="126" t="s">
        <v>57</v>
      </c>
      <c r="N1447" s="126" t="s">
        <v>58</v>
      </c>
      <c r="O1447" s="127">
        <v>31869</v>
      </c>
      <c r="P1447" s="126"/>
      <c r="Q1447" s="126"/>
      <c r="R1447" s="126">
        <v>0.2</v>
      </c>
      <c r="S1447" s="126" t="s">
        <v>48</v>
      </c>
    </row>
    <row r="1448" spans="1:19" ht="29.25" x14ac:dyDescent="0.25">
      <c r="A1448" s="126">
        <v>62210</v>
      </c>
      <c r="B1448" s="126" t="s">
        <v>106</v>
      </c>
      <c r="C1448" s="126" t="s">
        <v>49</v>
      </c>
      <c r="D1448" s="126" t="s">
        <v>40</v>
      </c>
      <c r="E1448" s="126"/>
      <c r="F1448" s="126" t="s">
        <v>1582</v>
      </c>
      <c r="G1448" s="126"/>
      <c r="H1448" s="126" t="s">
        <v>7</v>
      </c>
      <c r="I1448" s="126">
        <v>4036</v>
      </c>
      <c r="J1448" s="126" t="s">
        <v>44</v>
      </c>
      <c r="K1448" s="126"/>
      <c r="L1448" s="126"/>
      <c r="M1448" s="126" t="s">
        <v>57</v>
      </c>
      <c r="N1448" s="126" t="s">
        <v>58</v>
      </c>
      <c r="O1448" s="127">
        <v>31880</v>
      </c>
      <c r="P1448" s="126"/>
      <c r="Q1448" s="126"/>
      <c r="R1448" s="126">
        <v>0.52</v>
      </c>
      <c r="S1448" s="126" t="s">
        <v>48</v>
      </c>
    </row>
    <row r="1449" spans="1:19" ht="29.25" x14ac:dyDescent="0.25">
      <c r="A1449" s="126">
        <v>62211</v>
      </c>
      <c r="B1449" s="126" t="s">
        <v>106</v>
      </c>
      <c r="C1449" s="126" t="s">
        <v>49</v>
      </c>
      <c r="D1449" s="126" t="s">
        <v>40</v>
      </c>
      <c r="E1449" s="126"/>
      <c r="F1449" s="126" t="s">
        <v>1581</v>
      </c>
      <c r="G1449" s="126"/>
      <c r="H1449" s="126" t="s">
        <v>7</v>
      </c>
      <c r="I1449" s="126">
        <v>4037</v>
      </c>
      <c r="J1449" s="126" t="s">
        <v>44</v>
      </c>
      <c r="K1449" s="126"/>
      <c r="L1449" s="126"/>
      <c r="M1449" s="126" t="s">
        <v>57</v>
      </c>
      <c r="N1449" s="126" t="s">
        <v>58</v>
      </c>
      <c r="O1449" s="127">
        <v>31870</v>
      </c>
      <c r="P1449" s="126"/>
      <c r="Q1449" s="126"/>
      <c r="R1449" s="126">
        <v>0.35</v>
      </c>
      <c r="S1449" s="126" t="s">
        <v>48</v>
      </c>
    </row>
    <row r="1450" spans="1:19" ht="29.25" x14ac:dyDescent="0.25">
      <c r="A1450" s="126">
        <v>62212</v>
      </c>
      <c r="B1450" s="126" t="s">
        <v>106</v>
      </c>
      <c r="C1450" s="126" t="s">
        <v>49</v>
      </c>
      <c r="D1450" s="126" t="s">
        <v>40</v>
      </c>
      <c r="E1450" s="126"/>
      <c r="F1450" s="126" t="s">
        <v>1203</v>
      </c>
      <c r="G1450" s="126"/>
      <c r="H1450" s="126" t="s">
        <v>7</v>
      </c>
      <c r="I1450" s="126">
        <v>2036</v>
      </c>
      <c r="J1450" s="126" t="s">
        <v>713</v>
      </c>
      <c r="K1450" s="126"/>
      <c r="L1450" s="126"/>
      <c r="M1450" s="126" t="s">
        <v>57</v>
      </c>
      <c r="N1450" s="126" t="s">
        <v>58</v>
      </c>
      <c r="O1450" s="127">
        <v>31048</v>
      </c>
      <c r="P1450" s="126"/>
      <c r="Q1450" s="126"/>
      <c r="R1450" s="126">
        <v>0.08</v>
      </c>
      <c r="S1450" s="126" t="s">
        <v>48</v>
      </c>
    </row>
    <row r="1451" spans="1:19" ht="29.25" x14ac:dyDescent="0.25">
      <c r="A1451" s="126">
        <v>62213</v>
      </c>
      <c r="B1451" s="126" t="s">
        <v>106</v>
      </c>
      <c r="C1451" s="126" t="s">
        <v>49</v>
      </c>
      <c r="D1451" s="126" t="s">
        <v>40</v>
      </c>
      <c r="E1451" s="126"/>
      <c r="F1451" s="126" t="s">
        <v>2210</v>
      </c>
      <c r="G1451" s="126"/>
      <c r="H1451" s="126" t="s">
        <v>7</v>
      </c>
      <c r="I1451" s="126">
        <v>4150</v>
      </c>
      <c r="J1451" s="126" t="s">
        <v>44</v>
      </c>
      <c r="K1451" s="126"/>
      <c r="L1451" s="126"/>
      <c r="M1451" s="126" t="s">
        <v>57</v>
      </c>
      <c r="N1451" s="126" t="s">
        <v>58</v>
      </c>
      <c r="O1451" s="127">
        <v>34572</v>
      </c>
      <c r="P1451" s="126"/>
      <c r="Q1451" s="126"/>
      <c r="R1451" s="126">
        <v>0.22</v>
      </c>
      <c r="S1451" s="126" t="s">
        <v>48</v>
      </c>
    </row>
    <row r="1452" spans="1:19" ht="43.5" x14ac:dyDescent="0.25">
      <c r="A1452" s="126">
        <v>58401</v>
      </c>
      <c r="B1452" s="126" t="s">
        <v>106</v>
      </c>
      <c r="C1452" s="126" t="s">
        <v>49</v>
      </c>
      <c r="D1452" s="126" t="s">
        <v>40</v>
      </c>
      <c r="E1452" s="126"/>
      <c r="F1452" s="126" t="s">
        <v>1621</v>
      </c>
      <c r="G1452" s="126"/>
      <c r="H1452" s="126" t="s">
        <v>43</v>
      </c>
      <c r="I1452" s="126" t="s">
        <v>1622</v>
      </c>
      <c r="J1452" s="126" t="s">
        <v>713</v>
      </c>
      <c r="K1452" s="126"/>
      <c r="L1452" s="126" t="s">
        <v>259</v>
      </c>
      <c r="M1452" s="126" t="s">
        <v>46</v>
      </c>
      <c r="N1452" s="126" t="s">
        <v>47</v>
      </c>
      <c r="O1452" s="127">
        <v>32021</v>
      </c>
      <c r="P1452" s="126" t="s">
        <v>1623</v>
      </c>
      <c r="Q1452" s="126"/>
      <c r="R1452" s="126">
        <v>0.18</v>
      </c>
      <c r="S1452" s="126" t="s">
        <v>48</v>
      </c>
    </row>
    <row r="1453" spans="1:19" ht="57.75" x14ac:dyDescent="0.25">
      <c r="A1453" s="126">
        <v>58402</v>
      </c>
      <c r="B1453" s="126" t="s">
        <v>106</v>
      </c>
      <c r="C1453" s="126" t="s">
        <v>49</v>
      </c>
      <c r="D1453" s="126" t="s">
        <v>40</v>
      </c>
      <c r="E1453" s="126"/>
      <c r="F1453" s="126" t="s">
        <v>1773</v>
      </c>
      <c r="G1453" s="126">
        <v>0.93</v>
      </c>
      <c r="H1453" s="126" t="s">
        <v>43</v>
      </c>
      <c r="I1453" s="126" t="s">
        <v>1774</v>
      </c>
      <c r="J1453" s="126" t="s">
        <v>807</v>
      </c>
      <c r="K1453" s="126"/>
      <c r="L1453" s="126" t="s">
        <v>915</v>
      </c>
      <c r="M1453" s="126" t="s">
        <v>46</v>
      </c>
      <c r="N1453" s="126" t="s">
        <v>47</v>
      </c>
      <c r="O1453" s="127">
        <v>32469</v>
      </c>
      <c r="P1453" s="126" t="s">
        <v>1775</v>
      </c>
      <c r="Q1453" s="126"/>
      <c r="R1453" s="126">
        <v>0.93</v>
      </c>
      <c r="S1453" s="126" t="s">
        <v>48</v>
      </c>
    </row>
    <row r="1454" spans="1:19" x14ac:dyDescent="0.25">
      <c r="A1454" s="126">
        <v>59400</v>
      </c>
      <c r="B1454" s="126" t="s">
        <v>106</v>
      </c>
      <c r="C1454" s="126" t="s">
        <v>49</v>
      </c>
      <c r="D1454" s="126" t="s">
        <v>40</v>
      </c>
      <c r="E1454" s="126" t="s">
        <v>1792</v>
      </c>
      <c r="F1454" s="126" t="s">
        <v>1793</v>
      </c>
      <c r="G1454" s="126"/>
      <c r="H1454" s="126" t="s">
        <v>43</v>
      </c>
      <c r="I1454" s="126" t="s">
        <v>1794</v>
      </c>
      <c r="J1454" s="126" t="s">
        <v>44</v>
      </c>
      <c r="K1454" s="126" t="s">
        <v>44</v>
      </c>
      <c r="L1454" s="126" t="s">
        <v>45</v>
      </c>
      <c r="M1454" s="126" t="s">
        <v>46</v>
      </c>
      <c r="N1454" s="126" t="s">
        <v>47</v>
      </c>
      <c r="O1454" s="127">
        <v>32496</v>
      </c>
      <c r="P1454" s="126"/>
      <c r="Q1454" s="126"/>
      <c r="R1454" s="126">
        <v>2.5</v>
      </c>
      <c r="S1454" s="126" t="s">
        <v>48</v>
      </c>
    </row>
    <row r="1455" spans="1:19" ht="29.25" x14ac:dyDescent="0.25">
      <c r="A1455" s="126">
        <v>55900</v>
      </c>
      <c r="B1455" s="126" t="s">
        <v>106</v>
      </c>
      <c r="C1455" s="126" t="s">
        <v>49</v>
      </c>
      <c r="D1455" s="126" t="s">
        <v>40</v>
      </c>
      <c r="E1455" s="126"/>
      <c r="F1455" s="126" t="s">
        <v>1619</v>
      </c>
      <c r="G1455" s="126"/>
      <c r="H1455" s="126" t="s">
        <v>43</v>
      </c>
      <c r="I1455" s="126" t="s">
        <v>1620</v>
      </c>
      <c r="J1455" s="126" t="s">
        <v>44</v>
      </c>
      <c r="K1455" s="126" t="s">
        <v>44</v>
      </c>
      <c r="L1455" s="126" t="s">
        <v>45</v>
      </c>
      <c r="M1455" s="126" t="s">
        <v>46</v>
      </c>
      <c r="N1455" s="126" t="s">
        <v>47</v>
      </c>
      <c r="O1455" s="127">
        <v>32004</v>
      </c>
      <c r="P1455" s="126"/>
      <c r="Q1455" s="126"/>
      <c r="R1455" s="126">
        <v>1.25</v>
      </c>
      <c r="S1455" s="126" t="s">
        <v>48</v>
      </c>
    </row>
    <row r="1456" spans="1:19" ht="43.5" x14ac:dyDescent="0.25">
      <c r="A1456" s="126">
        <v>64501</v>
      </c>
      <c r="B1456" s="126" t="s">
        <v>106</v>
      </c>
      <c r="C1456" s="126" t="s">
        <v>49</v>
      </c>
      <c r="D1456" s="126" t="s">
        <v>40</v>
      </c>
      <c r="E1456" s="126"/>
      <c r="F1456" s="126" t="s">
        <v>1585</v>
      </c>
      <c r="G1456" s="126"/>
      <c r="H1456" s="126" t="s">
        <v>7</v>
      </c>
      <c r="I1456" s="126">
        <v>2195</v>
      </c>
      <c r="J1456" s="126" t="s">
        <v>713</v>
      </c>
      <c r="K1456" s="126"/>
      <c r="L1456" s="126"/>
      <c r="M1456" s="126" t="s">
        <v>57</v>
      </c>
      <c r="N1456" s="126" t="s">
        <v>58</v>
      </c>
      <c r="O1456" s="127">
        <v>31902</v>
      </c>
      <c r="P1456" s="126"/>
      <c r="Q1456" s="126"/>
      <c r="R1456" s="126">
        <v>0.55000000000000004</v>
      </c>
      <c r="S1456" s="126" t="s">
        <v>48</v>
      </c>
    </row>
    <row r="1457" spans="1:19" ht="29.25" x14ac:dyDescent="0.25">
      <c r="A1457" s="126">
        <v>64502</v>
      </c>
      <c r="B1457" s="126" t="s">
        <v>106</v>
      </c>
      <c r="C1457" s="126" t="s">
        <v>49</v>
      </c>
      <c r="D1457" s="126" t="s">
        <v>40</v>
      </c>
      <c r="E1457" s="126"/>
      <c r="F1457" s="126" t="s">
        <v>1049</v>
      </c>
      <c r="G1457" s="126"/>
      <c r="H1457" s="126" t="s">
        <v>7</v>
      </c>
      <c r="I1457" s="126">
        <v>2044</v>
      </c>
      <c r="J1457" s="126" t="s">
        <v>713</v>
      </c>
      <c r="K1457" s="126"/>
      <c r="L1457" s="126"/>
      <c r="M1457" s="126" t="s">
        <v>57</v>
      </c>
      <c r="N1457" s="126" t="s">
        <v>58</v>
      </c>
      <c r="O1457" s="127">
        <v>30682</v>
      </c>
      <c r="P1457" s="126"/>
      <c r="Q1457" s="126"/>
      <c r="R1457" s="126">
        <v>1.1000000000000001</v>
      </c>
      <c r="S1457" s="126" t="s">
        <v>48</v>
      </c>
    </row>
    <row r="1458" spans="1:19" ht="29.25" x14ac:dyDescent="0.25">
      <c r="A1458" s="126">
        <v>64503</v>
      </c>
      <c r="B1458" s="126" t="s">
        <v>106</v>
      </c>
      <c r="C1458" s="126" t="s">
        <v>49</v>
      </c>
      <c r="D1458" s="126" t="s">
        <v>40</v>
      </c>
      <c r="E1458" s="126"/>
      <c r="F1458" s="126" t="s">
        <v>2023</v>
      </c>
      <c r="G1458" s="126"/>
      <c r="H1458" s="126" t="s">
        <v>7</v>
      </c>
      <c r="I1458" s="126">
        <v>4039</v>
      </c>
      <c r="J1458" s="126" t="s">
        <v>44</v>
      </c>
      <c r="K1458" s="126"/>
      <c r="L1458" s="126"/>
      <c r="M1458" s="126" t="s">
        <v>57</v>
      </c>
      <c r="N1458" s="126" t="s">
        <v>58</v>
      </c>
      <c r="O1458" s="127">
        <v>32948</v>
      </c>
      <c r="P1458" s="126"/>
      <c r="Q1458" s="126"/>
      <c r="R1458" s="126">
        <v>17</v>
      </c>
      <c r="S1458" s="126" t="s">
        <v>48</v>
      </c>
    </row>
    <row r="1459" spans="1:19" x14ac:dyDescent="0.25">
      <c r="A1459" s="126">
        <v>64505</v>
      </c>
      <c r="B1459" s="126" t="s">
        <v>106</v>
      </c>
      <c r="C1459" s="126" t="s">
        <v>49</v>
      </c>
      <c r="D1459" s="126" t="s">
        <v>40</v>
      </c>
      <c r="E1459" s="126"/>
      <c r="F1459" s="126" t="s">
        <v>1576</v>
      </c>
      <c r="G1459" s="126"/>
      <c r="H1459" s="126" t="s">
        <v>7</v>
      </c>
      <c r="I1459" s="126">
        <v>1088</v>
      </c>
      <c r="J1459" s="126" t="s">
        <v>807</v>
      </c>
      <c r="K1459" s="126"/>
      <c r="L1459" s="126"/>
      <c r="M1459" s="126" t="s">
        <v>57</v>
      </c>
      <c r="N1459" s="126" t="s">
        <v>58</v>
      </c>
      <c r="O1459" s="127">
        <v>31867</v>
      </c>
      <c r="P1459" s="126"/>
      <c r="Q1459" s="126"/>
      <c r="R1459" s="126">
        <v>0.08</v>
      </c>
      <c r="S1459" s="126" t="s">
        <v>48</v>
      </c>
    </row>
    <row r="1460" spans="1:19" ht="29.25" x14ac:dyDescent="0.25">
      <c r="A1460" s="126">
        <v>64901</v>
      </c>
      <c r="B1460" s="126" t="s">
        <v>106</v>
      </c>
      <c r="C1460" s="126" t="s">
        <v>49</v>
      </c>
      <c r="D1460" s="126" t="s">
        <v>40</v>
      </c>
      <c r="E1460" s="126"/>
      <c r="F1460" s="126" t="s">
        <v>1906</v>
      </c>
      <c r="G1460" s="126"/>
      <c r="H1460" s="126" t="s">
        <v>7</v>
      </c>
      <c r="I1460" s="126">
        <v>2311</v>
      </c>
      <c r="J1460" s="126" t="s">
        <v>713</v>
      </c>
      <c r="K1460" s="126" t="s">
        <v>315</v>
      </c>
      <c r="L1460" s="126" t="s">
        <v>259</v>
      </c>
      <c r="M1460" s="126" t="s">
        <v>57</v>
      </c>
      <c r="N1460" s="126" t="s">
        <v>58</v>
      </c>
      <c r="O1460" s="127">
        <v>32752</v>
      </c>
      <c r="P1460" s="126"/>
      <c r="Q1460" s="126"/>
      <c r="R1460" s="126">
        <v>7.0000000000000007E-2</v>
      </c>
      <c r="S1460" s="126" t="s">
        <v>48</v>
      </c>
    </row>
    <row r="1461" spans="1:19" ht="29.25" x14ac:dyDescent="0.25">
      <c r="A1461" s="126">
        <v>64903</v>
      </c>
      <c r="B1461" s="126" t="s">
        <v>106</v>
      </c>
      <c r="C1461" s="126" t="s">
        <v>49</v>
      </c>
      <c r="D1461" s="126" t="s">
        <v>40</v>
      </c>
      <c r="E1461" s="126"/>
      <c r="F1461" s="126" t="s">
        <v>1631</v>
      </c>
      <c r="G1461" s="126"/>
      <c r="H1461" s="126" t="s">
        <v>7</v>
      </c>
      <c r="I1461" s="126">
        <v>4029</v>
      </c>
      <c r="J1461" s="126" t="s">
        <v>44</v>
      </c>
      <c r="K1461" s="126"/>
      <c r="L1461" s="126"/>
      <c r="M1461" s="126" t="s">
        <v>57</v>
      </c>
      <c r="N1461" s="126" t="s">
        <v>58</v>
      </c>
      <c r="O1461" s="127">
        <v>32067</v>
      </c>
      <c r="P1461" s="126"/>
      <c r="Q1461" s="126"/>
      <c r="R1461" s="126">
        <v>4.9800000000000004</v>
      </c>
      <c r="S1461" s="126" t="s">
        <v>48</v>
      </c>
    </row>
    <row r="1462" spans="1:19" x14ac:dyDescent="0.25">
      <c r="A1462" s="126">
        <v>65501</v>
      </c>
      <c r="B1462" s="126" t="s">
        <v>106</v>
      </c>
      <c r="C1462" s="126" t="s">
        <v>49</v>
      </c>
      <c r="D1462" s="126" t="s">
        <v>40</v>
      </c>
      <c r="E1462" s="126"/>
      <c r="F1462" s="126" t="s">
        <v>3343</v>
      </c>
      <c r="G1462" s="126"/>
      <c r="H1462" s="126" t="s">
        <v>43</v>
      </c>
      <c r="I1462" s="126" t="s">
        <v>3344</v>
      </c>
      <c r="J1462" s="126" t="s">
        <v>44</v>
      </c>
      <c r="K1462" s="126" t="s">
        <v>44</v>
      </c>
      <c r="L1462" s="126" t="s">
        <v>45</v>
      </c>
      <c r="M1462" s="126" t="s">
        <v>46</v>
      </c>
      <c r="N1462" s="126" t="s">
        <v>47</v>
      </c>
      <c r="O1462" s="126"/>
      <c r="P1462" s="126"/>
      <c r="Q1462" s="126"/>
      <c r="R1462" s="126">
        <v>0.02</v>
      </c>
      <c r="S1462" s="126" t="s">
        <v>48</v>
      </c>
    </row>
    <row r="1463" spans="1:19" x14ac:dyDescent="0.25">
      <c r="A1463" s="126">
        <v>65502</v>
      </c>
      <c r="B1463" s="126" t="s">
        <v>106</v>
      </c>
      <c r="C1463" s="126" t="s">
        <v>49</v>
      </c>
      <c r="D1463" s="126" t="s">
        <v>40</v>
      </c>
      <c r="E1463" s="126"/>
      <c r="F1463" s="126" t="s">
        <v>3345</v>
      </c>
      <c r="G1463" s="126"/>
      <c r="H1463" s="126" t="s">
        <v>43</v>
      </c>
      <c r="I1463" s="126" t="s">
        <v>3346</v>
      </c>
      <c r="J1463" s="126" t="s">
        <v>44</v>
      </c>
      <c r="K1463" s="126" t="s">
        <v>44</v>
      </c>
      <c r="L1463" s="126" t="s">
        <v>45</v>
      </c>
      <c r="M1463" s="126" t="s">
        <v>46</v>
      </c>
      <c r="N1463" s="126" t="s">
        <v>47</v>
      </c>
      <c r="O1463" s="126"/>
      <c r="P1463" s="126"/>
      <c r="Q1463" s="126"/>
      <c r="R1463" s="126">
        <v>0.04</v>
      </c>
      <c r="S1463" s="126" t="s">
        <v>48</v>
      </c>
    </row>
    <row r="1464" spans="1:19" x14ac:dyDescent="0.25">
      <c r="A1464" s="126">
        <v>65503</v>
      </c>
      <c r="B1464" s="126" t="s">
        <v>106</v>
      </c>
      <c r="C1464" s="126" t="s">
        <v>49</v>
      </c>
      <c r="D1464" s="126" t="s">
        <v>40</v>
      </c>
      <c r="E1464" s="126"/>
      <c r="F1464" s="126" t="s">
        <v>1386</v>
      </c>
      <c r="G1464" s="126"/>
      <c r="H1464" s="126" t="s">
        <v>43</v>
      </c>
      <c r="I1464" s="126" t="s">
        <v>1387</v>
      </c>
      <c r="J1464" s="126" t="s">
        <v>44</v>
      </c>
      <c r="K1464" s="126" t="s">
        <v>44</v>
      </c>
      <c r="L1464" s="126" t="s">
        <v>45</v>
      </c>
      <c r="M1464" s="126" t="s">
        <v>46</v>
      </c>
      <c r="N1464" s="126" t="s">
        <v>47</v>
      </c>
      <c r="O1464" s="127">
        <v>31456</v>
      </c>
      <c r="P1464" s="126"/>
      <c r="Q1464" s="126"/>
      <c r="R1464" s="126">
        <v>0.08</v>
      </c>
      <c r="S1464" s="126" t="s">
        <v>48</v>
      </c>
    </row>
    <row r="1465" spans="1:19" x14ac:dyDescent="0.25">
      <c r="A1465" s="126">
        <v>65504</v>
      </c>
      <c r="B1465" s="126" t="s">
        <v>106</v>
      </c>
      <c r="C1465" s="126" t="s">
        <v>49</v>
      </c>
      <c r="D1465" s="126" t="s">
        <v>40</v>
      </c>
      <c r="E1465" s="126"/>
      <c r="F1465" s="126" t="s">
        <v>1279</v>
      </c>
      <c r="G1465" s="126"/>
      <c r="H1465" s="126" t="s">
        <v>43</v>
      </c>
      <c r="I1465" s="126" t="s">
        <v>1280</v>
      </c>
      <c r="J1465" s="126" t="s">
        <v>44</v>
      </c>
      <c r="K1465" s="126" t="s">
        <v>44</v>
      </c>
      <c r="L1465" s="126" t="s">
        <v>45</v>
      </c>
      <c r="M1465" s="126" t="s">
        <v>46</v>
      </c>
      <c r="N1465" s="126" t="s">
        <v>47</v>
      </c>
      <c r="O1465" s="127">
        <v>31404</v>
      </c>
      <c r="P1465" s="126"/>
      <c r="Q1465" s="126"/>
      <c r="R1465" s="126">
        <v>0.55000000000000004</v>
      </c>
      <c r="S1465" s="126" t="s">
        <v>48</v>
      </c>
    </row>
    <row r="1466" spans="1:19" x14ac:dyDescent="0.25">
      <c r="A1466" s="126">
        <v>65505</v>
      </c>
      <c r="B1466" s="126" t="s">
        <v>106</v>
      </c>
      <c r="C1466" s="126" t="s">
        <v>49</v>
      </c>
      <c r="D1466" s="126" t="s">
        <v>40</v>
      </c>
      <c r="E1466" s="126"/>
      <c r="F1466" s="126" t="s">
        <v>1125</v>
      </c>
      <c r="G1466" s="126"/>
      <c r="H1466" s="126" t="s">
        <v>43</v>
      </c>
      <c r="I1466" s="126" t="s">
        <v>1126</v>
      </c>
      <c r="J1466" s="126" t="s">
        <v>44</v>
      </c>
      <c r="K1466" s="126" t="s">
        <v>44</v>
      </c>
      <c r="L1466" s="126" t="s">
        <v>45</v>
      </c>
      <c r="M1466" s="126" t="s">
        <v>46</v>
      </c>
      <c r="N1466" s="126" t="s">
        <v>47</v>
      </c>
      <c r="O1466" s="127">
        <v>31014</v>
      </c>
      <c r="P1466" s="126"/>
      <c r="Q1466" s="126"/>
      <c r="R1466" s="126">
        <v>0.59</v>
      </c>
      <c r="S1466" s="126" t="s">
        <v>48</v>
      </c>
    </row>
    <row r="1467" spans="1:19" x14ac:dyDescent="0.25">
      <c r="A1467" s="126">
        <v>65508</v>
      </c>
      <c r="B1467" s="126" t="s">
        <v>106</v>
      </c>
      <c r="C1467" s="126" t="s">
        <v>49</v>
      </c>
      <c r="D1467" s="126" t="s">
        <v>40</v>
      </c>
      <c r="E1467" s="126"/>
      <c r="F1467" s="126" t="s">
        <v>1130</v>
      </c>
      <c r="G1467" s="126"/>
      <c r="H1467" s="126" t="s">
        <v>43</v>
      </c>
      <c r="I1467" s="126" t="s">
        <v>1131</v>
      </c>
      <c r="J1467" s="126" t="s">
        <v>44</v>
      </c>
      <c r="K1467" s="126" t="s">
        <v>44</v>
      </c>
      <c r="L1467" s="126" t="s">
        <v>45</v>
      </c>
      <c r="M1467" s="126" t="s">
        <v>46</v>
      </c>
      <c r="N1467" s="126" t="s">
        <v>47</v>
      </c>
      <c r="O1467" s="127">
        <v>31030</v>
      </c>
      <c r="P1467" s="126"/>
      <c r="Q1467" s="126"/>
      <c r="R1467" s="126">
        <v>0.85</v>
      </c>
      <c r="S1467" s="126" t="s">
        <v>48</v>
      </c>
    </row>
    <row r="1468" spans="1:19" x14ac:dyDescent="0.25">
      <c r="A1468" s="126">
        <v>65510</v>
      </c>
      <c r="B1468" s="126" t="s">
        <v>106</v>
      </c>
      <c r="C1468" s="126" t="s">
        <v>49</v>
      </c>
      <c r="D1468" s="126" t="s">
        <v>40</v>
      </c>
      <c r="E1468" s="126"/>
      <c r="F1468" s="126" t="s">
        <v>1691</v>
      </c>
      <c r="G1468" s="126"/>
      <c r="H1468" s="126" t="s">
        <v>43</v>
      </c>
      <c r="I1468" s="126" t="s">
        <v>1692</v>
      </c>
      <c r="J1468" s="126" t="s">
        <v>44</v>
      </c>
      <c r="K1468" s="126" t="s">
        <v>44</v>
      </c>
      <c r="L1468" s="126" t="s">
        <v>45</v>
      </c>
      <c r="M1468" s="126" t="s">
        <v>46</v>
      </c>
      <c r="N1468" s="126" t="s">
        <v>47</v>
      </c>
      <c r="O1468" s="127">
        <v>32153</v>
      </c>
      <c r="P1468" s="126"/>
      <c r="Q1468" s="126"/>
      <c r="R1468" s="126">
        <v>0.2</v>
      </c>
      <c r="S1468" s="126" t="s">
        <v>48</v>
      </c>
    </row>
    <row r="1469" spans="1:19" x14ac:dyDescent="0.25">
      <c r="A1469" s="126">
        <v>65511</v>
      </c>
      <c r="B1469" s="126" t="s">
        <v>106</v>
      </c>
      <c r="C1469" s="126" t="s">
        <v>49</v>
      </c>
      <c r="D1469" s="126" t="s">
        <v>40</v>
      </c>
      <c r="E1469" s="126"/>
      <c r="F1469" s="126" t="s">
        <v>1281</v>
      </c>
      <c r="G1469" s="126"/>
      <c r="H1469" s="126" t="s">
        <v>43</v>
      </c>
      <c r="I1469" s="126" t="s">
        <v>1282</v>
      </c>
      <c r="J1469" s="126" t="s">
        <v>44</v>
      </c>
      <c r="K1469" s="126" t="s">
        <v>44</v>
      </c>
      <c r="L1469" s="126" t="s">
        <v>45</v>
      </c>
      <c r="M1469" s="126" t="s">
        <v>46</v>
      </c>
      <c r="N1469" s="126" t="s">
        <v>47</v>
      </c>
      <c r="O1469" s="127">
        <v>31404</v>
      </c>
      <c r="P1469" s="126"/>
      <c r="Q1469" s="126"/>
      <c r="R1469" s="126">
        <v>0.1</v>
      </c>
      <c r="S1469" s="126" t="s">
        <v>48</v>
      </c>
    </row>
    <row r="1470" spans="1:19" x14ac:dyDescent="0.25">
      <c r="A1470" s="126">
        <v>66401</v>
      </c>
      <c r="B1470" s="126" t="s">
        <v>106</v>
      </c>
      <c r="C1470" s="126" t="s">
        <v>49</v>
      </c>
      <c r="D1470" s="126" t="s">
        <v>40</v>
      </c>
      <c r="E1470" s="126"/>
      <c r="F1470" s="126" t="s">
        <v>784</v>
      </c>
      <c r="G1470" s="126"/>
      <c r="H1470" s="126" t="s">
        <v>7</v>
      </c>
      <c r="I1470" s="126">
        <v>2010</v>
      </c>
      <c r="J1470" s="126" t="s">
        <v>713</v>
      </c>
      <c r="K1470" s="126"/>
      <c r="L1470" s="126"/>
      <c r="M1470" s="126" t="s">
        <v>57</v>
      </c>
      <c r="N1470" s="126" t="s">
        <v>58</v>
      </c>
      <c r="O1470" s="127">
        <v>29312</v>
      </c>
      <c r="P1470" s="126"/>
      <c r="Q1470" s="126"/>
      <c r="R1470" s="126">
        <v>3.8</v>
      </c>
      <c r="S1470" s="126" t="s">
        <v>48</v>
      </c>
    </row>
    <row r="1471" spans="1:19" ht="29.25" x14ac:dyDescent="0.25">
      <c r="A1471" s="126">
        <v>67504</v>
      </c>
      <c r="B1471" s="126" t="s">
        <v>106</v>
      </c>
      <c r="C1471" s="126" t="s">
        <v>49</v>
      </c>
      <c r="D1471" s="126" t="s">
        <v>40</v>
      </c>
      <c r="E1471" s="126"/>
      <c r="F1471" s="126" t="s">
        <v>2209</v>
      </c>
      <c r="G1471" s="126"/>
      <c r="H1471" s="126" t="s">
        <v>7</v>
      </c>
      <c r="I1471" s="126">
        <v>4152</v>
      </c>
      <c r="J1471" s="126" t="s">
        <v>44</v>
      </c>
      <c r="K1471" s="126"/>
      <c r="L1471" s="126"/>
      <c r="M1471" s="126" t="s">
        <v>57</v>
      </c>
      <c r="N1471" s="126" t="s">
        <v>58</v>
      </c>
      <c r="O1471" s="127">
        <v>34410</v>
      </c>
      <c r="P1471" s="126"/>
      <c r="Q1471" s="126"/>
      <c r="R1471" s="126">
        <v>1</v>
      </c>
      <c r="S1471" s="126" t="s">
        <v>48</v>
      </c>
    </row>
    <row r="1472" spans="1:19" ht="29.25" x14ac:dyDescent="0.25">
      <c r="A1472" s="126">
        <v>67505</v>
      </c>
      <c r="B1472" s="126" t="s">
        <v>106</v>
      </c>
      <c r="C1472" s="126" t="s">
        <v>49</v>
      </c>
      <c r="D1472" s="126" t="s">
        <v>40</v>
      </c>
      <c r="E1472" s="126"/>
      <c r="F1472" s="126" t="s">
        <v>1605</v>
      </c>
      <c r="G1472" s="126"/>
      <c r="H1472" s="126" t="s">
        <v>7</v>
      </c>
      <c r="I1472" s="126">
        <v>4076</v>
      </c>
      <c r="J1472" s="126" t="s">
        <v>44</v>
      </c>
      <c r="K1472" s="126"/>
      <c r="L1472" s="126"/>
      <c r="M1472" s="126" t="s">
        <v>57</v>
      </c>
      <c r="N1472" s="126" t="s">
        <v>58</v>
      </c>
      <c r="O1472" s="127">
        <v>31939</v>
      </c>
      <c r="P1472" s="126"/>
      <c r="Q1472" s="126"/>
      <c r="R1472" s="126">
        <v>0.15</v>
      </c>
      <c r="S1472" s="126" t="s">
        <v>48</v>
      </c>
    </row>
    <row r="1473" spans="1:19" x14ac:dyDescent="0.25">
      <c r="A1473" s="126">
        <v>67506</v>
      </c>
      <c r="B1473" s="126" t="s">
        <v>106</v>
      </c>
      <c r="C1473" s="126" t="s">
        <v>49</v>
      </c>
      <c r="D1473" s="126" t="s">
        <v>40</v>
      </c>
      <c r="E1473" s="126"/>
      <c r="F1473" s="126" t="s">
        <v>831</v>
      </c>
      <c r="G1473" s="126"/>
      <c r="H1473" s="126" t="s">
        <v>7</v>
      </c>
      <c r="I1473" s="126">
        <v>2490</v>
      </c>
      <c r="J1473" s="126" t="s">
        <v>713</v>
      </c>
      <c r="K1473" s="126"/>
      <c r="L1473" s="126"/>
      <c r="M1473" s="126" t="s">
        <v>57</v>
      </c>
      <c r="N1473" s="126" t="s">
        <v>58</v>
      </c>
      <c r="O1473" s="127">
        <v>29963</v>
      </c>
      <c r="P1473" s="126"/>
      <c r="Q1473" s="126"/>
      <c r="R1473" s="126">
        <v>1.5</v>
      </c>
      <c r="S1473" s="126" t="s">
        <v>48</v>
      </c>
    </row>
    <row r="1474" spans="1:19" ht="29.25" x14ac:dyDescent="0.25">
      <c r="A1474" s="126">
        <v>67507</v>
      </c>
      <c r="B1474" s="126" t="s">
        <v>106</v>
      </c>
      <c r="C1474" s="126" t="s">
        <v>49</v>
      </c>
      <c r="D1474" s="126" t="s">
        <v>40</v>
      </c>
      <c r="E1474" s="126"/>
      <c r="F1474" s="126" t="s">
        <v>1132</v>
      </c>
      <c r="G1474" s="126"/>
      <c r="H1474" s="126" t="s">
        <v>7</v>
      </c>
      <c r="I1474" s="126">
        <v>1005</v>
      </c>
      <c r="J1474" s="126" t="s">
        <v>807</v>
      </c>
      <c r="K1474" s="126"/>
      <c r="L1474" s="126"/>
      <c r="M1474" s="126" t="s">
        <v>57</v>
      </c>
      <c r="N1474" s="126" t="s">
        <v>58</v>
      </c>
      <c r="O1474" s="127">
        <v>31031</v>
      </c>
      <c r="P1474" s="126"/>
      <c r="Q1474" s="126"/>
      <c r="R1474" s="126">
        <v>5.63</v>
      </c>
      <c r="S1474" s="126" t="s">
        <v>48</v>
      </c>
    </row>
    <row r="1475" spans="1:19" x14ac:dyDescent="0.25">
      <c r="A1475" s="126">
        <v>67508</v>
      </c>
      <c r="B1475" s="126" t="s">
        <v>106</v>
      </c>
      <c r="C1475" s="126" t="s">
        <v>49</v>
      </c>
      <c r="D1475" s="126" t="s">
        <v>40</v>
      </c>
      <c r="E1475" s="126"/>
      <c r="F1475" s="126" t="s">
        <v>2053</v>
      </c>
      <c r="G1475" s="126"/>
      <c r="H1475" s="126" t="s">
        <v>7</v>
      </c>
      <c r="I1475" s="126">
        <v>2411</v>
      </c>
      <c r="J1475" s="126" t="s">
        <v>713</v>
      </c>
      <c r="K1475" s="126"/>
      <c r="L1475" s="126"/>
      <c r="M1475" s="126" t="s">
        <v>57</v>
      </c>
      <c r="N1475" s="126" t="s">
        <v>58</v>
      </c>
      <c r="O1475" s="127">
        <v>33018</v>
      </c>
      <c r="P1475" s="126"/>
      <c r="Q1475" s="126"/>
      <c r="R1475" s="126">
        <v>0.08</v>
      </c>
      <c r="S1475" s="126" t="s">
        <v>48</v>
      </c>
    </row>
    <row r="1476" spans="1:19" ht="29.25" x14ac:dyDescent="0.25">
      <c r="A1476" s="126">
        <v>67509</v>
      </c>
      <c r="B1476" s="126" t="s">
        <v>106</v>
      </c>
      <c r="C1476" s="126" t="s">
        <v>49</v>
      </c>
      <c r="D1476" s="126" t="s">
        <v>40</v>
      </c>
      <c r="E1476" s="126"/>
      <c r="F1476" s="126" t="s">
        <v>2146</v>
      </c>
      <c r="G1476" s="126"/>
      <c r="H1476" s="126" t="s">
        <v>7</v>
      </c>
      <c r="I1476" s="126">
        <v>2430</v>
      </c>
      <c r="J1476" s="126" t="s">
        <v>713</v>
      </c>
      <c r="K1476" s="126"/>
      <c r="L1476" s="126"/>
      <c r="M1476" s="126" t="s">
        <v>57</v>
      </c>
      <c r="N1476" s="126" t="s">
        <v>58</v>
      </c>
      <c r="O1476" s="127">
        <v>33654</v>
      </c>
      <c r="P1476" s="126"/>
      <c r="Q1476" s="126"/>
      <c r="R1476" s="126">
        <v>1.4</v>
      </c>
      <c r="S1476" s="126" t="s">
        <v>48</v>
      </c>
    </row>
    <row r="1477" spans="1:19" ht="29.25" x14ac:dyDescent="0.25">
      <c r="A1477" s="126">
        <v>68001</v>
      </c>
      <c r="B1477" s="126" t="s">
        <v>106</v>
      </c>
      <c r="C1477" s="126" t="s">
        <v>49</v>
      </c>
      <c r="D1477" s="126" t="s">
        <v>40</v>
      </c>
      <c r="E1477" s="126"/>
      <c r="F1477" s="126" t="s">
        <v>1112</v>
      </c>
      <c r="G1477" s="126"/>
      <c r="H1477" s="126" t="s">
        <v>7</v>
      </c>
      <c r="I1477" s="126">
        <v>4022</v>
      </c>
      <c r="J1477" s="126" t="s">
        <v>44</v>
      </c>
      <c r="K1477" s="126"/>
      <c r="L1477" s="126"/>
      <c r="M1477" s="126" t="s">
        <v>57</v>
      </c>
      <c r="N1477" s="126" t="s">
        <v>58</v>
      </c>
      <c r="O1477" s="127">
        <v>30956</v>
      </c>
      <c r="P1477" s="126"/>
      <c r="Q1477" s="126"/>
      <c r="R1477" s="126">
        <v>1.25</v>
      </c>
      <c r="S1477" s="126" t="s">
        <v>48</v>
      </c>
    </row>
    <row r="1478" spans="1:19" ht="29.25" x14ac:dyDescent="0.25">
      <c r="A1478" s="126">
        <v>68003</v>
      </c>
      <c r="B1478" s="126" t="s">
        <v>106</v>
      </c>
      <c r="C1478" s="126" t="s">
        <v>49</v>
      </c>
      <c r="D1478" s="126" t="s">
        <v>40</v>
      </c>
      <c r="E1478" s="126"/>
      <c r="F1478" s="126" t="s">
        <v>1441</v>
      </c>
      <c r="G1478" s="126"/>
      <c r="H1478" s="126" t="s">
        <v>7</v>
      </c>
      <c r="I1478" s="126">
        <v>2210</v>
      </c>
      <c r="J1478" s="126" t="s">
        <v>713</v>
      </c>
      <c r="K1478" s="126"/>
      <c r="L1478" s="126"/>
      <c r="M1478" s="126" t="s">
        <v>57</v>
      </c>
      <c r="N1478" s="126" t="s">
        <v>58</v>
      </c>
      <c r="O1478" s="127">
        <v>31587</v>
      </c>
      <c r="P1478" s="126"/>
      <c r="Q1478" s="126"/>
      <c r="R1478" s="126">
        <v>0.16</v>
      </c>
      <c r="S1478" s="126" t="s">
        <v>48</v>
      </c>
    </row>
    <row r="1479" spans="1:19" x14ac:dyDescent="0.25">
      <c r="A1479" s="126">
        <v>68005</v>
      </c>
      <c r="B1479" s="126" t="s">
        <v>106</v>
      </c>
      <c r="C1479" s="126" t="s">
        <v>49</v>
      </c>
      <c r="D1479" s="126" t="s">
        <v>40</v>
      </c>
      <c r="E1479" s="126"/>
      <c r="F1479" s="126" t="s">
        <v>2255</v>
      </c>
      <c r="G1479" s="126"/>
      <c r="H1479" s="126" t="s">
        <v>7</v>
      </c>
      <c r="I1479" s="126">
        <v>2479</v>
      </c>
      <c r="J1479" s="126" t="s">
        <v>713</v>
      </c>
      <c r="K1479" s="126"/>
      <c r="L1479" s="126"/>
      <c r="M1479" s="126" t="s">
        <v>57</v>
      </c>
      <c r="N1479" s="126" t="s">
        <v>58</v>
      </c>
      <c r="O1479" s="127">
        <v>35223</v>
      </c>
      <c r="P1479" s="126"/>
      <c r="Q1479" s="126"/>
      <c r="R1479" s="126">
        <v>0.19</v>
      </c>
      <c r="S1479" s="126" t="s">
        <v>48</v>
      </c>
    </row>
    <row r="1480" spans="1:19" ht="29.25" x14ac:dyDescent="0.25">
      <c r="A1480" s="126">
        <v>68006</v>
      </c>
      <c r="B1480" s="126" t="s">
        <v>106</v>
      </c>
      <c r="C1480" s="126" t="s">
        <v>49</v>
      </c>
      <c r="D1480" s="126" t="s">
        <v>40</v>
      </c>
      <c r="E1480" s="126"/>
      <c r="F1480" s="126" t="s">
        <v>1602</v>
      </c>
      <c r="G1480" s="126"/>
      <c r="H1480" s="126" t="s">
        <v>7</v>
      </c>
      <c r="I1480" s="126">
        <v>4058</v>
      </c>
      <c r="J1480" s="126" t="s">
        <v>44</v>
      </c>
      <c r="K1480" s="126"/>
      <c r="L1480" s="126"/>
      <c r="M1480" s="126" t="s">
        <v>57</v>
      </c>
      <c r="N1480" s="126" t="s">
        <v>58</v>
      </c>
      <c r="O1480" s="127">
        <v>31929</v>
      </c>
      <c r="P1480" s="126"/>
      <c r="Q1480" s="126"/>
      <c r="R1480" s="126">
        <v>0.94</v>
      </c>
      <c r="S1480" s="126" t="s">
        <v>48</v>
      </c>
    </row>
    <row r="1481" spans="1:19" x14ac:dyDescent="0.25">
      <c r="A1481" s="126">
        <v>68401</v>
      </c>
      <c r="B1481" s="126" t="s">
        <v>106</v>
      </c>
      <c r="C1481" s="126" t="s">
        <v>49</v>
      </c>
      <c r="D1481" s="126" t="s">
        <v>40</v>
      </c>
      <c r="E1481" s="126"/>
      <c r="F1481" s="126" t="s">
        <v>936</v>
      </c>
      <c r="G1481" s="126"/>
      <c r="H1481" s="126" t="s">
        <v>43</v>
      </c>
      <c r="I1481" s="126" t="s">
        <v>937</v>
      </c>
      <c r="J1481" s="126" t="s">
        <v>800</v>
      </c>
      <c r="K1481" s="126" t="s">
        <v>800</v>
      </c>
      <c r="L1481" s="126" t="s">
        <v>800</v>
      </c>
      <c r="M1481" s="126" t="s">
        <v>46</v>
      </c>
      <c r="N1481" s="126" t="s">
        <v>47</v>
      </c>
      <c r="O1481" s="127">
        <v>30338</v>
      </c>
      <c r="P1481" s="126"/>
      <c r="Q1481" s="126"/>
      <c r="R1481" s="126">
        <v>5.76</v>
      </c>
      <c r="S1481" s="126" t="s">
        <v>48</v>
      </c>
    </row>
    <row r="1482" spans="1:19" x14ac:dyDescent="0.25">
      <c r="A1482" s="126">
        <v>68402</v>
      </c>
      <c r="B1482" s="126" t="s">
        <v>106</v>
      </c>
      <c r="C1482" s="126" t="s">
        <v>49</v>
      </c>
      <c r="D1482" s="126" t="s">
        <v>40</v>
      </c>
      <c r="E1482" s="126"/>
      <c r="F1482" s="126" t="s">
        <v>938</v>
      </c>
      <c r="G1482" s="126"/>
      <c r="H1482" s="126" t="s">
        <v>43</v>
      </c>
      <c r="I1482" s="126" t="s">
        <v>939</v>
      </c>
      <c r="J1482" s="126" t="s">
        <v>800</v>
      </c>
      <c r="K1482" s="126" t="s">
        <v>800</v>
      </c>
      <c r="L1482" s="126" t="s">
        <v>800</v>
      </c>
      <c r="M1482" s="126" t="s">
        <v>46</v>
      </c>
      <c r="N1482" s="126" t="s">
        <v>47</v>
      </c>
      <c r="O1482" s="127">
        <v>30338</v>
      </c>
      <c r="P1482" s="126"/>
      <c r="Q1482" s="126"/>
      <c r="R1482" s="126">
        <v>1.5</v>
      </c>
      <c r="S1482" s="126" t="s">
        <v>48</v>
      </c>
    </row>
    <row r="1483" spans="1:19" x14ac:dyDescent="0.25">
      <c r="A1483" s="126">
        <v>68403</v>
      </c>
      <c r="B1483" s="126" t="s">
        <v>106</v>
      </c>
      <c r="C1483" s="126" t="s">
        <v>49</v>
      </c>
      <c r="D1483" s="126" t="s">
        <v>40</v>
      </c>
      <c r="E1483" s="126"/>
      <c r="F1483" s="126" t="s">
        <v>940</v>
      </c>
      <c r="G1483" s="126"/>
      <c r="H1483" s="126" t="s">
        <v>43</v>
      </c>
      <c r="I1483" s="126" t="s">
        <v>941</v>
      </c>
      <c r="J1483" s="126" t="s">
        <v>800</v>
      </c>
      <c r="K1483" s="126" t="s">
        <v>800</v>
      </c>
      <c r="L1483" s="126" t="s">
        <v>800</v>
      </c>
      <c r="M1483" s="126" t="s">
        <v>46</v>
      </c>
      <c r="N1483" s="126" t="s">
        <v>47</v>
      </c>
      <c r="O1483" s="127">
        <v>30338</v>
      </c>
      <c r="P1483" s="126"/>
      <c r="Q1483" s="126"/>
      <c r="R1483" s="126">
        <v>0.06</v>
      </c>
      <c r="S1483" s="126" t="s">
        <v>48</v>
      </c>
    </row>
    <row r="1484" spans="1:19" x14ac:dyDescent="0.25">
      <c r="A1484" s="126">
        <v>68404</v>
      </c>
      <c r="B1484" s="126" t="s">
        <v>106</v>
      </c>
      <c r="C1484" s="126" t="s">
        <v>49</v>
      </c>
      <c r="D1484" s="126" t="s">
        <v>40</v>
      </c>
      <c r="E1484" s="126"/>
      <c r="F1484" s="126" t="s">
        <v>942</v>
      </c>
      <c r="G1484" s="126"/>
      <c r="H1484" s="126" t="s">
        <v>43</v>
      </c>
      <c r="I1484" s="126" t="s">
        <v>943</v>
      </c>
      <c r="J1484" s="126" t="s">
        <v>800</v>
      </c>
      <c r="K1484" s="126" t="s">
        <v>800</v>
      </c>
      <c r="L1484" s="126" t="s">
        <v>800</v>
      </c>
      <c r="M1484" s="126" t="s">
        <v>46</v>
      </c>
      <c r="N1484" s="126" t="s">
        <v>47</v>
      </c>
      <c r="O1484" s="127">
        <v>30338</v>
      </c>
      <c r="P1484" s="126"/>
      <c r="Q1484" s="126"/>
      <c r="R1484" s="126">
        <v>10.68</v>
      </c>
      <c r="S1484" s="126" t="s">
        <v>48</v>
      </c>
    </row>
    <row r="1485" spans="1:19" x14ac:dyDescent="0.25">
      <c r="A1485" s="126">
        <v>68405</v>
      </c>
      <c r="B1485" s="126" t="s">
        <v>106</v>
      </c>
      <c r="C1485" s="126" t="s">
        <v>49</v>
      </c>
      <c r="D1485" s="126" t="s">
        <v>40</v>
      </c>
      <c r="E1485" s="126"/>
      <c r="F1485" s="126" t="s">
        <v>944</v>
      </c>
      <c r="G1485" s="126"/>
      <c r="H1485" s="126" t="s">
        <v>43</v>
      </c>
      <c r="I1485" s="126" t="s">
        <v>945</v>
      </c>
      <c r="J1485" s="126" t="s">
        <v>800</v>
      </c>
      <c r="K1485" s="126" t="s">
        <v>800</v>
      </c>
      <c r="L1485" s="126" t="s">
        <v>800</v>
      </c>
      <c r="M1485" s="126" t="s">
        <v>46</v>
      </c>
      <c r="N1485" s="126" t="s">
        <v>47</v>
      </c>
      <c r="O1485" s="127">
        <v>30338</v>
      </c>
      <c r="P1485" s="126"/>
      <c r="Q1485" s="126"/>
      <c r="R1485" s="126">
        <v>1.56</v>
      </c>
      <c r="S1485" s="126" t="s">
        <v>48</v>
      </c>
    </row>
    <row r="1486" spans="1:19" x14ac:dyDescent="0.25">
      <c r="A1486" s="126">
        <v>68406</v>
      </c>
      <c r="B1486" s="126" t="s">
        <v>106</v>
      </c>
      <c r="C1486" s="126" t="s">
        <v>49</v>
      </c>
      <c r="D1486" s="126" t="s">
        <v>40</v>
      </c>
      <c r="E1486" s="126"/>
      <c r="F1486" s="126" t="s">
        <v>946</v>
      </c>
      <c r="G1486" s="126"/>
      <c r="H1486" s="126" t="s">
        <v>43</v>
      </c>
      <c r="I1486" s="126" t="s">
        <v>947</v>
      </c>
      <c r="J1486" s="126" t="s">
        <v>800</v>
      </c>
      <c r="K1486" s="126" t="s">
        <v>800</v>
      </c>
      <c r="L1486" s="126" t="s">
        <v>800</v>
      </c>
      <c r="M1486" s="126" t="s">
        <v>46</v>
      </c>
      <c r="N1486" s="126" t="s">
        <v>47</v>
      </c>
      <c r="O1486" s="127">
        <v>30338</v>
      </c>
      <c r="P1486" s="126"/>
      <c r="Q1486" s="126"/>
      <c r="R1486" s="126">
        <v>0.9</v>
      </c>
      <c r="S1486" s="126" t="s">
        <v>48</v>
      </c>
    </row>
    <row r="1487" spans="1:19" x14ac:dyDescent="0.25">
      <c r="A1487" s="126">
        <v>85001</v>
      </c>
      <c r="B1487" s="126" t="s">
        <v>106</v>
      </c>
      <c r="C1487" s="126" t="s">
        <v>49</v>
      </c>
      <c r="D1487" s="126" t="s">
        <v>40</v>
      </c>
      <c r="E1487" s="126"/>
      <c r="F1487" s="126" t="s">
        <v>3351</v>
      </c>
      <c r="G1487" s="126"/>
      <c r="H1487" s="126" t="s">
        <v>7</v>
      </c>
      <c r="I1487" s="126">
        <v>3017</v>
      </c>
      <c r="J1487" s="126" t="s">
        <v>663</v>
      </c>
      <c r="K1487" s="126" t="s">
        <v>385</v>
      </c>
      <c r="L1487" s="126" t="s">
        <v>663</v>
      </c>
      <c r="M1487" s="126" t="s">
        <v>57</v>
      </c>
      <c r="N1487" s="126" t="s">
        <v>58</v>
      </c>
      <c r="O1487" s="126"/>
      <c r="P1487" s="126"/>
      <c r="Q1487" s="126"/>
      <c r="R1487" s="126">
        <v>11</v>
      </c>
      <c r="S1487" s="126" t="s">
        <v>3284</v>
      </c>
    </row>
    <row r="1488" spans="1:19" ht="29.25" x14ac:dyDescent="0.25">
      <c r="A1488" s="126">
        <v>35001</v>
      </c>
      <c r="B1488" s="126" t="s">
        <v>106</v>
      </c>
      <c r="C1488" s="126" t="s">
        <v>49</v>
      </c>
      <c r="D1488" s="126" t="s">
        <v>40</v>
      </c>
      <c r="E1488" s="126"/>
      <c r="F1488" s="126" t="s">
        <v>1381</v>
      </c>
      <c r="G1488" s="126"/>
      <c r="H1488" s="126" t="s">
        <v>43</v>
      </c>
      <c r="I1488" s="126" t="s">
        <v>1382</v>
      </c>
      <c r="J1488" s="126" t="s">
        <v>44</v>
      </c>
      <c r="K1488" s="126" t="s">
        <v>44</v>
      </c>
      <c r="L1488" s="126" t="s">
        <v>45</v>
      </c>
      <c r="M1488" s="126" t="s">
        <v>46</v>
      </c>
      <c r="N1488" s="126" t="s">
        <v>47</v>
      </c>
      <c r="O1488" s="127">
        <v>31444</v>
      </c>
      <c r="P1488" s="126"/>
      <c r="Q1488" s="126"/>
      <c r="R1488" s="126">
        <v>0.68</v>
      </c>
      <c r="S1488" s="126" t="s">
        <v>48</v>
      </c>
    </row>
    <row r="1489" spans="1:19" ht="29.25" x14ac:dyDescent="0.25">
      <c r="A1489" s="126">
        <v>35002</v>
      </c>
      <c r="B1489" s="126" t="s">
        <v>106</v>
      </c>
      <c r="C1489" s="126" t="s">
        <v>49</v>
      </c>
      <c r="D1489" s="126" t="s">
        <v>40</v>
      </c>
      <c r="E1489" s="126"/>
      <c r="F1489" s="126" t="s">
        <v>1383</v>
      </c>
      <c r="G1489" s="126"/>
      <c r="H1489" s="126" t="s">
        <v>43</v>
      </c>
      <c r="I1489" s="126" t="s">
        <v>1384</v>
      </c>
      <c r="J1489" s="126" t="s">
        <v>44</v>
      </c>
      <c r="K1489" s="126" t="s">
        <v>44</v>
      </c>
      <c r="L1489" s="126" t="s">
        <v>45</v>
      </c>
      <c r="M1489" s="126" t="s">
        <v>46</v>
      </c>
      <c r="N1489" s="126" t="s">
        <v>47</v>
      </c>
      <c r="O1489" s="127">
        <v>31444</v>
      </c>
      <c r="P1489" s="126"/>
      <c r="Q1489" s="126"/>
      <c r="R1489" s="126">
        <v>1</v>
      </c>
      <c r="S1489" s="126" t="s">
        <v>48</v>
      </c>
    </row>
    <row r="1490" spans="1:19" x14ac:dyDescent="0.25">
      <c r="A1490" s="126">
        <v>69603</v>
      </c>
      <c r="B1490" s="126" t="s">
        <v>106</v>
      </c>
      <c r="C1490" s="126" t="s">
        <v>49</v>
      </c>
      <c r="D1490" s="126" t="s">
        <v>40</v>
      </c>
      <c r="E1490" s="126"/>
      <c r="F1490" s="126" t="s">
        <v>935</v>
      </c>
      <c r="G1490" s="126"/>
      <c r="H1490" s="126" t="s">
        <v>7</v>
      </c>
      <c r="I1490" s="126">
        <v>1007</v>
      </c>
      <c r="J1490" s="126" t="s">
        <v>807</v>
      </c>
      <c r="K1490" s="126"/>
      <c r="L1490" s="126"/>
      <c r="M1490" s="126" t="s">
        <v>57</v>
      </c>
      <c r="N1490" s="126" t="s">
        <v>58</v>
      </c>
      <c r="O1490" s="127">
        <v>30337</v>
      </c>
      <c r="P1490" s="126"/>
      <c r="Q1490" s="126"/>
      <c r="R1490" s="126">
        <v>0.08</v>
      </c>
      <c r="S1490" s="126" t="s">
        <v>48</v>
      </c>
    </row>
    <row r="1491" spans="1:19" x14ac:dyDescent="0.25">
      <c r="A1491" s="126">
        <v>69604</v>
      </c>
      <c r="B1491" s="126" t="s">
        <v>106</v>
      </c>
      <c r="C1491" s="126" t="s">
        <v>49</v>
      </c>
      <c r="D1491" s="126" t="s">
        <v>40</v>
      </c>
      <c r="E1491" s="126"/>
      <c r="F1491" s="126" t="s">
        <v>1575</v>
      </c>
      <c r="G1491" s="126"/>
      <c r="H1491" s="126" t="s">
        <v>7</v>
      </c>
      <c r="I1491" s="126">
        <v>1087</v>
      </c>
      <c r="J1491" s="126" t="s">
        <v>807</v>
      </c>
      <c r="K1491" s="126"/>
      <c r="L1491" s="126"/>
      <c r="M1491" s="126" t="s">
        <v>57</v>
      </c>
      <c r="N1491" s="126" t="s">
        <v>58</v>
      </c>
      <c r="O1491" s="127">
        <v>31862</v>
      </c>
      <c r="P1491" s="126"/>
      <c r="Q1491" s="126"/>
      <c r="R1491" s="126">
        <v>0.1</v>
      </c>
      <c r="S1491" s="126" t="s">
        <v>48</v>
      </c>
    </row>
    <row r="1492" spans="1:19" ht="29.25" x14ac:dyDescent="0.25">
      <c r="A1492" s="126">
        <v>69601</v>
      </c>
      <c r="B1492" s="126" t="s">
        <v>106</v>
      </c>
      <c r="C1492" s="126" t="s">
        <v>49</v>
      </c>
      <c r="D1492" s="126" t="s">
        <v>40</v>
      </c>
      <c r="E1492" s="126"/>
      <c r="F1492" s="126" t="s">
        <v>1930</v>
      </c>
      <c r="G1492" s="126"/>
      <c r="H1492" s="126" t="s">
        <v>7</v>
      </c>
      <c r="I1492" s="126">
        <v>4028</v>
      </c>
      <c r="J1492" s="126" t="s">
        <v>44</v>
      </c>
      <c r="K1492" s="126"/>
      <c r="L1492" s="126"/>
      <c r="M1492" s="126" t="s">
        <v>57</v>
      </c>
      <c r="N1492" s="126" t="s">
        <v>58</v>
      </c>
      <c r="O1492" s="127">
        <v>32845</v>
      </c>
      <c r="P1492" s="126"/>
      <c r="Q1492" s="126"/>
      <c r="R1492" s="126">
        <v>1.5</v>
      </c>
      <c r="S1492" s="126" t="s">
        <v>48</v>
      </c>
    </row>
    <row r="1493" spans="1:19" ht="29.25" x14ac:dyDescent="0.25">
      <c r="A1493" s="126">
        <v>70401</v>
      </c>
      <c r="B1493" s="126" t="s">
        <v>106</v>
      </c>
      <c r="C1493" s="126" t="s">
        <v>49</v>
      </c>
      <c r="D1493" s="126" t="s">
        <v>40</v>
      </c>
      <c r="E1493" s="126" t="s">
        <v>1541</v>
      </c>
      <c r="F1493" s="126" t="s">
        <v>1542</v>
      </c>
      <c r="G1493" s="126">
        <v>90</v>
      </c>
      <c r="H1493" s="126" t="s">
        <v>7</v>
      </c>
      <c r="I1493" s="126"/>
      <c r="J1493" s="126" t="s">
        <v>713</v>
      </c>
      <c r="K1493" s="126" t="s">
        <v>599</v>
      </c>
      <c r="L1493" s="126" t="s">
        <v>259</v>
      </c>
      <c r="M1493" s="126" t="s">
        <v>57</v>
      </c>
      <c r="N1493" s="126" t="s">
        <v>58</v>
      </c>
      <c r="O1493" s="127">
        <v>31778</v>
      </c>
      <c r="P1493" s="126"/>
      <c r="Q1493" s="126"/>
      <c r="R1493" s="126">
        <v>75</v>
      </c>
      <c r="S1493" s="126" t="s">
        <v>48</v>
      </c>
    </row>
    <row r="1494" spans="1:19" ht="29.25" x14ac:dyDescent="0.25">
      <c r="A1494" s="126">
        <v>70402</v>
      </c>
      <c r="B1494" s="126" t="s">
        <v>106</v>
      </c>
      <c r="C1494" s="126" t="s">
        <v>49</v>
      </c>
      <c r="D1494" s="126" t="s">
        <v>40</v>
      </c>
      <c r="E1494" s="126" t="s">
        <v>1543</v>
      </c>
      <c r="F1494" s="126" t="s">
        <v>1544</v>
      </c>
      <c r="G1494" s="126">
        <v>90</v>
      </c>
      <c r="H1494" s="126" t="s">
        <v>7</v>
      </c>
      <c r="I1494" s="126"/>
      <c r="J1494" s="126" t="s">
        <v>713</v>
      </c>
      <c r="K1494" s="126" t="s">
        <v>599</v>
      </c>
      <c r="L1494" s="126" t="s">
        <v>259</v>
      </c>
      <c r="M1494" s="126" t="s">
        <v>57</v>
      </c>
      <c r="N1494" s="126" t="s">
        <v>58</v>
      </c>
      <c r="O1494" s="127">
        <v>31778</v>
      </c>
      <c r="P1494" s="126"/>
      <c r="Q1494" s="126"/>
      <c r="R1494" s="126">
        <v>75</v>
      </c>
      <c r="S1494" s="126" t="s">
        <v>48</v>
      </c>
    </row>
    <row r="1495" spans="1:19" ht="29.25" x14ac:dyDescent="0.25">
      <c r="A1495" s="126">
        <v>70403</v>
      </c>
      <c r="B1495" s="126" t="s">
        <v>106</v>
      </c>
      <c r="C1495" s="126" t="s">
        <v>49</v>
      </c>
      <c r="D1495" s="126" t="s">
        <v>40</v>
      </c>
      <c r="E1495" s="126" t="s">
        <v>1545</v>
      </c>
      <c r="F1495" s="126" t="s">
        <v>1546</v>
      </c>
      <c r="G1495" s="126">
        <v>90</v>
      </c>
      <c r="H1495" s="126" t="s">
        <v>7</v>
      </c>
      <c r="I1495" s="126"/>
      <c r="J1495" s="126" t="s">
        <v>713</v>
      </c>
      <c r="K1495" s="126" t="s">
        <v>599</v>
      </c>
      <c r="L1495" s="126" t="s">
        <v>259</v>
      </c>
      <c r="M1495" s="126" t="s">
        <v>57</v>
      </c>
      <c r="N1495" s="126" t="s">
        <v>58</v>
      </c>
      <c r="O1495" s="127">
        <v>31778</v>
      </c>
      <c r="P1495" s="126"/>
      <c r="Q1495" s="126"/>
      <c r="R1495" s="126">
        <v>75</v>
      </c>
      <c r="S1495" s="126" t="s">
        <v>48</v>
      </c>
    </row>
    <row r="1496" spans="1:19" ht="29.25" x14ac:dyDescent="0.25">
      <c r="A1496" s="126">
        <v>70404</v>
      </c>
      <c r="B1496" s="126" t="s">
        <v>106</v>
      </c>
      <c r="C1496" s="126" t="s">
        <v>49</v>
      </c>
      <c r="D1496" s="126" t="s">
        <v>40</v>
      </c>
      <c r="E1496" s="126" t="s">
        <v>1547</v>
      </c>
      <c r="F1496" s="126" t="s">
        <v>1548</v>
      </c>
      <c r="G1496" s="126">
        <v>90</v>
      </c>
      <c r="H1496" s="126" t="s">
        <v>7</v>
      </c>
      <c r="I1496" s="126"/>
      <c r="J1496" s="126" t="s">
        <v>713</v>
      </c>
      <c r="K1496" s="126" t="s">
        <v>599</v>
      </c>
      <c r="L1496" s="126" t="s">
        <v>259</v>
      </c>
      <c r="M1496" s="126" t="s">
        <v>57</v>
      </c>
      <c r="N1496" s="126" t="s">
        <v>58</v>
      </c>
      <c r="O1496" s="127">
        <v>31778</v>
      </c>
      <c r="P1496" s="126"/>
      <c r="Q1496" s="126"/>
      <c r="R1496" s="126">
        <v>75</v>
      </c>
      <c r="S1496" s="126" t="s">
        <v>48</v>
      </c>
    </row>
    <row r="1497" spans="1:19" x14ac:dyDescent="0.25">
      <c r="A1497" s="126">
        <v>70601</v>
      </c>
      <c r="B1497" s="126" t="s">
        <v>106</v>
      </c>
      <c r="C1497" s="126" t="s">
        <v>49</v>
      </c>
      <c r="D1497" s="126" t="s">
        <v>40</v>
      </c>
      <c r="E1497" s="126"/>
      <c r="F1497" s="126" t="s">
        <v>1470</v>
      </c>
      <c r="G1497" s="126"/>
      <c r="H1497" s="126" t="s">
        <v>43</v>
      </c>
      <c r="I1497" s="126" t="s">
        <v>1471</v>
      </c>
      <c r="J1497" s="126" t="s">
        <v>44</v>
      </c>
      <c r="K1497" s="126" t="s">
        <v>44</v>
      </c>
      <c r="L1497" s="126" t="s">
        <v>45</v>
      </c>
      <c r="M1497" s="126" t="s">
        <v>46</v>
      </c>
      <c r="N1497" s="126" t="s">
        <v>47</v>
      </c>
      <c r="O1497" s="127">
        <v>31747</v>
      </c>
      <c r="P1497" s="126"/>
      <c r="Q1497" s="126"/>
      <c r="R1497" s="126">
        <v>0.36</v>
      </c>
      <c r="S1497" s="126" t="s">
        <v>48</v>
      </c>
    </row>
    <row r="1498" spans="1:19" ht="29.25" x14ac:dyDescent="0.25">
      <c r="A1498" s="126">
        <v>70602</v>
      </c>
      <c r="B1498" s="126" t="s">
        <v>106</v>
      </c>
      <c r="C1498" s="126" t="s">
        <v>49</v>
      </c>
      <c r="D1498" s="126" t="s">
        <v>40</v>
      </c>
      <c r="E1498" s="126"/>
      <c r="F1498" s="126" t="s">
        <v>1091</v>
      </c>
      <c r="G1498" s="126"/>
      <c r="H1498" s="126" t="s">
        <v>43</v>
      </c>
      <c r="I1498" s="126" t="s">
        <v>1092</v>
      </c>
      <c r="J1498" s="126" t="s">
        <v>44</v>
      </c>
      <c r="K1498" s="126" t="s">
        <v>44</v>
      </c>
      <c r="L1498" s="126" t="s">
        <v>45</v>
      </c>
      <c r="M1498" s="126" t="s">
        <v>46</v>
      </c>
      <c r="N1498" s="126" t="s">
        <v>47</v>
      </c>
      <c r="O1498" s="127">
        <v>30862</v>
      </c>
      <c r="P1498" s="126"/>
      <c r="Q1498" s="126"/>
      <c r="R1498" s="126">
        <v>1.28</v>
      </c>
      <c r="S1498" s="126" t="s">
        <v>48</v>
      </c>
    </row>
    <row r="1499" spans="1:19" x14ac:dyDescent="0.25">
      <c r="A1499" s="126">
        <v>70603</v>
      </c>
      <c r="B1499" s="126" t="s">
        <v>106</v>
      </c>
      <c r="C1499" s="126" t="s">
        <v>49</v>
      </c>
      <c r="D1499" s="126" t="s">
        <v>40</v>
      </c>
      <c r="E1499" s="126"/>
      <c r="F1499" s="126" t="s">
        <v>1870</v>
      </c>
      <c r="G1499" s="126"/>
      <c r="H1499" s="126" t="s">
        <v>43</v>
      </c>
      <c r="I1499" s="126" t="s">
        <v>1871</v>
      </c>
      <c r="J1499" s="126" t="s">
        <v>44</v>
      </c>
      <c r="K1499" s="126" t="s">
        <v>44</v>
      </c>
      <c r="L1499" s="126" t="s">
        <v>45</v>
      </c>
      <c r="M1499" s="126" t="s">
        <v>46</v>
      </c>
      <c r="N1499" s="126" t="s">
        <v>47</v>
      </c>
      <c r="O1499" s="127">
        <v>32625</v>
      </c>
      <c r="P1499" s="126"/>
      <c r="Q1499" s="126"/>
      <c r="R1499" s="126">
        <v>0.99</v>
      </c>
      <c r="S1499" s="126" t="s">
        <v>48</v>
      </c>
    </row>
    <row r="1500" spans="1:19" x14ac:dyDescent="0.25">
      <c r="A1500" s="126">
        <v>70605</v>
      </c>
      <c r="B1500" s="126" t="s">
        <v>106</v>
      </c>
      <c r="C1500" s="126" t="s">
        <v>49</v>
      </c>
      <c r="D1500" s="126" t="s">
        <v>40</v>
      </c>
      <c r="E1500" s="126"/>
      <c r="F1500" s="126" t="s">
        <v>1066</v>
      </c>
      <c r="G1500" s="126"/>
      <c r="H1500" s="126" t="s">
        <v>43</v>
      </c>
      <c r="I1500" s="126" t="s">
        <v>1067</v>
      </c>
      <c r="J1500" s="126" t="s">
        <v>44</v>
      </c>
      <c r="K1500" s="126" t="s">
        <v>44</v>
      </c>
      <c r="L1500" s="126" t="s">
        <v>45</v>
      </c>
      <c r="M1500" s="126" t="s">
        <v>46</v>
      </c>
      <c r="N1500" s="126" t="s">
        <v>47</v>
      </c>
      <c r="O1500" s="127">
        <v>30698</v>
      </c>
      <c r="P1500" s="126"/>
      <c r="Q1500" s="126"/>
      <c r="R1500" s="126">
        <v>0.02</v>
      </c>
      <c r="S1500" s="126" t="s">
        <v>48</v>
      </c>
    </row>
    <row r="1501" spans="1:19" x14ac:dyDescent="0.25">
      <c r="A1501" s="126">
        <v>70606</v>
      </c>
      <c r="B1501" s="126" t="s">
        <v>106</v>
      </c>
      <c r="C1501" s="126" t="s">
        <v>49</v>
      </c>
      <c r="D1501" s="126" t="s">
        <v>40</v>
      </c>
      <c r="E1501" s="126"/>
      <c r="F1501" s="126" t="s">
        <v>2119</v>
      </c>
      <c r="G1501" s="126"/>
      <c r="H1501" s="126" t="s">
        <v>43</v>
      </c>
      <c r="I1501" s="126" t="s">
        <v>2120</v>
      </c>
      <c r="J1501" s="126" t="s">
        <v>44</v>
      </c>
      <c r="K1501" s="126" t="s">
        <v>44</v>
      </c>
      <c r="L1501" s="126" t="s">
        <v>45</v>
      </c>
      <c r="M1501" s="126" t="s">
        <v>46</v>
      </c>
      <c r="N1501" s="126" t="s">
        <v>47</v>
      </c>
      <c r="O1501" s="127">
        <v>33409</v>
      </c>
      <c r="P1501" s="126"/>
      <c r="Q1501" s="126"/>
      <c r="R1501" s="126">
        <v>0</v>
      </c>
      <c r="S1501" s="126" t="s">
        <v>48</v>
      </c>
    </row>
    <row r="1502" spans="1:19" x14ac:dyDescent="0.25">
      <c r="A1502" s="126">
        <v>70611</v>
      </c>
      <c r="B1502" s="126" t="s">
        <v>106</v>
      </c>
      <c r="C1502" s="126" t="s">
        <v>49</v>
      </c>
      <c r="D1502" s="126" t="s">
        <v>40</v>
      </c>
      <c r="E1502" s="126"/>
      <c r="F1502" s="126" t="s">
        <v>948</v>
      </c>
      <c r="G1502" s="126"/>
      <c r="H1502" s="126" t="s">
        <v>43</v>
      </c>
      <c r="I1502" s="126" t="s">
        <v>949</v>
      </c>
      <c r="J1502" s="126" t="s">
        <v>44</v>
      </c>
      <c r="K1502" s="126" t="s">
        <v>44</v>
      </c>
      <c r="L1502" s="126" t="s">
        <v>45</v>
      </c>
      <c r="M1502" s="126" t="s">
        <v>46</v>
      </c>
      <c r="N1502" s="126" t="s">
        <v>47</v>
      </c>
      <c r="O1502" s="127">
        <v>30342</v>
      </c>
      <c r="P1502" s="126"/>
      <c r="Q1502" s="126"/>
      <c r="R1502" s="126">
        <v>0.3</v>
      </c>
      <c r="S1502" s="126" t="s">
        <v>48</v>
      </c>
    </row>
    <row r="1503" spans="1:19" x14ac:dyDescent="0.25">
      <c r="A1503" s="126">
        <v>70613</v>
      </c>
      <c r="B1503" s="126" t="s">
        <v>106</v>
      </c>
      <c r="C1503" s="126" t="s">
        <v>49</v>
      </c>
      <c r="D1503" s="126" t="s">
        <v>40</v>
      </c>
      <c r="E1503" s="126"/>
      <c r="F1503" s="126" t="s">
        <v>988</v>
      </c>
      <c r="G1503" s="126"/>
      <c r="H1503" s="126" t="s">
        <v>43</v>
      </c>
      <c r="I1503" s="126" t="s">
        <v>989</v>
      </c>
      <c r="J1503" s="126" t="s">
        <v>44</v>
      </c>
      <c r="K1503" s="126" t="s">
        <v>44</v>
      </c>
      <c r="L1503" s="126" t="s">
        <v>45</v>
      </c>
      <c r="M1503" s="126" t="s">
        <v>46</v>
      </c>
      <c r="N1503" s="126" t="s">
        <v>47</v>
      </c>
      <c r="O1503" s="127">
        <v>30603</v>
      </c>
      <c r="P1503" s="126"/>
      <c r="Q1503" s="126"/>
      <c r="R1503" s="126">
        <v>0.1</v>
      </c>
      <c r="S1503" s="126" t="s">
        <v>48</v>
      </c>
    </row>
    <row r="1504" spans="1:19" x14ac:dyDescent="0.25">
      <c r="A1504" s="126">
        <v>70617</v>
      </c>
      <c r="B1504" s="126" t="s">
        <v>106</v>
      </c>
      <c r="C1504" s="126" t="s">
        <v>49</v>
      </c>
      <c r="D1504" s="126" t="s">
        <v>40</v>
      </c>
      <c r="E1504" s="126"/>
      <c r="F1504" s="126" t="s">
        <v>1459</v>
      </c>
      <c r="G1504" s="126"/>
      <c r="H1504" s="126" t="s">
        <v>43</v>
      </c>
      <c r="I1504" s="126" t="s">
        <v>1460</v>
      </c>
      <c r="J1504" s="126" t="s">
        <v>44</v>
      </c>
      <c r="K1504" s="126" t="s">
        <v>44</v>
      </c>
      <c r="L1504" s="126" t="s">
        <v>45</v>
      </c>
      <c r="M1504" s="126" t="s">
        <v>46</v>
      </c>
      <c r="N1504" s="126" t="s">
        <v>47</v>
      </c>
      <c r="O1504" s="127">
        <v>31685</v>
      </c>
      <c r="P1504" s="126"/>
      <c r="Q1504" s="126"/>
      <c r="R1504" s="126">
        <v>0.15</v>
      </c>
      <c r="S1504" s="126" t="s">
        <v>48</v>
      </c>
    </row>
    <row r="1505" spans="1:19" x14ac:dyDescent="0.25">
      <c r="A1505" s="126">
        <v>70616</v>
      </c>
      <c r="B1505" s="126" t="s">
        <v>106</v>
      </c>
      <c r="C1505" s="126" t="s">
        <v>49</v>
      </c>
      <c r="D1505" s="126" t="s">
        <v>40</v>
      </c>
      <c r="E1505" s="126"/>
      <c r="F1505" s="126" t="s">
        <v>3355</v>
      </c>
      <c r="G1505" s="126"/>
      <c r="H1505" s="126" t="s">
        <v>43</v>
      </c>
      <c r="I1505" s="126" t="s">
        <v>3356</v>
      </c>
      <c r="J1505" s="126" t="s">
        <v>713</v>
      </c>
      <c r="K1505" s="126"/>
      <c r="L1505" s="126" t="s">
        <v>259</v>
      </c>
      <c r="M1505" s="126" t="s">
        <v>46</v>
      </c>
      <c r="N1505" s="126" t="s">
        <v>47</v>
      </c>
      <c r="O1505" s="126"/>
      <c r="P1505" s="126"/>
      <c r="Q1505" s="126"/>
      <c r="R1505" s="126">
        <v>0.06</v>
      </c>
      <c r="S1505" s="126" t="s">
        <v>48</v>
      </c>
    </row>
    <row r="1506" spans="1:19" x14ac:dyDescent="0.25">
      <c r="A1506" s="126">
        <v>70612</v>
      </c>
      <c r="B1506" s="126" t="s">
        <v>106</v>
      </c>
      <c r="C1506" s="126" t="s">
        <v>49</v>
      </c>
      <c r="D1506" s="126" t="s">
        <v>40</v>
      </c>
      <c r="E1506" s="126"/>
      <c r="F1506" s="126" t="s">
        <v>1256</v>
      </c>
      <c r="G1506" s="126"/>
      <c r="H1506" s="126" t="s">
        <v>43</v>
      </c>
      <c r="I1506" s="126" t="s">
        <v>1257</v>
      </c>
      <c r="J1506" s="126" t="s">
        <v>44</v>
      </c>
      <c r="K1506" s="126" t="s">
        <v>44</v>
      </c>
      <c r="L1506" s="126" t="s">
        <v>45</v>
      </c>
      <c r="M1506" s="126" t="s">
        <v>46</v>
      </c>
      <c r="N1506" s="126" t="s">
        <v>47</v>
      </c>
      <c r="O1506" s="127">
        <v>31245</v>
      </c>
      <c r="P1506" s="126"/>
      <c r="Q1506" s="126"/>
      <c r="R1506" s="126">
        <v>0.4</v>
      </c>
      <c r="S1506" s="126" t="s">
        <v>48</v>
      </c>
    </row>
    <row r="1507" spans="1:19" x14ac:dyDescent="0.25">
      <c r="A1507" s="126">
        <v>70610</v>
      </c>
      <c r="B1507" s="126" t="s">
        <v>106</v>
      </c>
      <c r="C1507" s="126" t="s">
        <v>49</v>
      </c>
      <c r="D1507" s="126" t="s">
        <v>40</v>
      </c>
      <c r="E1507" s="126"/>
      <c r="F1507" s="126" t="s">
        <v>990</v>
      </c>
      <c r="G1507" s="126"/>
      <c r="H1507" s="126" t="s">
        <v>43</v>
      </c>
      <c r="I1507" s="126" t="s">
        <v>991</v>
      </c>
      <c r="J1507" s="126" t="s">
        <v>44</v>
      </c>
      <c r="K1507" s="126" t="s">
        <v>44</v>
      </c>
      <c r="L1507" s="126" t="s">
        <v>45</v>
      </c>
      <c r="M1507" s="126" t="s">
        <v>46</v>
      </c>
      <c r="N1507" s="126" t="s">
        <v>47</v>
      </c>
      <c r="O1507" s="127">
        <v>30624</v>
      </c>
      <c r="P1507" s="126"/>
      <c r="Q1507" s="126"/>
      <c r="R1507" s="126">
        <v>0.3</v>
      </c>
      <c r="S1507" s="126" t="s">
        <v>48</v>
      </c>
    </row>
    <row r="1508" spans="1:19" ht="29.25" x14ac:dyDescent="0.25">
      <c r="A1508" s="126">
        <v>70607</v>
      </c>
      <c r="B1508" s="126" t="s">
        <v>106</v>
      </c>
      <c r="C1508" s="126" t="s">
        <v>49</v>
      </c>
      <c r="D1508" s="126" t="s">
        <v>40</v>
      </c>
      <c r="E1508" s="126"/>
      <c r="F1508" s="126" t="s">
        <v>1223</v>
      </c>
      <c r="G1508" s="126"/>
      <c r="H1508" s="126" t="s">
        <v>43</v>
      </c>
      <c r="I1508" s="126" t="s">
        <v>1224</v>
      </c>
      <c r="J1508" s="126" t="s">
        <v>44</v>
      </c>
      <c r="K1508" s="126" t="s">
        <v>44</v>
      </c>
      <c r="L1508" s="126" t="s">
        <v>45</v>
      </c>
      <c r="M1508" s="126" t="s">
        <v>46</v>
      </c>
      <c r="N1508" s="126" t="s">
        <v>47</v>
      </c>
      <c r="O1508" s="127">
        <v>31143</v>
      </c>
      <c r="P1508" s="126"/>
      <c r="Q1508" s="126"/>
      <c r="R1508" s="126">
        <v>0.28000000000000003</v>
      </c>
      <c r="S1508" s="126" t="s">
        <v>48</v>
      </c>
    </row>
    <row r="1509" spans="1:19" x14ac:dyDescent="0.25">
      <c r="A1509" s="126">
        <v>70608</v>
      </c>
      <c r="B1509" s="126" t="s">
        <v>106</v>
      </c>
      <c r="C1509" s="126" t="s">
        <v>49</v>
      </c>
      <c r="D1509" s="126" t="s">
        <v>40</v>
      </c>
      <c r="E1509" s="126"/>
      <c r="F1509" s="126" t="s">
        <v>857</v>
      </c>
      <c r="G1509" s="126"/>
      <c r="H1509" s="126" t="s">
        <v>43</v>
      </c>
      <c r="I1509" s="126" t="s">
        <v>858</v>
      </c>
      <c r="J1509" s="126" t="s">
        <v>807</v>
      </c>
      <c r="K1509" s="126"/>
      <c r="L1509" s="126"/>
      <c r="M1509" s="126" t="s">
        <v>46</v>
      </c>
      <c r="N1509" s="126" t="s">
        <v>47</v>
      </c>
      <c r="O1509" s="127">
        <v>30258</v>
      </c>
      <c r="P1509" s="126"/>
      <c r="Q1509" s="126"/>
      <c r="R1509" s="126">
        <v>0.09</v>
      </c>
      <c r="S1509" s="126" t="s">
        <v>48</v>
      </c>
    </row>
    <row r="1510" spans="1:19" x14ac:dyDescent="0.25">
      <c r="A1510" s="126">
        <v>70609</v>
      </c>
      <c r="B1510" s="126" t="s">
        <v>106</v>
      </c>
      <c r="C1510" s="126" t="s">
        <v>49</v>
      </c>
      <c r="D1510" s="126" t="s">
        <v>40</v>
      </c>
      <c r="E1510" s="126"/>
      <c r="F1510" s="126" t="s">
        <v>1431</v>
      </c>
      <c r="G1510" s="126">
        <v>1</v>
      </c>
      <c r="H1510" s="126" t="s">
        <v>43</v>
      </c>
      <c r="I1510" s="126" t="s">
        <v>1432</v>
      </c>
      <c r="J1510" s="126" t="s">
        <v>44</v>
      </c>
      <c r="K1510" s="126" t="s">
        <v>44</v>
      </c>
      <c r="L1510" s="126" t="s">
        <v>45</v>
      </c>
      <c r="M1510" s="126" t="s">
        <v>46</v>
      </c>
      <c r="N1510" s="126" t="s">
        <v>47</v>
      </c>
      <c r="O1510" s="127">
        <v>31554</v>
      </c>
      <c r="P1510" s="126"/>
      <c r="Q1510" s="126"/>
      <c r="R1510" s="126">
        <v>0.99</v>
      </c>
      <c r="S1510" s="126" t="s">
        <v>48</v>
      </c>
    </row>
    <row r="1511" spans="1:19" x14ac:dyDescent="0.25">
      <c r="A1511" s="126">
        <v>70801</v>
      </c>
      <c r="B1511" s="126" t="s">
        <v>106</v>
      </c>
      <c r="C1511" s="126" t="s">
        <v>49</v>
      </c>
      <c r="D1511" s="126" t="s">
        <v>40</v>
      </c>
      <c r="E1511" s="126"/>
      <c r="F1511" s="126" t="s">
        <v>1414</v>
      </c>
      <c r="G1511" s="126"/>
      <c r="H1511" s="126" t="s">
        <v>43</v>
      </c>
      <c r="I1511" s="126" t="s">
        <v>1415</v>
      </c>
      <c r="J1511" s="126" t="s">
        <v>44</v>
      </c>
      <c r="K1511" s="126" t="s">
        <v>44</v>
      </c>
      <c r="L1511" s="126" t="s">
        <v>45</v>
      </c>
      <c r="M1511" s="126" t="s">
        <v>46</v>
      </c>
      <c r="N1511" s="126" t="s">
        <v>47</v>
      </c>
      <c r="O1511" s="127">
        <v>31517</v>
      </c>
      <c r="P1511" s="126"/>
      <c r="Q1511" s="126"/>
      <c r="R1511" s="126">
        <v>0.09</v>
      </c>
      <c r="S1511" s="126" t="s">
        <v>48</v>
      </c>
    </row>
    <row r="1512" spans="1:19" x14ac:dyDescent="0.25">
      <c r="A1512" s="126">
        <v>70802</v>
      </c>
      <c r="B1512" s="126" t="s">
        <v>106</v>
      </c>
      <c r="C1512" s="126" t="s">
        <v>49</v>
      </c>
      <c r="D1512" s="126" t="s">
        <v>40</v>
      </c>
      <c r="E1512" s="126"/>
      <c r="F1512" s="126" t="s">
        <v>1416</v>
      </c>
      <c r="G1512" s="126"/>
      <c r="H1512" s="126" t="s">
        <v>43</v>
      </c>
      <c r="I1512" s="126" t="s">
        <v>1417</v>
      </c>
      <c r="J1512" s="126" t="s">
        <v>44</v>
      </c>
      <c r="K1512" s="126" t="s">
        <v>44</v>
      </c>
      <c r="L1512" s="126" t="s">
        <v>45</v>
      </c>
      <c r="M1512" s="126" t="s">
        <v>46</v>
      </c>
      <c r="N1512" s="126" t="s">
        <v>47</v>
      </c>
      <c r="O1512" s="127">
        <v>31517</v>
      </c>
      <c r="P1512" s="126"/>
      <c r="Q1512" s="126"/>
      <c r="R1512" s="126">
        <v>0.09</v>
      </c>
      <c r="S1512" s="126" t="s">
        <v>48</v>
      </c>
    </row>
    <row r="1513" spans="1:19" x14ac:dyDescent="0.25">
      <c r="A1513" s="126">
        <v>70803</v>
      </c>
      <c r="B1513" s="126" t="s">
        <v>106</v>
      </c>
      <c r="C1513" s="126" t="s">
        <v>49</v>
      </c>
      <c r="D1513" s="126" t="s">
        <v>40</v>
      </c>
      <c r="E1513" s="126"/>
      <c r="F1513" s="126" t="s">
        <v>1418</v>
      </c>
      <c r="G1513" s="126"/>
      <c r="H1513" s="126" t="s">
        <v>43</v>
      </c>
      <c r="I1513" s="126" t="s">
        <v>1419</v>
      </c>
      <c r="J1513" s="126" t="s">
        <v>44</v>
      </c>
      <c r="K1513" s="126" t="s">
        <v>44</v>
      </c>
      <c r="L1513" s="126" t="s">
        <v>45</v>
      </c>
      <c r="M1513" s="126" t="s">
        <v>46</v>
      </c>
      <c r="N1513" s="126" t="s">
        <v>47</v>
      </c>
      <c r="O1513" s="127">
        <v>31517</v>
      </c>
      <c r="P1513" s="126"/>
      <c r="Q1513" s="126"/>
      <c r="R1513" s="126">
        <v>0.09</v>
      </c>
      <c r="S1513" s="126" t="s">
        <v>48</v>
      </c>
    </row>
    <row r="1514" spans="1:19" ht="29.25" x14ac:dyDescent="0.25">
      <c r="A1514" s="126">
        <v>70804</v>
      </c>
      <c r="B1514" s="126" t="s">
        <v>106</v>
      </c>
      <c r="C1514" s="126" t="s">
        <v>49</v>
      </c>
      <c r="D1514" s="126" t="s">
        <v>40</v>
      </c>
      <c r="E1514" s="126"/>
      <c r="F1514" s="126" t="s">
        <v>849</v>
      </c>
      <c r="G1514" s="126"/>
      <c r="H1514" s="126" t="s">
        <v>43</v>
      </c>
      <c r="I1514" s="126" t="s">
        <v>850</v>
      </c>
      <c r="J1514" s="126" t="s">
        <v>44</v>
      </c>
      <c r="K1514" s="126" t="s">
        <v>44</v>
      </c>
      <c r="L1514" s="126" t="s">
        <v>45</v>
      </c>
      <c r="M1514" s="126" t="s">
        <v>46</v>
      </c>
      <c r="N1514" s="126" t="s">
        <v>47</v>
      </c>
      <c r="O1514" s="127">
        <v>30195</v>
      </c>
      <c r="P1514" s="126"/>
      <c r="Q1514" s="126"/>
      <c r="R1514" s="126">
        <v>0.46</v>
      </c>
      <c r="S1514" s="126" t="s">
        <v>48</v>
      </c>
    </row>
    <row r="1515" spans="1:19" ht="29.25" x14ac:dyDescent="0.25">
      <c r="A1515" s="126">
        <v>70805</v>
      </c>
      <c r="B1515" s="126" t="s">
        <v>106</v>
      </c>
      <c r="C1515" s="126" t="s">
        <v>49</v>
      </c>
      <c r="D1515" s="126" t="s">
        <v>40</v>
      </c>
      <c r="E1515" s="126"/>
      <c r="F1515" s="126" t="s">
        <v>1272</v>
      </c>
      <c r="G1515" s="126"/>
      <c r="H1515" s="126" t="s">
        <v>43</v>
      </c>
      <c r="I1515" s="126" t="s">
        <v>1273</v>
      </c>
      <c r="J1515" s="126" t="s">
        <v>807</v>
      </c>
      <c r="K1515" s="126"/>
      <c r="L1515" s="126"/>
      <c r="M1515" s="126" t="s">
        <v>46</v>
      </c>
      <c r="N1515" s="126" t="s">
        <v>47</v>
      </c>
      <c r="O1515" s="127">
        <v>31378</v>
      </c>
      <c r="P1515" s="126"/>
      <c r="Q1515" s="126"/>
      <c r="R1515" s="126">
        <v>0.8</v>
      </c>
      <c r="S1515" s="126" t="s">
        <v>48</v>
      </c>
    </row>
    <row r="1516" spans="1:19" x14ac:dyDescent="0.25">
      <c r="A1516" s="126">
        <v>70806</v>
      </c>
      <c r="B1516" s="126" t="s">
        <v>106</v>
      </c>
      <c r="C1516" s="126" t="s">
        <v>49</v>
      </c>
      <c r="D1516" s="126" t="s">
        <v>40</v>
      </c>
      <c r="E1516" s="126"/>
      <c r="F1516" s="126" t="s">
        <v>1393</v>
      </c>
      <c r="G1516" s="126"/>
      <c r="H1516" s="126" t="s">
        <v>43</v>
      </c>
      <c r="I1516" s="126" t="s">
        <v>1394</v>
      </c>
      <c r="J1516" s="126" t="s">
        <v>44</v>
      </c>
      <c r="K1516" s="126" t="s">
        <v>44</v>
      </c>
      <c r="L1516" s="126" t="s">
        <v>45</v>
      </c>
      <c r="M1516" s="126" t="s">
        <v>46</v>
      </c>
      <c r="N1516" s="126" t="s">
        <v>47</v>
      </c>
      <c r="O1516" s="127">
        <v>31468</v>
      </c>
      <c r="P1516" s="126"/>
      <c r="Q1516" s="126"/>
      <c r="R1516" s="126">
        <v>0.7</v>
      </c>
      <c r="S1516" s="126" t="s">
        <v>48</v>
      </c>
    </row>
    <row r="1517" spans="1:19" x14ac:dyDescent="0.25">
      <c r="A1517" s="126">
        <v>70807</v>
      </c>
      <c r="B1517" s="126" t="s">
        <v>106</v>
      </c>
      <c r="C1517" s="126" t="s">
        <v>49</v>
      </c>
      <c r="D1517" s="126" t="s">
        <v>40</v>
      </c>
      <c r="E1517" s="126"/>
      <c r="F1517" s="126" t="s">
        <v>1388</v>
      </c>
      <c r="G1517" s="126"/>
      <c r="H1517" s="126" t="s">
        <v>43</v>
      </c>
      <c r="I1517" s="126" t="s">
        <v>1389</v>
      </c>
      <c r="J1517" s="126" t="s">
        <v>44</v>
      </c>
      <c r="K1517" s="126" t="s">
        <v>44</v>
      </c>
      <c r="L1517" s="126" t="s">
        <v>45</v>
      </c>
      <c r="M1517" s="126" t="s">
        <v>46</v>
      </c>
      <c r="N1517" s="126" t="s">
        <v>47</v>
      </c>
      <c r="O1517" s="127">
        <v>31461</v>
      </c>
      <c r="P1517" s="126"/>
      <c r="Q1517" s="126"/>
      <c r="R1517" s="126">
        <v>0.23</v>
      </c>
      <c r="S1517" s="126" t="s">
        <v>48</v>
      </c>
    </row>
    <row r="1518" spans="1:19" ht="29.25" x14ac:dyDescent="0.25">
      <c r="A1518" s="126">
        <v>71301</v>
      </c>
      <c r="B1518" s="126" t="s">
        <v>106</v>
      </c>
      <c r="C1518" s="126" t="s">
        <v>49</v>
      </c>
      <c r="D1518" s="126" t="s">
        <v>40</v>
      </c>
      <c r="E1518" s="126"/>
      <c r="F1518" s="126" t="s">
        <v>1442</v>
      </c>
      <c r="G1518" s="126"/>
      <c r="H1518" s="126" t="s">
        <v>43</v>
      </c>
      <c r="I1518" s="126" t="s">
        <v>1443</v>
      </c>
      <c r="J1518" s="126" t="s">
        <v>713</v>
      </c>
      <c r="K1518" s="126"/>
      <c r="L1518" s="126" t="s">
        <v>259</v>
      </c>
      <c r="M1518" s="126" t="s">
        <v>212</v>
      </c>
      <c r="N1518" s="126" t="s">
        <v>47</v>
      </c>
      <c r="O1518" s="127">
        <v>31588</v>
      </c>
      <c r="P1518" s="126"/>
      <c r="Q1518" s="126"/>
      <c r="R1518" s="126">
        <v>7.45</v>
      </c>
      <c r="S1518" s="126" t="s">
        <v>48</v>
      </c>
    </row>
    <row r="1519" spans="1:19" ht="29.25" x14ac:dyDescent="0.25">
      <c r="A1519" s="126">
        <v>71303</v>
      </c>
      <c r="B1519" s="126" t="s">
        <v>106</v>
      </c>
      <c r="C1519" s="126" t="s">
        <v>49</v>
      </c>
      <c r="D1519" s="126" t="s">
        <v>40</v>
      </c>
      <c r="E1519" s="126"/>
      <c r="F1519" s="126" t="s">
        <v>1567</v>
      </c>
      <c r="G1519" s="126"/>
      <c r="H1519" s="126" t="s">
        <v>43</v>
      </c>
      <c r="I1519" s="126" t="s">
        <v>1568</v>
      </c>
      <c r="J1519" s="126" t="s">
        <v>713</v>
      </c>
      <c r="K1519" s="126"/>
      <c r="L1519" s="126" t="s">
        <v>259</v>
      </c>
      <c r="M1519" s="126" t="s">
        <v>212</v>
      </c>
      <c r="N1519" s="126" t="s">
        <v>47</v>
      </c>
      <c r="O1519" s="127">
        <v>31834</v>
      </c>
      <c r="P1519" s="126"/>
      <c r="Q1519" s="126"/>
      <c r="R1519" s="126">
        <v>7.45</v>
      </c>
      <c r="S1519" s="126" t="s">
        <v>48</v>
      </c>
    </row>
    <row r="1520" spans="1:19" x14ac:dyDescent="0.25">
      <c r="A1520" s="126">
        <v>72001</v>
      </c>
      <c r="B1520" s="126" t="s">
        <v>106</v>
      </c>
      <c r="C1520" s="126" t="s">
        <v>49</v>
      </c>
      <c r="D1520" s="126" t="s">
        <v>40</v>
      </c>
      <c r="E1520" s="126" t="s">
        <v>1592</v>
      </c>
      <c r="F1520" s="126" t="s">
        <v>1593</v>
      </c>
      <c r="G1520" s="126"/>
      <c r="H1520" s="126" t="s">
        <v>43</v>
      </c>
      <c r="I1520" s="126" t="s">
        <v>1594</v>
      </c>
      <c r="J1520" s="126" t="s">
        <v>713</v>
      </c>
      <c r="K1520" s="126"/>
      <c r="L1520" s="126" t="s">
        <v>259</v>
      </c>
      <c r="M1520" s="126" t="s">
        <v>46</v>
      </c>
      <c r="N1520" s="126" t="s">
        <v>47</v>
      </c>
      <c r="O1520" s="127">
        <v>31918</v>
      </c>
      <c r="P1520" s="126"/>
      <c r="Q1520" s="126"/>
      <c r="R1520" s="126">
        <v>21.6</v>
      </c>
      <c r="S1520" s="126" t="s">
        <v>48</v>
      </c>
    </row>
    <row r="1521" spans="1:19" x14ac:dyDescent="0.25">
      <c r="A1521" s="126">
        <v>72002</v>
      </c>
      <c r="B1521" s="126" t="s">
        <v>106</v>
      </c>
      <c r="C1521" s="126" t="s">
        <v>49</v>
      </c>
      <c r="D1521" s="126" t="s">
        <v>40</v>
      </c>
      <c r="E1521" s="126" t="s">
        <v>1595</v>
      </c>
      <c r="F1521" s="126" t="s">
        <v>1596</v>
      </c>
      <c r="G1521" s="126"/>
      <c r="H1521" s="126" t="s">
        <v>43</v>
      </c>
      <c r="I1521" s="126" t="s">
        <v>1594</v>
      </c>
      <c r="J1521" s="126" t="s">
        <v>713</v>
      </c>
      <c r="K1521" s="126"/>
      <c r="L1521" s="126" t="s">
        <v>259</v>
      </c>
      <c r="M1521" s="126" t="s">
        <v>46</v>
      </c>
      <c r="N1521" s="126" t="s">
        <v>47</v>
      </c>
      <c r="O1521" s="127">
        <v>31918</v>
      </c>
      <c r="P1521" s="126"/>
      <c r="Q1521" s="126"/>
      <c r="R1521" s="126">
        <v>21.6</v>
      </c>
      <c r="S1521" s="126" t="s">
        <v>48</v>
      </c>
    </row>
    <row r="1522" spans="1:19" x14ac:dyDescent="0.25">
      <c r="A1522" s="126">
        <v>72003</v>
      </c>
      <c r="B1522" s="126" t="s">
        <v>106</v>
      </c>
      <c r="C1522" s="126" t="s">
        <v>49</v>
      </c>
      <c r="D1522" s="126" t="s">
        <v>40</v>
      </c>
      <c r="E1522" s="126" t="s">
        <v>1597</v>
      </c>
      <c r="F1522" s="126" t="s">
        <v>1598</v>
      </c>
      <c r="G1522" s="126"/>
      <c r="H1522" s="126" t="s">
        <v>43</v>
      </c>
      <c r="I1522" s="126" t="s">
        <v>1594</v>
      </c>
      <c r="J1522" s="126" t="s">
        <v>713</v>
      </c>
      <c r="K1522" s="126"/>
      <c r="L1522" s="126" t="s">
        <v>259</v>
      </c>
      <c r="M1522" s="126" t="s">
        <v>46</v>
      </c>
      <c r="N1522" s="126" t="s">
        <v>47</v>
      </c>
      <c r="O1522" s="127">
        <v>31918</v>
      </c>
      <c r="P1522" s="126"/>
      <c r="Q1522" s="126"/>
      <c r="R1522" s="126">
        <v>21.6</v>
      </c>
      <c r="S1522" s="126" t="s">
        <v>48</v>
      </c>
    </row>
    <row r="1523" spans="1:19" ht="29.25" x14ac:dyDescent="0.25">
      <c r="A1523" s="126">
        <v>72100</v>
      </c>
      <c r="B1523" s="126" t="s">
        <v>106</v>
      </c>
      <c r="C1523" s="126" t="s">
        <v>49</v>
      </c>
      <c r="D1523" s="126" t="s">
        <v>40</v>
      </c>
      <c r="E1523" s="126"/>
      <c r="F1523" s="126" t="s">
        <v>1361</v>
      </c>
      <c r="G1523" s="126"/>
      <c r="H1523" s="126" t="s">
        <v>43</v>
      </c>
      <c r="I1523" s="126" t="s">
        <v>1362</v>
      </c>
      <c r="J1523" s="126" t="s">
        <v>800</v>
      </c>
      <c r="K1523" s="126" t="s">
        <v>800</v>
      </c>
      <c r="L1523" s="126" t="s">
        <v>800</v>
      </c>
      <c r="M1523" s="126" t="s">
        <v>46</v>
      </c>
      <c r="N1523" s="126" t="s">
        <v>47</v>
      </c>
      <c r="O1523" s="127">
        <v>31416</v>
      </c>
      <c r="P1523" s="126"/>
      <c r="Q1523" s="126"/>
      <c r="R1523" s="126">
        <v>38</v>
      </c>
      <c r="S1523" s="126" t="s">
        <v>48</v>
      </c>
    </row>
    <row r="1524" spans="1:19" x14ac:dyDescent="0.25">
      <c r="A1524" s="126">
        <v>60400</v>
      </c>
      <c r="B1524" s="126" t="s">
        <v>106</v>
      </c>
      <c r="C1524" s="126" t="s">
        <v>49</v>
      </c>
      <c r="D1524" s="126" t="s">
        <v>40</v>
      </c>
      <c r="E1524" s="126"/>
      <c r="F1524" s="126" t="s">
        <v>1363</v>
      </c>
      <c r="G1524" s="126"/>
      <c r="H1524" s="126" t="s">
        <v>43</v>
      </c>
      <c r="I1524" s="126" t="s">
        <v>1364</v>
      </c>
      <c r="J1524" s="126" t="s">
        <v>800</v>
      </c>
      <c r="K1524" s="126" t="s">
        <v>800</v>
      </c>
      <c r="L1524" s="126" t="s">
        <v>800</v>
      </c>
      <c r="M1524" s="126" t="s">
        <v>46</v>
      </c>
      <c r="N1524" s="126" t="s">
        <v>47</v>
      </c>
      <c r="O1524" s="127">
        <v>31416</v>
      </c>
      <c r="P1524" s="126"/>
      <c r="Q1524" s="126"/>
      <c r="R1524" s="126">
        <v>31.1</v>
      </c>
      <c r="S1524" s="126" t="s">
        <v>48</v>
      </c>
    </row>
    <row r="1525" spans="1:19" x14ac:dyDescent="0.25">
      <c r="A1525" s="126">
        <v>73006</v>
      </c>
      <c r="B1525" s="126" t="s">
        <v>106</v>
      </c>
      <c r="C1525" s="126" t="s">
        <v>49</v>
      </c>
      <c r="D1525" s="126" t="s">
        <v>40</v>
      </c>
      <c r="E1525" s="126"/>
      <c r="F1525" s="126" t="s">
        <v>3359</v>
      </c>
      <c r="G1525" s="126"/>
      <c r="H1525" s="126" t="s">
        <v>43</v>
      </c>
      <c r="I1525" s="126" t="s">
        <v>3360</v>
      </c>
      <c r="J1525" s="126" t="s">
        <v>713</v>
      </c>
      <c r="K1525" s="126"/>
      <c r="L1525" s="126" t="s">
        <v>259</v>
      </c>
      <c r="M1525" s="126" t="s">
        <v>46</v>
      </c>
      <c r="N1525" s="126" t="s">
        <v>47</v>
      </c>
      <c r="O1525" s="126"/>
      <c r="P1525" s="126"/>
      <c r="Q1525" s="126"/>
      <c r="R1525" s="126">
        <v>0.02</v>
      </c>
      <c r="S1525" s="126" t="s">
        <v>48</v>
      </c>
    </row>
    <row r="1526" spans="1:19" x14ac:dyDescent="0.25">
      <c r="A1526" s="126">
        <v>73007</v>
      </c>
      <c r="B1526" s="126" t="s">
        <v>106</v>
      </c>
      <c r="C1526" s="126" t="s">
        <v>49</v>
      </c>
      <c r="D1526" s="126" t="s">
        <v>40</v>
      </c>
      <c r="E1526" s="126"/>
      <c r="F1526" s="126" t="s">
        <v>855</v>
      </c>
      <c r="G1526" s="126"/>
      <c r="H1526" s="126" t="s">
        <v>43</v>
      </c>
      <c r="I1526" s="126" t="s">
        <v>856</v>
      </c>
      <c r="J1526" s="126" t="s">
        <v>800</v>
      </c>
      <c r="K1526" s="126" t="s">
        <v>800</v>
      </c>
      <c r="L1526" s="126" t="s">
        <v>800</v>
      </c>
      <c r="M1526" s="126" t="s">
        <v>46</v>
      </c>
      <c r="N1526" s="126" t="s">
        <v>47</v>
      </c>
      <c r="O1526" s="127">
        <v>30256</v>
      </c>
      <c r="P1526" s="126"/>
      <c r="Q1526" s="126"/>
      <c r="R1526" s="126">
        <v>0.01</v>
      </c>
      <c r="S1526" s="126" t="s">
        <v>48</v>
      </c>
    </row>
    <row r="1527" spans="1:19" ht="43.5" x14ac:dyDescent="0.25">
      <c r="A1527" s="126">
        <v>73301</v>
      </c>
      <c r="B1527" s="126" t="s">
        <v>106</v>
      </c>
      <c r="C1527" s="126" t="s">
        <v>49</v>
      </c>
      <c r="D1527" s="126" t="s">
        <v>40</v>
      </c>
      <c r="E1527" s="126"/>
      <c r="F1527" s="126" t="s">
        <v>2084</v>
      </c>
      <c r="G1527" s="126"/>
      <c r="H1527" s="126" t="s">
        <v>7</v>
      </c>
      <c r="I1527" s="126">
        <v>4034</v>
      </c>
      <c r="J1527" s="126" t="s">
        <v>44</v>
      </c>
      <c r="K1527" s="126"/>
      <c r="L1527" s="126"/>
      <c r="M1527" s="126" t="s">
        <v>57</v>
      </c>
      <c r="N1527" s="126" t="s">
        <v>58</v>
      </c>
      <c r="O1527" s="127">
        <v>33215</v>
      </c>
      <c r="P1527" s="126"/>
      <c r="Q1527" s="126"/>
      <c r="R1527" s="126">
        <v>11.95</v>
      </c>
      <c r="S1527" s="126" t="s">
        <v>48</v>
      </c>
    </row>
    <row r="1528" spans="1:19" x14ac:dyDescent="0.25">
      <c r="A1528" s="126">
        <v>73302</v>
      </c>
      <c r="B1528" s="126" t="s">
        <v>106</v>
      </c>
      <c r="C1528" s="126" t="s">
        <v>49</v>
      </c>
      <c r="D1528" s="126" t="s">
        <v>40</v>
      </c>
      <c r="E1528" s="126"/>
      <c r="F1528" s="126" t="s">
        <v>1926</v>
      </c>
      <c r="G1528" s="126"/>
      <c r="H1528" s="126" t="s">
        <v>7</v>
      </c>
      <c r="I1528" s="126">
        <v>4030</v>
      </c>
      <c r="J1528" s="126" t="s">
        <v>44</v>
      </c>
      <c r="K1528" s="126"/>
      <c r="L1528" s="126"/>
      <c r="M1528" s="126" t="s">
        <v>57</v>
      </c>
      <c r="N1528" s="126" t="s">
        <v>58</v>
      </c>
      <c r="O1528" s="127">
        <v>32834</v>
      </c>
      <c r="P1528" s="126"/>
      <c r="Q1528" s="126"/>
      <c r="R1528" s="126">
        <v>0.35</v>
      </c>
      <c r="S1528" s="126" t="s">
        <v>48</v>
      </c>
    </row>
    <row r="1529" spans="1:19" x14ac:dyDescent="0.25">
      <c r="A1529" s="126">
        <v>73401</v>
      </c>
      <c r="B1529" s="126" t="s">
        <v>106</v>
      </c>
      <c r="C1529" s="126" t="s">
        <v>49</v>
      </c>
      <c r="D1529" s="126" t="s">
        <v>40</v>
      </c>
      <c r="E1529" s="126"/>
      <c r="F1529" s="126" t="s">
        <v>3361</v>
      </c>
      <c r="G1529" s="126">
        <v>0</v>
      </c>
      <c r="H1529" s="126" t="s">
        <v>7</v>
      </c>
      <c r="I1529" s="126">
        <v>5010</v>
      </c>
      <c r="J1529" s="126" t="s">
        <v>1055</v>
      </c>
      <c r="K1529" s="126"/>
      <c r="L1529" s="126"/>
      <c r="M1529" s="126" t="s">
        <v>57</v>
      </c>
      <c r="N1529" s="126" t="s">
        <v>58</v>
      </c>
      <c r="O1529" s="126"/>
      <c r="P1529" s="126"/>
      <c r="Q1529" s="126"/>
      <c r="R1529" s="126">
        <v>0</v>
      </c>
      <c r="S1529" s="126" t="s">
        <v>48</v>
      </c>
    </row>
    <row r="1530" spans="1:19" ht="29.25" x14ac:dyDescent="0.25">
      <c r="A1530" s="126">
        <v>73403</v>
      </c>
      <c r="B1530" s="126" t="s">
        <v>106</v>
      </c>
      <c r="C1530" s="126" t="s">
        <v>49</v>
      </c>
      <c r="D1530" s="126" t="s">
        <v>40</v>
      </c>
      <c r="E1530" s="126"/>
      <c r="F1530" s="126" t="s">
        <v>1919</v>
      </c>
      <c r="G1530" s="126">
        <v>0.02</v>
      </c>
      <c r="H1530" s="126" t="s">
        <v>7</v>
      </c>
      <c r="I1530" s="126">
        <v>2394</v>
      </c>
      <c r="J1530" s="126" t="s">
        <v>713</v>
      </c>
      <c r="K1530" s="126"/>
      <c r="L1530" s="126"/>
      <c r="M1530" s="126" t="s">
        <v>57</v>
      </c>
      <c r="N1530" s="126" t="s">
        <v>58</v>
      </c>
      <c r="O1530" s="127">
        <v>32813</v>
      </c>
      <c r="P1530" s="126"/>
      <c r="Q1530" s="126"/>
      <c r="R1530" s="126">
        <v>0.12</v>
      </c>
      <c r="S1530" s="126" t="s">
        <v>48</v>
      </c>
    </row>
    <row r="1531" spans="1:19" ht="29.25" x14ac:dyDescent="0.25">
      <c r="A1531" s="126">
        <v>73405</v>
      </c>
      <c r="B1531" s="126" t="s">
        <v>106</v>
      </c>
      <c r="C1531" s="126" t="s">
        <v>49</v>
      </c>
      <c r="D1531" s="126" t="s">
        <v>40</v>
      </c>
      <c r="E1531" s="126"/>
      <c r="F1531" s="126" t="s">
        <v>1549</v>
      </c>
      <c r="G1531" s="126">
        <v>0.25</v>
      </c>
      <c r="H1531" s="126" t="s">
        <v>7</v>
      </c>
      <c r="I1531" s="126">
        <v>1102</v>
      </c>
      <c r="J1531" s="126" t="s">
        <v>807</v>
      </c>
      <c r="K1531" s="126"/>
      <c r="L1531" s="126"/>
      <c r="M1531" s="126" t="s">
        <v>57</v>
      </c>
      <c r="N1531" s="126" t="s">
        <v>58</v>
      </c>
      <c r="O1531" s="127">
        <v>31778</v>
      </c>
      <c r="P1531" s="126"/>
      <c r="Q1531" s="126"/>
      <c r="R1531" s="126">
        <v>0.25</v>
      </c>
      <c r="S1531" s="126" t="s">
        <v>48</v>
      </c>
    </row>
    <row r="1532" spans="1:19" x14ac:dyDescent="0.25">
      <c r="A1532" s="126">
        <v>73601</v>
      </c>
      <c r="B1532" s="126" t="s">
        <v>106</v>
      </c>
      <c r="C1532" s="126" t="s">
        <v>49</v>
      </c>
      <c r="D1532" s="126" t="s">
        <v>40</v>
      </c>
      <c r="E1532" s="126"/>
      <c r="F1532" s="126" t="s">
        <v>1920</v>
      </c>
      <c r="G1532" s="126"/>
      <c r="H1532" s="126" t="s">
        <v>7</v>
      </c>
      <c r="I1532" s="126">
        <v>6063</v>
      </c>
      <c r="J1532" s="126" t="s">
        <v>800</v>
      </c>
      <c r="K1532" s="126" t="s">
        <v>800</v>
      </c>
      <c r="L1532" s="126" t="s">
        <v>800</v>
      </c>
      <c r="M1532" s="126" t="s">
        <v>57</v>
      </c>
      <c r="N1532" s="126" t="s">
        <v>58</v>
      </c>
      <c r="O1532" s="127">
        <v>32813</v>
      </c>
      <c r="P1532" s="126"/>
      <c r="Q1532" s="126"/>
      <c r="R1532" s="126">
        <v>48</v>
      </c>
      <c r="S1532" s="126" t="s">
        <v>48</v>
      </c>
    </row>
    <row r="1533" spans="1:19" ht="29.25" x14ac:dyDescent="0.25">
      <c r="A1533" s="126">
        <v>73602</v>
      </c>
      <c r="B1533" s="126" t="s">
        <v>106</v>
      </c>
      <c r="C1533" s="126" t="s">
        <v>49</v>
      </c>
      <c r="D1533" s="126" t="s">
        <v>40</v>
      </c>
      <c r="E1533" s="126"/>
      <c r="F1533" s="126" t="s">
        <v>2057</v>
      </c>
      <c r="G1533" s="126"/>
      <c r="H1533" s="126" t="s">
        <v>7</v>
      </c>
      <c r="I1533" s="126">
        <v>6113</v>
      </c>
      <c r="J1533" s="126" t="s">
        <v>800</v>
      </c>
      <c r="K1533" s="126" t="s">
        <v>800</v>
      </c>
      <c r="L1533" s="126" t="s">
        <v>800</v>
      </c>
      <c r="M1533" s="126" t="s">
        <v>57</v>
      </c>
      <c r="N1533" s="126" t="s">
        <v>58</v>
      </c>
      <c r="O1533" s="127">
        <v>33102</v>
      </c>
      <c r="P1533" s="126"/>
      <c r="Q1533" s="126"/>
      <c r="R1533" s="126">
        <v>75</v>
      </c>
      <c r="S1533" s="126" t="s">
        <v>48</v>
      </c>
    </row>
    <row r="1534" spans="1:19" ht="29.25" x14ac:dyDescent="0.25">
      <c r="A1534" s="126">
        <v>73603</v>
      </c>
      <c r="B1534" s="126" t="s">
        <v>106</v>
      </c>
      <c r="C1534" s="126" t="s">
        <v>49</v>
      </c>
      <c r="D1534" s="126" t="s">
        <v>40</v>
      </c>
      <c r="E1534" s="126"/>
      <c r="F1534" s="126" t="s">
        <v>2123</v>
      </c>
      <c r="G1534" s="126"/>
      <c r="H1534" s="126" t="s">
        <v>7</v>
      </c>
      <c r="I1534" s="126">
        <v>6065</v>
      </c>
      <c r="J1534" s="126" t="s">
        <v>800</v>
      </c>
      <c r="K1534" s="126" t="s">
        <v>800</v>
      </c>
      <c r="L1534" s="126" t="s">
        <v>800</v>
      </c>
      <c r="M1534" s="126" t="s">
        <v>57</v>
      </c>
      <c r="N1534" s="126" t="s">
        <v>58</v>
      </c>
      <c r="O1534" s="127">
        <v>33441</v>
      </c>
      <c r="P1534" s="126"/>
      <c r="Q1534" s="126"/>
      <c r="R1534" s="126">
        <v>36.229999999999997</v>
      </c>
      <c r="S1534" s="126" t="s">
        <v>48</v>
      </c>
    </row>
    <row r="1535" spans="1:19" ht="29.25" x14ac:dyDescent="0.25">
      <c r="A1535" s="126">
        <v>73604</v>
      </c>
      <c r="B1535" s="126" t="s">
        <v>106</v>
      </c>
      <c r="C1535" s="126" t="s">
        <v>49</v>
      </c>
      <c r="D1535" s="126" t="s">
        <v>40</v>
      </c>
      <c r="E1535" s="126"/>
      <c r="F1535" s="126" t="s">
        <v>2118</v>
      </c>
      <c r="G1535" s="126"/>
      <c r="H1535" s="126" t="s">
        <v>7</v>
      </c>
      <c r="I1535" s="126">
        <v>6066</v>
      </c>
      <c r="J1535" s="126" t="s">
        <v>800</v>
      </c>
      <c r="K1535" s="126" t="s">
        <v>800</v>
      </c>
      <c r="L1535" s="126" t="s">
        <v>800</v>
      </c>
      <c r="M1535" s="126" t="s">
        <v>57</v>
      </c>
      <c r="N1535" s="126" t="s">
        <v>58</v>
      </c>
      <c r="O1535" s="127">
        <v>33381</v>
      </c>
      <c r="P1535" s="126"/>
      <c r="Q1535" s="126"/>
      <c r="R1535" s="126">
        <v>19.8</v>
      </c>
      <c r="S1535" s="126" t="s">
        <v>48</v>
      </c>
    </row>
    <row r="1536" spans="1:19" ht="29.25" x14ac:dyDescent="0.25">
      <c r="A1536" s="126">
        <v>73605</v>
      </c>
      <c r="B1536" s="126" t="s">
        <v>106</v>
      </c>
      <c r="C1536" s="126" t="s">
        <v>49</v>
      </c>
      <c r="D1536" s="126" t="s">
        <v>40</v>
      </c>
      <c r="E1536" s="126"/>
      <c r="F1536" s="126" t="s">
        <v>2107</v>
      </c>
      <c r="G1536" s="126"/>
      <c r="H1536" s="126" t="s">
        <v>7</v>
      </c>
      <c r="I1536" s="126">
        <v>6067</v>
      </c>
      <c r="J1536" s="126" t="s">
        <v>800</v>
      </c>
      <c r="K1536" s="126" t="s">
        <v>800</v>
      </c>
      <c r="L1536" s="126" t="s">
        <v>800</v>
      </c>
      <c r="M1536" s="126" t="s">
        <v>57</v>
      </c>
      <c r="N1536" s="126" t="s">
        <v>58</v>
      </c>
      <c r="O1536" s="127">
        <v>33283</v>
      </c>
      <c r="P1536" s="126"/>
      <c r="Q1536" s="126"/>
      <c r="R1536" s="126">
        <v>20.93</v>
      </c>
      <c r="S1536" s="126" t="s">
        <v>48</v>
      </c>
    </row>
    <row r="1537" spans="1:19" ht="29.25" x14ac:dyDescent="0.25">
      <c r="A1537" s="126">
        <v>73606</v>
      </c>
      <c r="B1537" s="126" t="s">
        <v>106</v>
      </c>
      <c r="C1537" s="126" t="s">
        <v>49</v>
      </c>
      <c r="D1537" s="126" t="s">
        <v>40</v>
      </c>
      <c r="E1537" s="126"/>
      <c r="F1537" s="126" t="s">
        <v>2027</v>
      </c>
      <c r="G1537" s="126"/>
      <c r="H1537" s="126" t="s">
        <v>7</v>
      </c>
      <c r="I1537" s="126">
        <v>6102</v>
      </c>
      <c r="J1537" s="126" t="s">
        <v>800</v>
      </c>
      <c r="K1537" s="126" t="s">
        <v>800</v>
      </c>
      <c r="L1537" s="126" t="s">
        <v>800</v>
      </c>
      <c r="M1537" s="126" t="s">
        <v>57</v>
      </c>
      <c r="N1537" s="126" t="s">
        <v>58</v>
      </c>
      <c r="O1537" s="127">
        <v>32949</v>
      </c>
      <c r="P1537" s="126"/>
      <c r="Q1537" s="126"/>
      <c r="R1537" s="126">
        <v>6.98</v>
      </c>
      <c r="S1537" s="126" t="s">
        <v>48</v>
      </c>
    </row>
    <row r="1538" spans="1:19" ht="29.25" x14ac:dyDescent="0.25">
      <c r="A1538" s="126">
        <v>73607</v>
      </c>
      <c r="B1538" s="126" t="s">
        <v>106</v>
      </c>
      <c r="C1538" s="126" t="s">
        <v>49</v>
      </c>
      <c r="D1538" s="126" t="s">
        <v>40</v>
      </c>
      <c r="E1538" s="126"/>
      <c r="F1538" s="126" t="s">
        <v>1999</v>
      </c>
      <c r="G1538" s="126"/>
      <c r="H1538" s="126" t="s">
        <v>7</v>
      </c>
      <c r="I1538" s="126">
        <v>6103</v>
      </c>
      <c r="J1538" s="126" t="s">
        <v>800</v>
      </c>
      <c r="K1538" s="126" t="s">
        <v>800</v>
      </c>
      <c r="L1538" s="126" t="s">
        <v>800</v>
      </c>
      <c r="M1538" s="126" t="s">
        <v>57</v>
      </c>
      <c r="N1538" s="126" t="s">
        <v>58</v>
      </c>
      <c r="O1538" s="127">
        <v>32875</v>
      </c>
      <c r="P1538" s="126"/>
      <c r="Q1538" s="126"/>
      <c r="R1538" s="126">
        <v>6.98</v>
      </c>
      <c r="S1538" s="126" t="s">
        <v>48</v>
      </c>
    </row>
    <row r="1539" spans="1:19" ht="29.25" x14ac:dyDescent="0.25">
      <c r="A1539" s="126">
        <v>73608</v>
      </c>
      <c r="B1539" s="126" t="s">
        <v>106</v>
      </c>
      <c r="C1539" s="126" t="s">
        <v>49</v>
      </c>
      <c r="D1539" s="126" t="s">
        <v>40</v>
      </c>
      <c r="E1539" s="126"/>
      <c r="F1539" s="126" t="s">
        <v>2043</v>
      </c>
      <c r="G1539" s="126"/>
      <c r="H1539" s="126" t="s">
        <v>7</v>
      </c>
      <c r="I1539" s="126">
        <v>6104</v>
      </c>
      <c r="J1539" s="126" t="s">
        <v>800</v>
      </c>
      <c r="K1539" s="126" t="s">
        <v>800</v>
      </c>
      <c r="L1539" s="126" t="s">
        <v>800</v>
      </c>
      <c r="M1539" s="126" t="s">
        <v>57</v>
      </c>
      <c r="N1539" s="126" t="s">
        <v>58</v>
      </c>
      <c r="O1539" s="127">
        <v>32974</v>
      </c>
      <c r="P1539" s="126"/>
      <c r="Q1539" s="126"/>
      <c r="R1539" s="126">
        <v>6.98</v>
      </c>
      <c r="S1539" s="126" t="s">
        <v>48</v>
      </c>
    </row>
    <row r="1540" spans="1:19" ht="29.25" x14ac:dyDescent="0.25">
      <c r="A1540" s="126">
        <v>73609</v>
      </c>
      <c r="B1540" s="126" t="s">
        <v>106</v>
      </c>
      <c r="C1540" s="126" t="s">
        <v>49</v>
      </c>
      <c r="D1540" s="126" t="s">
        <v>40</v>
      </c>
      <c r="E1540" s="126"/>
      <c r="F1540" s="126" t="s">
        <v>1604</v>
      </c>
      <c r="G1540" s="126"/>
      <c r="H1540" s="126" t="s">
        <v>7</v>
      </c>
      <c r="I1540" s="126">
        <v>6105</v>
      </c>
      <c r="J1540" s="126" t="s">
        <v>800</v>
      </c>
      <c r="K1540" s="126" t="s">
        <v>800</v>
      </c>
      <c r="L1540" s="126" t="s">
        <v>800</v>
      </c>
      <c r="M1540" s="126" t="s">
        <v>57</v>
      </c>
      <c r="N1540" s="126" t="s">
        <v>58</v>
      </c>
      <c r="O1540" s="127">
        <v>31938</v>
      </c>
      <c r="P1540" s="126"/>
      <c r="Q1540" s="126"/>
      <c r="R1540" s="126">
        <v>5.01</v>
      </c>
      <c r="S1540" s="126" t="s">
        <v>48</v>
      </c>
    </row>
    <row r="1541" spans="1:19" ht="29.25" x14ac:dyDescent="0.25">
      <c r="A1541" s="126">
        <v>73610</v>
      </c>
      <c r="B1541" s="126" t="s">
        <v>106</v>
      </c>
      <c r="C1541" s="126" t="s">
        <v>49</v>
      </c>
      <c r="D1541" s="126" t="s">
        <v>40</v>
      </c>
      <c r="E1541" s="126"/>
      <c r="F1541" s="126" t="s">
        <v>1606</v>
      </c>
      <c r="G1541" s="126"/>
      <c r="H1541" s="126" t="s">
        <v>7</v>
      </c>
      <c r="I1541" s="126">
        <v>6106</v>
      </c>
      <c r="J1541" s="126" t="s">
        <v>800</v>
      </c>
      <c r="K1541" s="126" t="s">
        <v>800</v>
      </c>
      <c r="L1541" s="126" t="s">
        <v>800</v>
      </c>
      <c r="M1541" s="126" t="s">
        <v>57</v>
      </c>
      <c r="N1541" s="126" t="s">
        <v>58</v>
      </c>
      <c r="O1541" s="127">
        <v>31958</v>
      </c>
      <c r="P1541" s="126"/>
      <c r="Q1541" s="126"/>
      <c r="R1541" s="126">
        <v>4.99</v>
      </c>
      <c r="S1541" s="126" t="s">
        <v>48</v>
      </c>
    </row>
    <row r="1542" spans="1:19" ht="29.25" x14ac:dyDescent="0.25">
      <c r="A1542" s="126">
        <v>73611</v>
      </c>
      <c r="B1542" s="126" t="s">
        <v>106</v>
      </c>
      <c r="C1542" s="126" t="s">
        <v>49</v>
      </c>
      <c r="D1542" s="126" t="s">
        <v>40</v>
      </c>
      <c r="E1542" s="126"/>
      <c r="F1542" s="126" t="s">
        <v>1608</v>
      </c>
      <c r="G1542" s="126"/>
      <c r="H1542" s="126" t="s">
        <v>7</v>
      </c>
      <c r="I1542" s="126">
        <v>6107</v>
      </c>
      <c r="J1542" s="126" t="s">
        <v>800</v>
      </c>
      <c r="K1542" s="126" t="s">
        <v>800</v>
      </c>
      <c r="L1542" s="126" t="s">
        <v>800</v>
      </c>
      <c r="M1542" s="126" t="s">
        <v>57</v>
      </c>
      <c r="N1542" s="126" t="s">
        <v>58</v>
      </c>
      <c r="O1542" s="127">
        <v>31967</v>
      </c>
      <c r="P1542" s="126"/>
      <c r="Q1542" s="126"/>
      <c r="R1542" s="126">
        <v>6.72</v>
      </c>
      <c r="S1542" s="126" t="s">
        <v>48</v>
      </c>
    </row>
    <row r="1543" spans="1:19" ht="29.25" x14ac:dyDescent="0.25">
      <c r="A1543" s="126">
        <v>73612</v>
      </c>
      <c r="B1543" s="126" t="s">
        <v>106</v>
      </c>
      <c r="C1543" s="126" t="s">
        <v>49</v>
      </c>
      <c r="D1543" s="126" t="s">
        <v>40</v>
      </c>
      <c r="E1543" s="126"/>
      <c r="F1543" s="126" t="s">
        <v>1607</v>
      </c>
      <c r="G1543" s="126"/>
      <c r="H1543" s="126" t="s">
        <v>7</v>
      </c>
      <c r="I1543" s="126">
        <v>6108</v>
      </c>
      <c r="J1543" s="126" t="s">
        <v>800</v>
      </c>
      <c r="K1543" s="126" t="s">
        <v>800</v>
      </c>
      <c r="L1543" s="126" t="s">
        <v>800</v>
      </c>
      <c r="M1543" s="126" t="s">
        <v>57</v>
      </c>
      <c r="N1543" s="126" t="s">
        <v>58</v>
      </c>
      <c r="O1543" s="127">
        <v>31958</v>
      </c>
      <c r="P1543" s="126"/>
      <c r="Q1543" s="126"/>
      <c r="R1543" s="126">
        <v>5.67</v>
      </c>
      <c r="S1543" s="126" t="s">
        <v>48</v>
      </c>
    </row>
    <row r="1544" spans="1:19" ht="29.25" x14ac:dyDescent="0.25">
      <c r="A1544" s="126">
        <v>73613</v>
      </c>
      <c r="B1544" s="126" t="s">
        <v>106</v>
      </c>
      <c r="C1544" s="126" t="s">
        <v>49</v>
      </c>
      <c r="D1544" s="126" t="s">
        <v>40</v>
      </c>
      <c r="E1544" s="126"/>
      <c r="F1544" s="126" t="s">
        <v>1265</v>
      </c>
      <c r="G1544" s="126"/>
      <c r="H1544" s="126" t="s">
        <v>7</v>
      </c>
      <c r="I1544" s="126">
        <v>6043</v>
      </c>
      <c r="J1544" s="126" t="s">
        <v>800</v>
      </c>
      <c r="K1544" s="126" t="s">
        <v>800</v>
      </c>
      <c r="L1544" s="126" t="s">
        <v>800</v>
      </c>
      <c r="M1544" s="126" t="s">
        <v>57</v>
      </c>
      <c r="N1544" s="126" t="s">
        <v>58</v>
      </c>
      <c r="O1544" s="127">
        <v>31364</v>
      </c>
      <c r="P1544" s="126"/>
      <c r="Q1544" s="126"/>
      <c r="R1544" s="126">
        <v>14.89</v>
      </c>
      <c r="S1544" s="126" t="s">
        <v>48</v>
      </c>
    </row>
    <row r="1545" spans="1:19" ht="29.25" x14ac:dyDescent="0.25">
      <c r="A1545" s="126">
        <v>73614</v>
      </c>
      <c r="B1545" s="126" t="s">
        <v>106</v>
      </c>
      <c r="C1545" s="126" t="s">
        <v>49</v>
      </c>
      <c r="D1545" s="126" t="s">
        <v>40</v>
      </c>
      <c r="E1545" s="126"/>
      <c r="F1545" s="126" t="s">
        <v>1474</v>
      </c>
      <c r="G1545" s="126"/>
      <c r="H1545" s="126" t="s">
        <v>7</v>
      </c>
      <c r="I1545" s="126">
        <v>6044</v>
      </c>
      <c r="J1545" s="126" t="s">
        <v>800</v>
      </c>
      <c r="K1545" s="126" t="s">
        <v>800</v>
      </c>
      <c r="L1545" s="126" t="s">
        <v>800</v>
      </c>
      <c r="M1545" s="126" t="s">
        <v>57</v>
      </c>
      <c r="N1545" s="126" t="s">
        <v>58</v>
      </c>
      <c r="O1545" s="127">
        <v>31751</v>
      </c>
      <c r="P1545" s="126"/>
      <c r="Q1545" s="126"/>
      <c r="R1545" s="126">
        <v>21.24</v>
      </c>
      <c r="S1545" s="126" t="s">
        <v>48</v>
      </c>
    </row>
    <row r="1546" spans="1:19" ht="29.25" x14ac:dyDescent="0.25">
      <c r="A1546" s="126">
        <v>44500</v>
      </c>
      <c r="B1546" s="126" t="s">
        <v>106</v>
      </c>
      <c r="C1546" s="126" t="s">
        <v>49</v>
      </c>
      <c r="D1546" s="126" t="s">
        <v>40</v>
      </c>
      <c r="E1546" s="126"/>
      <c r="F1546" s="126" t="s">
        <v>1823</v>
      </c>
      <c r="G1546" s="126"/>
      <c r="H1546" s="126" t="s">
        <v>7</v>
      </c>
      <c r="I1546" s="126">
        <v>6114</v>
      </c>
      <c r="J1546" s="126" t="s">
        <v>800</v>
      </c>
      <c r="K1546" s="126" t="s">
        <v>800</v>
      </c>
      <c r="L1546" s="126" t="s">
        <v>800</v>
      </c>
      <c r="M1546" s="126" t="s">
        <v>57</v>
      </c>
      <c r="N1546" s="126" t="s">
        <v>58</v>
      </c>
      <c r="O1546" s="127">
        <v>32509</v>
      </c>
      <c r="P1546" s="126"/>
      <c r="Q1546" s="126"/>
      <c r="R1546" s="126">
        <v>37</v>
      </c>
      <c r="S1546" s="126" t="s">
        <v>48</v>
      </c>
    </row>
    <row r="1547" spans="1:19" ht="29.25" x14ac:dyDescent="0.25">
      <c r="A1547" s="126">
        <v>73802</v>
      </c>
      <c r="B1547" s="126" t="s">
        <v>106</v>
      </c>
      <c r="C1547" s="126" t="s">
        <v>49</v>
      </c>
      <c r="D1547" s="126" t="s">
        <v>40</v>
      </c>
      <c r="E1547" s="126"/>
      <c r="F1547" s="126" t="s">
        <v>980</v>
      </c>
      <c r="G1547" s="126"/>
      <c r="H1547" s="126" t="s">
        <v>7</v>
      </c>
      <c r="I1547" s="126">
        <v>4014</v>
      </c>
      <c r="J1547" s="126" t="s">
        <v>44</v>
      </c>
      <c r="K1547" s="126"/>
      <c r="L1547" s="126"/>
      <c r="M1547" s="126" t="s">
        <v>57</v>
      </c>
      <c r="N1547" s="126" t="s">
        <v>58</v>
      </c>
      <c r="O1547" s="127">
        <v>30498</v>
      </c>
      <c r="P1547" s="126"/>
      <c r="Q1547" s="126"/>
      <c r="R1547" s="126">
        <v>0.18</v>
      </c>
      <c r="S1547" s="126" t="s">
        <v>48</v>
      </c>
    </row>
    <row r="1548" spans="1:19" ht="29.25" x14ac:dyDescent="0.25">
      <c r="A1548" s="126">
        <v>73801</v>
      </c>
      <c r="B1548" s="126" t="s">
        <v>106</v>
      </c>
      <c r="C1548" s="126" t="s">
        <v>49</v>
      </c>
      <c r="D1548" s="126" t="s">
        <v>40</v>
      </c>
      <c r="E1548" s="126"/>
      <c r="F1548" s="126" t="s">
        <v>1771</v>
      </c>
      <c r="G1548" s="126"/>
      <c r="H1548" s="126" t="s">
        <v>7</v>
      </c>
      <c r="I1548" s="126">
        <v>2323</v>
      </c>
      <c r="J1548" s="126" t="s">
        <v>713</v>
      </c>
      <c r="K1548" s="126" t="s">
        <v>315</v>
      </c>
      <c r="L1548" s="126" t="s">
        <v>259</v>
      </c>
      <c r="M1548" s="126" t="s">
        <v>57</v>
      </c>
      <c r="N1548" s="126" t="s">
        <v>58</v>
      </c>
      <c r="O1548" s="127">
        <v>32399</v>
      </c>
      <c r="P1548" s="126"/>
      <c r="Q1548" s="126"/>
      <c r="R1548" s="126">
        <v>0.28000000000000003</v>
      </c>
      <c r="S1548" s="126" t="s">
        <v>48</v>
      </c>
    </row>
    <row r="1549" spans="1:19" ht="29.25" x14ac:dyDescent="0.25">
      <c r="A1549" s="126">
        <v>70614</v>
      </c>
      <c r="B1549" s="126" t="s">
        <v>106</v>
      </c>
      <c r="C1549" s="126" t="s">
        <v>49</v>
      </c>
      <c r="D1549" s="126" t="s">
        <v>40</v>
      </c>
      <c r="E1549" s="126"/>
      <c r="F1549" s="126" t="s">
        <v>1250</v>
      </c>
      <c r="G1549" s="126"/>
      <c r="H1549" s="126" t="s">
        <v>43</v>
      </c>
      <c r="I1549" s="126" t="s">
        <v>1251</v>
      </c>
      <c r="J1549" s="126" t="s">
        <v>44</v>
      </c>
      <c r="K1549" s="126" t="s">
        <v>44</v>
      </c>
      <c r="L1549" s="126" t="s">
        <v>45</v>
      </c>
      <c r="M1549" s="126" t="s">
        <v>46</v>
      </c>
      <c r="N1549" s="126" t="s">
        <v>47</v>
      </c>
      <c r="O1549" s="127">
        <v>31223</v>
      </c>
      <c r="P1549" s="126" t="s">
        <v>1252</v>
      </c>
      <c r="Q1549" s="126"/>
      <c r="R1549" s="126">
        <v>0.15</v>
      </c>
      <c r="S1549" s="126" t="s">
        <v>48</v>
      </c>
    </row>
    <row r="1550" spans="1:19" ht="43.5" x14ac:dyDescent="0.25">
      <c r="A1550" s="126">
        <v>43405</v>
      </c>
      <c r="B1550" s="126" t="s">
        <v>106</v>
      </c>
      <c r="C1550" s="126" t="s">
        <v>49</v>
      </c>
      <c r="D1550" s="126" t="s">
        <v>40</v>
      </c>
      <c r="E1550" s="126"/>
      <c r="F1550" s="126" t="s">
        <v>841</v>
      </c>
      <c r="G1550" s="126"/>
      <c r="H1550" s="126" t="s">
        <v>43</v>
      </c>
      <c r="I1550" s="126" t="s">
        <v>842</v>
      </c>
      <c r="J1550" s="126" t="s">
        <v>44</v>
      </c>
      <c r="K1550" s="126" t="s">
        <v>44</v>
      </c>
      <c r="L1550" s="126" t="s">
        <v>45</v>
      </c>
      <c r="M1550" s="126" t="s">
        <v>46</v>
      </c>
      <c r="N1550" s="126" t="s">
        <v>47</v>
      </c>
      <c r="O1550" s="127">
        <v>30141</v>
      </c>
      <c r="P1550" s="126" t="s">
        <v>843</v>
      </c>
      <c r="Q1550" s="126"/>
      <c r="R1550" s="126">
        <v>0.03</v>
      </c>
      <c r="S1550" s="126" t="s">
        <v>48</v>
      </c>
    </row>
    <row r="1551" spans="1:19" ht="43.5" x14ac:dyDescent="0.25">
      <c r="A1551" s="126">
        <v>43406</v>
      </c>
      <c r="B1551" s="126" t="s">
        <v>106</v>
      </c>
      <c r="C1551" s="126" t="s">
        <v>49</v>
      </c>
      <c r="D1551" s="126" t="s">
        <v>40</v>
      </c>
      <c r="E1551" s="126"/>
      <c r="F1551" s="126" t="s">
        <v>975</v>
      </c>
      <c r="G1551" s="126"/>
      <c r="H1551" s="126" t="s">
        <v>43</v>
      </c>
      <c r="I1551" s="126" t="s">
        <v>976</v>
      </c>
      <c r="J1551" s="126" t="s">
        <v>44</v>
      </c>
      <c r="K1551" s="126" t="s">
        <v>44</v>
      </c>
      <c r="L1551" s="126" t="s">
        <v>45</v>
      </c>
      <c r="M1551" s="126" t="s">
        <v>46</v>
      </c>
      <c r="N1551" s="126" t="s">
        <v>47</v>
      </c>
      <c r="O1551" s="127">
        <v>30454</v>
      </c>
      <c r="P1551" s="126" t="s">
        <v>843</v>
      </c>
      <c r="Q1551" s="126"/>
      <c r="R1551" s="126">
        <v>0.6</v>
      </c>
      <c r="S1551" s="126" t="s">
        <v>48</v>
      </c>
    </row>
    <row r="1552" spans="1:19" ht="29.25" x14ac:dyDescent="0.25">
      <c r="A1552" s="126">
        <v>36000</v>
      </c>
      <c r="B1552" s="126" t="s">
        <v>106</v>
      </c>
      <c r="C1552" s="126" t="s">
        <v>49</v>
      </c>
      <c r="D1552" s="126" t="s">
        <v>40</v>
      </c>
      <c r="E1552" s="126" t="s">
        <v>836</v>
      </c>
      <c r="F1552" s="126" t="s">
        <v>837</v>
      </c>
      <c r="G1552" s="126">
        <v>1.1000000000000001</v>
      </c>
      <c r="H1552" s="126" t="s">
        <v>43</v>
      </c>
      <c r="I1552" s="126" t="s">
        <v>838</v>
      </c>
      <c r="J1552" s="126" t="s">
        <v>44</v>
      </c>
      <c r="K1552" s="126" t="s">
        <v>44</v>
      </c>
      <c r="L1552" s="126" t="s">
        <v>45</v>
      </c>
      <c r="M1552" s="126" t="s">
        <v>46</v>
      </c>
      <c r="N1552" s="126" t="s">
        <v>47</v>
      </c>
      <c r="O1552" s="127">
        <v>30097</v>
      </c>
      <c r="P1552" s="126" t="s">
        <v>839</v>
      </c>
      <c r="Q1552" s="126"/>
      <c r="R1552" s="126">
        <v>1.73</v>
      </c>
      <c r="S1552" s="126" t="s">
        <v>48</v>
      </c>
    </row>
    <row r="1553" spans="1:19" ht="29.25" x14ac:dyDescent="0.25">
      <c r="A1553" s="126">
        <v>43408</v>
      </c>
      <c r="B1553" s="126" t="s">
        <v>106</v>
      </c>
      <c r="C1553" s="126" t="s">
        <v>49</v>
      </c>
      <c r="D1553" s="126" t="s">
        <v>40</v>
      </c>
      <c r="E1553" s="126"/>
      <c r="F1553" s="126" t="s">
        <v>2013</v>
      </c>
      <c r="G1553" s="126">
        <v>1</v>
      </c>
      <c r="H1553" s="126" t="s">
        <v>43</v>
      </c>
      <c r="I1553" s="126" t="s">
        <v>2014</v>
      </c>
      <c r="J1553" s="126" t="s">
        <v>44</v>
      </c>
      <c r="K1553" s="126" t="s">
        <v>44</v>
      </c>
      <c r="L1553" s="126" t="s">
        <v>45</v>
      </c>
      <c r="M1553" s="126" t="s">
        <v>46</v>
      </c>
      <c r="N1553" s="126" t="s">
        <v>47</v>
      </c>
      <c r="O1553" s="127">
        <v>32929</v>
      </c>
      <c r="P1553" s="126" t="s">
        <v>839</v>
      </c>
      <c r="Q1553" s="126"/>
      <c r="R1553" s="126">
        <v>1.1000000000000001</v>
      </c>
      <c r="S1553" s="126" t="s">
        <v>48</v>
      </c>
    </row>
    <row r="1554" spans="1:19" ht="29.25" x14ac:dyDescent="0.25">
      <c r="A1554" s="126">
        <v>74401</v>
      </c>
      <c r="B1554" s="126" t="s">
        <v>106</v>
      </c>
      <c r="C1554" s="126" t="s">
        <v>49</v>
      </c>
      <c r="D1554" s="126" t="s">
        <v>40</v>
      </c>
      <c r="E1554" s="126" t="s">
        <v>1639</v>
      </c>
      <c r="F1554" s="126" t="s">
        <v>1640</v>
      </c>
      <c r="G1554" s="126"/>
      <c r="H1554" s="126" t="s">
        <v>7</v>
      </c>
      <c r="I1554" s="126">
        <v>2053</v>
      </c>
      <c r="J1554" s="126" t="s">
        <v>713</v>
      </c>
      <c r="K1554" s="126" t="s">
        <v>599</v>
      </c>
      <c r="L1554" s="126" t="s">
        <v>259</v>
      </c>
      <c r="M1554" s="126" t="s">
        <v>57</v>
      </c>
      <c r="N1554" s="126" t="s">
        <v>58</v>
      </c>
      <c r="O1554" s="127">
        <v>32115</v>
      </c>
      <c r="P1554" s="126"/>
      <c r="Q1554" s="126"/>
      <c r="R1554" s="126"/>
      <c r="S1554" s="126" t="s">
        <v>48</v>
      </c>
    </row>
    <row r="1555" spans="1:19" ht="29.25" x14ac:dyDescent="0.25">
      <c r="A1555" s="126">
        <v>74402</v>
      </c>
      <c r="B1555" s="126" t="s">
        <v>106</v>
      </c>
      <c r="C1555" s="126" t="s">
        <v>49</v>
      </c>
      <c r="D1555" s="126" t="s">
        <v>40</v>
      </c>
      <c r="E1555" s="126" t="s">
        <v>1641</v>
      </c>
      <c r="F1555" s="126" t="s">
        <v>1642</v>
      </c>
      <c r="G1555" s="126"/>
      <c r="H1555" s="126" t="s">
        <v>7</v>
      </c>
      <c r="I1555" s="126">
        <v>2053</v>
      </c>
      <c r="J1555" s="126" t="s">
        <v>713</v>
      </c>
      <c r="K1555" s="126" t="s">
        <v>599</v>
      </c>
      <c r="L1555" s="126" t="s">
        <v>259</v>
      </c>
      <c r="M1555" s="126" t="s">
        <v>57</v>
      </c>
      <c r="N1555" s="126" t="s">
        <v>58</v>
      </c>
      <c r="O1555" s="127">
        <v>32115</v>
      </c>
      <c r="P1555" s="126"/>
      <c r="Q1555" s="126"/>
      <c r="R1555" s="126"/>
      <c r="S1555" s="126" t="s">
        <v>48</v>
      </c>
    </row>
    <row r="1556" spans="1:19" ht="29.25" x14ac:dyDescent="0.25">
      <c r="A1556" s="126">
        <v>74403</v>
      </c>
      <c r="B1556" s="126" t="s">
        <v>106</v>
      </c>
      <c r="C1556" s="126" t="s">
        <v>49</v>
      </c>
      <c r="D1556" s="126" t="s">
        <v>40</v>
      </c>
      <c r="E1556" s="126" t="s">
        <v>1643</v>
      </c>
      <c r="F1556" s="126" t="s">
        <v>1644</v>
      </c>
      <c r="G1556" s="126"/>
      <c r="H1556" s="126" t="s">
        <v>7</v>
      </c>
      <c r="I1556" s="126">
        <v>2053</v>
      </c>
      <c r="J1556" s="126" t="s">
        <v>713</v>
      </c>
      <c r="K1556" s="126" t="s">
        <v>599</v>
      </c>
      <c r="L1556" s="126" t="s">
        <v>259</v>
      </c>
      <c r="M1556" s="126" t="s">
        <v>57</v>
      </c>
      <c r="N1556" s="126" t="s">
        <v>58</v>
      </c>
      <c r="O1556" s="127">
        <v>32115</v>
      </c>
      <c r="P1556" s="126"/>
      <c r="Q1556" s="126"/>
      <c r="R1556" s="126"/>
      <c r="S1556" s="126" t="s">
        <v>48</v>
      </c>
    </row>
    <row r="1557" spans="1:19" ht="29.25" x14ac:dyDescent="0.25">
      <c r="A1557" s="126">
        <v>74404</v>
      </c>
      <c r="B1557" s="126" t="s">
        <v>106</v>
      </c>
      <c r="C1557" s="126" t="s">
        <v>49</v>
      </c>
      <c r="D1557" s="126" t="s">
        <v>40</v>
      </c>
      <c r="E1557" s="126" t="s">
        <v>1645</v>
      </c>
      <c r="F1557" s="126" t="s">
        <v>1646</v>
      </c>
      <c r="G1557" s="126"/>
      <c r="H1557" s="126" t="s">
        <v>7</v>
      </c>
      <c r="I1557" s="126">
        <v>2053</v>
      </c>
      <c r="J1557" s="126" t="s">
        <v>713</v>
      </c>
      <c r="K1557" s="126" t="s">
        <v>599</v>
      </c>
      <c r="L1557" s="126" t="s">
        <v>259</v>
      </c>
      <c r="M1557" s="126" t="s">
        <v>57</v>
      </c>
      <c r="N1557" s="126" t="s">
        <v>58</v>
      </c>
      <c r="O1557" s="127">
        <v>32115</v>
      </c>
      <c r="P1557" s="126"/>
      <c r="Q1557" s="126"/>
      <c r="R1557" s="126"/>
      <c r="S1557" s="126" t="s">
        <v>48</v>
      </c>
    </row>
    <row r="1558" spans="1:19" ht="29.25" x14ac:dyDescent="0.25">
      <c r="A1558" s="126">
        <v>74405</v>
      </c>
      <c r="B1558" s="126" t="s">
        <v>106</v>
      </c>
      <c r="C1558" s="126" t="s">
        <v>49</v>
      </c>
      <c r="D1558" s="126" t="s">
        <v>40</v>
      </c>
      <c r="E1558" s="126" t="s">
        <v>1647</v>
      </c>
      <c r="F1558" s="126" t="s">
        <v>1648</v>
      </c>
      <c r="G1558" s="126"/>
      <c r="H1558" s="126" t="s">
        <v>7</v>
      </c>
      <c r="I1558" s="126">
        <v>2053</v>
      </c>
      <c r="J1558" s="126" t="s">
        <v>713</v>
      </c>
      <c r="K1558" s="126" t="s">
        <v>385</v>
      </c>
      <c r="L1558" s="126"/>
      <c r="M1558" s="126" t="s">
        <v>57</v>
      </c>
      <c r="N1558" s="126" t="s">
        <v>58</v>
      </c>
      <c r="O1558" s="127">
        <v>32115</v>
      </c>
      <c r="P1558" s="126"/>
      <c r="Q1558" s="126"/>
      <c r="R1558" s="126"/>
      <c r="S1558" s="126" t="s">
        <v>48</v>
      </c>
    </row>
    <row r="1559" spans="1:19" ht="29.25" x14ac:dyDescent="0.25">
      <c r="A1559" s="126">
        <v>74406</v>
      </c>
      <c r="B1559" s="126" t="s">
        <v>106</v>
      </c>
      <c r="C1559" s="126" t="s">
        <v>49</v>
      </c>
      <c r="D1559" s="126" t="s">
        <v>40</v>
      </c>
      <c r="E1559" s="126" t="s">
        <v>1649</v>
      </c>
      <c r="F1559" s="126" t="s">
        <v>1650</v>
      </c>
      <c r="G1559" s="126"/>
      <c r="H1559" s="126" t="s">
        <v>7</v>
      </c>
      <c r="I1559" s="126">
        <v>2053</v>
      </c>
      <c r="J1559" s="126" t="s">
        <v>713</v>
      </c>
      <c r="K1559" s="126" t="s">
        <v>385</v>
      </c>
      <c r="L1559" s="126"/>
      <c r="M1559" s="126" t="s">
        <v>57</v>
      </c>
      <c r="N1559" s="126" t="s">
        <v>58</v>
      </c>
      <c r="O1559" s="127">
        <v>32115</v>
      </c>
      <c r="P1559" s="126"/>
      <c r="Q1559" s="126"/>
      <c r="R1559" s="126"/>
      <c r="S1559" s="126" t="s">
        <v>48</v>
      </c>
    </row>
    <row r="1560" spans="1:19" ht="29.25" x14ac:dyDescent="0.25">
      <c r="A1560" s="126">
        <v>79401</v>
      </c>
      <c r="B1560" s="126" t="s">
        <v>311</v>
      </c>
      <c r="C1560" s="126" t="s">
        <v>40</v>
      </c>
      <c r="D1560" s="126" t="s">
        <v>40</v>
      </c>
      <c r="E1560" s="126" t="s">
        <v>584</v>
      </c>
      <c r="F1560" s="126" t="s">
        <v>585</v>
      </c>
      <c r="G1560" s="126">
        <v>2.1</v>
      </c>
      <c r="H1560" s="126" t="s">
        <v>43</v>
      </c>
      <c r="I1560" s="126" t="s">
        <v>501</v>
      </c>
      <c r="J1560" s="126" t="s">
        <v>44</v>
      </c>
      <c r="K1560" s="126" t="s">
        <v>561</v>
      </c>
      <c r="L1560" s="126" t="s">
        <v>45</v>
      </c>
      <c r="M1560" s="126" t="s">
        <v>46</v>
      </c>
      <c r="N1560" s="126" t="s">
        <v>47</v>
      </c>
      <c r="O1560" s="127">
        <v>24473</v>
      </c>
      <c r="P1560" s="126"/>
      <c r="Q1560" s="126"/>
      <c r="R1560" s="126">
        <v>2.4</v>
      </c>
      <c r="S1560" s="126" t="s">
        <v>48</v>
      </c>
    </row>
    <row r="1561" spans="1:19" ht="29.25" x14ac:dyDescent="0.25">
      <c r="A1561" s="126">
        <v>79402</v>
      </c>
      <c r="B1561" s="126" t="s">
        <v>311</v>
      </c>
      <c r="C1561" s="126" t="s">
        <v>40</v>
      </c>
      <c r="D1561" s="126" t="s">
        <v>40</v>
      </c>
      <c r="E1561" s="126" t="s">
        <v>586</v>
      </c>
      <c r="F1561" s="126" t="s">
        <v>587</v>
      </c>
      <c r="G1561" s="126">
        <v>2.1</v>
      </c>
      <c r="H1561" s="126" t="s">
        <v>43</v>
      </c>
      <c r="I1561" s="126" t="s">
        <v>501</v>
      </c>
      <c r="J1561" s="126" t="s">
        <v>44</v>
      </c>
      <c r="K1561" s="126" t="s">
        <v>561</v>
      </c>
      <c r="L1561" s="126" t="s">
        <v>45</v>
      </c>
      <c r="M1561" s="126" t="s">
        <v>46</v>
      </c>
      <c r="N1561" s="126" t="s">
        <v>47</v>
      </c>
      <c r="O1561" s="127">
        <v>24473</v>
      </c>
      <c r="P1561" s="126"/>
      <c r="Q1561" s="126"/>
      <c r="R1561" s="126">
        <v>2.4</v>
      </c>
      <c r="S1561" s="126" t="s">
        <v>48</v>
      </c>
    </row>
    <row r="1562" spans="1:19" ht="29.25" x14ac:dyDescent="0.25">
      <c r="A1562" s="126">
        <v>79403</v>
      </c>
      <c r="B1562" s="126" t="s">
        <v>311</v>
      </c>
      <c r="C1562" s="126" t="s">
        <v>40</v>
      </c>
      <c r="D1562" s="126" t="s">
        <v>40</v>
      </c>
      <c r="E1562" s="126" t="s">
        <v>588</v>
      </c>
      <c r="F1562" s="126" t="s">
        <v>589</v>
      </c>
      <c r="G1562" s="126">
        <v>2.1</v>
      </c>
      <c r="H1562" s="126" t="s">
        <v>43</v>
      </c>
      <c r="I1562" s="126" t="s">
        <v>501</v>
      </c>
      <c r="J1562" s="126" t="s">
        <v>44</v>
      </c>
      <c r="K1562" s="126" t="s">
        <v>561</v>
      </c>
      <c r="L1562" s="126" t="s">
        <v>45</v>
      </c>
      <c r="M1562" s="126" t="s">
        <v>46</v>
      </c>
      <c r="N1562" s="126" t="s">
        <v>47</v>
      </c>
      <c r="O1562" s="127">
        <v>24473</v>
      </c>
      <c r="P1562" s="126"/>
      <c r="Q1562" s="126"/>
      <c r="R1562" s="126">
        <v>2.4</v>
      </c>
      <c r="S1562" s="126" t="s">
        <v>48</v>
      </c>
    </row>
    <row r="1563" spans="1:19" ht="29.25" x14ac:dyDescent="0.25">
      <c r="A1563" s="126">
        <v>79404</v>
      </c>
      <c r="B1563" s="126" t="s">
        <v>311</v>
      </c>
      <c r="C1563" s="126" t="s">
        <v>40</v>
      </c>
      <c r="D1563" s="126" t="s">
        <v>40</v>
      </c>
      <c r="E1563" s="126" t="s">
        <v>590</v>
      </c>
      <c r="F1563" s="126" t="s">
        <v>591</v>
      </c>
      <c r="G1563" s="126">
        <v>2.1</v>
      </c>
      <c r="H1563" s="126" t="s">
        <v>43</v>
      </c>
      <c r="I1563" s="126" t="s">
        <v>501</v>
      </c>
      <c r="J1563" s="126" t="s">
        <v>44</v>
      </c>
      <c r="K1563" s="126" t="s">
        <v>561</v>
      </c>
      <c r="L1563" s="126" t="s">
        <v>45</v>
      </c>
      <c r="M1563" s="126" t="s">
        <v>46</v>
      </c>
      <c r="N1563" s="126" t="s">
        <v>47</v>
      </c>
      <c r="O1563" s="127">
        <v>24473</v>
      </c>
      <c r="P1563" s="126"/>
      <c r="Q1563" s="126"/>
      <c r="R1563" s="126">
        <v>2.4</v>
      </c>
      <c r="S1563" s="126" t="s">
        <v>48</v>
      </c>
    </row>
    <row r="1564" spans="1:19" ht="29.25" x14ac:dyDescent="0.25">
      <c r="A1564" s="126">
        <v>79405</v>
      </c>
      <c r="B1564" s="126" t="s">
        <v>311</v>
      </c>
      <c r="C1564" s="126" t="s">
        <v>40</v>
      </c>
      <c r="D1564" s="126" t="s">
        <v>40</v>
      </c>
      <c r="E1564" s="126" t="s">
        <v>592</v>
      </c>
      <c r="F1564" s="126" t="s">
        <v>593</v>
      </c>
      <c r="G1564" s="126">
        <v>2.1</v>
      </c>
      <c r="H1564" s="126" t="s">
        <v>43</v>
      </c>
      <c r="I1564" s="126" t="s">
        <v>501</v>
      </c>
      <c r="J1564" s="126" t="s">
        <v>44</v>
      </c>
      <c r="K1564" s="126" t="s">
        <v>561</v>
      </c>
      <c r="L1564" s="126" t="s">
        <v>45</v>
      </c>
      <c r="M1564" s="126" t="s">
        <v>46</v>
      </c>
      <c r="N1564" s="126" t="s">
        <v>47</v>
      </c>
      <c r="O1564" s="127">
        <v>24473</v>
      </c>
      <c r="P1564" s="126"/>
      <c r="Q1564" s="126"/>
      <c r="R1564" s="126">
        <v>2.4</v>
      </c>
      <c r="S1564" s="126" t="s">
        <v>48</v>
      </c>
    </row>
    <row r="1565" spans="1:19" ht="29.25" x14ac:dyDescent="0.25">
      <c r="A1565" s="126">
        <v>79406</v>
      </c>
      <c r="B1565" s="126" t="s">
        <v>311</v>
      </c>
      <c r="C1565" s="126" t="s">
        <v>40</v>
      </c>
      <c r="D1565" s="126" t="s">
        <v>40</v>
      </c>
      <c r="E1565" s="126" t="s">
        <v>594</v>
      </c>
      <c r="F1565" s="126" t="s">
        <v>595</v>
      </c>
      <c r="G1565" s="126">
        <v>2.1</v>
      </c>
      <c r="H1565" s="126" t="s">
        <v>43</v>
      </c>
      <c r="I1565" s="126" t="s">
        <v>501</v>
      </c>
      <c r="J1565" s="126" t="s">
        <v>44</v>
      </c>
      <c r="K1565" s="126" t="s">
        <v>561</v>
      </c>
      <c r="L1565" s="126" t="s">
        <v>45</v>
      </c>
      <c r="M1565" s="126" t="s">
        <v>46</v>
      </c>
      <c r="N1565" s="126" t="s">
        <v>47</v>
      </c>
      <c r="O1565" s="127">
        <v>24473</v>
      </c>
      <c r="P1565" s="126"/>
      <c r="Q1565" s="126"/>
      <c r="R1565" s="126">
        <v>2.4</v>
      </c>
      <c r="S1565" s="126" t="s">
        <v>48</v>
      </c>
    </row>
    <row r="1566" spans="1:19" x14ac:dyDescent="0.25">
      <c r="A1566" s="126">
        <v>80701</v>
      </c>
      <c r="B1566" s="126" t="s">
        <v>311</v>
      </c>
      <c r="C1566" s="126" t="s">
        <v>40</v>
      </c>
      <c r="D1566" s="126" t="s">
        <v>40</v>
      </c>
      <c r="E1566" s="126" t="s">
        <v>2540</v>
      </c>
      <c r="F1566" s="126" t="s">
        <v>2541</v>
      </c>
      <c r="G1566" s="126">
        <v>11</v>
      </c>
      <c r="H1566" s="126" t="s">
        <v>7</v>
      </c>
      <c r="I1566" s="126" t="s">
        <v>2542</v>
      </c>
      <c r="J1566" s="126" t="s">
        <v>314</v>
      </c>
      <c r="K1566" s="126" t="s">
        <v>599</v>
      </c>
      <c r="L1566" s="126" t="s">
        <v>259</v>
      </c>
      <c r="M1566" s="126" t="s">
        <v>57</v>
      </c>
      <c r="N1566" s="126" t="s">
        <v>58</v>
      </c>
      <c r="O1566" s="127">
        <v>37410</v>
      </c>
      <c r="P1566" s="126"/>
      <c r="Q1566" s="126"/>
      <c r="R1566" s="126">
        <v>11</v>
      </c>
      <c r="S1566" s="126" t="s">
        <v>48</v>
      </c>
    </row>
    <row r="1567" spans="1:19" x14ac:dyDescent="0.25">
      <c r="A1567" s="126">
        <v>80702</v>
      </c>
      <c r="B1567" s="126" t="s">
        <v>311</v>
      </c>
      <c r="C1567" s="126" t="s">
        <v>40</v>
      </c>
      <c r="D1567" s="126" t="s">
        <v>40</v>
      </c>
      <c r="E1567" s="126" t="s">
        <v>2543</v>
      </c>
      <c r="F1567" s="126" t="s">
        <v>2544</v>
      </c>
      <c r="G1567" s="126">
        <v>11</v>
      </c>
      <c r="H1567" s="126" t="s">
        <v>7</v>
      </c>
      <c r="I1567" s="126" t="s">
        <v>2542</v>
      </c>
      <c r="J1567" s="126" t="s">
        <v>314</v>
      </c>
      <c r="K1567" s="126" t="s">
        <v>599</v>
      </c>
      <c r="L1567" s="126" t="s">
        <v>259</v>
      </c>
      <c r="M1567" s="126" t="s">
        <v>57</v>
      </c>
      <c r="N1567" s="126" t="s">
        <v>58</v>
      </c>
      <c r="O1567" s="127">
        <v>37413</v>
      </c>
      <c r="P1567" s="126"/>
      <c r="Q1567" s="126"/>
      <c r="R1567" s="126">
        <v>11</v>
      </c>
      <c r="S1567" s="126" t="s">
        <v>48</v>
      </c>
    </row>
    <row r="1568" spans="1:19" x14ac:dyDescent="0.25">
      <c r="A1568" s="126">
        <v>80703</v>
      </c>
      <c r="B1568" s="126" t="s">
        <v>311</v>
      </c>
      <c r="C1568" s="126" t="s">
        <v>40</v>
      </c>
      <c r="D1568" s="126" t="s">
        <v>40</v>
      </c>
      <c r="E1568" s="126" t="s">
        <v>2545</v>
      </c>
      <c r="F1568" s="126" t="s">
        <v>2546</v>
      </c>
      <c r="G1568" s="126">
        <v>11</v>
      </c>
      <c r="H1568" s="126" t="s">
        <v>7</v>
      </c>
      <c r="I1568" s="126" t="s">
        <v>2542</v>
      </c>
      <c r="J1568" s="126" t="s">
        <v>314</v>
      </c>
      <c r="K1568" s="126" t="s">
        <v>599</v>
      </c>
      <c r="L1568" s="126" t="s">
        <v>259</v>
      </c>
      <c r="M1568" s="126" t="s">
        <v>57</v>
      </c>
      <c r="N1568" s="126" t="s">
        <v>58</v>
      </c>
      <c r="O1568" s="127">
        <v>37413</v>
      </c>
      <c r="P1568" s="126"/>
      <c r="Q1568" s="126"/>
      <c r="R1568" s="126">
        <v>11</v>
      </c>
      <c r="S1568" s="126" t="s">
        <v>48</v>
      </c>
    </row>
    <row r="1569" spans="1:19" x14ac:dyDescent="0.25">
      <c r="A1569" s="126">
        <v>80704</v>
      </c>
      <c r="B1569" s="126" t="s">
        <v>311</v>
      </c>
      <c r="C1569" s="126" t="s">
        <v>40</v>
      </c>
      <c r="D1569" s="126" t="s">
        <v>40</v>
      </c>
      <c r="E1569" s="126" t="s">
        <v>2550</v>
      </c>
      <c r="F1569" s="126" t="s">
        <v>2551</v>
      </c>
      <c r="G1569" s="126">
        <v>11</v>
      </c>
      <c r="H1569" s="126" t="s">
        <v>7</v>
      </c>
      <c r="I1569" s="126" t="s">
        <v>2542</v>
      </c>
      <c r="J1569" s="126" t="s">
        <v>314</v>
      </c>
      <c r="K1569" s="126" t="s">
        <v>599</v>
      </c>
      <c r="L1569" s="126" t="s">
        <v>259</v>
      </c>
      <c r="M1569" s="126" t="s">
        <v>57</v>
      </c>
      <c r="N1569" s="126" t="s">
        <v>58</v>
      </c>
      <c r="O1569" s="127">
        <v>37420</v>
      </c>
      <c r="P1569" s="126"/>
      <c r="Q1569" s="126"/>
      <c r="R1569" s="126">
        <v>11</v>
      </c>
      <c r="S1569" s="126" t="s">
        <v>48</v>
      </c>
    </row>
  </sheetData>
  <autoFilter ref="A6:S1569"/>
  <sortState ref="A9:S1569">
    <sortCondition sortBy="fontColor" ref="H9:H1569" dxfId="3"/>
    <sortCondition sortBy="cellColor" ref="H9:H1569" dxfId="2"/>
  </sortState>
  <mergeCells count="24">
    <mergeCell ref="P6:P8"/>
    <mergeCell ref="Q6:Q8"/>
    <mergeCell ref="I6:I8"/>
    <mergeCell ref="J6:J8"/>
    <mergeCell ref="K6:K8"/>
    <mergeCell ref="L6:L8"/>
    <mergeCell ref="M6:M8"/>
    <mergeCell ref="N6:N8"/>
    <mergeCell ref="A4:F4"/>
    <mergeCell ref="H4:J4"/>
    <mergeCell ref="A5:F5"/>
    <mergeCell ref="A6:A8"/>
    <mergeCell ref="B6:B8"/>
    <mergeCell ref="C6:C8"/>
    <mergeCell ref="D6:D8"/>
    <mergeCell ref="E6:E8"/>
    <mergeCell ref="F6:F8"/>
    <mergeCell ref="H6:H8"/>
    <mergeCell ref="A1:F1"/>
    <mergeCell ref="G1:J1"/>
    <mergeCell ref="A2:F2"/>
    <mergeCell ref="H2:J2"/>
    <mergeCell ref="A3:F3"/>
    <mergeCell ref="H3:J3"/>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99"/>
  </sheetPr>
  <dimension ref="A1:JA1299"/>
  <sheetViews>
    <sheetView zoomScale="80" zoomScaleNormal="80" zoomScalePageLayoutView="90" workbookViewId="0">
      <selection activeCell="A2" sqref="A2"/>
    </sheetView>
  </sheetViews>
  <sheetFormatPr defaultColWidth="8.85546875" defaultRowHeight="15" x14ac:dyDescent="0.25"/>
  <cols>
    <col min="1" max="1" width="22.28515625" style="72" customWidth="1"/>
    <col min="2" max="2" width="33.42578125" style="72" customWidth="1"/>
    <col min="3" max="3" width="11.140625" style="73" customWidth="1"/>
    <col min="4" max="4" width="16.28515625" style="73" customWidth="1"/>
    <col min="5" max="5" width="8.85546875" style="74" customWidth="1"/>
    <col min="6" max="6" width="9.42578125" style="75" customWidth="1"/>
    <col min="7" max="17" width="6.85546875" style="75" customWidth="1"/>
    <col min="18" max="18" width="17" style="76" customWidth="1"/>
    <col min="19" max="19" width="8.140625" style="76" customWidth="1"/>
    <col min="20" max="20" width="29.28515625" style="70" customWidth="1"/>
    <col min="21" max="21" width="7.42578125" style="70" customWidth="1"/>
    <col min="22" max="22" width="17.42578125" style="71" customWidth="1"/>
    <col min="23" max="23" width="15.5703125" style="441" customWidth="1"/>
    <col min="24" max="27" width="11.42578125" style="441" customWidth="1"/>
    <col min="28" max="28" width="12.140625" style="71" customWidth="1"/>
    <col min="29" max="29" width="12.5703125" style="71" customWidth="1"/>
    <col min="30" max="261" width="8.85546875" style="71"/>
    <col min="262" max="262" width="22.28515625" style="71" customWidth="1"/>
    <col min="263" max="263" width="33.42578125" style="71" customWidth="1"/>
    <col min="264" max="264" width="11.140625" style="71" bestFit="1" customWidth="1"/>
    <col min="265" max="265" width="16.28515625" style="71" bestFit="1" customWidth="1"/>
    <col min="266" max="266" width="8.85546875" style="71" customWidth="1"/>
    <col min="267" max="267" width="9.42578125" style="71" bestFit="1" customWidth="1"/>
    <col min="268" max="278" width="6.85546875" style="71" customWidth="1"/>
    <col min="279" max="279" width="17" style="71" customWidth="1"/>
    <col min="280" max="280" width="8.140625" style="71" customWidth="1"/>
    <col min="281" max="281" width="29.28515625" style="71" customWidth="1"/>
    <col min="282" max="517" width="8.85546875" style="71"/>
    <col min="518" max="518" width="22.28515625" style="71" customWidth="1"/>
    <col min="519" max="519" width="33.42578125" style="71" customWidth="1"/>
    <col min="520" max="520" width="11.140625" style="71" bestFit="1" customWidth="1"/>
    <col min="521" max="521" width="16.28515625" style="71" bestFit="1" customWidth="1"/>
    <col min="522" max="522" width="8.85546875" style="71" customWidth="1"/>
    <col min="523" max="523" width="9.42578125" style="71" bestFit="1" customWidth="1"/>
    <col min="524" max="534" width="6.85546875" style="71" customWidth="1"/>
    <col min="535" max="535" width="17" style="71" customWidth="1"/>
    <col min="536" max="536" width="8.140625" style="71" customWidth="1"/>
    <col min="537" max="537" width="29.28515625" style="71" customWidth="1"/>
    <col min="538" max="773" width="8.85546875" style="71"/>
    <col min="774" max="774" width="22.28515625" style="71" customWidth="1"/>
    <col min="775" max="775" width="33.42578125" style="71" customWidth="1"/>
    <col min="776" max="776" width="11.140625" style="71" bestFit="1" customWidth="1"/>
    <col min="777" max="777" width="16.28515625" style="71" bestFit="1" customWidth="1"/>
    <col min="778" max="778" width="8.85546875" style="71" customWidth="1"/>
    <col min="779" max="779" width="9.42578125" style="71" bestFit="1" customWidth="1"/>
    <col min="780" max="790" width="6.85546875" style="71" customWidth="1"/>
    <col min="791" max="791" width="17" style="71" customWidth="1"/>
    <col min="792" max="792" width="8.140625" style="71" customWidth="1"/>
    <col min="793" max="793" width="29.28515625" style="71" customWidth="1"/>
    <col min="794" max="1029" width="8.85546875" style="71"/>
    <col min="1030" max="1030" width="22.28515625" style="71" customWidth="1"/>
    <col min="1031" max="1031" width="33.42578125" style="71" customWidth="1"/>
    <col min="1032" max="1032" width="11.140625" style="71" bestFit="1" customWidth="1"/>
    <col min="1033" max="1033" width="16.28515625" style="71" bestFit="1" customWidth="1"/>
    <col min="1034" max="1034" width="8.85546875" style="71" customWidth="1"/>
    <col min="1035" max="1035" width="9.42578125" style="71" bestFit="1" customWidth="1"/>
    <col min="1036" max="1046" width="6.85546875" style="71" customWidth="1"/>
    <col min="1047" max="1047" width="17" style="71" customWidth="1"/>
    <col min="1048" max="1048" width="8.140625" style="71" customWidth="1"/>
    <col min="1049" max="1049" width="29.28515625" style="71" customWidth="1"/>
    <col min="1050" max="1285" width="8.85546875" style="71"/>
    <col min="1286" max="1286" width="22.28515625" style="71" customWidth="1"/>
    <col min="1287" max="1287" width="33.42578125" style="71" customWidth="1"/>
    <col min="1288" max="1288" width="11.140625" style="71" bestFit="1" customWidth="1"/>
    <col min="1289" max="1289" width="16.28515625" style="71" bestFit="1" customWidth="1"/>
    <col min="1290" max="1290" width="8.85546875" style="71" customWidth="1"/>
    <col min="1291" max="1291" width="9.42578125" style="71" bestFit="1" customWidth="1"/>
    <col min="1292" max="1302" width="6.85546875" style="71" customWidth="1"/>
    <col min="1303" max="1303" width="17" style="71" customWidth="1"/>
    <col min="1304" max="1304" width="8.140625" style="71" customWidth="1"/>
    <col min="1305" max="1305" width="29.28515625" style="71" customWidth="1"/>
    <col min="1306" max="1541" width="8.85546875" style="71"/>
    <col min="1542" max="1542" width="22.28515625" style="71" customWidth="1"/>
    <col min="1543" max="1543" width="33.42578125" style="71" customWidth="1"/>
    <col min="1544" max="1544" width="11.140625" style="71" bestFit="1" customWidth="1"/>
    <col min="1545" max="1545" width="16.28515625" style="71" bestFit="1" customWidth="1"/>
    <col min="1546" max="1546" width="8.85546875" style="71" customWidth="1"/>
    <col min="1547" max="1547" width="9.42578125" style="71" bestFit="1" customWidth="1"/>
    <col min="1548" max="1558" width="6.85546875" style="71" customWidth="1"/>
    <col min="1559" max="1559" width="17" style="71" customWidth="1"/>
    <col min="1560" max="1560" width="8.140625" style="71" customWidth="1"/>
    <col min="1561" max="1561" width="29.28515625" style="71" customWidth="1"/>
    <col min="1562" max="1797" width="8.85546875" style="71"/>
    <col min="1798" max="1798" width="22.28515625" style="71" customWidth="1"/>
    <col min="1799" max="1799" width="33.42578125" style="71" customWidth="1"/>
    <col min="1800" max="1800" width="11.140625" style="71" bestFit="1" customWidth="1"/>
    <col min="1801" max="1801" width="16.28515625" style="71" bestFit="1" customWidth="1"/>
    <col min="1802" max="1802" width="8.85546875" style="71" customWidth="1"/>
    <col min="1803" max="1803" width="9.42578125" style="71" bestFit="1" customWidth="1"/>
    <col min="1804" max="1814" width="6.85546875" style="71" customWidth="1"/>
    <col min="1815" max="1815" width="17" style="71" customWidth="1"/>
    <col min="1816" max="1816" width="8.140625" style="71" customWidth="1"/>
    <col min="1817" max="1817" width="29.28515625" style="71" customWidth="1"/>
    <col min="1818" max="2053" width="8.85546875" style="71"/>
    <col min="2054" max="2054" width="22.28515625" style="71" customWidth="1"/>
    <col min="2055" max="2055" width="33.42578125" style="71" customWidth="1"/>
    <col min="2056" max="2056" width="11.140625" style="71" bestFit="1" customWidth="1"/>
    <col min="2057" max="2057" width="16.28515625" style="71" bestFit="1" customWidth="1"/>
    <col min="2058" max="2058" width="8.85546875" style="71" customWidth="1"/>
    <col min="2059" max="2059" width="9.42578125" style="71" bestFit="1" customWidth="1"/>
    <col min="2060" max="2070" width="6.85546875" style="71" customWidth="1"/>
    <col min="2071" max="2071" width="17" style="71" customWidth="1"/>
    <col min="2072" max="2072" width="8.140625" style="71" customWidth="1"/>
    <col min="2073" max="2073" width="29.28515625" style="71" customWidth="1"/>
    <col min="2074" max="2309" width="8.85546875" style="71"/>
    <col min="2310" max="2310" width="22.28515625" style="71" customWidth="1"/>
    <col min="2311" max="2311" width="33.42578125" style="71" customWidth="1"/>
    <col min="2312" max="2312" width="11.140625" style="71" bestFit="1" customWidth="1"/>
    <col min="2313" max="2313" width="16.28515625" style="71" bestFit="1" customWidth="1"/>
    <col min="2314" max="2314" width="8.85546875" style="71" customWidth="1"/>
    <col min="2315" max="2315" width="9.42578125" style="71" bestFit="1" customWidth="1"/>
    <col min="2316" max="2326" width="6.85546875" style="71" customWidth="1"/>
    <col min="2327" max="2327" width="17" style="71" customWidth="1"/>
    <col min="2328" max="2328" width="8.140625" style="71" customWidth="1"/>
    <col min="2329" max="2329" width="29.28515625" style="71" customWidth="1"/>
    <col min="2330" max="2565" width="8.85546875" style="71"/>
    <col min="2566" max="2566" width="22.28515625" style="71" customWidth="1"/>
    <col min="2567" max="2567" width="33.42578125" style="71" customWidth="1"/>
    <col min="2568" max="2568" width="11.140625" style="71" bestFit="1" customWidth="1"/>
    <col min="2569" max="2569" width="16.28515625" style="71" bestFit="1" customWidth="1"/>
    <col min="2570" max="2570" width="8.85546875" style="71" customWidth="1"/>
    <col min="2571" max="2571" width="9.42578125" style="71" bestFit="1" customWidth="1"/>
    <col min="2572" max="2582" width="6.85546875" style="71" customWidth="1"/>
    <col min="2583" max="2583" width="17" style="71" customWidth="1"/>
    <col min="2584" max="2584" width="8.140625" style="71" customWidth="1"/>
    <col min="2585" max="2585" width="29.28515625" style="71" customWidth="1"/>
    <col min="2586" max="2821" width="8.85546875" style="71"/>
    <col min="2822" max="2822" width="22.28515625" style="71" customWidth="1"/>
    <col min="2823" max="2823" width="33.42578125" style="71" customWidth="1"/>
    <col min="2824" max="2824" width="11.140625" style="71" bestFit="1" customWidth="1"/>
    <col min="2825" max="2825" width="16.28515625" style="71" bestFit="1" customWidth="1"/>
    <col min="2826" max="2826" width="8.85546875" style="71" customWidth="1"/>
    <col min="2827" max="2827" width="9.42578125" style="71" bestFit="1" customWidth="1"/>
    <col min="2828" max="2838" width="6.85546875" style="71" customWidth="1"/>
    <col min="2839" max="2839" width="17" style="71" customWidth="1"/>
    <col min="2840" max="2840" width="8.140625" style="71" customWidth="1"/>
    <col min="2841" max="2841" width="29.28515625" style="71" customWidth="1"/>
    <col min="2842" max="3077" width="8.85546875" style="71"/>
    <col min="3078" max="3078" width="22.28515625" style="71" customWidth="1"/>
    <col min="3079" max="3079" width="33.42578125" style="71" customWidth="1"/>
    <col min="3080" max="3080" width="11.140625" style="71" bestFit="1" customWidth="1"/>
    <col min="3081" max="3081" width="16.28515625" style="71" bestFit="1" customWidth="1"/>
    <col min="3082" max="3082" width="8.85546875" style="71" customWidth="1"/>
    <col min="3083" max="3083" width="9.42578125" style="71" bestFit="1" customWidth="1"/>
    <col min="3084" max="3094" width="6.85546875" style="71" customWidth="1"/>
    <col min="3095" max="3095" width="17" style="71" customWidth="1"/>
    <col min="3096" max="3096" width="8.140625" style="71" customWidth="1"/>
    <col min="3097" max="3097" width="29.28515625" style="71" customWidth="1"/>
    <col min="3098" max="3333" width="8.85546875" style="71"/>
    <col min="3334" max="3334" width="22.28515625" style="71" customWidth="1"/>
    <col min="3335" max="3335" width="33.42578125" style="71" customWidth="1"/>
    <col min="3336" max="3336" width="11.140625" style="71" bestFit="1" customWidth="1"/>
    <col min="3337" max="3337" width="16.28515625" style="71" bestFit="1" customWidth="1"/>
    <col min="3338" max="3338" width="8.85546875" style="71" customWidth="1"/>
    <col min="3339" max="3339" width="9.42578125" style="71" bestFit="1" customWidth="1"/>
    <col min="3340" max="3350" width="6.85546875" style="71" customWidth="1"/>
    <col min="3351" max="3351" width="17" style="71" customWidth="1"/>
    <col min="3352" max="3352" width="8.140625" style="71" customWidth="1"/>
    <col min="3353" max="3353" width="29.28515625" style="71" customWidth="1"/>
    <col min="3354" max="3589" width="8.85546875" style="71"/>
    <col min="3590" max="3590" width="22.28515625" style="71" customWidth="1"/>
    <col min="3591" max="3591" width="33.42578125" style="71" customWidth="1"/>
    <col min="3592" max="3592" width="11.140625" style="71" bestFit="1" customWidth="1"/>
    <col min="3593" max="3593" width="16.28515625" style="71" bestFit="1" customWidth="1"/>
    <col min="3594" max="3594" width="8.85546875" style="71" customWidth="1"/>
    <col min="3595" max="3595" width="9.42578125" style="71" bestFit="1" customWidth="1"/>
    <col min="3596" max="3606" width="6.85546875" style="71" customWidth="1"/>
    <col min="3607" max="3607" width="17" style="71" customWidth="1"/>
    <col min="3608" max="3608" width="8.140625" style="71" customWidth="1"/>
    <col min="3609" max="3609" width="29.28515625" style="71" customWidth="1"/>
    <col min="3610" max="3845" width="8.85546875" style="71"/>
    <col min="3846" max="3846" width="22.28515625" style="71" customWidth="1"/>
    <col min="3847" max="3847" width="33.42578125" style="71" customWidth="1"/>
    <col min="3848" max="3848" width="11.140625" style="71" bestFit="1" customWidth="1"/>
    <col min="3849" max="3849" width="16.28515625" style="71" bestFit="1" customWidth="1"/>
    <col min="3850" max="3850" width="8.85546875" style="71" customWidth="1"/>
    <col min="3851" max="3851" width="9.42578125" style="71" bestFit="1" customWidth="1"/>
    <col min="3852" max="3862" width="6.85546875" style="71" customWidth="1"/>
    <col min="3863" max="3863" width="17" style="71" customWidth="1"/>
    <col min="3864" max="3864" width="8.140625" style="71" customWidth="1"/>
    <col min="3865" max="3865" width="29.28515625" style="71" customWidth="1"/>
    <col min="3866" max="4101" width="8.85546875" style="71"/>
    <col min="4102" max="4102" width="22.28515625" style="71" customWidth="1"/>
    <col min="4103" max="4103" width="33.42578125" style="71" customWidth="1"/>
    <col min="4104" max="4104" width="11.140625" style="71" bestFit="1" customWidth="1"/>
    <col min="4105" max="4105" width="16.28515625" style="71" bestFit="1" customWidth="1"/>
    <col min="4106" max="4106" width="8.85546875" style="71" customWidth="1"/>
    <col min="4107" max="4107" width="9.42578125" style="71" bestFit="1" customWidth="1"/>
    <col min="4108" max="4118" width="6.85546875" style="71" customWidth="1"/>
    <col min="4119" max="4119" width="17" style="71" customWidth="1"/>
    <col min="4120" max="4120" width="8.140625" style="71" customWidth="1"/>
    <col min="4121" max="4121" width="29.28515625" style="71" customWidth="1"/>
    <col min="4122" max="4357" width="8.85546875" style="71"/>
    <col min="4358" max="4358" width="22.28515625" style="71" customWidth="1"/>
    <col min="4359" max="4359" width="33.42578125" style="71" customWidth="1"/>
    <col min="4360" max="4360" width="11.140625" style="71" bestFit="1" customWidth="1"/>
    <col min="4361" max="4361" width="16.28515625" style="71" bestFit="1" customWidth="1"/>
    <col min="4362" max="4362" width="8.85546875" style="71" customWidth="1"/>
    <col min="4363" max="4363" width="9.42578125" style="71" bestFit="1" customWidth="1"/>
    <col min="4364" max="4374" width="6.85546875" style="71" customWidth="1"/>
    <col min="4375" max="4375" width="17" style="71" customWidth="1"/>
    <col min="4376" max="4376" width="8.140625" style="71" customWidth="1"/>
    <col min="4377" max="4377" width="29.28515625" style="71" customWidth="1"/>
    <col min="4378" max="4613" width="8.85546875" style="71"/>
    <col min="4614" max="4614" width="22.28515625" style="71" customWidth="1"/>
    <col min="4615" max="4615" width="33.42578125" style="71" customWidth="1"/>
    <col min="4616" max="4616" width="11.140625" style="71" bestFit="1" customWidth="1"/>
    <col min="4617" max="4617" width="16.28515625" style="71" bestFit="1" customWidth="1"/>
    <col min="4618" max="4618" width="8.85546875" style="71" customWidth="1"/>
    <col min="4619" max="4619" width="9.42578125" style="71" bestFit="1" customWidth="1"/>
    <col min="4620" max="4630" width="6.85546875" style="71" customWidth="1"/>
    <col min="4631" max="4631" width="17" style="71" customWidth="1"/>
    <col min="4632" max="4632" width="8.140625" style="71" customWidth="1"/>
    <col min="4633" max="4633" width="29.28515625" style="71" customWidth="1"/>
    <col min="4634" max="4869" width="8.85546875" style="71"/>
    <col min="4870" max="4870" width="22.28515625" style="71" customWidth="1"/>
    <col min="4871" max="4871" width="33.42578125" style="71" customWidth="1"/>
    <col min="4872" max="4872" width="11.140625" style="71" bestFit="1" customWidth="1"/>
    <col min="4873" max="4873" width="16.28515625" style="71" bestFit="1" customWidth="1"/>
    <col min="4874" max="4874" width="8.85546875" style="71" customWidth="1"/>
    <col min="4875" max="4875" width="9.42578125" style="71" bestFit="1" customWidth="1"/>
    <col min="4876" max="4886" width="6.85546875" style="71" customWidth="1"/>
    <col min="4887" max="4887" width="17" style="71" customWidth="1"/>
    <col min="4888" max="4888" width="8.140625" style="71" customWidth="1"/>
    <col min="4889" max="4889" width="29.28515625" style="71" customWidth="1"/>
    <col min="4890" max="5125" width="8.85546875" style="71"/>
    <col min="5126" max="5126" width="22.28515625" style="71" customWidth="1"/>
    <col min="5127" max="5127" width="33.42578125" style="71" customWidth="1"/>
    <col min="5128" max="5128" width="11.140625" style="71" bestFit="1" customWidth="1"/>
    <col min="5129" max="5129" width="16.28515625" style="71" bestFit="1" customWidth="1"/>
    <col min="5130" max="5130" width="8.85546875" style="71" customWidth="1"/>
    <col min="5131" max="5131" width="9.42578125" style="71" bestFit="1" customWidth="1"/>
    <col min="5132" max="5142" width="6.85546875" style="71" customWidth="1"/>
    <col min="5143" max="5143" width="17" style="71" customWidth="1"/>
    <col min="5144" max="5144" width="8.140625" style="71" customWidth="1"/>
    <col min="5145" max="5145" width="29.28515625" style="71" customWidth="1"/>
    <col min="5146" max="5381" width="8.85546875" style="71"/>
    <col min="5382" max="5382" width="22.28515625" style="71" customWidth="1"/>
    <col min="5383" max="5383" width="33.42578125" style="71" customWidth="1"/>
    <col min="5384" max="5384" width="11.140625" style="71" bestFit="1" customWidth="1"/>
    <col min="5385" max="5385" width="16.28515625" style="71" bestFit="1" customWidth="1"/>
    <col min="5386" max="5386" width="8.85546875" style="71" customWidth="1"/>
    <col min="5387" max="5387" width="9.42578125" style="71" bestFit="1" customWidth="1"/>
    <col min="5388" max="5398" width="6.85546875" style="71" customWidth="1"/>
    <col min="5399" max="5399" width="17" style="71" customWidth="1"/>
    <col min="5400" max="5400" width="8.140625" style="71" customWidth="1"/>
    <col min="5401" max="5401" width="29.28515625" style="71" customWidth="1"/>
    <col min="5402" max="5637" width="8.85546875" style="71"/>
    <col min="5638" max="5638" width="22.28515625" style="71" customWidth="1"/>
    <col min="5639" max="5639" width="33.42578125" style="71" customWidth="1"/>
    <col min="5640" max="5640" width="11.140625" style="71" bestFit="1" customWidth="1"/>
    <col min="5641" max="5641" width="16.28515625" style="71" bestFit="1" customWidth="1"/>
    <col min="5642" max="5642" width="8.85546875" style="71" customWidth="1"/>
    <col min="5643" max="5643" width="9.42578125" style="71" bestFit="1" customWidth="1"/>
    <col min="5644" max="5654" width="6.85546875" style="71" customWidth="1"/>
    <col min="5655" max="5655" width="17" style="71" customWidth="1"/>
    <col min="5656" max="5656" width="8.140625" style="71" customWidth="1"/>
    <col min="5657" max="5657" width="29.28515625" style="71" customWidth="1"/>
    <col min="5658" max="5893" width="8.85546875" style="71"/>
    <col min="5894" max="5894" width="22.28515625" style="71" customWidth="1"/>
    <col min="5895" max="5895" width="33.42578125" style="71" customWidth="1"/>
    <col min="5896" max="5896" width="11.140625" style="71" bestFit="1" customWidth="1"/>
    <col min="5897" max="5897" width="16.28515625" style="71" bestFit="1" customWidth="1"/>
    <col min="5898" max="5898" width="8.85546875" style="71" customWidth="1"/>
    <col min="5899" max="5899" width="9.42578125" style="71" bestFit="1" customWidth="1"/>
    <col min="5900" max="5910" width="6.85546875" style="71" customWidth="1"/>
    <col min="5911" max="5911" width="17" style="71" customWidth="1"/>
    <col min="5912" max="5912" width="8.140625" style="71" customWidth="1"/>
    <col min="5913" max="5913" width="29.28515625" style="71" customWidth="1"/>
    <col min="5914" max="6149" width="8.85546875" style="71"/>
    <col min="6150" max="6150" width="22.28515625" style="71" customWidth="1"/>
    <col min="6151" max="6151" width="33.42578125" style="71" customWidth="1"/>
    <col min="6152" max="6152" width="11.140625" style="71" bestFit="1" customWidth="1"/>
    <col min="6153" max="6153" width="16.28515625" style="71" bestFit="1" customWidth="1"/>
    <col min="6154" max="6154" width="8.85546875" style="71" customWidth="1"/>
    <col min="6155" max="6155" width="9.42578125" style="71" bestFit="1" customWidth="1"/>
    <col min="6156" max="6166" width="6.85546875" style="71" customWidth="1"/>
    <col min="6167" max="6167" width="17" style="71" customWidth="1"/>
    <col min="6168" max="6168" width="8.140625" style="71" customWidth="1"/>
    <col min="6169" max="6169" width="29.28515625" style="71" customWidth="1"/>
    <col min="6170" max="6405" width="8.85546875" style="71"/>
    <col min="6406" max="6406" width="22.28515625" style="71" customWidth="1"/>
    <col min="6407" max="6407" width="33.42578125" style="71" customWidth="1"/>
    <col min="6408" max="6408" width="11.140625" style="71" bestFit="1" customWidth="1"/>
    <col min="6409" max="6409" width="16.28515625" style="71" bestFit="1" customWidth="1"/>
    <col min="6410" max="6410" width="8.85546875" style="71" customWidth="1"/>
    <col min="6411" max="6411" width="9.42578125" style="71" bestFit="1" customWidth="1"/>
    <col min="6412" max="6422" width="6.85546875" style="71" customWidth="1"/>
    <col min="6423" max="6423" width="17" style="71" customWidth="1"/>
    <col min="6424" max="6424" width="8.140625" style="71" customWidth="1"/>
    <col min="6425" max="6425" width="29.28515625" style="71" customWidth="1"/>
    <col min="6426" max="6661" width="8.85546875" style="71"/>
    <col min="6662" max="6662" width="22.28515625" style="71" customWidth="1"/>
    <col min="6663" max="6663" width="33.42578125" style="71" customWidth="1"/>
    <col min="6664" max="6664" width="11.140625" style="71" bestFit="1" customWidth="1"/>
    <col min="6665" max="6665" width="16.28515625" style="71" bestFit="1" customWidth="1"/>
    <col min="6666" max="6666" width="8.85546875" style="71" customWidth="1"/>
    <col min="6667" max="6667" width="9.42578125" style="71" bestFit="1" customWidth="1"/>
    <col min="6668" max="6678" width="6.85546875" style="71" customWidth="1"/>
    <col min="6679" max="6679" width="17" style="71" customWidth="1"/>
    <col min="6680" max="6680" width="8.140625" style="71" customWidth="1"/>
    <col min="6681" max="6681" width="29.28515625" style="71" customWidth="1"/>
    <col min="6682" max="6917" width="8.85546875" style="71"/>
    <col min="6918" max="6918" width="22.28515625" style="71" customWidth="1"/>
    <col min="6919" max="6919" width="33.42578125" style="71" customWidth="1"/>
    <col min="6920" max="6920" width="11.140625" style="71" bestFit="1" customWidth="1"/>
    <col min="6921" max="6921" width="16.28515625" style="71" bestFit="1" customWidth="1"/>
    <col min="6922" max="6922" width="8.85546875" style="71" customWidth="1"/>
    <col min="6923" max="6923" width="9.42578125" style="71" bestFit="1" customWidth="1"/>
    <col min="6924" max="6934" width="6.85546875" style="71" customWidth="1"/>
    <col min="6935" max="6935" width="17" style="71" customWidth="1"/>
    <col min="6936" max="6936" width="8.140625" style="71" customWidth="1"/>
    <col min="6937" max="6937" width="29.28515625" style="71" customWidth="1"/>
    <col min="6938" max="7173" width="8.85546875" style="71"/>
    <col min="7174" max="7174" width="22.28515625" style="71" customWidth="1"/>
    <col min="7175" max="7175" width="33.42578125" style="71" customWidth="1"/>
    <col min="7176" max="7176" width="11.140625" style="71" bestFit="1" customWidth="1"/>
    <col min="7177" max="7177" width="16.28515625" style="71" bestFit="1" customWidth="1"/>
    <col min="7178" max="7178" width="8.85546875" style="71" customWidth="1"/>
    <col min="7179" max="7179" width="9.42578125" style="71" bestFit="1" customWidth="1"/>
    <col min="7180" max="7190" width="6.85546875" style="71" customWidth="1"/>
    <col min="7191" max="7191" width="17" style="71" customWidth="1"/>
    <col min="7192" max="7192" width="8.140625" style="71" customWidth="1"/>
    <col min="7193" max="7193" width="29.28515625" style="71" customWidth="1"/>
    <col min="7194" max="7429" width="8.85546875" style="71"/>
    <col min="7430" max="7430" width="22.28515625" style="71" customWidth="1"/>
    <col min="7431" max="7431" width="33.42578125" style="71" customWidth="1"/>
    <col min="7432" max="7432" width="11.140625" style="71" bestFit="1" customWidth="1"/>
    <col min="7433" max="7433" width="16.28515625" style="71" bestFit="1" customWidth="1"/>
    <col min="7434" max="7434" width="8.85546875" style="71" customWidth="1"/>
    <col min="7435" max="7435" width="9.42578125" style="71" bestFit="1" customWidth="1"/>
    <col min="7436" max="7446" width="6.85546875" style="71" customWidth="1"/>
    <col min="7447" max="7447" width="17" style="71" customWidth="1"/>
    <col min="7448" max="7448" width="8.140625" style="71" customWidth="1"/>
    <col min="7449" max="7449" width="29.28515625" style="71" customWidth="1"/>
    <col min="7450" max="7685" width="8.85546875" style="71"/>
    <col min="7686" max="7686" width="22.28515625" style="71" customWidth="1"/>
    <col min="7687" max="7687" width="33.42578125" style="71" customWidth="1"/>
    <col min="7688" max="7688" width="11.140625" style="71" bestFit="1" customWidth="1"/>
    <col min="7689" max="7689" width="16.28515625" style="71" bestFit="1" customWidth="1"/>
    <col min="7690" max="7690" width="8.85546875" style="71" customWidth="1"/>
    <col min="7691" max="7691" width="9.42578125" style="71" bestFit="1" customWidth="1"/>
    <col min="7692" max="7702" width="6.85546875" style="71" customWidth="1"/>
    <col min="7703" max="7703" width="17" style="71" customWidth="1"/>
    <col min="7704" max="7704" width="8.140625" style="71" customWidth="1"/>
    <col min="7705" max="7705" width="29.28515625" style="71" customWidth="1"/>
    <col min="7706" max="7941" width="8.85546875" style="71"/>
    <col min="7942" max="7942" width="22.28515625" style="71" customWidth="1"/>
    <col min="7943" max="7943" width="33.42578125" style="71" customWidth="1"/>
    <col min="7944" max="7944" width="11.140625" style="71" bestFit="1" customWidth="1"/>
    <col min="7945" max="7945" width="16.28515625" style="71" bestFit="1" customWidth="1"/>
    <col min="7946" max="7946" width="8.85546875" style="71" customWidth="1"/>
    <col min="7947" max="7947" width="9.42578125" style="71" bestFit="1" customWidth="1"/>
    <col min="7948" max="7958" width="6.85546875" style="71" customWidth="1"/>
    <col min="7959" max="7959" width="17" style="71" customWidth="1"/>
    <col min="7960" max="7960" width="8.140625" style="71" customWidth="1"/>
    <col min="7961" max="7961" width="29.28515625" style="71" customWidth="1"/>
    <col min="7962" max="8197" width="8.85546875" style="71"/>
    <col min="8198" max="8198" width="22.28515625" style="71" customWidth="1"/>
    <col min="8199" max="8199" width="33.42578125" style="71" customWidth="1"/>
    <col min="8200" max="8200" width="11.140625" style="71" bestFit="1" customWidth="1"/>
    <col min="8201" max="8201" width="16.28515625" style="71" bestFit="1" customWidth="1"/>
    <col min="8202" max="8202" width="8.85546875" style="71" customWidth="1"/>
    <col min="8203" max="8203" width="9.42578125" style="71" bestFit="1" customWidth="1"/>
    <col min="8204" max="8214" width="6.85546875" style="71" customWidth="1"/>
    <col min="8215" max="8215" width="17" style="71" customWidth="1"/>
    <col min="8216" max="8216" width="8.140625" style="71" customWidth="1"/>
    <col min="8217" max="8217" width="29.28515625" style="71" customWidth="1"/>
    <col min="8218" max="8453" width="8.85546875" style="71"/>
    <col min="8454" max="8454" width="22.28515625" style="71" customWidth="1"/>
    <col min="8455" max="8455" width="33.42578125" style="71" customWidth="1"/>
    <col min="8456" max="8456" width="11.140625" style="71" bestFit="1" customWidth="1"/>
    <col min="8457" max="8457" width="16.28515625" style="71" bestFit="1" customWidth="1"/>
    <col min="8458" max="8458" width="8.85546875" style="71" customWidth="1"/>
    <col min="8459" max="8459" width="9.42578125" style="71" bestFit="1" customWidth="1"/>
    <col min="8460" max="8470" width="6.85546875" style="71" customWidth="1"/>
    <col min="8471" max="8471" width="17" style="71" customWidth="1"/>
    <col min="8472" max="8472" width="8.140625" style="71" customWidth="1"/>
    <col min="8473" max="8473" width="29.28515625" style="71" customWidth="1"/>
    <col min="8474" max="8709" width="8.85546875" style="71"/>
    <col min="8710" max="8710" width="22.28515625" style="71" customWidth="1"/>
    <col min="8711" max="8711" width="33.42578125" style="71" customWidth="1"/>
    <col min="8712" max="8712" width="11.140625" style="71" bestFit="1" customWidth="1"/>
    <col min="8713" max="8713" width="16.28515625" style="71" bestFit="1" customWidth="1"/>
    <col min="8714" max="8714" width="8.85546875" style="71" customWidth="1"/>
    <col min="8715" max="8715" width="9.42578125" style="71" bestFit="1" customWidth="1"/>
    <col min="8716" max="8726" width="6.85546875" style="71" customWidth="1"/>
    <col min="8727" max="8727" width="17" style="71" customWidth="1"/>
    <col min="8728" max="8728" width="8.140625" style="71" customWidth="1"/>
    <col min="8729" max="8729" width="29.28515625" style="71" customWidth="1"/>
    <col min="8730" max="8965" width="8.85546875" style="71"/>
    <col min="8966" max="8966" width="22.28515625" style="71" customWidth="1"/>
    <col min="8967" max="8967" width="33.42578125" style="71" customWidth="1"/>
    <col min="8968" max="8968" width="11.140625" style="71" bestFit="1" customWidth="1"/>
    <col min="8969" max="8969" width="16.28515625" style="71" bestFit="1" customWidth="1"/>
    <col min="8970" max="8970" width="8.85546875" style="71" customWidth="1"/>
    <col min="8971" max="8971" width="9.42578125" style="71" bestFit="1" customWidth="1"/>
    <col min="8972" max="8982" width="6.85546875" style="71" customWidth="1"/>
    <col min="8983" max="8983" width="17" style="71" customWidth="1"/>
    <col min="8984" max="8984" width="8.140625" style="71" customWidth="1"/>
    <col min="8985" max="8985" width="29.28515625" style="71" customWidth="1"/>
    <col min="8986" max="9221" width="8.85546875" style="71"/>
    <col min="9222" max="9222" width="22.28515625" style="71" customWidth="1"/>
    <col min="9223" max="9223" width="33.42578125" style="71" customWidth="1"/>
    <col min="9224" max="9224" width="11.140625" style="71" bestFit="1" customWidth="1"/>
    <col min="9225" max="9225" width="16.28515625" style="71" bestFit="1" customWidth="1"/>
    <col min="9226" max="9226" width="8.85546875" style="71" customWidth="1"/>
    <col min="9227" max="9227" width="9.42578125" style="71" bestFit="1" customWidth="1"/>
    <col min="9228" max="9238" width="6.85546875" style="71" customWidth="1"/>
    <col min="9239" max="9239" width="17" style="71" customWidth="1"/>
    <col min="9240" max="9240" width="8.140625" style="71" customWidth="1"/>
    <col min="9241" max="9241" width="29.28515625" style="71" customWidth="1"/>
    <col min="9242" max="9477" width="8.85546875" style="71"/>
    <col min="9478" max="9478" width="22.28515625" style="71" customWidth="1"/>
    <col min="9479" max="9479" width="33.42578125" style="71" customWidth="1"/>
    <col min="9480" max="9480" width="11.140625" style="71" bestFit="1" customWidth="1"/>
    <col min="9481" max="9481" width="16.28515625" style="71" bestFit="1" customWidth="1"/>
    <col min="9482" max="9482" width="8.85546875" style="71" customWidth="1"/>
    <col min="9483" max="9483" width="9.42578125" style="71" bestFit="1" customWidth="1"/>
    <col min="9484" max="9494" width="6.85546875" style="71" customWidth="1"/>
    <col min="9495" max="9495" width="17" style="71" customWidth="1"/>
    <col min="9496" max="9496" width="8.140625" style="71" customWidth="1"/>
    <col min="9497" max="9497" width="29.28515625" style="71" customWidth="1"/>
    <col min="9498" max="9733" width="8.85546875" style="71"/>
    <col min="9734" max="9734" width="22.28515625" style="71" customWidth="1"/>
    <col min="9735" max="9735" width="33.42578125" style="71" customWidth="1"/>
    <col min="9736" max="9736" width="11.140625" style="71" bestFit="1" customWidth="1"/>
    <col min="9737" max="9737" width="16.28515625" style="71" bestFit="1" customWidth="1"/>
    <col min="9738" max="9738" width="8.85546875" style="71" customWidth="1"/>
    <col min="9739" max="9739" width="9.42578125" style="71" bestFit="1" customWidth="1"/>
    <col min="9740" max="9750" width="6.85546875" style="71" customWidth="1"/>
    <col min="9751" max="9751" width="17" style="71" customWidth="1"/>
    <col min="9752" max="9752" width="8.140625" style="71" customWidth="1"/>
    <col min="9753" max="9753" width="29.28515625" style="71" customWidth="1"/>
    <col min="9754" max="9989" width="8.85546875" style="71"/>
    <col min="9990" max="9990" width="22.28515625" style="71" customWidth="1"/>
    <col min="9991" max="9991" width="33.42578125" style="71" customWidth="1"/>
    <col min="9992" max="9992" width="11.140625" style="71" bestFit="1" customWidth="1"/>
    <col min="9993" max="9993" width="16.28515625" style="71" bestFit="1" customWidth="1"/>
    <col min="9994" max="9994" width="8.85546875" style="71" customWidth="1"/>
    <col min="9995" max="9995" width="9.42578125" style="71" bestFit="1" customWidth="1"/>
    <col min="9996" max="10006" width="6.85546875" style="71" customWidth="1"/>
    <col min="10007" max="10007" width="17" style="71" customWidth="1"/>
    <col min="10008" max="10008" width="8.140625" style="71" customWidth="1"/>
    <col min="10009" max="10009" width="29.28515625" style="71" customWidth="1"/>
    <col min="10010" max="10245" width="8.85546875" style="71"/>
    <col min="10246" max="10246" width="22.28515625" style="71" customWidth="1"/>
    <col min="10247" max="10247" width="33.42578125" style="71" customWidth="1"/>
    <col min="10248" max="10248" width="11.140625" style="71" bestFit="1" customWidth="1"/>
    <col min="10249" max="10249" width="16.28515625" style="71" bestFit="1" customWidth="1"/>
    <col min="10250" max="10250" width="8.85546875" style="71" customWidth="1"/>
    <col min="10251" max="10251" width="9.42578125" style="71" bestFit="1" customWidth="1"/>
    <col min="10252" max="10262" width="6.85546875" style="71" customWidth="1"/>
    <col min="10263" max="10263" width="17" style="71" customWidth="1"/>
    <col min="10264" max="10264" width="8.140625" style="71" customWidth="1"/>
    <col min="10265" max="10265" width="29.28515625" style="71" customWidth="1"/>
    <col min="10266" max="10501" width="8.85546875" style="71"/>
    <col min="10502" max="10502" width="22.28515625" style="71" customWidth="1"/>
    <col min="10503" max="10503" width="33.42578125" style="71" customWidth="1"/>
    <col min="10504" max="10504" width="11.140625" style="71" bestFit="1" customWidth="1"/>
    <col min="10505" max="10505" width="16.28515625" style="71" bestFit="1" customWidth="1"/>
    <col min="10506" max="10506" width="8.85546875" style="71" customWidth="1"/>
    <col min="10507" max="10507" width="9.42578125" style="71" bestFit="1" customWidth="1"/>
    <col min="10508" max="10518" width="6.85546875" style="71" customWidth="1"/>
    <col min="10519" max="10519" width="17" style="71" customWidth="1"/>
    <col min="10520" max="10520" width="8.140625" style="71" customWidth="1"/>
    <col min="10521" max="10521" width="29.28515625" style="71" customWidth="1"/>
    <col min="10522" max="10757" width="8.85546875" style="71"/>
    <col min="10758" max="10758" width="22.28515625" style="71" customWidth="1"/>
    <col min="10759" max="10759" width="33.42578125" style="71" customWidth="1"/>
    <col min="10760" max="10760" width="11.140625" style="71" bestFit="1" customWidth="1"/>
    <col min="10761" max="10761" width="16.28515625" style="71" bestFit="1" customWidth="1"/>
    <col min="10762" max="10762" width="8.85546875" style="71" customWidth="1"/>
    <col min="10763" max="10763" width="9.42578125" style="71" bestFit="1" customWidth="1"/>
    <col min="10764" max="10774" width="6.85546875" style="71" customWidth="1"/>
    <col min="10775" max="10775" width="17" style="71" customWidth="1"/>
    <col min="10776" max="10776" width="8.140625" style="71" customWidth="1"/>
    <col min="10777" max="10777" width="29.28515625" style="71" customWidth="1"/>
    <col min="10778" max="11013" width="8.85546875" style="71"/>
    <col min="11014" max="11014" width="22.28515625" style="71" customWidth="1"/>
    <col min="11015" max="11015" width="33.42578125" style="71" customWidth="1"/>
    <col min="11016" max="11016" width="11.140625" style="71" bestFit="1" customWidth="1"/>
    <col min="11017" max="11017" width="16.28515625" style="71" bestFit="1" customWidth="1"/>
    <col min="11018" max="11018" width="8.85546875" style="71" customWidth="1"/>
    <col min="11019" max="11019" width="9.42578125" style="71" bestFit="1" customWidth="1"/>
    <col min="11020" max="11030" width="6.85546875" style="71" customWidth="1"/>
    <col min="11031" max="11031" width="17" style="71" customWidth="1"/>
    <col min="11032" max="11032" width="8.140625" style="71" customWidth="1"/>
    <col min="11033" max="11033" width="29.28515625" style="71" customWidth="1"/>
    <col min="11034" max="11269" width="8.85546875" style="71"/>
    <col min="11270" max="11270" width="22.28515625" style="71" customWidth="1"/>
    <col min="11271" max="11271" width="33.42578125" style="71" customWidth="1"/>
    <col min="11272" max="11272" width="11.140625" style="71" bestFit="1" customWidth="1"/>
    <col min="11273" max="11273" width="16.28515625" style="71" bestFit="1" customWidth="1"/>
    <col min="11274" max="11274" width="8.85546875" style="71" customWidth="1"/>
    <col min="11275" max="11275" width="9.42578125" style="71" bestFit="1" customWidth="1"/>
    <col min="11276" max="11286" width="6.85546875" style="71" customWidth="1"/>
    <col min="11287" max="11287" width="17" style="71" customWidth="1"/>
    <col min="11288" max="11288" width="8.140625" style="71" customWidth="1"/>
    <col min="11289" max="11289" width="29.28515625" style="71" customWidth="1"/>
    <col min="11290" max="11525" width="8.85546875" style="71"/>
    <col min="11526" max="11526" width="22.28515625" style="71" customWidth="1"/>
    <col min="11527" max="11527" width="33.42578125" style="71" customWidth="1"/>
    <col min="11528" max="11528" width="11.140625" style="71" bestFit="1" customWidth="1"/>
    <col min="11529" max="11529" width="16.28515625" style="71" bestFit="1" customWidth="1"/>
    <col min="11530" max="11530" width="8.85546875" style="71" customWidth="1"/>
    <col min="11531" max="11531" width="9.42578125" style="71" bestFit="1" customWidth="1"/>
    <col min="11532" max="11542" width="6.85546875" style="71" customWidth="1"/>
    <col min="11543" max="11543" width="17" style="71" customWidth="1"/>
    <col min="11544" max="11544" width="8.140625" style="71" customWidth="1"/>
    <col min="11545" max="11545" width="29.28515625" style="71" customWidth="1"/>
    <col min="11546" max="11781" width="8.85546875" style="71"/>
    <col min="11782" max="11782" width="22.28515625" style="71" customWidth="1"/>
    <col min="11783" max="11783" width="33.42578125" style="71" customWidth="1"/>
    <col min="11784" max="11784" width="11.140625" style="71" bestFit="1" customWidth="1"/>
    <col min="11785" max="11785" width="16.28515625" style="71" bestFit="1" customWidth="1"/>
    <col min="11786" max="11786" width="8.85546875" style="71" customWidth="1"/>
    <col min="11787" max="11787" width="9.42578125" style="71" bestFit="1" customWidth="1"/>
    <col min="11788" max="11798" width="6.85546875" style="71" customWidth="1"/>
    <col min="11799" max="11799" width="17" style="71" customWidth="1"/>
    <col min="11800" max="11800" width="8.140625" style="71" customWidth="1"/>
    <col min="11801" max="11801" width="29.28515625" style="71" customWidth="1"/>
    <col min="11802" max="12037" width="8.85546875" style="71"/>
    <col min="12038" max="12038" width="22.28515625" style="71" customWidth="1"/>
    <col min="12039" max="12039" width="33.42578125" style="71" customWidth="1"/>
    <col min="12040" max="12040" width="11.140625" style="71" bestFit="1" customWidth="1"/>
    <col min="12041" max="12041" width="16.28515625" style="71" bestFit="1" customWidth="1"/>
    <col min="12042" max="12042" width="8.85546875" style="71" customWidth="1"/>
    <col min="12043" max="12043" width="9.42578125" style="71" bestFit="1" customWidth="1"/>
    <col min="12044" max="12054" width="6.85546875" style="71" customWidth="1"/>
    <col min="12055" max="12055" width="17" style="71" customWidth="1"/>
    <col min="12056" max="12056" width="8.140625" style="71" customWidth="1"/>
    <col min="12057" max="12057" width="29.28515625" style="71" customWidth="1"/>
    <col min="12058" max="12293" width="8.85546875" style="71"/>
    <col min="12294" max="12294" width="22.28515625" style="71" customWidth="1"/>
    <col min="12295" max="12295" width="33.42578125" style="71" customWidth="1"/>
    <col min="12296" max="12296" width="11.140625" style="71" bestFit="1" customWidth="1"/>
    <col min="12297" max="12297" width="16.28515625" style="71" bestFit="1" customWidth="1"/>
    <col min="12298" max="12298" width="8.85546875" style="71" customWidth="1"/>
    <col min="12299" max="12299" width="9.42578125" style="71" bestFit="1" customWidth="1"/>
    <col min="12300" max="12310" width="6.85546875" style="71" customWidth="1"/>
    <col min="12311" max="12311" width="17" style="71" customWidth="1"/>
    <col min="12312" max="12312" width="8.140625" style="71" customWidth="1"/>
    <col min="12313" max="12313" width="29.28515625" style="71" customWidth="1"/>
    <col min="12314" max="12549" width="8.85546875" style="71"/>
    <col min="12550" max="12550" width="22.28515625" style="71" customWidth="1"/>
    <col min="12551" max="12551" width="33.42578125" style="71" customWidth="1"/>
    <col min="12552" max="12552" width="11.140625" style="71" bestFit="1" customWidth="1"/>
    <col min="12553" max="12553" width="16.28515625" style="71" bestFit="1" customWidth="1"/>
    <col min="12554" max="12554" width="8.85546875" style="71" customWidth="1"/>
    <col min="12555" max="12555" width="9.42578125" style="71" bestFit="1" customWidth="1"/>
    <col min="12556" max="12566" width="6.85546875" style="71" customWidth="1"/>
    <col min="12567" max="12567" width="17" style="71" customWidth="1"/>
    <col min="12568" max="12568" width="8.140625" style="71" customWidth="1"/>
    <col min="12569" max="12569" width="29.28515625" style="71" customWidth="1"/>
    <col min="12570" max="12805" width="8.85546875" style="71"/>
    <col min="12806" max="12806" width="22.28515625" style="71" customWidth="1"/>
    <col min="12807" max="12807" width="33.42578125" style="71" customWidth="1"/>
    <col min="12808" max="12808" width="11.140625" style="71" bestFit="1" customWidth="1"/>
    <col min="12809" max="12809" width="16.28515625" style="71" bestFit="1" customWidth="1"/>
    <col min="12810" max="12810" width="8.85546875" style="71" customWidth="1"/>
    <col min="12811" max="12811" width="9.42578125" style="71" bestFit="1" customWidth="1"/>
    <col min="12812" max="12822" width="6.85546875" style="71" customWidth="1"/>
    <col min="12823" max="12823" width="17" style="71" customWidth="1"/>
    <col min="12824" max="12824" width="8.140625" style="71" customWidth="1"/>
    <col min="12825" max="12825" width="29.28515625" style="71" customWidth="1"/>
    <col min="12826" max="13061" width="8.85546875" style="71"/>
    <col min="13062" max="13062" width="22.28515625" style="71" customWidth="1"/>
    <col min="13063" max="13063" width="33.42578125" style="71" customWidth="1"/>
    <col min="13064" max="13064" width="11.140625" style="71" bestFit="1" customWidth="1"/>
    <col min="13065" max="13065" width="16.28515625" style="71" bestFit="1" customWidth="1"/>
    <col min="13066" max="13066" width="8.85546875" style="71" customWidth="1"/>
    <col min="13067" max="13067" width="9.42578125" style="71" bestFit="1" customWidth="1"/>
    <col min="13068" max="13078" width="6.85546875" style="71" customWidth="1"/>
    <col min="13079" max="13079" width="17" style="71" customWidth="1"/>
    <col min="13080" max="13080" width="8.140625" style="71" customWidth="1"/>
    <col min="13081" max="13081" width="29.28515625" style="71" customWidth="1"/>
    <col min="13082" max="13317" width="8.85546875" style="71"/>
    <col min="13318" max="13318" width="22.28515625" style="71" customWidth="1"/>
    <col min="13319" max="13319" width="33.42578125" style="71" customWidth="1"/>
    <col min="13320" max="13320" width="11.140625" style="71" bestFit="1" customWidth="1"/>
    <col min="13321" max="13321" width="16.28515625" style="71" bestFit="1" customWidth="1"/>
    <col min="13322" max="13322" width="8.85546875" style="71" customWidth="1"/>
    <col min="13323" max="13323" width="9.42578125" style="71" bestFit="1" customWidth="1"/>
    <col min="13324" max="13334" width="6.85546875" style="71" customWidth="1"/>
    <col min="13335" max="13335" width="17" style="71" customWidth="1"/>
    <col min="13336" max="13336" width="8.140625" style="71" customWidth="1"/>
    <col min="13337" max="13337" width="29.28515625" style="71" customWidth="1"/>
    <col min="13338" max="13573" width="8.85546875" style="71"/>
    <col min="13574" max="13574" width="22.28515625" style="71" customWidth="1"/>
    <col min="13575" max="13575" width="33.42578125" style="71" customWidth="1"/>
    <col min="13576" max="13576" width="11.140625" style="71" bestFit="1" customWidth="1"/>
    <col min="13577" max="13577" width="16.28515625" style="71" bestFit="1" customWidth="1"/>
    <col min="13578" max="13578" width="8.85546875" style="71" customWidth="1"/>
    <col min="13579" max="13579" width="9.42578125" style="71" bestFit="1" customWidth="1"/>
    <col min="13580" max="13590" width="6.85546875" style="71" customWidth="1"/>
    <col min="13591" max="13591" width="17" style="71" customWidth="1"/>
    <col min="13592" max="13592" width="8.140625" style="71" customWidth="1"/>
    <col min="13593" max="13593" width="29.28515625" style="71" customWidth="1"/>
    <col min="13594" max="13829" width="8.85546875" style="71"/>
    <col min="13830" max="13830" width="22.28515625" style="71" customWidth="1"/>
    <col min="13831" max="13831" width="33.42578125" style="71" customWidth="1"/>
    <col min="13832" max="13832" width="11.140625" style="71" bestFit="1" customWidth="1"/>
    <col min="13833" max="13833" width="16.28515625" style="71" bestFit="1" customWidth="1"/>
    <col min="13834" max="13834" width="8.85546875" style="71" customWidth="1"/>
    <col min="13835" max="13835" width="9.42578125" style="71" bestFit="1" customWidth="1"/>
    <col min="13836" max="13846" width="6.85546875" style="71" customWidth="1"/>
    <col min="13847" max="13847" width="17" style="71" customWidth="1"/>
    <col min="13848" max="13848" width="8.140625" style="71" customWidth="1"/>
    <col min="13849" max="13849" width="29.28515625" style="71" customWidth="1"/>
    <col min="13850" max="14085" width="8.85546875" style="71"/>
    <col min="14086" max="14086" width="22.28515625" style="71" customWidth="1"/>
    <col min="14087" max="14087" width="33.42578125" style="71" customWidth="1"/>
    <col min="14088" max="14088" width="11.140625" style="71" bestFit="1" customWidth="1"/>
    <col min="14089" max="14089" width="16.28515625" style="71" bestFit="1" customWidth="1"/>
    <col min="14090" max="14090" width="8.85546875" style="71" customWidth="1"/>
    <col min="14091" max="14091" width="9.42578125" style="71" bestFit="1" customWidth="1"/>
    <col min="14092" max="14102" width="6.85546875" style="71" customWidth="1"/>
    <col min="14103" max="14103" width="17" style="71" customWidth="1"/>
    <col min="14104" max="14104" width="8.140625" style="71" customWidth="1"/>
    <col min="14105" max="14105" width="29.28515625" style="71" customWidth="1"/>
    <col min="14106" max="14341" width="8.85546875" style="71"/>
    <col min="14342" max="14342" width="22.28515625" style="71" customWidth="1"/>
    <col min="14343" max="14343" width="33.42578125" style="71" customWidth="1"/>
    <col min="14344" max="14344" width="11.140625" style="71" bestFit="1" customWidth="1"/>
    <col min="14345" max="14345" width="16.28515625" style="71" bestFit="1" customWidth="1"/>
    <col min="14346" max="14346" width="8.85546875" style="71" customWidth="1"/>
    <col min="14347" max="14347" width="9.42578125" style="71" bestFit="1" customWidth="1"/>
    <col min="14348" max="14358" width="6.85546875" style="71" customWidth="1"/>
    <col min="14359" max="14359" width="17" style="71" customWidth="1"/>
    <col min="14360" max="14360" width="8.140625" style="71" customWidth="1"/>
    <col min="14361" max="14361" width="29.28515625" style="71" customWidth="1"/>
    <col min="14362" max="14597" width="8.85546875" style="71"/>
    <col min="14598" max="14598" width="22.28515625" style="71" customWidth="1"/>
    <col min="14599" max="14599" width="33.42578125" style="71" customWidth="1"/>
    <col min="14600" max="14600" width="11.140625" style="71" bestFit="1" customWidth="1"/>
    <col min="14601" max="14601" width="16.28515625" style="71" bestFit="1" customWidth="1"/>
    <col min="14602" max="14602" width="8.85546875" style="71" customWidth="1"/>
    <col min="14603" max="14603" width="9.42578125" style="71" bestFit="1" customWidth="1"/>
    <col min="14604" max="14614" width="6.85546875" style="71" customWidth="1"/>
    <col min="14615" max="14615" width="17" style="71" customWidth="1"/>
    <col min="14616" max="14616" width="8.140625" style="71" customWidth="1"/>
    <col min="14617" max="14617" width="29.28515625" style="71" customWidth="1"/>
    <col min="14618" max="14853" width="8.85546875" style="71"/>
    <col min="14854" max="14854" width="22.28515625" style="71" customWidth="1"/>
    <col min="14855" max="14855" width="33.42578125" style="71" customWidth="1"/>
    <col min="14856" max="14856" width="11.140625" style="71" bestFit="1" customWidth="1"/>
    <col min="14857" max="14857" width="16.28515625" style="71" bestFit="1" customWidth="1"/>
    <col min="14858" max="14858" width="8.85546875" style="71" customWidth="1"/>
    <col min="14859" max="14859" width="9.42578125" style="71" bestFit="1" customWidth="1"/>
    <col min="14860" max="14870" width="6.85546875" style="71" customWidth="1"/>
    <col min="14871" max="14871" width="17" style="71" customWidth="1"/>
    <col min="14872" max="14872" width="8.140625" style="71" customWidth="1"/>
    <col min="14873" max="14873" width="29.28515625" style="71" customWidth="1"/>
    <col min="14874" max="15109" width="8.85546875" style="71"/>
    <col min="15110" max="15110" width="22.28515625" style="71" customWidth="1"/>
    <col min="15111" max="15111" width="33.42578125" style="71" customWidth="1"/>
    <col min="15112" max="15112" width="11.140625" style="71" bestFit="1" customWidth="1"/>
    <col min="15113" max="15113" width="16.28515625" style="71" bestFit="1" customWidth="1"/>
    <col min="15114" max="15114" width="8.85546875" style="71" customWidth="1"/>
    <col min="15115" max="15115" width="9.42578125" style="71" bestFit="1" customWidth="1"/>
    <col min="15116" max="15126" width="6.85546875" style="71" customWidth="1"/>
    <col min="15127" max="15127" width="17" style="71" customWidth="1"/>
    <col min="15128" max="15128" width="8.140625" style="71" customWidth="1"/>
    <col min="15129" max="15129" width="29.28515625" style="71" customWidth="1"/>
    <col min="15130" max="15365" width="8.85546875" style="71"/>
    <col min="15366" max="15366" width="22.28515625" style="71" customWidth="1"/>
    <col min="15367" max="15367" width="33.42578125" style="71" customWidth="1"/>
    <col min="15368" max="15368" width="11.140625" style="71" bestFit="1" customWidth="1"/>
    <col min="15369" max="15369" width="16.28515625" style="71" bestFit="1" customWidth="1"/>
    <col min="15370" max="15370" width="8.85546875" style="71" customWidth="1"/>
    <col min="15371" max="15371" width="9.42578125" style="71" bestFit="1" customWidth="1"/>
    <col min="15372" max="15382" width="6.85546875" style="71" customWidth="1"/>
    <col min="15383" max="15383" width="17" style="71" customWidth="1"/>
    <col min="15384" max="15384" width="8.140625" style="71" customWidth="1"/>
    <col min="15385" max="15385" width="29.28515625" style="71" customWidth="1"/>
    <col min="15386" max="15621" width="8.85546875" style="71"/>
    <col min="15622" max="15622" width="22.28515625" style="71" customWidth="1"/>
    <col min="15623" max="15623" width="33.42578125" style="71" customWidth="1"/>
    <col min="15624" max="15624" width="11.140625" style="71" bestFit="1" customWidth="1"/>
    <col min="15625" max="15625" width="16.28515625" style="71" bestFit="1" customWidth="1"/>
    <col min="15626" max="15626" width="8.85546875" style="71" customWidth="1"/>
    <col min="15627" max="15627" width="9.42578125" style="71" bestFit="1" customWidth="1"/>
    <col min="15628" max="15638" width="6.85546875" style="71" customWidth="1"/>
    <col min="15639" max="15639" width="17" style="71" customWidth="1"/>
    <col min="15640" max="15640" width="8.140625" style="71" customWidth="1"/>
    <col min="15641" max="15641" width="29.28515625" style="71" customWidth="1"/>
    <col min="15642" max="15877" width="8.85546875" style="71"/>
    <col min="15878" max="15878" width="22.28515625" style="71" customWidth="1"/>
    <col min="15879" max="15879" width="33.42578125" style="71" customWidth="1"/>
    <col min="15880" max="15880" width="11.140625" style="71" bestFit="1" customWidth="1"/>
    <col min="15881" max="15881" width="16.28515625" style="71" bestFit="1" customWidth="1"/>
    <col min="15882" max="15882" width="8.85546875" style="71" customWidth="1"/>
    <col min="15883" max="15883" width="9.42578125" style="71" bestFit="1" customWidth="1"/>
    <col min="15884" max="15894" width="6.85546875" style="71" customWidth="1"/>
    <col min="15895" max="15895" width="17" style="71" customWidth="1"/>
    <col min="15896" max="15896" width="8.140625" style="71" customWidth="1"/>
    <col min="15897" max="15897" width="29.28515625" style="71" customWidth="1"/>
    <col min="15898" max="16133" width="8.85546875" style="71"/>
    <col min="16134" max="16134" width="22.28515625" style="71" customWidth="1"/>
    <col min="16135" max="16135" width="33.42578125" style="71" customWidth="1"/>
    <col min="16136" max="16136" width="11.140625" style="71" bestFit="1" customWidth="1"/>
    <col min="16137" max="16137" width="16.28515625" style="71" bestFit="1" customWidth="1"/>
    <col min="16138" max="16138" width="8.85546875" style="71" customWidth="1"/>
    <col min="16139" max="16139" width="9.42578125" style="71" bestFit="1" customWidth="1"/>
    <col min="16140" max="16150" width="6.85546875" style="71" customWidth="1"/>
    <col min="16151" max="16151" width="17" style="71" customWidth="1"/>
    <col min="16152" max="16152" width="8.140625" style="71" customWidth="1"/>
    <col min="16153" max="16153" width="29.28515625" style="71" customWidth="1"/>
    <col min="16154" max="16384" width="8.85546875" style="71"/>
  </cols>
  <sheetData>
    <row r="1" spans="1:261" s="50" customFormat="1" ht="15.75" thickBot="1" x14ac:dyDescent="0.3">
      <c r="A1" s="46" t="s">
        <v>3446</v>
      </c>
      <c r="B1" s="47"/>
      <c r="C1" s="48"/>
      <c r="D1" s="48"/>
      <c r="E1" s="49"/>
      <c r="G1" s="51"/>
      <c r="H1" s="51"/>
      <c r="I1" s="51"/>
      <c r="J1" s="51"/>
      <c r="K1" s="51"/>
      <c r="L1" s="51"/>
      <c r="M1" s="51"/>
      <c r="N1" s="51"/>
      <c r="O1" s="51"/>
      <c r="P1" s="51"/>
      <c r="Q1" s="51"/>
      <c r="R1" s="48"/>
      <c r="S1" s="48"/>
      <c r="T1" s="52"/>
      <c r="U1" s="449"/>
      <c r="W1" s="438"/>
      <c r="X1" s="438"/>
      <c r="Y1" s="438"/>
      <c r="Z1" s="438"/>
      <c r="AA1" s="438"/>
    </row>
    <row r="2" spans="1:261" s="57" customFormat="1" ht="26.25" customHeight="1" thickBot="1" x14ac:dyDescent="0.25">
      <c r="A2" s="53"/>
      <c r="B2" s="54" t="s">
        <v>3447</v>
      </c>
      <c r="C2" s="55"/>
      <c r="D2" s="56"/>
      <c r="E2" s="703" t="s">
        <v>3448</v>
      </c>
      <c r="F2" s="704"/>
      <c r="G2" s="705"/>
      <c r="H2" s="705"/>
      <c r="I2" s="705"/>
      <c r="J2" s="705"/>
      <c r="K2" s="705"/>
      <c r="L2" s="705"/>
      <c r="M2" s="705"/>
      <c r="N2" s="705"/>
      <c r="O2" s="705"/>
      <c r="P2" s="705"/>
      <c r="Q2" s="704"/>
      <c r="R2" s="704"/>
      <c r="S2" s="704"/>
      <c r="T2" s="706"/>
      <c r="U2" s="450"/>
      <c r="W2" s="439"/>
      <c r="X2" s="439"/>
      <c r="Y2" s="439"/>
      <c r="Z2" s="439"/>
      <c r="AA2" s="439"/>
    </row>
    <row r="3" spans="1:261" s="64" customFormat="1" ht="119.25" customHeight="1" thickBot="1" x14ac:dyDescent="0.3">
      <c r="A3" s="58" t="s">
        <v>3153</v>
      </c>
      <c r="B3" s="59" t="s">
        <v>3449</v>
      </c>
      <c r="C3" s="59" t="s">
        <v>3450</v>
      </c>
      <c r="D3" s="60" t="s">
        <v>3451</v>
      </c>
      <c r="E3" s="61" t="s">
        <v>3379</v>
      </c>
      <c r="F3" s="62" t="s">
        <v>3452</v>
      </c>
      <c r="G3" s="62" t="s">
        <v>3453</v>
      </c>
      <c r="H3" s="62" t="s">
        <v>3454</v>
      </c>
      <c r="I3" s="62" t="s">
        <v>3455</v>
      </c>
      <c r="J3" s="62" t="s">
        <v>3456</v>
      </c>
      <c r="K3" s="62" t="s">
        <v>3457</v>
      </c>
      <c r="L3" s="62" t="s">
        <v>3458</v>
      </c>
      <c r="M3" s="62" t="s">
        <v>3459</v>
      </c>
      <c r="N3" s="62" t="s">
        <v>3460</v>
      </c>
      <c r="O3" s="62" t="s">
        <v>3461</v>
      </c>
      <c r="P3" s="62" t="s">
        <v>3462</v>
      </c>
      <c r="Q3" s="62" t="s">
        <v>3463</v>
      </c>
      <c r="R3" s="62" t="s">
        <v>3464</v>
      </c>
      <c r="S3" s="62" t="s">
        <v>3465</v>
      </c>
      <c r="T3" s="63" t="s">
        <v>3466</v>
      </c>
      <c r="U3" s="451" t="s">
        <v>4701</v>
      </c>
      <c r="V3" s="437" t="s">
        <v>3159</v>
      </c>
      <c r="W3" s="440" t="s">
        <v>4732</v>
      </c>
      <c r="X3" s="440" t="s">
        <v>4707</v>
      </c>
      <c r="Y3" s="440" t="s">
        <v>4708</v>
      </c>
      <c r="Z3" s="440" t="s">
        <v>4862</v>
      </c>
      <c r="AA3" s="440" t="s">
        <v>4728</v>
      </c>
      <c r="AB3" s="440" t="s">
        <v>4729</v>
      </c>
      <c r="AC3" s="440" t="s">
        <v>4730</v>
      </c>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row>
    <row r="4" spans="1:261" ht="12.75" customHeight="1" x14ac:dyDescent="0.25">
      <c r="A4" s="65" t="s">
        <v>3269</v>
      </c>
      <c r="B4" s="65" t="s">
        <v>3467</v>
      </c>
      <c r="C4" s="66" t="s">
        <v>3468</v>
      </c>
      <c r="D4" s="66" t="s">
        <v>3469</v>
      </c>
      <c r="E4" s="67">
        <v>16</v>
      </c>
      <c r="F4" s="68">
        <v>0</v>
      </c>
      <c r="G4" s="68">
        <v>0</v>
      </c>
      <c r="H4" s="68">
        <v>0</v>
      </c>
      <c r="I4" s="68">
        <v>0</v>
      </c>
      <c r="J4" s="68">
        <v>0</v>
      </c>
      <c r="K4" s="68">
        <v>0</v>
      </c>
      <c r="L4" s="68">
        <v>0</v>
      </c>
      <c r="M4" s="68">
        <v>0</v>
      </c>
      <c r="N4" s="68">
        <v>0</v>
      </c>
      <c r="O4" s="68">
        <v>0</v>
      </c>
      <c r="P4" s="68">
        <v>0</v>
      </c>
      <c r="Q4" s="68">
        <v>0</v>
      </c>
      <c r="R4" s="69" t="s">
        <v>3470</v>
      </c>
      <c r="S4" s="69" t="s">
        <v>3471</v>
      </c>
      <c r="T4" s="70" t="s">
        <v>3472</v>
      </c>
      <c r="U4" s="452"/>
      <c r="V4" s="453" t="str">
        <f>IF(VLOOKUP($A4,'GeneratingCapabilityList sorted'!$E$9:$O$801,8,FALSE)&lt;&gt;"",VLOOKUP($A4,'GeneratingCapabilityList sorted'!$E$9:$O$801,8,FALSE),"NoneListed")</f>
        <v>GEOTHERMAL</v>
      </c>
      <c r="W4" s="454">
        <f>IF($AB4,$AB4,IF($AA4,$AA4,Scenarios!$B$43))</f>
        <v>32656</v>
      </c>
      <c r="X4" s="454"/>
      <c r="Y4" s="454"/>
      <c r="Z4" s="454"/>
      <c r="AA4" s="454">
        <f>IFERROR(VLOOKUP($A4,'GeneratingCapabilityList sorted'!$E$9:$O$801,11,FALSE),Scenarios!$B$43)</f>
        <v>0</v>
      </c>
      <c r="AB4" s="454">
        <v>32656</v>
      </c>
      <c r="AC4" s="453" t="s">
        <v>4731</v>
      </c>
    </row>
    <row r="5" spans="1:261" x14ac:dyDescent="0.25">
      <c r="A5" s="65" t="s">
        <v>2869</v>
      </c>
      <c r="B5" s="65" t="s">
        <v>3473</v>
      </c>
      <c r="C5" s="66" t="s">
        <v>3468</v>
      </c>
      <c r="D5" s="66" t="s">
        <v>3474</v>
      </c>
      <c r="E5" s="67">
        <v>20</v>
      </c>
      <c r="F5" s="68">
        <v>0</v>
      </c>
      <c r="G5" s="68">
        <v>0</v>
      </c>
      <c r="H5" s="68">
        <v>0</v>
      </c>
      <c r="I5" s="68">
        <v>0</v>
      </c>
      <c r="J5" s="68">
        <v>0</v>
      </c>
      <c r="K5" s="68">
        <v>0</v>
      </c>
      <c r="L5" s="68">
        <v>0</v>
      </c>
      <c r="M5" s="68">
        <v>0</v>
      </c>
      <c r="N5" s="68">
        <v>0</v>
      </c>
      <c r="O5" s="68">
        <v>0</v>
      </c>
      <c r="P5" s="68">
        <v>0</v>
      </c>
      <c r="Q5" s="68">
        <v>0</v>
      </c>
      <c r="R5" s="69" t="s">
        <v>3470</v>
      </c>
      <c r="S5" s="69" t="s">
        <v>3471</v>
      </c>
      <c r="T5" s="70" t="s">
        <v>3472</v>
      </c>
      <c r="U5" s="452"/>
      <c r="V5" s="453" t="str">
        <f>IF(VLOOKUP($A5,'GeneratingCapabilityList sorted'!$E$9:$O$801,8,FALSE)&lt;&gt;"",VLOOKUP($A5,'GeneratingCapabilityList sorted'!$E$9:$O$801,8,FALSE),"NoneListed")</f>
        <v>NATURAL GAS</v>
      </c>
      <c r="W5" s="454">
        <f>IF($AB5,$AB5,IF($AA5,$AA5,Scenarios!$B$43))</f>
        <v>38959</v>
      </c>
      <c r="X5" s="454"/>
      <c r="Y5" s="454"/>
      <c r="Z5" s="454"/>
      <c r="AA5" s="454">
        <f>IFERROR(VLOOKUP($A5,'GeneratingCapabilityList sorted'!$E$9:$O$801,11,FALSE),Scenarios!$B$43)</f>
        <v>38959</v>
      </c>
      <c r="AB5" s="454"/>
      <c r="AC5" s="453"/>
    </row>
    <row r="6" spans="1:261" x14ac:dyDescent="0.25">
      <c r="A6" s="65" t="s">
        <v>2333</v>
      </c>
      <c r="B6" s="65" t="s">
        <v>3475</v>
      </c>
      <c r="C6" s="66" t="s">
        <v>3468</v>
      </c>
      <c r="D6" s="66" t="s">
        <v>3474</v>
      </c>
      <c r="E6" s="67">
        <v>50.5</v>
      </c>
      <c r="F6" s="68">
        <v>0</v>
      </c>
      <c r="G6" s="68">
        <v>0</v>
      </c>
      <c r="H6" s="68">
        <v>0</v>
      </c>
      <c r="I6" s="68">
        <v>0</v>
      </c>
      <c r="J6" s="68">
        <v>0</v>
      </c>
      <c r="K6" s="68">
        <v>0</v>
      </c>
      <c r="L6" s="68">
        <v>0</v>
      </c>
      <c r="M6" s="68">
        <v>0</v>
      </c>
      <c r="N6" s="68">
        <v>0</v>
      </c>
      <c r="O6" s="68">
        <v>0</v>
      </c>
      <c r="P6" s="68">
        <v>0</v>
      </c>
      <c r="Q6" s="68">
        <v>0</v>
      </c>
      <c r="R6" s="69" t="s">
        <v>3470</v>
      </c>
      <c r="S6" s="69" t="s">
        <v>3471</v>
      </c>
      <c r="T6" s="70" t="s">
        <v>3472</v>
      </c>
      <c r="U6" s="452"/>
      <c r="V6" s="453" t="str">
        <f>IF(VLOOKUP($A6,'GeneratingCapabilityList sorted'!$E$9:$O$801,8,FALSE)&lt;&gt;"",VLOOKUP($A6,'GeneratingCapabilityList sorted'!$E$9:$O$801,8,FALSE),"NoneListed")</f>
        <v>NATURAL GAS</v>
      </c>
      <c r="W6" s="454">
        <f>IF($AB6,$AB6,IF($AA6,$AA6,Scenarios!$B$43))</f>
        <v>36892</v>
      </c>
      <c r="X6" s="454"/>
      <c r="Y6" s="454"/>
      <c r="Z6" s="454"/>
      <c r="AA6" s="454">
        <f>IFERROR(VLOOKUP($A6,'GeneratingCapabilityList sorted'!$E$9:$O$801,11,FALSE),Scenarios!$B$43)</f>
        <v>36892</v>
      </c>
      <c r="AB6" s="453"/>
      <c r="AC6" s="453"/>
    </row>
    <row r="7" spans="1:261" x14ac:dyDescent="0.25">
      <c r="A7" s="65" t="s">
        <v>398</v>
      </c>
      <c r="B7" s="65" t="s">
        <v>3476</v>
      </c>
      <c r="C7" s="66" t="s">
        <v>3477</v>
      </c>
      <c r="D7" s="66" t="s">
        <v>3387</v>
      </c>
      <c r="E7" s="67">
        <v>174.56</v>
      </c>
      <c r="F7" s="68">
        <v>0</v>
      </c>
      <c r="G7" s="68">
        <v>0</v>
      </c>
      <c r="H7" s="68">
        <v>0</v>
      </c>
      <c r="I7" s="68">
        <v>0</v>
      </c>
      <c r="J7" s="68">
        <v>0</v>
      </c>
      <c r="K7" s="68">
        <v>0</v>
      </c>
      <c r="L7" s="68">
        <v>0</v>
      </c>
      <c r="M7" s="68">
        <v>0</v>
      </c>
      <c r="N7" s="68">
        <v>0</v>
      </c>
      <c r="O7" s="68">
        <v>0</v>
      </c>
      <c r="P7" s="68">
        <v>0</v>
      </c>
      <c r="Q7" s="68">
        <v>0</v>
      </c>
      <c r="R7" s="69" t="s">
        <v>3470</v>
      </c>
      <c r="S7" s="69" t="s">
        <v>3471</v>
      </c>
      <c r="T7" s="70" t="s">
        <v>3472</v>
      </c>
      <c r="U7" s="452" t="s">
        <v>29</v>
      </c>
      <c r="V7" s="453" t="str">
        <f>IF(VLOOKUP($A7,'GeneratingCapabilityList sorted'!$E$9:$O$801,8,FALSE)&lt;&gt;"",VLOOKUP($A7,'GeneratingCapabilityList sorted'!$E$9:$O$801,8,FALSE),"NoneListed")</f>
        <v>NATURAL GAS</v>
      </c>
      <c r="W7" s="454">
        <f>IF($AB7,$AB7,IF($AA7,$AA7,Scenarios!$B$43))</f>
        <v>20455</v>
      </c>
      <c r="X7" s="454">
        <f>OTC!G5</f>
        <v>44196</v>
      </c>
      <c r="Y7" s="454">
        <f>OTC!H5</f>
        <v>44196</v>
      </c>
      <c r="Z7" s="454"/>
      <c r="AA7" s="454">
        <f>IFERROR(VLOOKUP($A7,'GeneratingCapabilityList sorted'!$E$9:$O$801,11,FALSE),Scenarios!$B$43)</f>
        <v>20455</v>
      </c>
      <c r="AB7" s="453"/>
      <c r="AC7" s="453"/>
    </row>
    <row r="8" spans="1:261" x14ac:dyDescent="0.25">
      <c r="A8" s="65" t="s">
        <v>404</v>
      </c>
      <c r="B8" s="65" t="s">
        <v>3478</v>
      </c>
      <c r="C8" s="66" t="s">
        <v>3477</v>
      </c>
      <c r="D8" s="66" t="s">
        <v>3387</v>
      </c>
      <c r="E8" s="67">
        <v>175</v>
      </c>
      <c r="F8" s="68">
        <v>0</v>
      </c>
      <c r="G8" s="68">
        <v>0</v>
      </c>
      <c r="H8" s="68">
        <v>0</v>
      </c>
      <c r="I8" s="68">
        <v>0</v>
      </c>
      <c r="J8" s="68">
        <v>0</v>
      </c>
      <c r="K8" s="68">
        <v>0</v>
      </c>
      <c r="L8" s="68">
        <v>0</v>
      </c>
      <c r="M8" s="68">
        <v>0</v>
      </c>
      <c r="N8" s="68">
        <v>0</v>
      </c>
      <c r="O8" s="68">
        <v>0</v>
      </c>
      <c r="P8" s="68">
        <v>0</v>
      </c>
      <c r="Q8" s="68">
        <v>0</v>
      </c>
      <c r="R8" s="69" t="s">
        <v>3470</v>
      </c>
      <c r="S8" s="69" t="s">
        <v>3471</v>
      </c>
      <c r="T8" s="70" t="s">
        <v>3472</v>
      </c>
      <c r="U8" s="452" t="s">
        <v>29</v>
      </c>
      <c r="V8" s="453" t="str">
        <f>IF(VLOOKUP($A8,'GeneratingCapabilityList sorted'!$E$9:$O$801,8,FALSE)&lt;&gt;"",VLOOKUP($A8,'GeneratingCapabilityList sorted'!$E$9:$O$801,8,FALSE),"NoneListed")</f>
        <v>NATURAL GAS</v>
      </c>
      <c r="W8" s="454">
        <f>IF($AB8,$AB8,IF($AA8,$AA8,Scenarios!$B$43))</f>
        <v>20821</v>
      </c>
      <c r="X8" s="454">
        <f>OTC!G6</f>
        <v>44196</v>
      </c>
      <c r="Y8" s="454">
        <f>OTC!H6</f>
        <v>44196</v>
      </c>
      <c r="Z8" s="454"/>
      <c r="AA8" s="454">
        <f>IFERROR(VLOOKUP($A8,'GeneratingCapabilityList sorted'!$E$9:$O$801,11,FALSE),Scenarios!$B$43)</f>
        <v>20821</v>
      </c>
      <c r="AB8" s="453"/>
      <c r="AC8" s="453"/>
    </row>
    <row r="9" spans="1:261" x14ac:dyDescent="0.25">
      <c r="A9" s="65" t="s">
        <v>460</v>
      </c>
      <c r="B9" s="65" t="s">
        <v>3479</v>
      </c>
      <c r="C9" s="66" t="s">
        <v>3477</v>
      </c>
      <c r="D9" s="66" t="s">
        <v>3387</v>
      </c>
      <c r="E9" s="67">
        <v>332.18</v>
      </c>
      <c r="F9" s="68">
        <v>0</v>
      </c>
      <c r="G9" s="68">
        <v>0</v>
      </c>
      <c r="H9" s="68">
        <v>0</v>
      </c>
      <c r="I9" s="68">
        <v>0</v>
      </c>
      <c r="J9" s="68">
        <v>0</v>
      </c>
      <c r="K9" s="68">
        <v>0</v>
      </c>
      <c r="L9" s="68">
        <v>0</v>
      </c>
      <c r="M9" s="68">
        <v>0</v>
      </c>
      <c r="N9" s="68">
        <v>0</v>
      </c>
      <c r="O9" s="68">
        <v>0</v>
      </c>
      <c r="P9" s="68">
        <v>0</v>
      </c>
      <c r="Q9" s="68">
        <v>0</v>
      </c>
      <c r="R9" s="69" t="s">
        <v>3470</v>
      </c>
      <c r="S9" s="69" t="s">
        <v>3471</v>
      </c>
      <c r="T9" s="70" t="s">
        <v>3472</v>
      </c>
      <c r="U9" s="452" t="s">
        <v>29</v>
      </c>
      <c r="V9" s="453" t="str">
        <f>IF(VLOOKUP($A9,'GeneratingCapabilityList sorted'!$E$9:$O$801,8,FALSE)&lt;&gt;"",VLOOKUP($A9,'GeneratingCapabilityList sorted'!$E$9:$O$801,8,FALSE),"NoneListed")</f>
        <v>NATURAL GAS</v>
      </c>
      <c r="W9" s="454">
        <f>IF($AB9,$AB9,IF($AA9,$AA9,Scenarios!$B$43))</f>
        <v>22282</v>
      </c>
      <c r="X9" s="454">
        <f>OTC!G7</f>
        <v>44196</v>
      </c>
      <c r="Y9" s="454">
        <f>OTC!H7</f>
        <v>44196</v>
      </c>
      <c r="Z9" s="454"/>
      <c r="AA9" s="454">
        <f>IFERROR(VLOOKUP($A9,'GeneratingCapabilityList sorted'!$E$9:$O$801,11,FALSE),Scenarios!$B$43)</f>
        <v>22282</v>
      </c>
      <c r="AB9" s="453"/>
      <c r="AC9" s="453"/>
    </row>
    <row r="10" spans="1:261" x14ac:dyDescent="0.25">
      <c r="A10" s="65" t="s">
        <v>467</v>
      </c>
      <c r="B10" s="65" t="s">
        <v>3480</v>
      </c>
      <c r="C10" s="66" t="s">
        <v>3477</v>
      </c>
      <c r="D10" s="66" t="s">
        <v>3387</v>
      </c>
      <c r="E10" s="67">
        <v>335.67</v>
      </c>
      <c r="F10" s="68">
        <v>0</v>
      </c>
      <c r="G10" s="68">
        <v>0</v>
      </c>
      <c r="H10" s="68">
        <v>0</v>
      </c>
      <c r="I10" s="68">
        <v>0</v>
      </c>
      <c r="J10" s="68">
        <v>0</v>
      </c>
      <c r="K10" s="68">
        <v>0</v>
      </c>
      <c r="L10" s="68">
        <v>0</v>
      </c>
      <c r="M10" s="68">
        <v>0</v>
      </c>
      <c r="N10" s="68">
        <v>0</v>
      </c>
      <c r="O10" s="68">
        <v>0</v>
      </c>
      <c r="P10" s="68">
        <v>0</v>
      </c>
      <c r="Q10" s="68">
        <v>0</v>
      </c>
      <c r="R10" s="69" t="s">
        <v>3470</v>
      </c>
      <c r="S10" s="69" t="s">
        <v>3471</v>
      </c>
      <c r="T10" s="70" t="s">
        <v>3472</v>
      </c>
      <c r="U10" s="452" t="s">
        <v>29</v>
      </c>
      <c r="V10" s="453" t="str">
        <f>IF(VLOOKUP($A10,'GeneratingCapabilityList sorted'!$E$9:$O$801,8,FALSE)&lt;&gt;"",VLOOKUP($A10,'GeneratingCapabilityList sorted'!$E$9:$O$801,8,FALSE),"NoneListed")</f>
        <v>NATURAL GAS</v>
      </c>
      <c r="W10" s="454">
        <f>IF($AB10,$AB10,IF($AA10,$AA10,Scenarios!$B$43))</f>
        <v>22647</v>
      </c>
      <c r="X10" s="454">
        <f>OTC!G8</f>
        <v>44196</v>
      </c>
      <c r="Y10" s="454">
        <f>OTC!H8</f>
        <v>44196</v>
      </c>
      <c r="Z10" s="454"/>
      <c r="AA10" s="454">
        <f>IFERROR(VLOOKUP($A10,'GeneratingCapabilityList sorted'!$E$9:$O$801,11,FALSE),Scenarios!$B$43)</f>
        <v>22647</v>
      </c>
      <c r="AB10" s="453"/>
      <c r="AC10" s="453"/>
    </row>
    <row r="11" spans="1:261" x14ac:dyDescent="0.25">
      <c r="A11" s="65" t="s">
        <v>2280</v>
      </c>
      <c r="B11" s="65" t="s">
        <v>3481</v>
      </c>
      <c r="C11" s="66" t="s">
        <v>3477</v>
      </c>
      <c r="D11" s="66" t="s">
        <v>3387</v>
      </c>
      <c r="E11" s="67">
        <v>497.97</v>
      </c>
      <c r="F11" s="68">
        <v>0</v>
      </c>
      <c r="G11" s="68">
        <v>0</v>
      </c>
      <c r="H11" s="68">
        <v>0</v>
      </c>
      <c r="I11" s="68">
        <v>0</v>
      </c>
      <c r="J11" s="68">
        <v>0</v>
      </c>
      <c r="K11" s="68">
        <v>0</v>
      </c>
      <c r="L11" s="68">
        <v>0</v>
      </c>
      <c r="M11" s="68">
        <v>0</v>
      </c>
      <c r="N11" s="68">
        <v>0</v>
      </c>
      <c r="O11" s="68">
        <v>0</v>
      </c>
      <c r="P11" s="68">
        <v>0</v>
      </c>
      <c r="Q11" s="68">
        <v>0</v>
      </c>
      <c r="R11" s="69" t="s">
        <v>3470</v>
      </c>
      <c r="S11" s="69" t="s">
        <v>3471</v>
      </c>
      <c r="T11" s="70" t="s">
        <v>3472</v>
      </c>
      <c r="U11" s="452" t="s">
        <v>29</v>
      </c>
      <c r="V11" s="453" t="str">
        <f>IF(VLOOKUP($A11,'GeneratingCapabilityList sorted'!$E$9:$O$801,8,FALSE)&lt;&gt;"",VLOOKUP($A11,'GeneratingCapabilityList sorted'!$E$9:$O$801,8,FALSE),"NoneListed")</f>
        <v>NATURAL GAS</v>
      </c>
      <c r="W11" s="454">
        <f>IF($AB11,$AB11,IF($AA11,$AA11,Scenarios!$B$43))</f>
        <v>36161</v>
      </c>
      <c r="X11" s="454">
        <f>OTC!G9</f>
        <v>44196</v>
      </c>
      <c r="Y11" s="454">
        <f>OTC!H9</f>
        <v>44196</v>
      </c>
      <c r="Z11" s="454"/>
      <c r="AA11" s="454">
        <f>IFERROR(VLOOKUP($A11,'GeneratingCapabilityList sorted'!$E$9:$O$801,11,FALSE),Scenarios!$B$43)</f>
        <v>36161</v>
      </c>
      <c r="AB11" s="453"/>
      <c r="AC11" s="453"/>
    </row>
    <row r="12" spans="1:261" x14ac:dyDescent="0.25">
      <c r="A12" s="65" t="s">
        <v>527</v>
      </c>
      <c r="B12" s="65" t="s">
        <v>3482</v>
      </c>
      <c r="C12" s="66" t="s">
        <v>3477</v>
      </c>
      <c r="D12" s="66" t="s">
        <v>3387</v>
      </c>
      <c r="E12" s="67">
        <v>495</v>
      </c>
      <c r="F12" s="68">
        <v>0</v>
      </c>
      <c r="G12" s="68">
        <v>0</v>
      </c>
      <c r="H12" s="68">
        <v>0</v>
      </c>
      <c r="I12" s="68">
        <v>0</v>
      </c>
      <c r="J12" s="68">
        <v>0</v>
      </c>
      <c r="K12" s="68">
        <v>0</v>
      </c>
      <c r="L12" s="68">
        <v>0</v>
      </c>
      <c r="M12" s="68">
        <v>0</v>
      </c>
      <c r="N12" s="68">
        <v>0</v>
      </c>
      <c r="O12" s="68">
        <v>0</v>
      </c>
      <c r="P12" s="68">
        <v>0</v>
      </c>
      <c r="Q12" s="68">
        <v>0</v>
      </c>
      <c r="R12" s="69" t="s">
        <v>3470</v>
      </c>
      <c r="S12" s="69" t="s">
        <v>3471</v>
      </c>
      <c r="T12" s="70" t="s">
        <v>3472</v>
      </c>
      <c r="U12" s="452" t="s">
        <v>29</v>
      </c>
      <c r="V12" s="453" t="str">
        <f>IF(VLOOKUP($A12,'GeneratingCapabilityList sorted'!$E$9:$O$801,8,FALSE)&lt;&gt;"",VLOOKUP($A12,'GeneratingCapabilityList sorted'!$E$9:$O$801,8,FALSE),"NoneListed")</f>
        <v>NATURAL GAS</v>
      </c>
      <c r="W12" s="454">
        <f>IF($AB12,$AB12,IF($AA12,$AA12,Scenarios!$B$43))</f>
        <v>24108</v>
      </c>
      <c r="X12" s="454">
        <f>OTC!G10</f>
        <v>44196</v>
      </c>
      <c r="Y12" s="454">
        <f>OTC!H10</f>
        <v>44196</v>
      </c>
      <c r="Z12" s="454"/>
      <c r="AA12" s="454">
        <f>IFERROR(VLOOKUP($A12,'GeneratingCapabilityList sorted'!$E$9:$O$801,11,FALSE),Scenarios!$B$43)</f>
        <v>24108</v>
      </c>
      <c r="AB12" s="453"/>
      <c r="AC12" s="453"/>
    </row>
    <row r="13" spans="1:261" x14ac:dyDescent="0.25">
      <c r="A13" s="72" t="s">
        <v>1302</v>
      </c>
      <c r="B13" s="72" t="s">
        <v>3483</v>
      </c>
      <c r="C13" s="73" t="s">
        <v>3477</v>
      </c>
      <c r="D13" s="73" t="s">
        <v>3388</v>
      </c>
      <c r="E13" s="74">
        <v>0</v>
      </c>
      <c r="F13" s="75">
        <v>8</v>
      </c>
      <c r="G13" s="75">
        <v>7</v>
      </c>
      <c r="H13" s="75">
        <v>16</v>
      </c>
      <c r="I13" s="75">
        <v>16</v>
      </c>
      <c r="J13" s="75">
        <v>16</v>
      </c>
      <c r="K13" s="75">
        <v>16</v>
      </c>
      <c r="L13" s="75">
        <v>15</v>
      </c>
      <c r="M13" s="75">
        <v>16</v>
      </c>
      <c r="N13" s="75">
        <v>10</v>
      </c>
      <c r="O13" s="75">
        <v>0</v>
      </c>
      <c r="P13" s="75">
        <v>9</v>
      </c>
      <c r="Q13" s="75">
        <v>6</v>
      </c>
      <c r="R13" s="69" t="s">
        <v>3470</v>
      </c>
      <c r="S13" s="76" t="s">
        <v>560</v>
      </c>
      <c r="T13" s="70" t="s">
        <v>3484</v>
      </c>
      <c r="U13" s="452"/>
      <c r="V13" s="453" t="str">
        <f>IF(VLOOKUP($A13,'GeneratingCapabilityList sorted'!$E$9:$O$801,8,FALSE)&lt;&gt;"",VLOOKUP($A13,'GeneratingCapabilityList sorted'!$E$9:$O$801,8,FALSE),"NoneListed")</f>
        <v>WATER</v>
      </c>
      <c r="W13" s="454">
        <f>IF($AB13,$AB13,IF($AA13,$AA13,Scenarios!$B$43))</f>
        <v>31413</v>
      </c>
      <c r="X13" s="454"/>
      <c r="Y13" s="454"/>
      <c r="Z13" s="454"/>
      <c r="AA13" s="454">
        <f>IFERROR(VLOOKUP($A13,'GeneratingCapabilityList sorted'!$E$9:$O$801,11,FALSE),Scenarios!$B$43)</f>
        <v>31413</v>
      </c>
      <c r="AB13" s="453"/>
      <c r="AC13" s="453"/>
    </row>
    <row r="14" spans="1:261" x14ac:dyDescent="0.25">
      <c r="A14" s="65" t="s">
        <v>1298</v>
      </c>
      <c r="B14" s="65" t="s">
        <v>3485</v>
      </c>
      <c r="C14" s="66" t="s">
        <v>3468</v>
      </c>
      <c r="D14" s="66" t="s">
        <v>3382</v>
      </c>
      <c r="E14" s="67">
        <v>23.8</v>
      </c>
      <c r="F14" s="68">
        <v>0</v>
      </c>
      <c r="G14" s="68">
        <v>0</v>
      </c>
      <c r="H14" s="68">
        <v>0</v>
      </c>
      <c r="I14" s="68">
        <v>0</v>
      </c>
      <c r="J14" s="68">
        <v>0</v>
      </c>
      <c r="K14" s="68">
        <v>0</v>
      </c>
      <c r="L14" s="68">
        <v>0</v>
      </c>
      <c r="M14" s="68">
        <v>0</v>
      </c>
      <c r="N14" s="68">
        <v>0</v>
      </c>
      <c r="O14" s="68">
        <v>0</v>
      </c>
      <c r="P14" s="68">
        <v>0</v>
      </c>
      <c r="Q14" s="68">
        <v>0</v>
      </c>
      <c r="R14" s="69" t="s">
        <v>3470</v>
      </c>
      <c r="S14" s="69" t="s">
        <v>879</v>
      </c>
      <c r="T14" s="70" t="s">
        <v>3472</v>
      </c>
      <c r="U14" s="452"/>
      <c r="V14" s="453" t="str">
        <f>IF(VLOOKUP($A14,'GeneratingCapabilityList sorted'!$E$9:$O$801,8,FALSE)&lt;&gt;"",VLOOKUP($A14,'GeneratingCapabilityList sorted'!$E$9:$O$801,8,FALSE),"NoneListed")</f>
        <v>NATURAL GAS</v>
      </c>
      <c r="W14" s="454">
        <f>IF($AB14,$AB14,IF($AA14,$AA14,Scenarios!$B$43))</f>
        <v>31413</v>
      </c>
      <c r="X14" s="454"/>
      <c r="Y14" s="454"/>
      <c r="Z14" s="454"/>
      <c r="AA14" s="454">
        <f>IFERROR(VLOOKUP($A14,'GeneratingCapabilityList sorted'!$E$9:$O$801,11,FALSE),Scenarios!$B$43)</f>
        <v>31413</v>
      </c>
      <c r="AB14" s="453"/>
      <c r="AC14" s="453"/>
    </row>
    <row r="15" spans="1:261" x14ac:dyDescent="0.25">
      <c r="A15" s="65" t="s">
        <v>1300</v>
      </c>
      <c r="B15" s="65" t="s">
        <v>3486</v>
      </c>
      <c r="C15" s="66" t="s">
        <v>3468</v>
      </c>
      <c r="D15" s="66" t="s">
        <v>3382</v>
      </c>
      <c r="E15" s="67">
        <v>24.4</v>
      </c>
      <c r="F15" s="68">
        <v>0</v>
      </c>
      <c r="G15" s="68">
        <v>0</v>
      </c>
      <c r="H15" s="68">
        <v>0</v>
      </c>
      <c r="I15" s="68">
        <v>0</v>
      </c>
      <c r="J15" s="68">
        <v>0</v>
      </c>
      <c r="K15" s="68">
        <v>0</v>
      </c>
      <c r="L15" s="68">
        <v>0</v>
      </c>
      <c r="M15" s="68">
        <v>0</v>
      </c>
      <c r="N15" s="68">
        <v>0</v>
      </c>
      <c r="O15" s="68">
        <v>0</v>
      </c>
      <c r="P15" s="68">
        <v>0</v>
      </c>
      <c r="Q15" s="68">
        <v>0</v>
      </c>
      <c r="R15" s="69" t="s">
        <v>3470</v>
      </c>
      <c r="S15" s="69" t="s">
        <v>879</v>
      </c>
      <c r="T15" s="70" t="s">
        <v>3472</v>
      </c>
      <c r="U15" s="452"/>
      <c r="V15" s="453" t="str">
        <f>IF(VLOOKUP($A15,'GeneratingCapabilityList sorted'!$E$9:$O$801,8,FALSE)&lt;&gt;"",VLOOKUP($A15,'GeneratingCapabilityList sorted'!$E$9:$O$801,8,FALSE),"NoneListed")</f>
        <v>NATURAL GAS</v>
      </c>
      <c r="W15" s="454">
        <f>IF($AB15,$AB15,IF($AA15,$AA15,Scenarios!$B$43))</f>
        <v>31413</v>
      </c>
      <c r="X15" s="454"/>
      <c r="Y15" s="454"/>
      <c r="Z15" s="454"/>
      <c r="AA15" s="454">
        <f>IFERROR(VLOOKUP($A15,'GeneratingCapabilityList sorted'!$E$9:$O$801,11,FALSE),Scenarios!$B$43)</f>
        <v>31413</v>
      </c>
      <c r="AB15" s="453"/>
      <c r="AC15" s="453"/>
    </row>
    <row r="16" spans="1:261" x14ac:dyDescent="0.25">
      <c r="A16" s="77" t="s">
        <v>3014</v>
      </c>
      <c r="B16" s="77" t="s">
        <v>3016</v>
      </c>
      <c r="C16" s="66" t="s">
        <v>3477</v>
      </c>
      <c r="D16" s="66" t="s">
        <v>3387</v>
      </c>
      <c r="E16" s="78"/>
      <c r="F16" s="79">
        <v>10.23</v>
      </c>
      <c r="G16" s="79">
        <v>14.24</v>
      </c>
      <c r="H16" s="79">
        <v>33.549999999999997</v>
      </c>
      <c r="I16" s="79">
        <v>33.39</v>
      </c>
      <c r="J16" s="79">
        <v>44.57</v>
      </c>
      <c r="K16" s="79">
        <v>51.28</v>
      </c>
      <c r="L16" s="79">
        <v>38.840000000000003</v>
      </c>
      <c r="M16" s="79">
        <v>24.25</v>
      </c>
      <c r="N16" s="79">
        <v>13.47</v>
      </c>
      <c r="O16" s="79">
        <v>11.18</v>
      </c>
      <c r="P16" s="79">
        <v>7.24</v>
      </c>
      <c r="Q16" s="79">
        <v>6.88</v>
      </c>
      <c r="R16" s="76" t="s">
        <v>3470</v>
      </c>
      <c r="S16" s="69" t="s">
        <v>3471</v>
      </c>
      <c r="T16" s="70" t="s">
        <v>3425</v>
      </c>
      <c r="U16" s="452"/>
      <c r="V16" s="453" t="str">
        <f>IF(VLOOKUP($A16,'GeneratingCapabilityList sorted'!$E$9:$O$801,8,FALSE)&lt;&gt;"",VLOOKUP($A16,'GeneratingCapabilityList sorted'!$E$9:$O$801,8,FALSE),"NoneListed")</f>
        <v>WIND</v>
      </c>
      <c r="W16" s="454">
        <f>IF($AB16,$AB16,IF($AA16,$AA16,Scenarios!$B$43))</f>
        <v>40541</v>
      </c>
      <c r="X16" s="454"/>
      <c r="Y16" s="454"/>
      <c r="Z16" s="454"/>
      <c r="AA16" s="454">
        <f>IFERROR(VLOOKUP($A16,'GeneratingCapabilityList sorted'!$E$9:$O$801,11,FALSE),Scenarios!$B$43)</f>
        <v>40541</v>
      </c>
      <c r="AB16" s="453"/>
      <c r="AC16" s="453"/>
    </row>
    <row r="17" spans="1:29" x14ac:dyDescent="0.25">
      <c r="A17" s="77" t="s">
        <v>3017</v>
      </c>
      <c r="B17" s="77" t="s">
        <v>3019</v>
      </c>
      <c r="C17" s="66" t="s">
        <v>3477</v>
      </c>
      <c r="D17" s="66" t="s">
        <v>3387</v>
      </c>
      <c r="E17" s="78"/>
      <c r="F17" s="79">
        <v>10.23</v>
      </c>
      <c r="G17" s="79">
        <v>14.24</v>
      </c>
      <c r="H17" s="79">
        <v>33.549999999999997</v>
      </c>
      <c r="I17" s="79">
        <v>33.39</v>
      </c>
      <c r="J17" s="79">
        <v>44.57</v>
      </c>
      <c r="K17" s="79">
        <v>51.28</v>
      </c>
      <c r="L17" s="79">
        <v>38.840000000000003</v>
      </c>
      <c r="M17" s="79">
        <v>24.25</v>
      </c>
      <c r="N17" s="79">
        <v>13.47</v>
      </c>
      <c r="O17" s="79">
        <v>11.18</v>
      </c>
      <c r="P17" s="79">
        <v>7.24</v>
      </c>
      <c r="Q17" s="79">
        <v>6.88</v>
      </c>
      <c r="R17" s="76" t="s">
        <v>3470</v>
      </c>
      <c r="S17" s="69" t="s">
        <v>3471</v>
      </c>
      <c r="T17" s="70" t="s">
        <v>3425</v>
      </c>
      <c r="U17" s="452"/>
      <c r="V17" s="453" t="str">
        <f>IF(VLOOKUP($A17,'GeneratingCapabilityList sorted'!$E$9:$O$801,8,FALSE)&lt;&gt;"",VLOOKUP($A17,'GeneratingCapabilityList sorted'!$E$9:$O$801,8,FALSE),"NoneListed")</f>
        <v>WIND</v>
      </c>
      <c r="W17" s="454">
        <f>IF($AB17,$AB17,IF($AA17,$AA17,Scenarios!$B$43))</f>
        <v>40541</v>
      </c>
      <c r="X17" s="454"/>
      <c r="Y17" s="454"/>
      <c r="Z17" s="454"/>
      <c r="AA17" s="454">
        <f>IFERROR(VLOOKUP($A17,'GeneratingCapabilityList sorted'!$E$9:$O$801,11,FALSE),Scenarios!$B$43)</f>
        <v>40541</v>
      </c>
      <c r="AB17" s="453"/>
      <c r="AC17" s="453"/>
    </row>
    <row r="18" spans="1:29" x14ac:dyDescent="0.25">
      <c r="A18" s="77" t="s">
        <v>3023</v>
      </c>
      <c r="B18" s="77" t="s">
        <v>3025</v>
      </c>
      <c r="C18" s="66" t="s">
        <v>3477</v>
      </c>
      <c r="D18" s="66" t="s">
        <v>3387</v>
      </c>
      <c r="E18" s="78"/>
      <c r="F18" s="79">
        <v>10.23</v>
      </c>
      <c r="G18" s="79">
        <v>14.24</v>
      </c>
      <c r="H18" s="79">
        <v>33.549999999999997</v>
      </c>
      <c r="I18" s="79">
        <v>33.39</v>
      </c>
      <c r="J18" s="79">
        <v>44.57</v>
      </c>
      <c r="K18" s="79">
        <v>51.28</v>
      </c>
      <c r="L18" s="79">
        <v>38.840000000000003</v>
      </c>
      <c r="M18" s="79">
        <v>24.25</v>
      </c>
      <c r="N18" s="79">
        <v>13.47</v>
      </c>
      <c r="O18" s="79">
        <v>11.18</v>
      </c>
      <c r="P18" s="79">
        <v>7.24</v>
      </c>
      <c r="Q18" s="79">
        <v>6.88</v>
      </c>
      <c r="R18" s="76" t="s">
        <v>3470</v>
      </c>
      <c r="S18" s="69" t="s">
        <v>3471</v>
      </c>
      <c r="T18" s="70" t="s">
        <v>3425</v>
      </c>
      <c r="U18" s="452"/>
      <c r="V18" s="453" t="str">
        <f>IF(VLOOKUP($A18,'GeneratingCapabilityList sorted'!$E$9:$O$801,8,FALSE)&lt;&gt;"",VLOOKUP($A18,'GeneratingCapabilityList sorted'!$E$9:$O$801,8,FALSE),"NoneListed")</f>
        <v>WIND</v>
      </c>
      <c r="W18" s="454">
        <f>IF($AB18,$AB18,IF($AA18,$AA18,Scenarios!$B$43))</f>
        <v>40586</v>
      </c>
      <c r="X18" s="454"/>
      <c r="Y18" s="454"/>
      <c r="Z18" s="454"/>
      <c r="AA18" s="454">
        <f>IFERROR(VLOOKUP($A18,'GeneratingCapabilityList sorted'!$E$9:$O$801,11,FALSE),Scenarios!$B$43)</f>
        <v>40586</v>
      </c>
      <c r="AB18" s="453"/>
      <c r="AC18" s="453"/>
    </row>
    <row r="19" spans="1:29" x14ac:dyDescent="0.25">
      <c r="A19" s="77" t="s">
        <v>3028</v>
      </c>
      <c r="B19" s="77" t="s">
        <v>3030</v>
      </c>
      <c r="C19" s="66" t="s">
        <v>3477</v>
      </c>
      <c r="D19" s="66" t="s">
        <v>3387</v>
      </c>
      <c r="E19" s="78"/>
      <c r="F19" s="79">
        <v>6.96</v>
      </c>
      <c r="G19" s="79">
        <v>9.69</v>
      </c>
      <c r="H19" s="79">
        <v>22.81</v>
      </c>
      <c r="I19" s="79">
        <v>22.71</v>
      </c>
      <c r="J19" s="79">
        <v>30.31</v>
      </c>
      <c r="K19" s="79">
        <v>34.869999999999997</v>
      </c>
      <c r="L19" s="79">
        <v>26.41</v>
      </c>
      <c r="M19" s="79">
        <v>16.489999999999998</v>
      </c>
      <c r="N19" s="79">
        <v>9.16</v>
      </c>
      <c r="O19" s="79">
        <v>7.61</v>
      </c>
      <c r="P19" s="79">
        <v>4.92</v>
      </c>
      <c r="Q19" s="79">
        <v>4.68</v>
      </c>
      <c r="R19" s="76" t="s">
        <v>3470</v>
      </c>
      <c r="S19" s="69" t="s">
        <v>3471</v>
      </c>
      <c r="T19" s="70" t="s">
        <v>3425</v>
      </c>
      <c r="U19" s="452"/>
      <c r="V19" s="453" t="str">
        <f>IF(VLOOKUP($A19,'GeneratingCapabilityList sorted'!$E$9:$O$801,8,FALSE)&lt;&gt;"",VLOOKUP($A19,'GeneratingCapabilityList sorted'!$E$9:$O$801,8,FALSE),"NoneListed")</f>
        <v>WIND</v>
      </c>
      <c r="W19" s="454">
        <f>IF($AB19,$AB19,IF($AA19,$AA19,Scenarios!$B$43))</f>
        <v>40614</v>
      </c>
      <c r="X19" s="454"/>
      <c r="Y19" s="454"/>
      <c r="Z19" s="454"/>
      <c r="AA19" s="454">
        <f>IFERROR(VLOOKUP($A19,'GeneratingCapabilityList sorted'!$E$9:$O$801,11,FALSE),Scenarios!$B$43)</f>
        <v>40614</v>
      </c>
      <c r="AB19" s="453"/>
      <c r="AC19" s="453"/>
    </row>
    <row r="20" spans="1:29" x14ac:dyDescent="0.25">
      <c r="A20" s="77" t="s">
        <v>3039</v>
      </c>
      <c r="B20" s="77" t="s">
        <v>3487</v>
      </c>
      <c r="C20" s="66" t="s">
        <v>3477</v>
      </c>
      <c r="D20" s="66" t="s">
        <v>3387</v>
      </c>
      <c r="E20" s="78"/>
      <c r="F20" s="79">
        <v>11.46</v>
      </c>
      <c r="G20" s="79">
        <v>15.95</v>
      </c>
      <c r="H20" s="79">
        <v>37.57</v>
      </c>
      <c r="I20" s="79">
        <v>37.4</v>
      </c>
      <c r="J20" s="79">
        <v>49.92</v>
      </c>
      <c r="K20" s="79">
        <v>57.43</v>
      </c>
      <c r="L20" s="79">
        <v>43.5</v>
      </c>
      <c r="M20" s="79">
        <v>27.16</v>
      </c>
      <c r="N20" s="79">
        <v>15.08</v>
      </c>
      <c r="O20" s="79">
        <v>12.53</v>
      </c>
      <c r="P20" s="79">
        <v>8.11</v>
      </c>
      <c r="Q20" s="79">
        <v>7.71</v>
      </c>
      <c r="R20" s="76" t="s">
        <v>3470</v>
      </c>
      <c r="S20" s="69" t="s">
        <v>3471</v>
      </c>
      <c r="T20" s="70" t="s">
        <v>3425</v>
      </c>
      <c r="U20" s="452"/>
      <c r="V20" s="453" t="str">
        <f>IF(VLOOKUP($A20,'GeneratingCapabilityList sorted'!$E$9:$O$801,8,FALSE)&lt;&gt;"",VLOOKUP($A20,'GeneratingCapabilityList sorted'!$E$9:$O$801,8,FALSE),"NoneListed")</f>
        <v>WIND</v>
      </c>
      <c r="W20" s="454">
        <f>IF($AB20,$AB20,IF($AA20,$AA20,Scenarios!$B$43))</f>
        <v>40654</v>
      </c>
      <c r="X20" s="454"/>
      <c r="Y20" s="454"/>
      <c r="Z20" s="454"/>
      <c r="AA20" s="454">
        <f>IFERROR(VLOOKUP($A20,'GeneratingCapabilityList sorted'!$E$9:$O$801,11,FALSE),Scenarios!$B$43)</f>
        <v>40654</v>
      </c>
      <c r="AB20" s="453"/>
      <c r="AC20" s="453"/>
    </row>
    <row r="21" spans="1:29" x14ac:dyDescent="0.25">
      <c r="A21" s="65" t="s">
        <v>1227</v>
      </c>
      <c r="B21" s="71" t="s">
        <v>1228</v>
      </c>
      <c r="C21" s="66" t="s">
        <v>3468</v>
      </c>
      <c r="D21" s="80" t="s">
        <v>3488</v>
      </c>
      <c r="E21" s="71"/>
      <c r="F21" s="68">
        <v>0</v>
      </c>
      <c r="G21" s="68">
        <v>0.04</v>
      </c>
      <c r="H21" s="68">
        <v>0.34</v>
      </c>
      <c r="I21" s="68">
        <v>0.35</v>
      </c>
      <c r="J21" s="68">
        <v>0.57999999999999996</v>
      </c>
      <c r="K21" s="68">
        <v>0.37</v>
      </c>
      <c r="L21" s="68">
        <v>0.7</v>
      </c>
      <c r="M21" s="68">
        <v>0.4</v>
      </c>
      <c r="N21" s="68">
        <v>0.14000000000000001</v>
      </c>
      <c r="O21" s="68">
        <v>0.13</v>
      </c>
      <c r="P21" s="68">
        <v>0.01</v>
      </c>
      <c r="Q21" s="68">
        <v>0</v>
      </c>
      <c r="R21" s="69" t="s">
        <v>3470</v>
      </c>
      <c r="S21" s="69" t="s">
        <v>3489</v>
      </c>
      <c r="T21" s="70" t="s">
        <v>3425</v>
      </c>
      <c r="U21" s="452"/>
      <c r="V21" s="453" t="str">
        <f>IF(VLOOKUP($A21,'GeneratingCapabilityList sorted'!$E$9:$O$801,8,FALSE)&lt;&gt;"",VLOOKUP($A21,'GeneratingCapabilityList sorted'!$E$9:$O$801,8,FALSE),"NoneListed")</f>
        <v>WIND</v>
      </c>
      <c r="W21" s="454">
        <f>IF($AB21,$AB21,IF($AA21,$AA21,Scenarios!$B$43))</f>
        <v>31153</v>
      </c>
      <c r="X21" s="454"/>
      <c r="Y21" s="454"/>
      <c r="Z21" s="454"/>
      <c r="AA21" s="454">
        <f>IFERROR(VLOOKUP($A21,'GeneratingCapabilityList sorted'!$E$9:$O$801,11,FALSE),Scenarios!$B$43)</f>
        <v>31153</v>
      </c>
      <c r="AB21" s="453"/>
      <c r="AC21" s="453"/>
    </row>
    <row r="22" spans="1:29" x14ac:dyDescent="0.25">
      <c r="A22" s="3" t="s">
        <v>3072</v>
      </c>
      <c r="B22" s="8" t="s">
        <v>3490</v>
      </c>
      <c r="C22" s="81" t="s">
        <v>3477</v>
      </c>
      <c r="D22" s="81" t="s">
        <v>3387</v>
      </c>
      <c r="E22" s="68">
        <v>49.4</v>
      </c>
      <c r="F22" s="68"/>
      <c r="G22" s="68"/>
      <c r="H22" s="68"/>
      <c r="I22" s="68"/>
      <c r="J22" s="68"/>
      <c r="K22" s="68"/>
      <c r="L22" s="68"/>
      <c r="M22" s="68"/>
      <c r="N22" s="68"/>
      <c r="O22" s="68"/>
      <c r="P22" s="68"/>
      <c r="Q22" s="68"/>
      <c r="R22" s="69" t="s">
        <v>3470</v>
      </c>
      <c r="S22" s="69" t="s">
        <v>3491</v>
      </c>
      <c r="T22" s="70" t="s">
        <v>3472</v>
      </c>
      <c r="U22" s="452"/>
      <c r="V22" s="453" t="str">
        <f>IF(VLOOKUP($A22,'GeneratingCapabilityList sorted'!$E$9:$O$801,8,FALSE)&lt;&gt;"",VLOOKUP($A22,'GeneratingCapabilityList sorted'!$E$9:$O$801,8,FALSE),"NoneListed")</f>
        <v>NATURAL GAS</v>
      </c>
      <c r="W22" s="454">
        <f>IF($AB22,$AB22,IF($AA22,$AA22,Scenarios!$B$43))</f>
        <v>40802</v>
      </c>
      <c r="X22" s="454"/>
      <c r="Y22" s="454"/>
      <c r="Z22" s="454"/>
      <c r="AA22" s="454">
        <f>IFERROR(VLOOKUP($A22,'GeneratingCapabilityList sorted'!$E$9:$O$801,11,FALSE),Scenarios!$B$43)</f>
        <v>40802</v>
      </c>
      <c r="AB22" s="453"/>
      <c r="AC22" s="453"/>
    </row>
    <row r="23" spans="1:29" x14ac:dyDescent="0.25">
      <c r="A23" s="3" t="s">
        <v>3075</v>
      </c>
      <c r="B23" s="8" t="s">
        <v>3492</v>
      </c>
      <c r="C23" s="81" t="s">
        <v>3477</v>
      </c>
      <c r="D23" s="81" t="s">
        <v>3387</v>
      </c>
      <c r="E23" s="68">
        <v>48</v>
      </c>
      <c r="F23" s="68"/>
      <c r="G23" s="68"/>
      <c r="H23" s="68"/>
      <c r="I23" s="68"/>
      <c r="J23" s="68"/>
      <c r="K23" s="68"/>
      <c r="L23" s="68"/>
      <c r="M23" s="68"/>
      <c r="N23" s="68"/>
      <c r="O23" s="68"/>
      <c r="P23" s="68"/>
      <c r="Q23" s="68"/>
      <c r="R23" s="69" t="s">
        <v>3470</v>
      </c>
      <c r="S23" s="69" t="s">
        <v>3491</v>
      </c>
      <c r="T23" s="70" t="s">
        <v>3472</v>
      </c>
      <c r="U23" s="452"/>
      <c r="V23" s="453" t="str">
        <f>IF(VLOOKUP($A23,'GeneratingCapabilityList sorted'!$E$9:$O$801,8,FALSE)&lt;&gt;"",VLOOKUP($A23,'GeneratingCapabilityList sorted'!$E$9:$O$801,8,FALSE),"NoneListed")</f>
        <v>NATURAL GAS</v>
      </c>
      <c r="W23" s="454">
        <f>IF($AB23,$AB23,IF($AA23,$AA23,Scenarios!$B$43))</f>
        <v>40802</v>
      </c>
      <c r="X23" s="454"/>
      <c r="Y23" s="454"/>
      <c r="Z23" s="454"/>
      <c r="AA23" s="454">
        <f>IFERROR(VLOOKUP($A23,'GeneratingCapabilityList sorted'!$E$9:$O$801,11,FALSE),Scenarios!$B$43)</f>
        <v>40802</v>
      </c>
      <c r="AB23" s="453"/>
      <c r="AC23" s="453"/>
    </row>
    <row r="24" spans="1:29" x14ac:dyDescent="0.25">
      <c r="A24" s="3" t="s">
        <v>3048</v>
      </c>
      <c r="B24" s="8" t="s">
        <v>3493</v>
      </c>
      <c r="C24" s="81" t="s">
        <v>3477</v>
      </c>
      <c r="D24" s="81" t="s">
        <v>3387</v>
      </c>
      <c r="E24" s="68">
        <v>48</v>
      </c>
      <c r="F24" s="68"/>
      <c r="G24" s="68"/>
      <c r="H24" s="68"/>
      <c r="I24" s="68"/>
      <c r="J24" s="68"/>
      <c r="K24" s="68"/>
      <c r="L24" s="68"/>
      <c r="M24" s="68"/>
      <c r="N24" s="68"/>
      <c r="O24" s="68"/>
      <c r="P24" s="68"/>
      <c r="Q24" s="68"/>
      <c r="R24" s="69" t="s">
        <v>3470</v>
      </c>
      <c r="S24" s="69" t="s">
        <v>3491</v>
      </c>
      <c r="T24" s="70" t="s">
        <v>3472</v>
      </c>
      <c r="U24" s="452"/>
      <c r="V24" s="453" t="str">
        <f>IF(VLOOKUP($A24,'GeneratingCapabilityList sorted'!$E$9:$O$801,8,FALSE)&lt;&gt;"",VLOOKUP($A24,'GeneratingCapabilityList sorted'!$E$9:$O$801,8,FALSE),"NoneListed")</f>
        <v>NATURAL GAS</v>
      </c>
      <c r="W24" s="454">
        <f>IF($AB24,$AB24,IF($AA24,$AA24,Scenarios!$B$43))</f>
        <v>40754</v>
      </c>
      <c r="X24" s="454"/>
      <c r="Y24" s="454"/>
      <c r="Z24" s="454"/>
      <c r="AA24" s="454">
        <f>IFERROR(VLOOKUP($A24,'GeneratingCapabilityList sorted'!$E$9:$O$801,11,FALSE),Scenarios!$B$43)</f>
        <v>40754</v>
      </c>
      <c r="AB24" s="453"/>
      <c r="AC24" s="453"/>
    </row>
    <row r="25" spans="1:29" x14ac:dyDescent="0.25">
      <c r="A25" s="3" t="s">
        <v>3051</v>
      </c>
      <c r="B25" s="8" t="s">
        <v>3494</v>
      </c>
      <c r="C25" s="81" t="s">
        <v>3477</v>
      </c>
      <c r="D25" s="81" t="s">
        <v>3387</v>
      </c>
      <c r="E25" s="68">
        <v>49.4</v>
      </c>
      <c r="F25" s="71"/>
      <c r="G25" s="68"/>
      <c r="H25" s="68"/>
      <c r="I25" s="68"/>
      <c r="J25" s="68"/>
      <c r="K25" s="68"/>
      <c r="L25" s="68"/>
      <c r="M25" s="68"/>
      <c r="N25" s="68"/>
      <c r="O25" s="68"/>
      <c r="P25" s="68"/>
      <c r="Q25" s="68"/>
      <c r="R25" s="69" t="s">
        <v>3470</v>
      </c>
      <c r="S25" s="69" t="s">
        <v>3491</v>
      </c>
      <c r="T25" s="70" t="s">
        <v>3472</v>
      </c>
      <c r="U25" s="452"/>
      <c r="V25" s="453" t="str">
        <f>IF(VLOOKUP($A25,'GeneratingCapabilityList sorted'!$E$9:$O$801,8,FALSE)&lt;&gt;"",VLOOKUP($A25,'GeneratingCapabilityList sorted'!$E$9:$O$801,8,FALSE),"NoneListed")</f>
        <v>NATURAL GAS</v>
      </c>
      <c r="W25" s="454">
        <f>IF($AB25,$AB25,IF($AA25,$AA25,Scenarios!$B$43))</f>
        <v>40754</v>
      </c>
      <c r="X25" s="454"/>
      <c r="Y25" s="454"/>
      <c r="Z25" s="454"/>
      <c r="AA25" s="454">
        <f>IFERROR(VLOOKUP($A25,'GeneratingCapabilityList sorted'!$E$9:$O$801,11,FALSE),Scenarios!$B$43)</f>
        <v>40754</v>
      </c>
      <c r="AB25" s="453"/>
      <c r="AC25" s="453"/>
    </row>
    <row r="26" spans="1:29" x14ac:dyDescent="0.25">
      <c r="A26" s="65" t="s">
        <v>1960</v>
      </c>
      <c r="B26" s="65" t="s">
        <v>3495</v>
      </c>
      <c r="C26" s="66" t="s">
        <v>3477</v>
      </c>
      <c r="D26" s="66" t="s">
        <v>3387</v>
      </c>
      <c r="E26" s="67">
        <v>0</v>
      </c>
      <c r="F26" s="68">
        <v>42.81</v>
      </c>
      <c r="G26" s="68">
        <v>42.81</v>
      </c>
      <c r="H26" s="68">
        <v>42.81</v>
      </c>
      <c r="I26" s="68">
        <v>42.81</v>
      </c>
      <c r="J26" s="68">
        <v>42.81</v>
      </c>
      <c r="K26" s="68">
        <v>40.64</v>
      </c>
      <c r="L26" s="68">
        <v>40.64</v>
      </c>
      <c r="M26" s="68">
        <v>40.64</v>
      </c>
      <c r="N26" s="68">
        <v>40.64</v>
      </c>
      <c r="O26" s="68">
        <v>40.64</v>
      </c>
      <c r="P26" s="68">
        <v>42.81</v>
      </c>
      <c r="Q26" s="68">
        <v>42.81</v>
      </c>
      <c r="R26" s="69" t="s">
        <v>3470</v>
      </c>
      <c r="S26" s="69" t="s">
        <v>3491</v>
      </c>
      <c r="T26" s="70" t="s">
        <v>3472</v>
      </c>
      <c r="U26" s="452"/>
      <c r="V26" s="453" t="str">
        <f>IF(VLOOKUP($A26,'GeneratingCapabilityList sorted'!$E$9:$O$801,8,FALSE)&lt;&gt;"",VLOOKUP($A26,'GeneratingCapabilityList sorted'!$E$9:$O$801,8,FALSE),"NoneListed")</f>
        <v>NATURAL GAS</v>
      </c>
      <c r="W26" s="454">
        <f>IF($AB26,$AB26,IF($AA26,$AA26,Scenarios!$B$43))</f>
        <v>32874</v>
      </c>
      <c r="X26" s="454"/>
      <c r="Y26" s="454"/>
      <c r="Z26" s="454"/>
      <c r="AA26" s="454">
        <f>IFERROR(VLOOKUP($A26,'GeneratingCapabilityList sorted'!$E$9:$O$801,11,FALSE),Scenarios!$B$43)</f>
        <v>32874</v>
      </c>
      <c r="AB26" s="453"/>
      <c r="AC26" s="453"/>
    </row>
    <row r="27" spans="1:29" x14ac:dyDescent="0.25">
      <c r="A27" s="65" t="s">
        <v>823</v>
      </c>
      <c r="B27" s="65" t="s">
        <v>3496</v>
      </c>
      <c r="C27" s="66" t="s">
        <v>3477</v>
      </c>
      <c r="D27" s="66" t="s">
        <v>3388</v>
      </c>
      <c r="E27" s="67">
        <v>0</v>
      </c>
      <c r="F27" s="68">
        <v>25.6</v>
      </c>
      <c r="G27" s="68">
        <v>28.8</v>
      </c>
      <c r="H27" s="68">
        <v>111.2</v>
      </c>
      <c r="I27" s="68">
        <v>110.15</v>
      </c>
      <c r="J27" s="68">
        <v>99.19</v>
      </c>
      <c r="K27" s="68">
        <v>103.89</v>
      </c>
      <c r="L27" s="68">
        <v>56.78</v>
      </c>
      <c r="M27" s="68">
        <v>46.26</v>
      </c>
      <c r="N27" s="68">
        <v>17.920000000000002</v>
      </c>
      <c r="O27" s="68">
        <v>27.94</v>
      </c>
      <c r="P27" s="68">
        <v>27.77</v>
      </c>
      <c r="Q27" s="68">
        <v>24.81</v>
      </c>
      <c r="R27" s="69" t="s">
        <v>3470</v>
      </c>
      <c r="S27" s="69" t="s">
        <v>3489</v>
      </c>
      <c r="T27" s="70" t="s">
        <v>3425</v>
      </c>
      <c r="U27" s="452"/>
      <c r="V27" s="453" t="str">
        <f>IF(VLOOKUP($A27,'GeneratingCapabilityList sorted'!$E$9:$O$801,8,FALSE)&lt;&gt;"",VLOOKUP($A27,'GeneratingCapabilityList sorted'!$E$9:$O$801,8,FALSE),"NoneListed")</f>
        <v>WIND</v>
      </c>
      <c r="W27" s="454">
        <f>IF($AB27,$AB27,IF($AA27,$AA27,Scenarios!$B$43))</f>
        <v>29952</v>
      </c>
      <c r="X27" s="454"/>
      <c r="Y27" s="454"/>
      <c r="Z27" s="454"/>
      <c r="AA27" s="454">
        <f>IFERROR(VLOOKUP($A27,'GeneratingCapabilityList sorted'!$E$9:$O$801,11,FALSE),Scenarios!$B$43)</f>
        <v>29952</v>
      </c>
      <c r="AB27" s="453"/>
      <c r="AC27" s="453"/>
    </row>
    <row r="28" spans="1:29" x14ac:dyDescent="0.25">
      <c r="A28" s="65" t="s">
        <v>1637</v>
      </c>
      <c r="B28" s="65" t="s">
        <v>1638</v>
      </c>
      <c r="C28" s="66" t="s">
        <v>3477</v>
      </c>
      <c r="D28" s="66" t="s">
        <v>3387</v>
      </c>
      <c r="E28" s="67">
        <v>0</v>
      </c>
      <c r="F28" s="68">
        <v>256.94</v>
      </c>
      <c r="G28" s="68">
        <v>280.29000000000002</v>
      </c>
      <c r="H28" s="68">
        <v>262.42</v>
      </c>
      <c r="I28" s="68">
        <v>231.35</v>
      </c>
      <c r="J28" s="68">
        <v>272.77</v>
      </c>
      <c r="K28" s="68">
        <v>285.98</v>
      </c>
      <c r="L28" s="68">
        <v>279.20999999999998</v>
      </c>
      <c r="M28" s="68">
        <v>271.39999999999998</v>
      </c>
      <c r="N28" s="68">
        <v>268.14999999999998</v>
      </c>
      <c r="O28" s="68">
        <v>226.31</v>
      </c>
      <c r="P28" s="68">
        <v>249.61</v>
      </c>
      <c r="Q28" s="68">
        <v>278.76</v>
      </c>
      <c r="R28" s="69" t="s">
        <v>3470</v>
      </c>
      <c r="S28" s="69" t="s">
        <v>3489</v>
      </c>
      <c r="T28" s="70" t="s">
        <v>3497</v>
      </c>
      <c r="U28" s="452"/>
      <c r="V28" s="453" t="str">
        <f>IF(VLOOKUP($A28,'GeneratingCapabilityList sorted'!$E$9:$O$801,8,FALSE)&lt;&gt;"",VLOOKUP($A28,'GeneratingCapabilityList sorted'!$E$9:$O$801,8,FALSE),"NoneListed")</f>
        <v>NATURAL GAS</v>
      </c>
      <c r="W28" s="454">
        <f>IF($AB28,$AB28,IF($AA28,$AA28,Scenarios!$B$43))</f>
        <v>32115</v>
      </c>
      <c r="X28" s="454"/>
      <c r="Y28" s="454"/>
      <c r="Z28" s="454"/>
      <c r="AA28" s="454">
        <f>IFERROR(VLOOKUP($A28,'GeneratingCapabilityList sorted'!$E$9:$O$801,11,FALSE),Scenarios!$B$43)</f>
        <v>32115</v>
      </c>
      <c r="AB28" s="453"/>
      <c r="AC28" s="453"/>
    </row>
    <row r="29" spans="1:29" x14ac:dyDescent="0.25">
      <c r="A29" s="65" t="s">
        <v>260</v>
      </c>
      <c r="B29" s="65" t="s">
        <v>3498</v>
      </c>
      <c r="C29" s="66" t="s">
        <v>3468</v>
      </c>
      <c r="D29" s="66" t="s">
        <v>3474</v>
      </c>
      <c r="E29" s="67">
        <v>33</v>
      </c>
      <c r="F29" s="68"/>
      <c r="G29" s="68"/>
      <c r="H29" s="68"/>
      <c r="I29" s="68"/>
      <c r="J29" s="68"/>
      <c r="K29" s="68"/>
      <c r="L29" s="68"/>
      <c r="M29" s="68"/>
      <c r="N29" s="68"/>
      <c r="O29" s="68"/>
      <c r="P29" s="68"/>
      <c r="Q29" s="68"/>
      <c r="R29" s="69" t="s">
        <v>3470</v>
      </c>
      <c r="S29" s="69" t="s">
        <v>3489</v>
      </c>
      <c r="T29" s="70" t="s">
        <v>3484</v>
      </c>
      <c r="U29" s="452"/>
      <c r="V29" s="453" t="str">
        <f>IF(VLOOKUP($A29,'GeneratingCapabilityList sorted'!$E$9:$O$801,8,FALSE)&lt;&gt;"",VLOOKUP($A29,'GeneratingCapabilityList sorted'!$E$9:$O$801,8,FALSE),"NoneListed")</f>
        <v>WATER</v>
      </c>
      <c r="W29" s="454">
        <f>IF($AB29,$AB29,IF($AA29,$AA29,Scenarios!$B$43))</f>
        <v>9863</v>
      </c>
      <c r="X29" s="454"/>
      <c r="Y29" s="454"/>
      <c r="Z29" s="454"/>
      <c r="AA29" s="454">
        <f>IFERROR(VLOOKUP($A29,'GeneratingCapabilityList sorted'!$E$9:$O$801,11,FALSE),Scenarios!$B$43)</f>
        <v>9863</v>
      </c>
      <c r="AB29" s="453"/>
      <c r="AC29" s="453"/>
    </row>
    <row r="30" spans="1:29" x14ac:dyDescent="0.25">
      <c r="A30" s="65" t="s">
        <v>413</v>
      </c>
      <c r="B30" s="65" t="s">
        <v>3499</v>
      </c>
      <c r="C30" s="66" t="s">
        <v>3468</v>
      </c>
      <c r="D30" s="66" t="s">
        <v>3474</v>
      </c>
      <c r="E30" s="67">
        <v>0</v>
      </c>
      <c r="F30" s="68">
        <v>52.5</v>
      </c>
      <c r="G30" s="68">
        <v>52.5</v>
      </c>
      <c r="H30" s="68">
        <v>52.5</v>
      </c>
      <c r="I30" s="68">
        <v>52.5</v>
      </c>
      <c r="J30" s="68">
        <v>52.5</v>
      </c>
      <c r="K30" s="68">
        <v>52.5</v>
      </c>
      <c r="L30" s="68">
        <v>52.5</v>
      </c>
      <c r="M30" s="68">
        <v>52.5</v>
      </c>
      <c r="N30" s="68">
        <v>52.5</v>
      </c>
      <c r="O30" s="68">
        <v>52.5</v>
      </c>
      <c r="P30" s="68">
        <v>52.5</v>
      </c>
      <c r="Q30" s="68">
        <v>52.5</v>
      </c>
      <c r="R30" s="69" t="s">
        <v>3470</v>
      </c>
      <c r="S30" s="69" t="s">
        <v>3489</v>
      </c>
      <c r="T30" s="70" t="s">
        <v>3484</v>
      </c>
      <c r="U30" s="452"/>
      <c r="V30" s="453" t="str">
        <f>IF(VLOOKUP($A30,'GeneratingCapabilityList sorted'!$E$9:$O$801,8,FALSE)&lt;&gt;"",VLOOKUP($A30,'GeneratingCapabilityList sorted'!$E$9:$O$801,8,FALSE),"NoneListed")</f>
        <v>WATER</v>
      </c>
      <c r="W30" s="454">
        <f>IF($AB30,$AB30,IF($AA30,$AA30,Scenarios!$B$43))</f>
        <v>21186</v>
      </c>
      <c r="X30" s="454"/>
      <c r="Y30" s="454"/>
      <c r="Z30" s="454"/>
      <c r="AA30" s="454">
        <f>IFERROR(VLOOKUP($A30,'GeneratingCapabilityList sorted'!$E$9:$O$801,11,FALSE),Scenarios!$B$43)</f>
        <v>21186</v>
      </c>
      <c r="AB30" s="453"/>
      <c r="AC30" s="453"/>
    </row>
    <row r="31" spans="1:29" x14ac:dyDescent="0.25">
      <c r="A31" s="65" t="s">
        <v>415</v>
      </c>
      <c r="B31" s="65" t="s">
        <v>3500</v>
      </c>
      <c r="C31" s="66" t="s">
        <v>3468</v>
      </c>
      <c r="D31" s="66" t="s">
        <v>3474</v>
      </c>
      <c r="E31" s="67">
        <v>0</v>
      </c>
      <c r="F31" s="68">
        <v>52.5</v>
      </c>
      <c r="G31" s="68">
        <v>52.5</v>
      </c>
      <c r="H31" s="68">
        <v>52.5</v>
      </c>
      <c r="I31" s="68">
        <v>52.5</v>
      </c>
      <c r="J31" s="68">
        <v>52.5</v>
      </c>
      <c r="K31" s="68">
        <v>52.5</v>
      </c>
      <c r="L31" s="68">
        <v>52.5</v>
      </c>
      <c r="M31" s="68">
        <v>52.5</v>
      </c>
      <c r="N31" s="68">
        <v>52.5</v>
      </c>
      <c r="O31" s="68">
        <v>52.5</v>
      </c>
      <c r="P31" s="68">
        <v>52.5</v>
      </c>
      <c r="Q31" s="68">
        <v>52.5</v>
      </c>
      <c r="R31" s="69" t="s">
        <v>3470</v>
      </c>
      <c r="S31" s="69" t="s">
        <v>3489</v>
      </c>
      <c r="T31" s="70" t="s">
        <v>3484</v>
      </c>
      <c r="U31" s="452"/>
      <c r="V31" s="453" t="str">
        <f>IF(VLOOKUP($A31,'GeneratingCapabilityList sorted'!$E$9:$O$801,8,FALSE)&lt;&gt;"",VLOOKUP($A31,'GeneratingCapabilityList sorted'!$E$9:$O$801,8,FALSE),"NoneListed")</f>
        <v>WATER</v>
      </c>
      <c r="W31" s="454">
        <f>IF($AB31,$AB31,IF($AA31,$AA31,Scenarios!$B$43))</f>
        <v>21186</v>
      </c>
      <c r="X31" s="454"/>
      <c r="Y31" s="454"/>
      <c r="Z31" s="454"/>
      <c r="AA31" s="454">
        <f>IFERROR(VLOOKUP($A31,'GeneratingCapabilityList sorted'!$E$9:$O$801,11,FALSE),Scenarios!$B$43)</f>
        <v>21186</v>
      </c>
      <c r="AB31" s="453"/>
      <c r="AC31" s="453"/>
    </row>
    <row r="32" spans="1:29" x14ac:dyDescent="0.25">
      <c r="A32" s="72" t="s">
        <v>3501</v>
      </c>
      <c r="B32" s="72" t="s">
        <v>3501</v>
      </c>
      <c r="C32" s="73" t="s">
        <v>3468</v>
      </c>
      <c r="D32" s="73" t="s">
        <v>3382</v>
      </c>
      <c r="E32" s="74">
        <v>0</v>
      </c>
      <c r="F32" s="75">
        <v>224</v>
      </c>
      <c r="G32" s="75">
        <v>224</v>
      </c>
      <c r="H32" s="75">
        <v>224</v>
      </c>
      <c r="I32" s="75">
        <v>224</v>
      </c>
      <c r="J32" s="75">
        <v>224</v>
      </c>
      <c r="K32" s="75">
        <v>224</v>
      </c>
      <c r="L32" s="75">
        <v>224</v>
      </c>
      <c r="M32" s="75">
        <v>224</v>
      </c>
      <c r="N32" s="75">
        <v>224</v>
      </c>
      <c r="O32" s="75">
        <v>224</v>
      </c>
      <c r="P32" s="75">
        <v>224</v>
      </c>
      <c r="Q32" s="75">
        <v>224</v>
      </c>
      <c r="R32" s="69" t="s">
        <v>3470</v>
      </c>
      <c r="S32" s="76" t="s">
        <v>560</v>
      </c>
      <c r="T32" s="70" t="s">
        <v>3502</v>
      </c>
      <c r="U32" s="452"/>
      <c r="V32" s="453" t="e">
        <f>IF(VLOOKUP($A32,'GeneratingCapabilityList sorted'!$E$9:$O$801,8,FALSE)&lt;&gt;"",VLOOKUP($A32,'GeneratingCapabilityList sorted'!$E$9:$O$801,8,FALSE),"NoneListed")</f>
        <v>#N/A</v>
      </c>
      <c r="W32" s="454">
        <f>IF($AB32,$AB32,IF($AA32,$AA32,Scenarios!$B$43))</f>
        <v>29221</v>
      </c>
      <c r="X32" s="454"/>
      <c r="Y32" s="454"/>
      <c r="Z32" s="454"/>
      <c r="AA32" s="454">
        <f>IFERROR(VLOOKUP($A32,'GeneratingCapabilityList sorted'!$E$9:$O$801,11,FALSE),Scenarios!$B$43)</f>
        <v>29221</v>
      </c>
      <c r="AB32" s="453"/>
      <c r="AC32" s="453"/>
    </row>
    <row r="33" spans="1:29" x14ac:dyDescent="0.25">
      <c r="A33" s="65" t="s">
        <v>2201</v>
      </c>
      <c r="B33" s="65" t="s">
        <v>3503</v>
      </c>
      <c r="C33" s="66" t="s">
        <v>3477</v>
      </c>
      <c r="D33" s="66" t="s">
        <v>3387</v>
      </c>
      <c r="E33" s="67">
        <v>0</v>
      </c>
      <c r="F33" s="68">
        <v>0</v>
      </c>
      <c r="G33" s="68">
        <v>0</v>
      </c>
      <c r="H33" s="68">
        <v>0</v>
      </c>
      <c r="I33" s="68">
        <v>0</v>
      </c>
      <c r="J33" s="68">
        <v>0</v>
      </c>
      <c r="K33" s="68">
        <v>0</v>
      </c>
      <c r="L33" s="68">
        <v>0</v>
      </c>
      <c r="M33" s="68">
        <v>0</v>
      </c>
      <c r="N33" s="68">
        <v>0</v>
      </c>
      <c r="O33" s="68">
        <v>0</v>
      </c>
      <c r="P33" s="68">
        <v>0</v>
      </c>
      <c r="Q33" s="68">
        <v>0</v>
      </c>
      <c r="R33" s="69" t="s">
        <v>3470</v>
      </c>
      <c r="S33" s="69" t="s">
        <v>3489</v>
      </c>
      <c r="T33" s="70" t="s">
        <v>3497</v>
      </c>
      <c r="U33" s="452"/>
      <c r="V33" s="453" t="str">
        <f>IF(VLOOKUP($A33,'GeneratingCapabilityList sorted'!$E$9:$O$801,8,FALSE)&lt;&gt;"",VLOOKUP($A33,'GeneratingCapabilityList sorted'!$E$9:$O$801,8,FALSE),"NoneListed")</f>
        <v>NoneListed</v>
      </c>
      <c r="W33" s="454">
        <f>IF($AB33,$AB33,IF($AA33,$AA33,Scenarios!$B$43))</f>
        <v>34335</v>
      </c>
      <c r="X33" s="454"/>
      <c r="Y33" s="454"/>
      <c r="Z33" s="454"/>
      <c r="AA33" s="454">
        <f>IFERROR(VLOOKUP($A33,'GeneratingCapabilityList sorted'!$E$9:$O$801,11,FALSE),Scenarios!$B$43)</f>
        <v>34335</v>
      </c>
      <c r="AB33" s="453"/>
      <c r="AC33" s="453"/>
    </row>
    <row r="34" spans="1:29" x14ac:dyDescent="0.25">
      <c r="A34" s="65" t="s">
        <v>2895</v>
      </c>
      <c r="B34" s="65" t="s">
        <v>2896</v>
      </c>
      <c r="C34" s="66" t="s">
        <v>3477</v>
      </c>
      <c r="D34" s="66" t="s">
        <v>3387</v>
      </c>
      <c r="E34" s="67">
        <v>45.38</v>
      </c>
      <c r="F34" s="68">
        <v>0</v>
      </c>
      <c r="G34" s="68">
        <v>0</v>
      </c>
      <c r="H34" s="68">
        <v>0</v>
      </c>
      <c r="I34" s="68">
        <v>0</v>
      </c>
      <c r="J34" s="68">
        <v>0</v>
      </c>
      <c r="K34" s="68">
        <v>0</v>
      </c>
      <c r="L34" s="68">
        <v>0</v>
      </c>
      <c r="M34" s="68">
        <v>0</v>
      </c>
      <c r="N34" s="68">
        <v>0</v>
      </c>
      <c r="O34" s="68">
        <v>0</v>
      </c>
      <c r="P34" s="68">
        <v>0</v>
      </c>
      <c r="Q34" s="68">
        <v>0</v>
      </c>
      <c r="R34" s="69" t="s">
        <v>3470</v>
      </c>
      <c r="S34" s="69" t="s">
        <v>3471</v>
      </c>
      <c r="T34" s="70" t="s">
        <v>3472</v>
      </c>
      <c r="U34" s="452"/>
      <c r="V34" s="453" t="str">
        <f>IF(VLOOKUP($A34,'GeneratingCapabilityList sorted'!$E$9:$O$801,8,FALSE)&lt;&gt;"",VLOOKUP($A34,'GeneratingCapabilityList sorted'!$E$9:$O$801,8,FALSE),"NoneListed")</f>
        <v>NATURAL GAS</v>
      </c>
      <c r="W34" s="454">
        <f>IF($AB34,$AB34,IF($AA34,$AA34,Scenarios!$B$43))</f>
        <v>39345</v>
      </c>
      <c r="X34" s="454"/>
      <c r="Y34" s="454"/>
      <c r="Z34" s="454"/>
      <c r="AA34" s="454">
        <f>IFERROR(VLOOKUP($A34,'GeneratingCapabilityList sorted'!$E$9:$O$801,11,FALSE),Scenarios!$B$43)</f>
        <v>39345</v>
      </c>
      <c r="AB34" s="453"/>
      <c r="AC34" s="453"/>
    </row>
    <row r="35" spans="1:29" x14ac:dyDescent="0.25">
      <c r="A35" s="65" t="s">
        <v>1844</v>
      </c>
      <c r="B35" s="65" t="s">
        <v>3504</v>
      </c>
      <c r="C35" s="66" t="s">
        <v>3468</v>
      </c>
      <c r="D35" s="66" t="s">
        <v>3488</v>
      </c>
      <c r="E35" s="67">
        <v>0</v>
      </c>
      <c r="F35" s="68">
        <v>74.319999999999993</v>
      </c>
      <c r="G35" s="68">
        <v>84.9</v>
      </c>
      <c r="H35" s="68">
        <v>57.45</v>
      </c>
      <c r="I35" s="68">
        <v>88.92</v>
      </c>
      <c r="J35" s="68">
        <v>74.930000000000007</v>
      </c>
      <c r="K35" s="68">
        <v>92.51</v>
      </c>
      <c r="L35" s="68">
        <v>90.19</v>
      </c>
      <c r="M35" s="68">
        <v>97.85</v>
      </c>
      <c r="N35" s="68">
        <v>86.5</v>
      </c>
      <c r="O35" s="68">
        <v>93.29</v>
      </c>
      <c r="P35" s="68">
        <v>74.86</v>
      </c>
      <c r="Q35" s="68">
        <v>69.760000000000005</v>
      </c>
      <c r="R35" s="69" t="s">
        <v>3470</v>
      </c>
      <c r="S35" s="69" t="s">
        <v>3489</v>
      </c>
      <c r="T35" s="70" t="s">
        <v>3497</v>
      </c>
      <c r="U35" s="452"/>
      <c r="V35" s="453" t="str">
        <f>IF(VLOOKUP($A35,'GeneratingCapabilityList sorted'!$E$9:$O$801,8,FALSE)&lt;&gt;"",VLOOKUP($A35,'GeneratingCapabilityList sorted'!$E$9:$O$801,8,FALSE),"NoneListed")</f>
        <v>NATURAL GAS</v>
      </c>
      <c r="W35" s="454">
        <f>IF($AB35,$AB35,IF($AA35,$AA35,Scenarios!$B$43))</f>
        <v>32581</v>
      </c>
      <c r="X35" s="454"/>
      <c r="Y35" s="454"/>
      <c r="Z35" s="454"/>
      <c r="AA35" s="454">
        <f>IFERROR(VLOOKUP($A35,'GeneratingCapabilityList sorted'!$E$9:$O$801,11,FALSE),Scenarios!$B$43)</f>
        <v>32581</v>
      </c>
      <c r="AB35" s="453"/>
      <c r="AC35" s="453"/>
    </row>
    <row r="36" spans="1:29" x14ac:dyDescent="0.25">
      <c r="A36" s="65" t="s">
        <v>2112</v>
      </c>
      <c r="B36" s="65" t="s">
        <v>2113</v>
      </c>
      <c r="C36" s="66" t="s">
        <v>3468</v>
      </c>
      <c r="D36" s="66" t="s">
        <v>3505</v>
      </c>
      <c r="E36" s="67">
        <v>0</v>
      </c>
      <c r="F36" s="68">
        <v>43.89</v>
      </c>
      <c r="G36" s="68">
        <v>44.73</v>
      </c>
      <c r="H36" s="68">
        <v>38.06</v>
      </c>
      <c r="I36" s="68">
        <v>37.369999999999997</v>
      </c>
      <c r="J36" s="68">
        <v>36.659999999999997</v>
      </c>
      <c r="K36" s="68">
        <v>44.7</v>
      </c>
      <c r="L36" s="68">
        <v>42.85</v>
      </c>
      <c r="M36" s="68">
        <v>43.4</v>
      </c>
      <c r="N36" s="68">
        <v>44.1</v>
      </c>
      <c r="O36" s="68">
        <v>38.380000000000003</v>
      </c>
      <c r="P36" s="68">
        <v>43.48</v>
      </c>
      <c r="Q36" s="68">
        <v>46.63</v>
      </c>
      <c r="R36" s="69" t="s">
        <v>3470</v>
      </c>
      <c r="S36" s="69" t="s">
        <v>3489</v>
      </c>
      <c r="T36" s="70" t="s">
        <v>3497</v>
      </c>
      <c r="U36" s="452"/>
      <c r="V36" s="453" t="str">
        <f>IF(VLOOKUP($A36,'GeneratingCapabilityList sorted'!$E$9:$O$801,8,FALSE)&lt;&gt;"",VLOOKUP($A36,'GeneratingCapabilityList sorted'!$E$9:$O$801,8,FALSE),"NoneListed")</f>
        <v>NATURAL GAS</v>
      </c>
      <c r="W36" s="454">
        <f>IF($AB36,$AB36,IF($AA36,$AA36,Scenarios!$B$43))</f>
        <v>33329</v>
      </c>
      <c r="X36" s="454"/>
      <c r="Y36" s="454"/>
      <c r="Z36" s="454"/>
      <c r="AA36" s="454">
        <f>IFERROR(VLOOKUP($A36,'GeneratingCapabilityList sorted'!$E$9:$O$801,11,FALSE),Scenarios!$B$43)</f>
        <v>33329</v>
      </c>
      <c r="AB36" s="453"/>
      <c r="AC36" s="453"/>
    </row>
    <row r="37" spans="1:29" x14ac:dyDescent="0.25">
      <c r="A37" s="65" t="s">
        <v>3256</v>
      </c>
      <c r="B37" s="65" t="s">
        <v>3506</v>
      </c>
      <c r="C37" s="66" t="s">
        <v>3468</v>
      </c>
      <c r="D37" s="66" t="s">
        <v>3469</v>
      </c>
      <c r="E37" s="67">
        <v>13</v>
      </c>
      <c r="F37" s="68">
        <v>0</v>
      </c>
      <c r="G37" s="68">
        <v>0</v>
      </c>
      <c r="H37" s="68">
        <v>0</v>
      </c>
      <c r="I37" s="68">
        <v>0</v>
      </c>
      <c r="J37" s="68">
        <v>0</v>
      </c>
      <c r="K37" s="68">
        <v>0</v>
      </c>
      <c r="L37" s="68">
        <v>0</v>
      </c>
      <c r="M37" s="68">
        <v>0</v>
      </c>
      <c r="N37" s="68">
        <v>0</v>
      </c>
      <c r="O37" s="68">
        <v>0</v>
      </c>
      <c r="P37" s="68">
        <v>0</v>
      </c>
      <c r="Q37" s="68">
        <v>0</v>
      </c>
      <c r="R37" s="69" t="s">
        <v>3470</v>
      </c>
      <c r="S37" s="69" t="s">
        <v>3471</v>
      </c>
      <c r="T37" s="70" t="s">
        <v>3472</v>
      </c>
      <c r="U37" s="452"/>
      <c r="V37" s="453" t="str">
        <f>IF(VLOOKUP($A37,'GeneratingCapabilityList sorted'!$E$9:$O$801,8,FALSE)&lt;&gt;"",VLOOKUP($A37,'GeneratingCapabilityList sorted'!$E$9:$O$801,8,FALSE),"NoneListed")</f>
        <v>GEOTHERMAL</v>
      </c>
      <c r="W37" s="454">
        <f>IF($AB37,$AB37,IF($AA37,$AA37,Scenarios!$B$43))</f>
        <v>32392</v>
      </c>
      <c r="X37" s="454"/>
      <c r="Y37" s="454"/>
      <c r="Z37" s="454"/>
      <c r="AA37" s="454">
        <f>IFERROR(VLOOKUP($A37,'GeneratingCapabilityList sorted'!$E$9:$O$801,11,FALSE),Scenarios!$B$43)</f>
        <v>0</v>
      </c>
      <c r="AB37" s="454">
        <v>32392</v>
      </c>
      <c r="AC37" s="453" t="s">
        <v>4731</v>
      </c>
    </row>
    <row r="38" spans="1:29" x14ac:dyDescent="0.25">
      <c r="A38" s="65" t="s">
        <v>406</v>
      </c>
      <c r="B38" s="65" t="s">
        <v>3507</v>
      </c>
      <c r="C38" s="66" t="s">
        <v>3468</v>
      </c>
      <c r="D38" s="66" t="s">
        <v>3508</v>
      </c>
      <c r="E38" s="67">
        <v>0</v>
      </c>
      <c r="F38" s="68">
        <v>0.63</v>
      </c>
      <c r="G38" s="68">
        <v>0.42</v>
      </c>
      <c r="H38" s="68">
        <v>0.43</v>
      </c>
      <c r="I38" s="68">
        <v>5.47</v>
      </c>
      <c r="J38" s="68">
        <v>5.93</v>
      </c>
      <c r="K38" s="68">
        <v>7.05</v>
      </c>
      <c r="L38" s="68">
        <v>8.35</v>
      </c>
      <c r="M38" s="68">
        <v>8.36</v>
      </c>
      <c r="N38" s="68">
        <v>6.46</v>
      </c>
      <c r="O38" s="68">
        <v>2.16</v>
      </c>
      <c r="P38" s="68">
        <v>2.04</v>
      </c>
      <c r="Q38" s="68">
        <v>3.91</v>
      </c>
      <c r="R38" s="69" t="s">
        <v>3470</v>
      </c>
      <c r="S38" s="69" t="s">
        <v>3489</v>
      </c>
      <c r="T38" s="70" t="s">
        <v>3484</v>
      </c>
      <c r="U38" s="452"/>
      <c r="V38" s="453" t="str">
        <f>IF(VLOOKUP($A38,'GeneratingCapabilityList sorted'!$E$9:$O$801,8,FALSE)&lt;&gt;"",VLOOKUP($A38,'GeneratingCapabilityList sorted'!$E$9:$O$801,8,FALSE),"NoneListed")</f>
        <v>WATER</v>
      </c>
      <c r="W38" s="454">
        <f>IF($AB38,$AB38,IF($AA38,$AA38,Scenarios!$B$43))</f>
        <v>20821</v>
      </c>
      <c r="X38" s="454"/>
      <c r="Y38" s="454"/>
      <c r="Z38" s="454"/>
      <c r="AA38" s="454">
        <f>IFERROR(VLOOKUP($A38,'GeneratingCapabilityList sorted'!$E$9:$O$801,11,FALSE),Scenarios!$B$43)</f>
        <v>20821</v>
      </c>
      <c r="AB38" s="453"/>
      <c r="AC38" s="453"/>
    </row>
    <row r="39" spans="1:29" x14ac:dyDescent="0.25">
      <c r="A39" s="65" t="s">
        <v>2230</v>
      </c>
      <c r="B39" s="65" t="s">
        <v>2231</v>
      </c>
      <c r="C39" s="66" t="s">
        <v>3468</v>
      </c>
      <c r="D39" s="66" t="s">
        <v>3505</v>
      </c>
      <c r="E39" s="67">
        <v>0</v>
      </c>
      <c r="F39" s="68">
        <v>46.4</v>
      </c>
      <c r="G39" s="68">
        <v>45.53</v>
      </c>
      <c r="H39" s="68">
        <v>47.06</v>
      </c>
      <c r="I39" s="68">
        <v>43.37</v>
      </c>
      <c r="J39" s="68">
        <v>38.799999999999997</v>
      </c>
      <c r="K39" s="68">
        <v>45.39</v>
      </c>
      <c r="L39" s="68">
        <v>44.68</v>
      </c>
      <c r="M39" s="68">
        <v>45.9</v>
      </c>
      <c r="N39" s="68">
        <v>43.03</v>
      </c>
      <c r="O39" s="68">
        <v>46.04</v>
      </c>
      <c r="P39" s="68">
        <v>43.3</v>
      </c>
      <c r="Q39" s="68">
        <v>47.13</v>
      </c>
      <c r="R39" s="69" t="s">
        <v>3470</v>
      </c>
      <c r="S39" s="69" t="s">
        <v>3489</v>
      </c>
      <c r="T39" s="70" t="s">
        <v>3497</v>
      </c>
      <c r="U39" s="452"/>
      <c r="V39" s="453" t="str">
        <f>IF(VLOOKUP($A39,'GeneratingCapabilityList sorted'!$E$9:$O$801,8,FALSE)&lt;&gt;"",VLOOKUP($A39,'GeneratingCapabilityList sorted'!$E$9:$O$801,8,FALSE),"NoneListed")</f>
        <v>NATURAL GAS</v>
      </c>
      <c r="W39" s="454">
        <f>IF($AB39,$AB39,IF($AA39,$AA39,Scenarios!$B$43))</f>
        <v>34792</v>
      </c>
      <c r="X39" s="454"/>
      <c r="Y39" s="454"/>
      <c r="Z39" s="454"/>
      <c r="AA39" s="454">
        <f>IFERROR(VLOOKUP($A39,'GeneratingCapabilityList sorted'!$E$9:$O$801,11,FALSE),Scenarios!$B$43)</f>
        <v>34792</v>
      </c>
      <c r="AB39" s="453"/>
      <c r="AC39" s="453"/>
    </row>
    <row r="40" spans="1:29" x14ac:dyDescent="0.25">
      <c r="A40" s="65" t="s">
        <v>626</v>
      </c>
      <c r="B40" s="65" t="s">
        <v>3509</v>
      </c>
      <c r="C40" s="66" t="s">
        <v>3468</v>
      </c>
      <c r="D40" s="66" t="s">
        <v>3510</v>
      </c>
      <c r="E40" s="67">
        <v>0</v>
      </c>
      <c r="F40" s="68">
        <v>115</v>
      </c>
      <c r="G40" s="68">
        <v>115</v>
      </c>
      <c r="H40" s="68">
        <v>115</v>
      </c>
      <c r="I40" s="68">
        <v>115</v>
      </c>
      <c r="J40" s="68">
        <v>115</v>
      </c>
      <c r="K40" s="68">
        <v>115</v>
      </c>
      <c r="L40" s="68">
        <v>115</v>
      </c>
      <c r="M40" s="68">
        <v>115</v>
      </c>
      <c r="N40" s="68">
        <v>115</v>
      </c>
      <c r="O40" s="68">
        <v>115</v>
      </c>
      <c r="P40" s="68">
        <v>115</v>
      </c>
      <c r="Q40" s="68">
        <v>115</v>
      </c>
      <c r="R40" s="69" t="s">
        <v>3470</v>
      </c>
      <c r="S40" s="69" t="s">
        <v>3489</v>
      </c>
      <c r="T40" s="70" t="s">
        <v>3484</v>
      </c>
      <c r="U40" s="452"/>
      <c r="V40" s="453" t="str">
        <f>IF(VLOOKUP($A40,'GeneratingCapabilityList sorted'!$E$9:$O$801,8,FALSE)&lt;&gt;"",VLOOKUP($A40,'GeneratingCapabilityList sorted'!$E$9:$O$801,8,FALSE),"NoneListed")</f>
        <v>WATER</v>
      </c>
      <c r="W40" s="454">
        <f>IF($AB40,$AB40,IF($AA40,$AA40,Scenarios!$B$43))</f>
        <v>25204</v>
      </c>
      <c r="X40" s="454"/>
      <c r="Y40" s="454"/>
      <c r="Z40" s="454"/>
      <c r="AA40" s="454">
        <f>IFERROR(VLOOKUP($A40,'GeneratingCapabilityList sorted'!$E$9:$O$801,11,FALSE),Scenarios!$B$43)</f>
        <v>25204</v>
      </c>
      <c r="AB40" s="453"/>
      <c r="AC40" s="453"/>
    </row>
    <row r="41" spans="1:29" x14ac:dyDescent="0.25">
      <c r="A41" s="65" t="s">
        <v>134</v>
      </c>
      <c r="B41" s="65" t="s">
        <v>135</v>
      </c>
      <c r="C41" s="66" t="s">
        <v>3477</v>
      </c>
      <c r="D41" s="66" t="s">
        <v>3388</v>
      </c>
      <c r="E41" s="67">
        <v>0</v>
      </c>
      <c r="F41" s="68">
        <v>773.6</v>
      </c>
      <c r="G41" s="68">
        <v>773.6</v>
      </c>
      <c r="H41" s="68">
        <v>773.6</v>
      </c>
      <c r="I41" s="68">
        <v>773.6</v>
      </c>
      <c r="J41" s="68">
        <v>800.6</v>
      </c>
      <c r="K41" s="68">
        <v>800.6</v>
      </c>
      <c r="L41" s="68">
        <v>800.6</v>
      </c>
      <c r="M41" s="68">
        <v>800.6</v>
      </c>
      <c r="N41" s="68">
        <v>773.6</v>
      </c>
      <c r="O41" s="68">
        <v>773.6</v>
      </c>
      <c r="P41" s="68">
        <v>773.6</v>
      </c>
      <c r="Q41" s="68">
        <v>773.6</v>
      </c>
      <c r="R41" s="69" t="s">
        <v>3470</v>
      </c>
      <c r="S41" s="69" t="s">
        <v>3489</v>
      </c>
      <c r="T41" s="70" t="s">
        <v>3484</v>
      </c>
      <c r="U41" s="452"/>
      <c r="V41" s="453" t="str">
        <f>IF(VLOOKUP($A41,'GeneratingCapabilityList sorted'!$E$9:$O$801,8,FALSE)&lt;&gt;"",VLOOKUP($A41,'GeneratingCapabilityList sorted'!$E$9:$O$801,8,FALSE),"NoneListed")</f>
        <v>WATER</v>
      </c>
      <c r="W41" s="454">
        <f>IF($AB41,$AB41,IF($AA41,$AA41,Scenarios!$B$43))</f>
        <v>4750</v>
      </c>
      <c r="X41" s="454"/>
      <c r="Y41" s="454"/>
      <c r="Z41" s="454"/>
      <c r="AA41" s="454">
        <f>IFERROR(VLOOKUP($A41,'GeneratingCapabilityList sorted'!$E$9:$O$801,11,FALSE),Scenarios!$B$43)</f>
        <v>4750</v>
      </c>
      <c r="AB41" s="453"/>
      <c r="AC41" s="453"/>
    </row>
    <row r="42" spans="1:29" x14ac:dyDescent="0.25">
      <c r="A42" s="65" t="s">
        <v>1903</v>
      </c>
      <c r="B42" s="65" t="s">
        <v>1904</v>
      </c>
      <c r="C42" s="66" t="s">
        <v>3468</v>
      </c>
      <c r="D42" s="66" t="s">
        <v>3510</v>
      </c>
      <c r="E42" s="67">
        <v>0</v>
      </c>
      <c r="F42" s="68">
        <v>20.22</v>
      </c>
      <c r="G42" s="68">
        <v>19.850000000000001</v>
      </c>
      <c r="H42" s="68">
        <v>15.92</v>
      </c>
      <c r="I42" s="68">
        <v>16.940000000000001</v>
      </c>
      <c r="J42" s="68">
        <v>16.13</v>
      </c>
      <c r="K42" s="68">
        <v>23.4</v>
      </c>
      <c r="L42" s="68">
        <v>21.42</v>
      </c>
      <c r="M42" s="68">
        <v>22.8</v>
      </c>
      <c r="N42" s="68">
        <v>21.74</v>
      </c>
      <c r="O42" s="68">
        <v>13.09</v>
      </c>
      <c r="P42" s="68">
        <v>17.87</v>
      </c>
      <c r="Q42" s="68">
        <v>21.14</v>
      </c>
      <c r="R42" s="69" t="s">
        <v>3470</v>
      </c>
      <c r="S42" s="69" t="s">
        <v>3489</v>
      </c>
      <c r="T42" s="70" t="s">
        <v>3497</v>
      </c>
      <c r="U42" s="452"/>
      <c r="V42" s="453" t="str">
        <f>IF(VLOOKUP($A42,'GeneratingCapabilityList sorted'!$E$9:$O$801,8,FALSE)&lt;&gt;"",VLOOKUP($A42,'GeneratingCapabilityList sorted'!$E$9:$O$801,8,FALSE),"NoneListed")</f>
        <v>WOOD WASTE</v>
      </c>
      <c r="W42" s="454">
        <f>IF($AB42,$AB42,IF($AA42,$AA42,Scenarios!$B$43))</f>
        <v>32751</v>
      </c>
      <c r="X42" s="454"/>
      <c r="Y42" s="454"/>
      <c r="Z42" s="454"/>
      <c r="AA42" s="454">
        <f>IFERROR(VLOOKUP($A42,'GeneratingCapabilityList sorted'!$E$9:$O$801,11,FALSE),Scenarios!$B$43)</f>
        <v>32751</v>
      </c>
      <c r="AB42" s="453"/>
      <c r="AC42" s="453"/>
    </row>
    <row r="43" spans="1:29" x14ac:dyDescent="0.25">
      <c r="A43" s="65" t="s">
        <v>97</v>
      </c>
      <c r="B43" s="65" t="s">
        <v>3511</v>
      </c>
      <c r="C43" s="66" t="s">
        <v>3477</v>
      </c>
      <c r="D43" s="66" t="s">
        <v>3488</v>
      </c>
      <c r="E43" s="67">
        <v>0</v>
      </c>
      <c r="F43" s="68">
        <v>2.9</v>
      </c>
      <c r="G43" s="68">
        <v>2.94</v>
      </c>
      <c r="H43" s="68">
        <v>4.13</v>
      </c>
      <c r="I43" s="68">
        <v>4.5</v>
      </c>
      <c r="J43" s="68">
        <v>6.63</v>
      </c>
      <c r="K43" s="68">
        <v>8.84</v>
      </c>
      <c r="L43" s="68">
        <v>9.5299999999999994</v>
      </c>
      <c r="M43" s="68">
        <v>8.3000000000000007</v>
      </c>
      <c r="N43" s="68">
        <v>5.89</v>
      </c>
      <c r="O43" s="68">
        <v>4.79</v>
      </c>
      <c r="P43" s="68">
        <v>4.58</v>
      </c>
      <c r="Q43" s="68">
        <v>4.8499999999999996</v>
      </c>
      <c r="R43" s="69" t="s">
        <v>3470</v>
      </c>
      <c r="S43" s="69" t="s">
        <v>3489</v>
      </c>
      <c r="T43" s="70" t="s">
        <v>3512</v>
      </c>
      <c r="U43" s="452"/>
      <c r="V43" s="453" t="str">
        <f>IF(VLOOKUP($A43,'GeneratingCapabilityList sorted'!$E$9:$O$801,8,FALSE)&lt;&gt;"",VLOOKUP($A43,'GeneratingCapabilityList sorted'!$E$9:$O$801,8,FALSE),"NoneListed")</f>
        <v>WATER</v>
      </c>
      <c r="W43" s="454">
        <f>IF($AB43,$AB43,IF($AA43,$AA43,Scenarios!$B$43))</f>
        <v>2923</v>
      </c>
      <c r="X43" s="454"/>
      <c r="Y43" s="454"/>
      <c r="Z43" s="454"/>
      <c r="AA43" s="454">
        <f>IFERROR(VLOOKUP($A43,'GeneratingCapabilityList sorted'!$E$9:$O$801,11,FALSE),Scenarios!$B$43)</f>
        <v>2923</v>
      </c>
      <c r="AB43" s="453"/>
      <c r="AC43" s="453"/>
    </row>
    <row r="44" spans="1:29" x14ac:dyDescent="0.25">
      <c r="A44" s="65" t="s">
        <v>77</v>
      </c>
      <c r="B44" s="65" t="s">
        <v>3513</v>
      </c>
      <c r="C44" s="66" t="s">
        <v>3477</v>
      </c>
      <c r="D44" s="66" t="s">
        <v>3488</v>
      </c>
      <c r="E44" s="67">
        <v>0</v>
      </c>
      <c r="F44" s="68">
        <v>4.22</v>
      </c>
      <c r="G44" s="68">
        <v>4.43</v>
      </c>
      <c r="H44" s="68">
        <v>6.53</v>
      </c>
      <c r="I44" s="68">
        <v>7.1</v>
      </c>
      <c r="J44" s="68">
        <v>10.039999999999999</v>
      </c>
      <c r="K44" s="68">
        <v>12.4</v>
      </c>
      <c r="L44" s="68">
        <v>13.23</v>
      </c>
      <c r="M44" s="68">
        <v>11.79</v>
      </c>
      <c r="N44" s="68">
        <v>8.15</v>
      </c>
      <c r="O44" s="68">
        <v>6.75</v>
      </c>
      <c r="P44" s="68">
        <v>6.56</v>
      </c>
      <c r="Q44" s="68">
        <v>7.03</v>
      </c>
      <c r="R44" s="69" t="s">
        <v>3470</v>
      </c>
      <c r="S44" s="69" t="s">
        <v>3489</v>
      </c>
      <c r="T44" s="70" t="s">
        <v>3512</v>
      </c>
      <c r="U44" s="452"/>
      <c r="V44" s="453" t="str">
        <f>IF(VLOOKUP($A44,'GeneratingCapabilityList sorted'!$E$9:$O$801,8,FALSE)&lt;&gt;"",VLOOKUP($A44,'GeneratingCapabilityList sorted'!$E$9:$O$801,8,FALSE),"NoneListed")</f>
        <v>WATER</v>
      </c>
      <c r="W44" s="454">
        <f>IF($AB44,$AB44,IF($AA44,$AA44,Scenarios!$B$43))</f>
        <v>1828</v>
      </c>
      <c r="X44" s="454"/>
      <c r="Y44" s="454"/>
      <c r="Z44" s="454"/>
      <c r="AA44" s="454">
        <f>IFERROR(VLOOKUP($A44,'GeneratingCapabilityList sorted'!$E$9:$O$801,11,FALSE),Scenarios!$B$43)</f>
        <v>1828</v>
      </c>
      <c r="AB44" s="453"/>
      <c r="AC44" s="453"/>
    </row>
    <row r="45" spans="1:29" x14ac:dyDescent="0.25">
      <c r="A45" s="65" t="s">
        <v>533</v>
      </c>
      <c r="B45" s="65" t="s">
        <v>3514</v>
      </c>
      <c r="C45" s="66" t="s">
        <v>3468</v>
      </c>
      <c r="D45" s="66" t="s">
        <v>3488</v>
      </c>
      <c r="E45" s="67">
        <v>0</v>
      </c>
      <c r="F45" s="68">
        <v>85</v>
      </c>
      <c r="G45" s="68">
        <v>85</v>
      </c>
      <c r="H45" s="68">
        <v>85</v>
      </c>
      <c r="I45" s="68">
        <v>85</v>
      </c>
      <c r="J45" s="68">
        <v>85</v>
      </c>
      <c r="K45" s="68">
        <v>85</v>
      </c>
      <c r="L45" s="68">
        <v>85</v>
      </c>
      <c r="M45" s="68">
        <v>85</v>
      </c>
      <c r="N45" s="68">
        <v>85</v>
      </c>
      <c r="O45" s="68">
        <v>85</v>
      </c>
      <c r="P45" s="68">
        <v>85</v>
      </c>
      <c r="Q45" s="68">
        <v>85</v>
      </c>
      <c r="R45" s="69" t="s">
        <v>3470</v>
      </c>
      <c r="S45" s="69" t="s">
        <v>3489</v>
      </c>
      <c r="T45" s="70" t="s">
        <v>3484</v>
      </c>
      <c r="U45" s="452"/>
      <c r="V45" s="453" t="str">
        <f>IF(VLOOKUP($A45,'GeneratingCapabilityList sorted'!$E$9:$O$801,8,FALSE)&lt;&gt;"",VLOOKUP($A45,'GeneratingCapabilityList sorted'!$E$9:$O$801,8,FALSE),"NoneListed")</f>
        <v>WATER</v>
      </c>
      <c r="W45" s="454">
        <f>IF($AB45,$AB45,IF($AA45,$AA45,Scenarios!$B$43))</f>
        <v>24108</v>
      </c>
      <c r="X45" s="454"/>
      <c r="Y45" s="454"/>
      <c r="Z45" s="454"/>
      <c r="AA45" s="454">
        <f>IFERROR(VLOOKUP($A45,'GeneratingCapabilityList sorted'!$E$9:$O$801,11,FALSE),Scenarios!$B$43)</f>
        <v>24108</v>
      </c>
      <c r="AB45" s="453"/>
      <c r="AC45" s="453"/>
    </row>
    <row r="46" spans="1:29" x14ac:dyDescent="0.25">
      <c r="A46" s="65" t="s">
        <v>517</v>
      </c>
      <c r="B46" s="65" t="s">
        <v>3515</v>
      </c>
      <c r="C46" s="66" t="s">
        <v>3468</v>
      </c>
      <c r="D46" s="66" t="s">
        <v>3488</v>
      </c>
      <c r="E46" s="67">
        <v>0</v>
      </c>
      <c r="F46" s="68">
        <v>84.1</v>
      </c>
      <c r="G46" s="68">
        <v>84.1</v>
      </c>
      <c r="H46" s="68">
        <v>84.1</v>
      </c>
      <c r="I46" s="68">
        <v>84.1</v>
      </c>
      <c r="J46" s="68">
        <v>84.1</v>
      </c>
      <c r="K46" s="68">
        <v>84.1</v>
      </c>
      <c r="L46" s="68">
        <v>84.1</v>
      </c>
      <c r="M46" s="68">
        <v>84.1</v>
      </c>
      <c r="N46" s="68">
        <v>84.1</v>
      </c>
      <c r="O46" s="68">
        <v>84.1</v>
      </c>
      <c r="P46" s="68">
        <v>84.1</v>
      </c>
      <c r="Q46" s="68">
        <v>84.1</v>
      </c>
      <c r="R46" s="69" t="s">
        <v>3470</v>
      </c>
      <c r="S46" s="69" t="s">
        <v>3489</v>
      </c>
      <c r="T46" s="70" t="s">
        <v>3484</v>
      </c>
      <c r="U46" s="452"/>
      <c r="V46" s="453" t="str">
        <f>IF(VLOOKUP($A46,'GeneratingCapabilityList sorted'!$E$9:$O$801,8,FALSE)&lt;&gt;"",VLOOKUP($A46,'GeneratingCapabilityList sorted'!$E$9:$O$801,8,FALSE),"NoneListed")</f>
        <v>WATER</v>
      </c>
      <c r="W46" s="454">
        <f>IF($AB46,$AB46,IF($AA46,$AA46,Scenarios!$B$43))</f>
        <v>23743</v>
      </c>
      <c r="X46" s="454"/>
      <c r="Y46" s="454"/>
      <c r="Z46" s="454"/>
      <c r="AA46" s="454">
        <f>IFERROR(VLOOKUP($A46,'GeneratingCapabilityList sorted'!$E$9:$O$801,11,FALSE),Scenarios!$B$43)</f>
        <v>23743</v>
      </c>
      <c r="AB46" s="453"/>
      <c r="AC46" s="453"/>
    </row>
    <row r="47" spans="1:29" x14ac:dyDescent="0.25">
      <c r="A47" s="65" t="s">
        <v>1663</v>
      </c>
      <c r="B47" s="65" t="s">
        <v>3516</v>
      </c>
      <c r="C47" s="66" t="s">
        <v>3468</v>
      </c>
      <c r="D47" s="66" t="s">
        <v>3488</v>
      </c>
      <c r="E47" s="67">
        <v>0</v>
      </c>
      <c r="F47" s="68">
        <v>1.8</v>
      </c>
      <c r="G47" s="68">
        <v>1.6</v>
      </c>
      <c r="H47" s="68">
        <v>1.3</v>
      </c>
      <c r="I47" s="68">
        <v>3.5</v>
      </c>
      <c r="J47" s="68">
        <v>2.7</v>
      </c>
      <c r="K47" s="68">
        <v>1.7</v>
      </c>
      <c r="L47" s="68">
        <v>1.6</v>
      </c>
      <c r="M47" s="68">
        <v>1.5</v>
      </c>
      <c r="N47" s="68">
        <v>1.5</v>
      </c>
      <c r="O47" s="68">
        <v>1.5</v>
      </c>
      <c r="P47" s="68">
        <v>2.1</v>
      </c>
      <c r="Q47" s="68">
        <v>1.3</v>
      </c>
      <c r="R47" s="69" t="s">
        <v>3470</v>
      </c>
      <c r="S47" s="69" t="s">
        <v>3517</v>
      </c>
      <c r="T47" s="70" t="s">
        <v>3502</v>
      </c>
      <c r="U47" s="452"/>
      <c r="V47" s="453" t="str">
        <f>IF(VLOOKUP($A47,'GeneratingCapabilityList sorted'!$E$9:$O$801,8,FALSE)&lt;&gt;"",VLOOKUP($A47,'GeneratingCapabilityList sorted'!$E$9:$O$801,8,FALSE),"NoneListed")</f>
        <v>WATER</v>
      </c>
      <c r="W47" s="454">
        <f>IF($AB47,$AB47,IF($AA47,$AA47,Scenarios!$B$43))</f>
        <v>32143</v>
      </c>
      <c r="X47" s="454"/>
      <c r="Y47" s="454"/>
      <c r="Z47" s="454"/>
      <c r="AA47" s="454">
        <f>IFERROR(VLOOKUP($A47,'GeneratingCapabilityList sorted'!$E$9:$O$801,11,FALSE),Scenarios!$B$43)</f>
        <v>32143</v>
      </c>
      <c r="AB47" s="453"/>
      <c r="AC47" s="453"/>
    </row>
    <row r="48" spans="1:29" x14ac:dyDescent="0.25">
      <c r="A48" s="65" t="s">
        <v>929</v>
      </c>
      <c r="B48" s="65" t="s">
        <v>930</v>
      </c>
      <c r="C48" s="66" t="s">
        <v>3468</v>
      </c>
      <c r="D48" s="66" t="s">
        <v>3382</v>
      </c>
      <c r="E48" s="67">
        <v>0</v>
      </c>
      <c r="F48" s="68">
        <v>1.08</v>
      </c>
      <c r="G48" s="68">
        <v>1.1100000000000001</v>
      </c>
      <c r="H48" s="68">
        <v>1.1399999999999999</v>
      </c>
      <c r="I48" s="68">
        <v>1.1100000000000001</v>
      </c>
      <c r="J48" s="68">
        <v>1.1000000000000001</v>
      </c>
      <c r="K48" s="68">
        <v>1.1100000000000001</v>
      </c>
      <c r="L48" s="68">
        <v>1.1399999999999999</v>
      </c>
      <c r="M48" s="68">
        <v>1.06</v>
      </c>
      <c r="N48" s="68">
        <v>0.97</v>
      </c>
      <c r="O48" s="68">
        <v>1.02</v>
      </c>
      <c r="P48" s="68">
        <v>0.93</v>
      </c>
      <c r="Q48" s="68">
        <v>0.94</v>
      </c>
      <c r="R48" s="69" t="s">
        <v>3470</v>
      </c>
      <c r="S48" s="69" t="s">
        <v>3489</v>
      </c>
      <c r="T48" s="70" t="s">
        <v>3497</v>
      </c>
      <c r="U48" s="452"/>
      <c r="V48" s="453" t="str">
        <f>IF(VLOOKUP($A48,'GeneratingCapabilityList sorted'!$E$9:$O$801,8,FALSE)&lt;&gt;"",VLOOKUP($A48,'GeneratingCapabilityList sorted'!$E$9:$O$801,8,FALSE),"NoneListed")</f>
        <v>LANDFILL GAS</v>
      </c>
      <c r="W48" s="454">
        <f>IF($AB48,$AB48,IF($AA48,$AA48,Scenarios!$B$43))</f>
        <v>30327</v>
      </c>
      <c r="X48" s="454"/>
      <c r="Y48" s="454"/>
      <c r="Z48" s="454"/>
      <c r="AA48" s="454">
        <f>IFERROR(VLOOKUP($A48,'GeneratingCapabilityList sorted'!$E$9:$O$801,11,FALSE),Scenarios!$B$43)</f>
        <v>30327</v>
      </c>
      <c r="AB48" s="453"/>
      <c r="AC48" s="453"/>
    </row>
    <row r="49" spans="1:29" x14ac:dyDescent="0.25">
      <c r="A49" s="65" t="s">
        <v>1778</v>
      </c>
      <c r="B49" s="65" t="s">
        <v>3518</v>
      </c>
      <c r="C49" s="66" t="s">
        <v>3477</v>
      </c>
      <c r="D49" s="66" t="s">
        <v>3488</v>
      </c>
      <c r="E49" s="67">
        <v>0</v>
      </c>
      <c r="F49" s="68">
        <v>62.22</v>
      </c>
      <c r="G49" s="68">
        <v>61.15</v>
      </c>
      <c r="H49" s="68">
        <v>59.98</v>
      </c>
      <c r="I49" s="68">
        <v>55.13</v>
      </c>
      <c r="J49" s="68">
        <v>59.57</v>
      </c>
      <c r="K49" s="68">
        <v>63.08</v>
      </c>
      <c r="L49" s="68">
        <v>59.69</v>
      </c>
      <c r="M49" s="68">
        <v>61.44</v>
      </c>
      <c r="N49" s="68">
        <v>63.86</v>
      </c>
      <c r="O49" s="68">
        <v>58.56</v>
      </c>
      <c r="P49" s="68">
        <v>62.17</v>
      </c>
      <c r="Q49" s="68">
        <v>62.3</v>
      </c>
      <c r="R49" s="69" t="s">
        <v>3470</v>
      </c>
      <c r="S49" s="69" t="s">
        <v>3489</v>
      </c>
      <c r="T49" s="70" t="s">
        <v>3497</v>
      </c>
      <c r="U49" s="452"/>
      <c r="V49" s="453" t="str">
        <f>IF(VLOOKUP($A49,'GeneratingCapabilityList sorted'!$E$9:$O$801,8,FALSE)&lt;&gt;"",VLOOKUP($A49,'GeneratingCapabilityList sorted'!$E$9:$O$801,8,FALSE),"NoneListed")</f>
        <v>GEOTHERMAL</v>
      </c>
      <c r="W49" s="454">
        <f>IF($AB49,$AB49,IF($AA49,$AA49,Scenarios!$B$43))</f>
        <v>32482</v>
      </c>
      <c r="X49" s="454"/>
      <c r="Y49" s="454"/>
      <c r="Z49" s="454"/>
      <c r="AA49" s="454">
        <f>IFERROR(VLOOKUP($A49,'GeneratingCapabilityList sorted'!$E$9:$O$801,11,FALSE),Scenarios!$B$43)</f>
        <v>32482</v>
      </c>
      <c r="AB49" s="453"/>
      <c r="AC49" s="453"/>
    </row>
    <row r="50" spans="1:29" x14ac:dyDescent="0.25">
      <c r="A50" s="65" t="s">
        <v>2988</v>
      </c>
      <c r="B50" s="65" t="s">
        <v>3519</v>
      </c>
      <c r="C50" s="66" t="s">
        <v>3468</v>
      </c>
      <c r="D50" s="82" t="s">
        <v>3520</v>
      </c>
      <c r="E50" s="67"/>
      <c r="F50" s="68">
        <v>0</v>
      </c>
      <c r="G50" s="68">
        <v>0</v>
      </c>
      <c r="H50" s="68">
        <v>0</v>
      </c>
      <c r="I50" s="68">
        <v>0</v>
      </c>
      <c r="J50" s="68">
        <v>0</v>
      </c>
      <c r="K50" s="68">
        <v>0</v>
      </c>
      <c r="L50" s="68">
        <v>0</v>
      </c>
      <c r="M50" s="68">
        <v>0</v>
      </c>
      <c r="N50" s="68">
        <v>0</v>
      </c>
      <c r="O50" s="68">
        <v>0</v>
      </c>
      <c r="P50" s="68">
        <v>0</v>
      </c>
      <c r="Q50" s="68">
        <v>0</v>
      </c>
      <c r="R50" s="69" t="s">
        <v>3521</v>
      </c>
      <c r="S50" s="69" t="s">
        <v>3489</v>
      </c>
      <c r="T50" s="70" t="s">
        <v>3497</v>
      </c>
      <c r="U50" s="452"/>
      <c r="V50" s="453" t="str">
        <f>IF(VLOOKUP($A50,'GeneratingCapabilityList sorted'!$E$9:$O$801,8,FALSE)&lt;&gt;"",VLOOKUP($A50,'GeneratingCapabilityList sorted'!$E$9:$O$801,8,FALSE),"NoneListed")</f>
        <v>WOOD WASTE</v>
      </c>
      <c r="W50" s="454">
        <f>IF($AB50,$AB50,IF($AA50,$AA50,Scenarios!$B$43))</f>
        <v>40430</v>
      </c>
      <c r="X50" s="454"/>
      <c r="Y50" s="454"/>
      <c r="Z50" s="454"/>
      <c r="AA50" s="454">
        <f>IFERROR(VLOOKUP($A50,'GeneratingCapabilityList sorted'!$E$9:$O$801,11,FALSE),Scenarios!$B$43)</f>
        <v>40430</v>
      </c>
      <c r="AB50" s="453"/>
      <c r="AC50" s="453"/>
    </row>
    <row r="51" spans="1:29" x14ac:dyDescent="0.25">
      <c r="A51" s="83" t="s">
        <v>2961</v>
      </c>
      <c r="B51" s="84" t="s">
        <v>2962</v>
      </c>
      <c r="C51" s="66" t="s">
        <v>3477</v>
      </c>
      <c r="D51" s="66" t="s">
        <v>3488</v>
      </c>
      <c r="E51" s="67">
        <v>0</v>
      </c>
      <c r="F51" s="68">
        <v>0</v>
      </c>
      <c r="G51" s="68">
        <v>0</v>
      </c>
      <c r="H51" s="68">
        <v>0</v>
      </c>
      <c r="I51" s="68">
        <v>0</v>
      </c>
      <c r="J51" s="68">
        <v>0</v>
      </c>
      <c r="K51" s="68">
        <v>0</v>
      </c>
      <c r="L51" s="68">
        <v>0</v>
      </c>
      <c r="M51" s="68">
        <v>0</v>
      </c>
      <c r="N51" s="68">
        <v>0</v>
      </c>
      <c r="O51" s="68">
        <v>0</v>
      </c>
      <c r="P51" s="68">
        <v>0</v>
      </c>
      <c r="Q51" s="68">
        <v>0</v>
      </c>
      <c r="R51" s="69" t="s">
        <v>3521</v>
      </c>
      <c r="S51" s="69" t="s">
        <v>3489</v>
      </c>
      <c r="T51" s="70" t="s">
        <v>3522</v>
      </c>
      <c r="U51" s="452"/>
      <c r="V51" s="453" t="str">
        <f>IF(VLOOKUP($A51,'GeneratingCapabilityList sorted'!$E$9:$O$801,8,FALSE)&lt;&gt;"",VLOOKUP($A51,'GeneratingCapabilityList sorted'!$E$9:$O$801,8,FALSE),"NoneListed")</f>
        <v>SUN</v>
      </c>
      <c r="W51" s="454">
        <f>IF($AB51,$AB51,IF($AA51,$AA51,Scenarios!$B$43))</f>
        <v>40165</v>
      </c>
      <c r="X51" s="454"/>
      <c r="Y51" s="454"/>
      <c r="Z51" s="454"/>
      <c r="AA51" s="454">
        <f>IFERROR(VLOOKUP($A51,'GeneratingCapabilityList sorted'!$E$9:$O$801,11,FALSE),Scenarios!$B$43)</f>
        <v>40165</v>
      </c>
      <c r="AB51" s="453"/>
      <c r="AC51" s="453"/>
    </row>
    <row r="52" spans="1:29" x14ac:dyDescent="0.25">
      <c r="A52" s="65" t="s">
        <v>50</v>
      </c>
      <c r="B52" s="65" t="s">
        <v>3523</v>
      </c>
      <c r="C52" s="66" t="s">
        <v>3468</v>
      </c>
      <c r="D52" s="66" t="s">
        <v>3510</v>
      </c>
      <c r="E52" s="67">
        <v>0</v>
      </c>
      <c r="F52" s="68">
        <v>0.28999999999999998</v>
      </c>
      <c r="G52" s="68">
        <v>0.26</v>
      </c>
      <c r="H52" s="68">
        <v>0.35</v>
      </c>
      <c r="I52" s="68">
        <v>0.32</v>
      </c>
      <c r="J52" s="68">
        <v>0.25</v>
      </c>
      <c r="K52" s="68">
        <v>0.51</v>
      </c>
      <c r="L52" s="68">
        <v>0.7</v>
      </c>
      <c r="M52" s="68">
        <v>0.67</v>
      </c>
      <c r="N52" s="68">
        <v>0.6</v>
      </c>
      <c r="O52" s="68">
        <v>0.67</v>
      </c>
      <c r="P52" s="68">
        <v>0.32</v>
      </c>
      <c r="Q52" s="68">
        <v>0.23</v>
      </c>
      <c r="R52" s="69" t="s">
        <v>3470</v>
      </c>
      <c r="S52" s="69" t="s">
        <v>3489</v>
      </c>
      <c r="T52" s="70" t="s">
        <v>3502</v>
      </c>
      <c r="U52" s="452"/>
      <c r="V52" s="453" t="str">
        <f>IF(VLOOKUP($A52,'GeneratingCapabilityList sorted'!$E$9:$O$801,8,FALSE)&lt;&gt;"",VLOOKUP($A52,'GeneratingCapabilityList sorted'!$E$9:$O$801,8,FALSE),"NoneListed")</f>
        <v>WATER</v>
      </c>
      <c r="W52" s="454">
        <f>IF($AB52,$AB52,IF($AA52,$AA52,Scenarios!$B$43))</f>
        <v>732</v>
      </c>
      <c r="X52" s="454"/>
      <c r="Y52" s="454"/>
      <c r="Z52" s="454"/>
      <c r="AA52" s="454">
        <f>IFERROR(VLOOKUP($A52,'GeneratingCapabilityList sorted'!$E$9:$O$801,11,FALSE),Scenarios!$B$43)</f>
        <v>732</v>
      </c>
      <c r="AB52" s="453"/>
      <c r="AC52" s="453"/>
    </row>
    <row r="53" spans="1:29" x14ac:dyDescent="0.25">
      <c r="A53" s="65" t="s">
        <v>2604</v>
      </c>
      <c r="B53" s="65" t="s">
        <v>3524</v>
      </c>
      <c r="C53" s="66" t="s">
        <v>3468</v>
      </c>
      <c r="D53" s="66" t="s">
        <v>3510</v>
      </c>
      <c r="E53" s="67">
        <v>0</v>
      </c>
      <c r="F53" s="68">
        <v>46.3</v>
      </c>
      <c r="G53" s="68">
        <v>46.3</v>
      </c>
      <c r="H53" s="68">
        <v>46.3</v>
      </c>
      <c r="I53" s="68">
        <v>46.3</v>
      </c>
      <c r="J53" s="68">
        <v>46.3</v>
      </c>
      <c r="K53" s="68">
        <v>46</v>
      </c>
      <c r="L53" s="68">
        <v>45</v>
      </c>
      <c r="M53" s="68">
        <v>45</v>
      </c>
      <c r="N53" s="68">
        <v>45</v>
      </c>
      <c r="O53" s="68">
        <v>46.3</v>
      </c>
      <c r="P53" s="68">
        <v>46.3</v>
      </c>
      <c r="Q53" s="68">
        <v>46.3</v>
      </c>
      <c r="R53" s="69" t="s">
        <v>3470</v>
      </c>
      <c r="S53" s="69" t="s">
        <v>3471</v>
      </c>
      <c r="T53" s="70" t="s">
        <v>3472</v>
      </c>
      <c r="U53" s="452"/>
      <c r="V53" s="453" t="str">
        <f>IF(VLOOKUP($A53,'GeneratingCapabilityList sorted'!$E$9:$O$801,8,FALSE)&lt;&gt;"",VLOOKUP($A53,'GeneratingCapabilityList sorted'!$E$9:$O$801,8,FALSE),"NoneListed")</f>
        <v>NATURAL GAS</v>
      </c>
      <c r="W53" s="454">
        <f>IF($AB53,$AB53,IF($AA53,$AA53,Scenarios!$B$43))</f>
        <v>37613</v>
      </c>
      <c r="X53" s="454"/>
      <c r="Y53" s="454"/>
      <c r="Z53" s="454"/>
      <c r="AA53" s="454">
        <f>IFERROR(VLOOKUP($A53,'GeneratingCapabilityList sorted'!$E$9:$O$801,11,FALSE),Scenarios!$B$43)</f>
        <v>37613</v>
      </c>
      <c r="AB53" s="453"/>
      <c r="AC53" s="453"/>
    </row>
    <row r="54" spans="1:29" x14ac:dyDescent="0.25">
      <c r="A54" s="65" t="s">
        <v>1192</v>
      </c>
      <c r="B54" s="65" t="s">
        <v>3525</v>
      </c>
      <c r="C54" s="66" t="s">
        <v>3468</v>
      </c>
      <c r="D54" s="66" t="s">
        <v>3474</v>
      </c>
      <c r="E54" s="67">
        <v>0</v>
      </c>
      <c r="F54" s="68">
        <v>0</v>
      </c>
      <c r="G54" s="68">
        <v>0</v>
      </c>
      <c r="H54" s="68">
        <v>0</v>
      </c>
      <c r="I54" s="68">
        <v>0.36</v>
      </c>
      <c r="J54" s="68">
        <v>1.01</v>
      </c>
      <c r="K54" s="68">
        <v>1.33</v>
      </c>
      <c r="L54" s="68">
        <v>1.48</v>
      </c>
      <c r="M54" s="68">
        <v>0.98</v>
      </c>
      <c r="N54" s="68">
        <v>0.23</v>
      </c>
      <c r="O54" s="68">
        <v>0.05</v>
      </c>
      <c r="P54" s="68">
        <v>0.11</v>
      </c>
      <c r="Q54" s="68">
        <v>0.03</v>
      </c>
      <c r="R54" s="69" t="s">
        <v>3470</v>
      </c>
      <c r="S54" s="69" t="s">
        <v>3489</v>
      </c>
      <c r="T54" s="70" t="s">
        <v>3497</v>
      </c>
      <c r="U54" s="452"/>
      <c r="V54" s="453" t="str">
        <f>IF(VLOOKUP($A54,'GeneratingCapabilityList sorted'!$E$9:$O$801,8,FALSE)&lt;&gt;"",VLOOKUP($A54,'GeneratingCapabilityList sorted'!$E$9:$O$801,8,FALSE),"NoneListed")</f>
        <v>WATER</v>
      </c>
      <c r="W54" s="454">
        <f>IF($AB54,$AB54,IF($AA54,$AA54,Scenarios!$B$43))</f>
        <v>31048</v>
      </c>
      <c r="X54" s="454"/>
      <c r="Y54" s="454"/>
      <c r="Z54" s="454"/>
      <c r="AA54" s="454">
        <f>IFERROR(VLOOKUP($A54,'GeneratingCapabilityList sorted'!$E$9:$O$801,11,FALSE),Scenarios!$B$43)</f>
        <v>31048</v>
      </c>
      <c r="AB54" s="453"/>
      <c r="AC54" s="453"/>
    </row>
    <row r="55" spans="1:29" x14ac:dyDescent="0.25">
      <c r="A55" s="65" t="s">
        <v>2512</v>
      </c>
      <c r="B55" s="65" t="s">
        <v>3526</v>
      </c>
      <c r="C55" s="66" t="s">
        <v>3477</v>
      </c>
      <c r="D55" s="66" t="s">
        <v>3385</v>
      </c>
      <c r="E55" s="67">
        <v>48.98</v>
      </c>
      <c r="F55" s="68">
        <v>0</v>
      </c>
      <c r="G55" s="68">
        <v>0</v>
      </c>
      <c r="H55" s="68">
        <v>0</v>
      </c>
      <c r="I55" s="68">
        <v>0</v>
      </c>
      <c r="J55" s="68">
        <v>0</v>
      </c>
      <c r="K55" s="68">
        <v>0</v>
      </c>
      <c r="L55" s="68">
        <v>0</v>
      </c>
      <c r="M55" s="68">
        <v>0</v>
      </c>
      <c r="N55" s="68">
        <v>0</v>
      </c>
      <c r="O55" s="68">
        <v>0</v>
      </c>
      <c r="P55" s="68">
        <v>0</v>
      </c>
      <c r="Q55" s="68">
        <v>0</v>
      </c>
      <c r="R55" s="69" t="s">
        <v>3470</v>
      </c>
      <c r="S55" s="69" t="s">
        <v>3471</v>
      </c>
      <c r="T55" s="70" t="s">
        <v>3472</v>
      </c>
      <c r="U55" s="452"/>
      <c r="V55" s="453" t="str">
        <f>IF(VLOOKUP($A55,'GeneratingCapabilityList sorted'!$E$9:$O$801,8,FALSE)&lt;&gt;"",VLOOKUP($A55,'GeneratingCapabilityList sorted'!$E$9:$O$801,8,FALSE),"NoneListed")</f>
        <v>NATURAL GAS</v>
      </c>
      <c r="W55" s="454">
        <f>IF($AB55,$AB55,IF($AA55,$AA55,Scenarios!$B$43))</f>
        <v>37190</v>
      </c>
      <c r="X55" s="454"/>
      <c r="Y55" s="454"/>
      <c r="Z55" s="454"/>
      <c r="AA55" s="454">
        <f>IFERROR(VLOOKUP($A55,'GeneratingCapabilityList sorted'!$E$9:$O$801,11,FALSE),Scenarios!$B$43)</f>
        <v>37190</v>
      </c>
      <c r="AB55" s="453"/>
      <c r="AC55" s="453"/>
    </row>
    <row r="56" spans="1:29" x14ac:dyDescent="0.25">
      <c r="A56" s="65" t="s">
        <v>1449</v>
      </c>
      <c r="B56" s="65" t="s">
        <v>3527</v>
      </c>
      <c r="C56" s="66" t="s">
        <v>3468</v>
      </c>
      <c r="D56" s="66" t="s">
        <v>3510</v>
      </c>
      <c r="E56" s="67">
        <v>0</v>
      </c>
      <c r="F56" s="68">
        <v>0.25</v>
      </c>
      <c r="G56" s="68">
        <v>0.28999999999999998</v>
      </c>
      <c r="H56" s="68">
        <v>0.87</v>
      </c>
      <c r="I56" s="68">
        <v>0.44</v>
      </c>
      <c r="J56" s="68">
        <v>1.84</v>
      </c>
      <c r="K56" s="68">
        <v>1.92</v>
      </c>
      <c r="L56" s="68">
        <v>2.58</v>
      </c>
      <c r="M56" s="68">
        <v>2.68</v>
      </c>
      <c r="N56" s="68">
        <v>2.14</v>
      </c>
      <c r="O56" s="68">
        <v>1.51</v>
      </c>
      <c r="P56" s="68">
        <v>0.9</v>
      </c>
      <c r="Q56" s="68">
        <v>0.84</v>
      </c>
      <c r="R56" s="69" t="s">
        <v>3470</v>
      </c>
      <c r="S56" s="69" t="s">
        <v>3489</v>
      </c>
      <c r="T56" s="70" t="s">
        <v>3502</v>
      </c>
      <c r="U56" s="452"/>
      <c r="V56" s="453" t="str">
        <f>IF(VLOOKUP($A56,'GeneratingCapabilityList sorted'!$E$9:$O$801,8,FALSE)&lt;&gt;"",VLOOKUP($A56,'GeneratingCapabilityList sorted'!$E$9:$O$801,8,FALSE),"NoneListed")</f>
        <v>WATER</v>
      </c>
      <c r="W56" s="454">
        <f>IF($AB56,$AB56,IF($AA56,$AA56,Scenarios!$B$43))</f>
        <v>31642</v>
      </c>
      <c r="X56" s="454"/>
      <c r="Y56" s="454"/>
      <c r="Z56" s="454"/>
      <c r="AA56" s="454">
        <f>IFERROR(VLOOKUP($A56,'GeneratingCapabilityList sorted'!$E$9:$O$801,11,FALSE),Scenarios!$B$43)</f>
        <v>31642</v>
      </c>
      <c r="AB56" s="453"/>
      <c r="AC56" s="453"/>
    </row>
    <row r="57" spans="1:29" x14ac:dyDescent="0.25">
      <c r="A57" s="65" t="s">
        <v>1653</v>
      </c>
      <c r="B57" s="65" t="s">
        <v>3528</v>
      </c>
      <c r="C57" s="66" t="s">
        <v>3468</v>
      </c>
      <c r="D57" s="66" t="s">
        <v>3520</v>
      </c>
      <c r="E57" s="67">
        <v>0</v>
      </c>
      <c r="F57" s="68">
        <v>0.85</v>
      </c>
      <c r="G57" s="68">
        <v>1.04</v>
      </c>
      <c r="H57" s="68">
        <v>1.01</v>
      </c>
      <c r="I57" s="68">
        <v>0.53</v>
      </c>
      <c r="J57" s="68">
        <v>0.3</v>
      </c>
      <c r="K57" s="68">
        <v>0.14000000000000001</v>
      </c>
      <c r="L57" s="68">
        <v>0</v>
      </c>
      <c r="M57" s="68">
        <v>0</v>
      </c>
      <c r="N57" s="68">
        <v>0</v>
      </c>
      <c r="O57" s="68">
        <v>0.08</v>
      </c>
      <c r="P57" s="68">
        <v>0.49</v>
      </c>
      <c r="Q57" s="68">
        <v>0.77</v>
      </c>
      <c r="R57" s="69" t="s">
        <v>3470</v>
      </c>
      <c r="S57" s="69" t="s">
        <v>3489</v>
      </c>
      <c r="T57" s="70" t="s">
        <v>3502</v>
      </c>
      <c r="U57" s="452"/>
      <c r="V57" s="453" t="str">
        <f>IF(VLOOKUP($A57,'GeneratingCapabilityList sorted'!$E$9:$O$801,8,FALSE)&lt;&gt;"",VLOOKUP($A57,'GeneratingCapabilityList sorted'!$E$9:$O$801,8,FALSE),"NoneListed")</f>
        <v>WATER</v>
      </c>
      <c r="W57" s="454">
        <f>IF($AB57,$AB57,IF($AA57,$AA57,Scenarios!$B$43))</f>
        <v>32121</v>
      </c>
      <c r="X57" s="454"/>
      <c r="Y57" s="454"/>
      <c r="Z57" s="454"/>
      <c r="AA57" s="454">
        <f>IFERROR(VLOOKUP($A57,'GeneratingCapabilityList sorted'!$E$9:$O$801,11,FALSE),Scenarios!$B$43)</f>
        <v>32121</v>
      </c>
      <c r="AB57" s="453"/>
      <c r="AC57" s="453"/>
    </row>
    <row r="58" spans="1:29" x14ac:dyDescent="0.25">
      <c r="A58" s="65" t="s">
        <v>2708</v>
      </c>
      <c r="B58" s="65" t="s">
        <v>3529</v>
      </c>
      <c r="C58" s="66" t="s">
        <v>3468</v>
      </c>
      <c r="D58" s="66" t="s">
        <v>3382</v>
      </c>
      <c r="E58" s="67">
        <v>0</v>
      </c>
      <c r="F58" s="68">
        <v>3.87</v>
      </c>
      <c r="G58" s="68">
        <v>5.87</v>
      </c>
      <c r="H58" s="68">
        <v>16.64</v>
      </c>
      <c r="I58" s="68">
        <v>11.61</v>
      </c>
      <c r="J58" s="68">
        <v>38.47</v>
      </c>
      <c r="K58" s="68">
        <v>52.68</v>
      </c>
      <c r="L58" s="68">
        <v>62.54</v>
      </c>
      <c r="M58" s="68">
        <v>35.090000000000003</v>
      </c>
      <c r="N58" s="68">
        <v>4.78</v>
      </c>
      <c r="O58" s="68">
        <v>5.07</v>
      </c>
      <c r="P58" s="68">
        <v>5.03</v>
      </c>
      <c r="Q58" s="68">
        <v>3.27</v>
      </c>
      <c r="R58" s="69" t="s">
        <v>3470</v>
      </c>
      <c r="S58" s="69" t="s">
        <v>3489</v>
      </c>
      <c r="T58" s="70" t="s">
        <v>3425</v>
      </c>
      <c r="U58" s="452"/>
      <c r="V58" s="453" t="str">
        <f>IF(VLOOKUP($A58,'GeneratingCapabilityList sorted'!$E$9:$O$801,8,FALSE)&lt;&gt;"",VLOOKUP($A58,'GeneratingCapabilityList sorted'!$E$9:$O$801,8,FALSE),"NoneListed")</f>
        <v>WIND</v>
      </c>
      <c r="W58" s="454">
        <f>IF($AB58,$AB58,IF($AA58,$AA58,Scenarios!$B$43))</f>
        <v>37978</v>
      </c>
      <c r="X58" s="454"/>
      <c r="Y58" s="454"/>
      <c r="Z58" s="454"/>
      <c r="AA58" s="454">
        <f>IFERROR(VLOOKUP($A58,'GeneratingCapabilityList sorted'!$E$9:$O$801,11,FALSE),Scenarios!$B$43)</f>
        <v>37978</v>
      </c>
      <c r="AB58" s="453"/>
      <c r="AC58" s="453"/>
    </row>
    <row r="59" spans="1:29" x14ac:dyDescent="0.25">
      <c r="A59" s="65" t="s">
        <v>3020</v>
      </c>
      <c r="B59" s="65" t="s">
        <v>3021</v>
      </c>
      <c r="C59" s="66" t="s">
        <v>3468</v>
      </c>
      <c r="D59" s="66" t="s">
        <v>3382</v>
      </c>
      <c r="E59" s="67"/>
      <c r="F59" s="68">
        <v>2.5097956664462395</v>
      </c>
      <c r="G59" s="68">
        <v>3.4944972815829924</v>
      </c>
      <c r="H59" s="68">
        <v>8.2299283609645446</v>
      </c>
      <c r="I59" s="68">
        <v>8.1921992775420058</v>
      </c>
      <c r="J59" s="68">
        <v>10.934120656466618</v>
      </c>
      <c r="K59" s="68">
        <v>12.580378253574192</v>
      </c>
      <c r="L59" s="68">
        <v>9.5290965291523619</v>
      </c>
      <c r="M59" s="68">
        <v>5.9493542962883676</v>
      </c>
      <c r="N59" s="68">
        <v>3.3040781823578733</v>
      </c>
      <c r="O59" s="68">
        <v>2.7439527930281118</v>
      </c>
      <c r="P59" s="68">
        <v>1.7764237509883389</v>
      </c>
      <c r="Q59" s="68">
        <v>1.6888368620059857</v>
      </c>
      <c r="R59" s="69" t="s">
        <v>3470</v>
      </c>
      <c r="S59" s="69" t="s">
        <v>3471</v>
      </c>
      <c r="T59" s="70" t="s">
        <v>3425</v>
      </c>
      <c r="U59" s="452"/>
      <c r="V59" s="453" t="str">
        <f>IF(VLOOKUP($A59,'GeneratingCapabilityList sorted'!$E$9:$O$801,8,FALSE)&lt;&gt;"",VLOOKUP($A59,'GeneratingCapabilityList sorted'!$E$9:$O$801,8,FALSE),"NoneListed")</f>
        <v>WIND</v>
      </c>
      <c r="W59" s="454">
        <f>IF($AB59,$AB59,IF($AA59,$AA59,Scenarios!$B$43))</f>
        <v>40568</v>
      </c>
      <c r="X59" s="454"/>
      <c r="Y59" s="454"/>
      <c r="Z59" s="454"/>
      <c r="AA59" s="454">
        <f>IFERROR(VLOOKUP($A59,'GeneratingCapabilityList sorted'!$E$9:$O$801,11,FALSE),Scenarios!$B$43)</f>
        <v>40568</v>
      </c>
      <c r="AB59" s="453"/>
      <c r="AC59" s="453"/>
    </row>
    <row r="60" spans="1:29" x14ac:dyDescent="0.25">
      <c r="A60" s="65" t="s">
        <v>2839</v>
      </c>
      <c r="B60" s="65" t="s">
        <v>3530</v>
      </c>
      <c r="C60" s="66" t="s">
        <v>3468</v>
      </c>
      <c r="D60" s="66" t="s">
        <v>3382</v>
      </c>
      <c r="E60" s="67">
        <v>0</v>
      </c>
      <c r="F60" s="68">
        <v>6.88</v>
      </c>
      <c r="G60" s="68">
        <v>8.5399999999999991</v>
      </c>
      <c r="H60" s="68">
        <v>26.16</v>
      </c>
      <c r="I60" s="68">
        <v>18.899999999999999</v>
      </c>
      <c r="J60" s="68">
        <v>44.89</v>
      </c>
      <c r="K60" s="68">
        <v>55.5</v>
      </c>
      <c r="L60" s="68">
        <v>56.83</v>
      </c>
      <c r="M60" s="68">
        <v>36.85</v>
      </c>
      <c r="N60" s="68">
        <v>6.88</v>
      </c>
      <c r="O60" s="68">
        <v>7.76</v>
      </c>
      <c r="P60" s="68">
        <v>7.31</v>
      </c>
      <c r="Q60" s="68">
        <v>4.5999999999999996</v>
      </c>
      <c r="R60" s="69" t="s">
        <v>3470</v>
      </c>
      <c r="S60" s="69" t="s">
        <v>3489</v>
      </c>
      <c r="T60" s="70" t="s">
        <v>3425</v>
      </c>
      <c r="U60" s="452"/>
      <c r="V60" s="453" t="str">
        <f>IF(VLOOKUP($A60,'GeneratingCapabilityList sorted'!$E$9:$O$801,8,FALSE)&lt;&gt;"",VLOOKUP($A60,'GeneratingCapabilityList sorted'!$E$9:$O$801,8,FALSE),"NoneListed")</f>
        <v>WIND</v>
      </c>
      <c r="W60" s="454">
        <f>IF($AB60,$AB60,IF($AA60,$AA60,Scenarios!$B$43))</f>
        <v>38806</v>
      </c>
      <c r="X60" s="454"/>
      <c r="Y60" s="454"/>
      <c r="Z60" s="454"/>
      <c r="AA60" s="454">
        <f>IFERROR(VLOOKUP($A60,'GeneratingCapabilityList sorted'!$E$9:$O$801,11,FALSE),Scenarios!$B$43)</f>
        <v>38806</v>
      </c>
      <c r="AB60" s="453"/>
      <c r="AC60" s="453"/>
    </row>
    <row r="61" spans="1:29" x14ac:dyDescent="0.25">
      <c r="A61" s="65" t="s">
        <v>2924</v>
      </c>
      <c r="B61" s="65" t="s">
        <v>3531</v>
      </c>
      <c r="C61" s="66" t="s">
        <v>3468</v>
      </c>
      <c r="D61" s="66" t="s">
        <v>3382</v>
      </c>
      <c r="E61" s="67">
        <v>0</v>
      </c>
      <c r="F61" s="68">
        <v>5.63</v>
      </c>
      <c r="G61" s="68">
        <v>9.01</v>
      </c>
      <c r="H61" s="68">
        <v>27.38</v>
      </c>
      <c r="I61" s="68">
        <v>22</v>
      </c>
      <c r="J61" s="68">
        <v>39.479999999999997</v>
      </c>
      <c r="K61" s="68">
        <v>53.66</v>
      </c>
      <c r="L61" s="68">
        <v>48.67</v>
      </c>
      <c r="M61" s="68">
        <v>33.869999999999997</v>
      </c>
      <c r="N61" s="68">
        <v>11.91</v>
      </c>
      <c r="O61" s="68">
        <v>10.44</v>
      </c>
      <c r="P61" s="68">
        <v>7.71</v>
      </c>
      <c r="Q61" s="68">
        <v>4.92</v>
      </c>
      <c r="R61" s="69" t="s">
        <v>3470</v>
      </c>
      <c r="S61" s="69" t="s">
        <v>3489</v>
      </c>
      <c r="T61" s="70" t="s">
        <v>3425</v>
      </c>
      <c r="U61" s="452"/>
      <c r="V61" s="453" t="str">
        <f>IF(VLOOKUP($A61,'GeneratingCapabilityList sorted'!$E$9:$O$801,8,FALSE)&lt;&gt;"",VLOOKUP($A61,'GeneratingCapabilityList sorted'!$E$9:$O$801,8,FALSE),"NoneListed")</f>
        <v>WIND</v>
      </c>
      <c r="W61" s="454">
        <f>IF($AB61,$AB61,IF($AA61,$AA61,Scenarios!$B$43))</f>
        <v>39840</v>
      </c>
      <c r="X61" s="454"/>
      <c r="Y61" s="454"/>
      <c r="Z61" s="454"/>
      <c r="AA61" s="454">
        <f>IFERROR(VLOOKUP($A61,'GeneratingCapabilityList sorted'!$E$9:$O$801,11,FALSE),Scenarios!$B$43)</f>
        <v>39840</v>
      </c>
      <c r="AB61" s="453"/>
      <c r="AC61" s="453"/>
    </row>
    <row r="62" spans="1:29" x14ac:dyDescent="0.25">
      <c r="A62" s="65" t="s">
        <v>502</v>
      </c>
      <c r="B62" s="65" t="s">
        <v>3532</v>
      </c>
      <c r="C62" s="66" t="s">
        <v>3477</v>
      </c>
      <c r="D62" s="66" t="s">
        <v>3387</v>
      </c>
      <c r="E62" s="67">
        <v>65</v>
      </c>
      <c r="F62" s="68">
        <v>0</v>
      </c>
      <c r="G62" s="68">
        <v>0</v>
      </c>
      <c r="H62" s="68">
        <v>0</v>
      </c>
      <c r="I62" s="68">
        <v>0</v>
      </c>
      <c r="J62" s="68">
        <v>0</v>
      </c>
      <c r="K62" s="68">
        <v>0</v>
      </c>
      <c r="L62" s="68">
        <v>0</v>
      </c>
      <c r="M62" s="68">
        <v>0</v>
      </c>
      <c r="N62" s="68">
        <v>0</v>
      </c>
      <c r="O62" s="68">
        <v>0</v>
      </c>
      <c r="P62" s="68">
        <v>0</v>
      </c>
      <c r="Q62" s="68">
        <v>0</v>
      </c>
      <c r="R62" s="69" t="s">
        <v>3470</v>
      </c>
      <c r="S62" s="69" t="s">
        <v>3471</v>
      </c>
      <c r="T62" s="70" t="s">
        <v>3472</v>
      </c>
      <c r="U62" s="452"/>
      <c r="V62" s="453" t="str">
        <f>IF(VLOOKUP($A62,'GeneratingCapabilityList sorted'!$E$9:$O$801,8,FALSE)&lt;&gt;"",VLOOKUP($A62,'GeneratingCapabilityList sorted'!$E$9:$O$801,8,FALSE),"NoneListed")</f>
        <v>NATURAL GAS</v>
      </c>
      <c r="W62" s="454">
        <f>IF($AB62,$AB62,IF($AA62,$AA62,Scenarios!$B$43))</f>
        <v>23743</v>
      </c>
      <c r="X62" s="454"/>
      <c r="Y62" s="454"/>
      <c r="Z62" s="454"/>
      <c r="AA62" s="454">
        <f>IFERROR(VLOOKUP($A62,'GeneratingCapabilityList sorted'!$E$9:$O$801,11,FALSE),Scenarios!$B$43)</f>
        <v>23743</v>
      </c>
      <c r="AB62" s="453"/>
      <c r="AC62" s="453"/>
    </row>
    <row r="63" spans="1:29" x14ac:dyDescent="0.25">
      <c r="A63" s="72" t="s">
        <v>2974</v>
      </c>
      <c r="B63" s="65" t="s">
        <v>3533</v>
      </c>
      <c r="C63" s="66" t="s">
        <v>3477</v>
      </c>
      <c r="D63" s="66" t="s">
        <v>3488</v>
      </c>
      <c r="E63" s="67">
        <v>0</v>
      </c>
      <c r="F63" s="68">
        <v>490</v>
      </c>
      <c r="G63" s="68">
        <v>490</v>
      </c>
      <c r="H63" s="68">
        <v>490</v>
      </c>
      <c r="I63" s="68">
        <v>490</v>
      </c>
      <c r="J63" s="68">
        <v>490</v>
      </c>
      <c r="K63" s="68">
        <v>490</v>
      </c>
      <c r="L63" s="68">
        <v>490</v>
      </c>
      <c r="M63" s="68">
        <v>490</v>
      </c>
      <c r="N63" s="68">
        <v>490</v>
      </c>
      <c r="O63" s="68">
        <v>490</v>
      </c>
      <c r="P63" s="68">
        <v>490</v>
      </c>
      <c r="Q63" s="68">
        <v>490</v>
      </c>
      <c r="R63" s="69" t="s">
        <v>3470</v>
      </c>
      <c r="S63" s="69" t="s">
        <v>3471</v>
      </c>
      <c r="T63" s="70" t="s">
        <v>3472</v>
      </c>
      <c r="U63" s="452"/>
      <c r="V63" s="453" t="str">
        <f>IF(VLOOKUP($A63,'GeneratingCapabilityList sorted'!$E$9:$O$801,8,FALSE)&lt;&gt;"",VLOOKUP($A63,'GeneratingCapabilityList sorted'!$E$9:$O$801,8,FALSE),"NoneListed")</f>
        <v>NATURAL GAS</v>
      </c>
      <c r="W63" s="454">
        <f>IF($AB63,$AB63,IF($AA63,$AA63,Scenarios!$B$43))</f>
        <v>40340</v>
      </c>
      <c r="X63" s="454"/>
      <c r="Y63" s="454"/>
      <c r="Z63" s="454"/>
      <c r="AA63" s="454">
        <f>IFERROR(VLOOKUP($A63,'GeneratingCapabilityList sorted'!$E$9:$O$801,11,FALSE),Scenarios!$B$43)</f>
        <v>40340</v>
      </c>
      <c r="AB63" s="453"/>
      <c r="AC63" s="453"/>
    </row>
    <row r="64" spans="1:29" x14ac:dyDescent="0.25">
      <c r="A64" s="65" t="s">
        <v>1175</v>
      </c>
      <c r="B64" s="65" t="s">
        <v>3534</v>
      </c>
      <c r="C64" s="66" t="s">
        <v>3468</v>
      </c>
      <c r="D64" s="66" t="s">
        <v>3510</v>
      </c>
      <c r="E64" s="67">
        <v>0</v>
      </c>
      <c r="F64" s="68">
        <v>0.38</v>
      </c>
      <c r="G64" s="68">
        <v>0.43</v>
      </c>
      <c r="H64" s="68">
        <v>0.4</v>
      </c>
      <c r="I64" s="68">
        <v>0.85</v>
      </c>
      <c r="J64" s="68">
        <v>1.08</v>
      </c>
      <c r="K64" s="68">
        <v>0.96</v>
      </c>
      <c r="L64" s="68">
        <v>0.85</v>
      </c>
      <c r="M64" s="68">
        <v>0.87</v>
      </c>
      <c r="N64" s="68">
        <v>0.54</v>
      </c>
      <c r="O64" s="68">
        <v>0.36</v>
      </c>
      <c r="P64" s="68">
        <v>0.46</v>
      </c>
      <c r="Q64" s="68">
        <v>0.42</v>
      </c>
      <c r="R64" s="69" t="s">
        <v>3470</v>
      </c>
      <c r="S64" s="69" t="s">
        <v>3489</v>
      </c>
      <c r="T64" s="70" t="s">
        <v>3502</v>
      </c>
      <c r="U64" s="452"/>
      <c r="V64" s="453" t="str">
        <f>IF(VLOOKUP($A64,'GeneratingCapabilityList sorted'!$E$9:$O$801,8,FALSE)&lt;&gt;"",VLOOKUP($A64,'GeneratingCapabilityList sorted'!$E$9:$O$801,8,FALSE),"NoneListed")</f>
        <v>WATER</v>
      </c>
      <c r="W64" s="454">
        <f>IF($AB64,$AB64,IF($AA64,$AA64,Scenarios!$B$43))</f>
        <v>31048</v>
      </c>
      <c r="X64" s="454"/>
      <c r="Y64" s="454"/>
      <c r="Z64" s="454"/>
      <c r="AA64" s="454">
        <f>IFERROR(VLOOKUP($A64,'GeneratingCapabilityList sorted'!$E$9:$O$801,11,FALSE),Scenarios!$B$43)</f>
        <v>31048</v>
      </c>
      <c r="AB64" s="453"/>
      <c r="AC64" s="453"/>
    </row>
    <row r="65" spans="1:29" x14ac:dyDescent="0.25">
      <c r="A65" s="65" t="s">
        <v>267</v>
      </c>
      <c r="B65" s="65" t="s">
        <v>3535</v>
      </c>
      <c r="C65" s="66" t="s">
        <v>3468</v>
      </c>
      <c r="D65" s="66" t="s">
        <v>3510</v>
      </c>
      <c r="E65" s="67">
        <v>0</v>
      </c>
      <c r="F65" s="68">
        <v>58</v>
      </c>
      <c r="G65" s="68">
        <v>58</v>
      </c>
      <c r="H65" s="68">
        <v>58</v>
      </c>
      <c r="I65" s="68">
        <v>58</v>
      </c>
      <c r="J65" s="68">
        <v>58</v>
      </c>
      <c r="K65" s="68">
        <v>58</v>
      </c>
      <c r="L65" s="68">
        <v>58</v>
      </c>
      <c r="M65" s="68">
        <v>58</v>
      </c>
      <c r="N65" s="68">
        <v>58</v>
      </c>
      <c r="O65" s="68">
        <v>58</v>
      </c>
      <c r="P65" s="68">
        <v>58</v>
      </c>
      <c r="Q65" s="68">
        <v>58</v>
      </c>
      <c r="R65" s="69" t="s">
        <v>3470</v>
      </c>
      <c r="S65" s="69" t="s">
        <v>3489</v>
      </c>
      <c r="T65" s="70" t="s">
        <v>3484</v>
      </c>
      <c r="U65" s="452"/>
      <c r="V65" s="453" t="str">
        <f>IF(VLOOKUP($A65,'GeneratingCapabilityList sorted'!$E$9:$O$801,8,FALSE)&lt;&gt;"",VLOOKUP($A65,'GeneratingCapabilityList sorted'!$E$9:$O$801,8,FALSE),"NoneListed")</f>
        <v>WATER</v>
      </c>
      <c r="W65" s="454">
        <f>IF($AB65,$AB65,IF($AA65,$AA65,Scenarios!$B$43))</f>
        <v>10228</v>
      </c>
      <c r="X65" s="454"/>
      <c r="Y65" s="454"/>
      <c r="Z65" s="454"/>
      <c r="AA65" s="454">
        <f>IFERROR(VLOOKUP($A65,'GeneratingCapabilityList sorted'!$E$9:$O$801,11,FALSE),Scenarios!$B$43)</f>
        <v>10228</v>
      </c>
      <c r="AB65" s="453"/>
      <c r="AC65" s="453"/>
    </row>
    <row r="66" spans="1:29" x14ac:dyDescent="0.25">
      <c r="A66" s="65" t="s">
        <v>2711</v>
      </c>
      <c r="B66" s="65" t="s">
        <v>2713</v>
      </c>
      <c r="C66" s="66" t="s">
        <v>3477</v>
      </c>
      <c r="D66" s="66" t="s">
        <v>3387</v>
      </c>
      <c r="E66" s="67">
        <v>0</v>
      </c>
      <c r="F66" s="68">
        <v>0.05</v>
      </c>
      <c r="G66" s="68">
        <v>0.13</v>
      </c>
      <c r="H66" s="68">
        <v>0.24</v>
      </c>
      <c r="I66" s="68">
        <v>0.23</v>
      </c>
      <c r="J66" s="68">
        <v>0.5</v>
      </c>
      <c r="K66" s="68">
        <v>0.63</v>
      </c>
      <c r="L66" s="68">
        <v>0.39</v>
      </c>
      <c r="M66" s="68">
        <v>0.15</v>
      </c>
      <c r="N66" s="68">
        <v>0.06</v>
      </c>
      <c r="O66" s="68">
        <v>0.09</v>
      </c>
      <c r="P66" s="68">
        <v>0.1</v>
      </c>
      <c r="Q66" s="68">
        <v>0.06</v>
      </c>
      <c r="R66" s="69" t="s">
        <v>3470</v>
      </c>
      <c r="S66" s="69" t="s">
        <v>3489</v>
      </c>
      <c r="T66" s="70" t="s">
        <v>3425</v>
      </c>
      <c r="U66" s="452"/>
      <c r="V66" s="453" t="str">
        <f>IF(VLOOKUP($A66,'GeneratingCapabilityList sorted'!$E$9:$O$801,8,FALSE)&lt;&gt;"",VLOOKUP($A66,'GeneratingCapabilityList sorted'!$E$9:$O$801,8,FALSE),"NoneListed")</f>
        <v>WIND</v>
      </c>
      <c r="W66" s="454">
        <f>IF($AB66,$AB66,IF($AA66,$AA66,Scenarios!$B$43))</f>
        <v>37985</v>
      </c>
      <c r="X66" s="454"/>
      <c r="Y66" s="454"/>
      <c r="Z66" s="454"/>
      <c r="AA66" s="454">
        <f>IFERROR(VLOOKUP($A66,'GeneratingCapabilityList sorted'!$E$9:$O$801,11,FALSE),Scenarios!$B$43)</f>
        <v>37985</v>
      </c>
      <c r="AB66" s="453"/>
      <c r="AC66" s="453"/>
    </row>
    <row r="67" spans="1:29" x14ac:dyDescent="0.25">
      <c r="A67" s="65" t="s">
        <v>1268</v>
      </c>
      <c r="B67" s="65" t="s">
        <v>1269</v>
      </c>
      <c r="C67" s="66" t="s">
        <v>3468</v>
      </c>
      <c r="D67" s="66" t="s">
        <v>3474</v>
      </c>
      <c r="E67" s="67">
        <v>0</v>
      </c>
      <c r="F67" s="68">
        <v>0</v>
      </c>
      <c r="G67" s="68">
        <v>0</v>
      </c>
      <c r="H67" s="68">
        <v>0</v>
      </c>
      <c r="I67" s="68">
        <v>0.01</v>
      </c>
      <c r="J67" s="68">
        <v>0</v>
      </c>
      <c r="K67" s="68">
        <v>0.02</v>
      </c>
      <c r="L67" s="68">
        <v>0</v>
      </c>
      <c r="M67" s="68">
        <v>0</v>
      </c>
      <c r="N67" s="68">
        <v>0</v>
      </c>
      <c r="O67" s="68">
        <v>0</v>
      </c>
      <c r="P67" s="68">
        <v>0</v>
      </c>
      <c r="Q67" s="68">
        <v>0</v>
      </c>
      <c r="R67" s="69" t="s">
        <v>3470</v>
      </c>
      <c r="S67" s="69" t="s">
        <v>3489</v>
      </c>
      <c r="T67" s="70" t="s">
        <v>3497</v>
      </c>
      <c r="U67" s="452"/>
      <c r="V67" s="453" t="str">
        <f>IF(VLOOKUP($A67,'GeneratingCapabilityList sorted'!$E$9:$O$801,8,FALSE)&lt;&gt;"",VLOOKUP($A67,'GeneratingCapabilityList sorted'!$E$9:$O$801,8,FALSE),"NoneListed")</f>
        <v>NATURAL GAS</v>
      </c>
      <c r="W67" s="454">
        <f>IF($AB67,$AB67,IF($AA67,$AA67,Scenarios!$B$43))</f>
        <v>31372</v>
      </c>
      <c r="X67" s="454"/>
      <c r="Y67" s="454"/>
      <c r="Z67" s="454"/>
      <c r="AA67" s="454">
        <f>IFERROR(VLOOKUP($A67,'GeneratingCapabilityList sorted'!$E$9:$O$801,11,FALSE),Scenarios!$B$43)</f>
        <v>31372</v>
      </c>
      <c r="AB67" s="453"/>
      <c r="AC67" s="453"/>
    </row>
    <row r="68" spans="1:29" x14ac:dyDescent="0.25">
      <c r="A68" s="65" t="s">
        <v>1916</v>
      </c>
      <c r="B68" s="65" t="s">
        <v>3536</v>
      </c>
      <c r="C68" s="66" t="s">
        <v>3468</v>
      </c>
      <c r="D68" s="66" t="s">
        <v>3488</v>
      </c>
      <c r="E68" s="67">
        <v>0</v>
      </c>
      <c r="F68" s="68">
        <v>28.37</v>
      </c>
      <c r="G68" s="68">
        <v>28.3</v>
      </c>
      <c r="H68" s="68">
        <v>16.989999999999998</v>
      </c>
      <c r="I68" s="68">
        <v>25.07</v>
      </c>
      <c r="J68" s="68">
        <v>29.02</v>
      </c>
      <c r="K68" s="68">
        <v>28.85</v>
      </c>
      <c r="L68" s="68">
        <v>29.72</v>
      </c>
      <c r="M68" s="68">
        <v>29.32</v>
      </c>
      <c r="N68" s="68">
        <v>28.49</v>
      </c>
      <c r="O68" s="68">
        <v>28.47</v>
      </c>
      <c r="P68" s="68">
        <v>24.81</v>
      </c>
      <c r="Q68" s="68">
        <v>28.31</v>
      </c>
      <c r="R68" s="69" t="s">
        <v>3470</v>
      </c>
      <c r="S68" s="69" t="s">
        <v>3489</v>
      </c>
      <c r="T68" s="70" t="s">
        <v>3497</v>
      </c>
      <c r="U68" s="452"/>
      <c r="V68" s="453" t="str">
        <f>IF(VLOOKUP($A68,'GeneratingCapabilityList sorted'!$E$9:$O$801,8,FALSE)&lt;&gt;"",VLOOKUP($A68,'GeneratingCapabilityList sorted'!$E$9:$O$801,8,FALSE),"NoneListed")</f>
        <v>WOOD WASTE</v>
      </c>
      <c r="W68" s="454">
        <f>IF($AB68,$AB68,IF($AA68,$AA68,Scenarios!$B$43))</f>
        <v>32798</v>
      </c>
      <c r="X68" s="454"/>
      <c r="Y68" s="454"/>
      <c r="Z68" s="454"/>
      <c r="AA68" s="454">
        <f>IFERROR(VLOOKUP($A68,'GeneratingCapabilityList sorted'!$E$9:$O$801,11,FALSE),Scenarios!$B$43)</f>
        <v>32798</v>
      </c>
      <c r="AB68" s="453"/>
      <c r="AC68" s="453"/>
    </row>
    <row r="69" spans="1:29" x14ac:dyDescent="0.25">
      <c r="A69" s="65" t="s">
        <v>417</v>
      </c>
      <c r="B69" s="65" t="s">
        <v>3537</v>
      </c>
      <c r="C69" s="66" t="s">
        <v>3468</v>
      </c>
      <c r="D69" s="66" t="s">
        <v>3488</v>
      </c>
      <c r="E69" s="67">
        <v>0</v>
      </c>
      <c r="F69" s="68">
        <v>41</v>
      </c>
      <c r="G69" s="68">
        <v>41</v>
      </c>
      <c r="H69" s="68">
        <v>41</v>
      </c>
      <c r="I69" s="68">
        <v>41</v>
      </c>
      <c r="J69" s="68">
        <v>41</v>
      </c>
      <c r="K69" s="68">
        <v>41</v>
      </c>
      <c r="L69" s="68">
        <v>41</v>
      </c>
      <c r="M69" s="68">
        <v>41</v>
      </c>
      <c r="N69" s="68">
        <v>41</v>
      </c>
      <c r="O69" s="68">
        <v>41</v>
      </c>
      <c r="P69" s="68">
        <v>41</v>
      </c>
      <c r="Q69" s="68">
        <v>41</v>
      </c>
      <c r="R69" s="69" t="s">
        <v>3470</v>
      </c>
      <c r="S69" s="69" t="s">
        <v>3489</v>
      </c>
      <c r="T69" s="70" t="s">
        <v>3484</v>
      </c>
      <c r="U69" s="452"/>
      <c r="V69" s="453" t="str">
        <f>IF(VLOOKUP($A69,'GeneratingCapabilityList sorted'!$E$9:$O$801,8,FALSE)&lt;&gt;"",VLOOKUP($A69,'GeneratingCapabilityList sorted'!$E$9:$O$801,8,FALSE),"NoneListed")</f>
        <v>WATER</v>
      </c>
      <c r="W69" s="454">
        <f>IF($AB69,$AB69,IF($AA69,$AA69,Scenarios!$B$43))</f>
        <v>21186</v>
      </c>
      <c r="X69" s="454"/>
      <c r="Y69" s="454"/>
      <c r="Z69" s="454"/>
      <c r="AA69" s="454">
        <f>IFERROR(VLOOKUP($A69,'GeneratingCapabilityList sorted'!$E$9:$O$801,11,FALSE),Scenarios!$B$43)</f>
        <v>21186</v>
      </c>
      <c r="AB69" s="453"/>
      <c r="AC69" s="453"/>
    </row>
    <row r="70" spans="1:29" x14ac:dyDescent="0.25">
      <c r="A70" s="65" t="s">
        <v>2592</v>
      </c>
      <c r="B70" s="65" t="s">
        <v>2593</v>
      </c>
      <c r="C70" s="66" t="s">
        <v>3477</v>
      </c>
      <c r="D70" s="66" t="s">
        <v>3387</v>
      </c>
      <c r="E70" s="67">
        <v>0</v>
      </c>
      <c r="F70" s="68">
        <v>2.72</v>
      </c>
      <c r="G70" s="68">
        <v>4.3499999999999996</v>
      </c>
      <c r="H70" s="68">
        <v>8.4</v>
      </c>
      <c r="I70" s="68">
        <v>11.74</v>
      </c>
      <c r="J70" s="68">
        <v>18.93</v>
      </c>
      <c r="K70" s="68">
        <v>18.28</v>
      </c>
      <c r="L70" s="68">
        <v>15.76</v>
      </c>
      <c r="M70" s="68">
        <v>11.29</v>
      </c>
      <c r="N70" s="68">
        <v>3.77</v>
      </c>
      <c r="O70" s="68">
        <v>4.74</v>
      </c>
      <c r="P70" s="68">
        <v>3.85</v>
      </c>
      <c r="Q70" s="68">
        <v>2.71</v>
      </c>
      <c r="R70" s="69" t="s">
        <v>3470</v>
      </c>
      <c r="S70" s="69" t="s">
        <v>3489</v>
      </c>
      <c r="T70" s="70" t="s">
        <v>3425</v>
      </c>
      <c r="U70" s="452"/>
      <c r="V70" s="453" t="str">
        <f>IF(VLOOKUP($A70,'GeneratingCapabilityList sorted'!$E$9:$O$801,8,FALSE)&lt;&gt;"",VLOOKUP($A70,'GeneratingCapabilityList sorted'!$E$9:$O$801,8,FALSE),"NoneListed")</f>
        <v>WIND</v>
      </c>
      <c r="W70" s="454">
        <f>IF($AB70,$AB70,IF($AA70,$AA70,Scenarios!$B$43))</f>
        <v>37499</v>
      </c>
      <c r="X70" s="454"/>
      <c r="Y70" s="454"/>
      <c r="Z70" s="454"/>
      <c r="AA70" s="454">
        <f>IFERROR(VLOOKUP($A70,'GeneratingCapabilityList sorted'!$E$9:$O$801,11,FALSE),Scenarios!$B$43)</f>
        <v>37499</v>
      </c>
      <c r="AB70" s="453"/>
      <c r="AC70" s="453"/>
    </row>
    <row r="71" spans="1:29" x14ac:dyDescent="0.25">
      <c r="A71" s="65" t="s">
        <v>1609</v>
      </c>
      <c r="B71" s="65" t="s">
        <v>3538</v>
      </c>
      <c r="C71" s="66" t="s">
        <v>3477</v>
      </c>
      <c r="D71" s="66" t="s">
        <v>3488</v>
      </c>
      <c r="E71" s="67">
        <v>0</v>
      </c>
      <c r="F71" s="68">
        <v>71.290000000000006</v>
      </c>
      <c r="G71" s="68">
        <v>69.72</v>
      </c>
      <c r="H71" s="68">
        <v>64.959999999999994</v>
      </c>
      <c r="I71" s="68">
        <v>67.23</v>
      </c>
      <c r="J71" s="68">
        <v>65.86</v>
      </c>
      <c r="K71" s="68">
        <v>66.5</v>
      </c>
      <c r="L71" s="68">
        <v>66.510000000000005</v>
      </c>
      <c r="M71" s="68">
        <v>65.53</v>
      </c>
      <c r="N71" s="68">
        <v>66.16</v>
      </c>
      <c r="O71" s="68">
        <v>61.69</v>
      </c>
      <c r="P71" s="68">
        <v>68.849999999999994</v>
      </c>
      <c r="Q71" s="68">
        <v>69.53</v>
      </c>
      <c r="R71" s="69" t="s">
        <v>3470</v>
      </c>
      <c r="S71" s="69" t="s">
        <v>3489</v>
      </c>
      <c r="T71" s="70" t="s">
        <v>3497</v>
      </c>
      <c r="U71" s="452"/>
      <c r="V71" s="453" t="str">
        <f>IF(VLOOKUP($A71,'GeneratingCapabilityList sorted'!$E$9:$O$801,8,FALSE)&lt;&gt;"",VLOOKUP($A71,'GeneratingCapabilityList sorted'!$E$9:$O$801,8,FALSE),"NoneListed")</f>
        <v>GEOTHERMAL</v>
      </c>
      <c r="W71" s="454">
        <f>IF($AB71,$AB71,IF($AA71,$AA71,Scenarios!$B$43))</f>
        <v>31971</v>
      </c>
      <c r="X71" s="454"/>
      <c r="Y71" s="454"/>
      <c r="Z71" s="454"/>
      <c r="AA71" s="454">
        <f>IFERROR(VLOOKUP($A71,'GeneratingCapabilityList sorted'!$E$9:$O$801,11,FALSE),Scenarios!$B$43)</f>
        <v>31971</v>
      </c>
      <c r="AB71" s="453"/>
      <c r="AC71" s="453"/>
    </row>
    <row r="72" spans="1:29" x14ac:dyDescent="0.25">
      <c r="A72" s="65" t="s">
        <v>2074</v>
      </c>
      <c r="B72" s="65" t="s">
        <v>2075</v>
      </c>
      <c r="C72" s="66" t="s">
        <v>3468</v>
      </c>
      <c r="D72" s="66" t="s">
        <v>3382</v>
      </c>
      <c r="E72" s="67">
        <v>0</v>
      </c>
      <c r="F72" s="68">
        <v>24.87</v>
      </c>
      <c r="G72" s="68">
        <v>27.3</v>
      </c>
      <c r="H72" s="68">
        <v>16.78</v>
      </c>
      <c r="I72" s="68">
        <v>23.41</v>
      </c>
      <c r="J72" s="68">
        <v>23.07</v>
      </c>
      <c r="K72" s="68">
        <v>23.48</v>
      </c>
      <c r="L72" s="68">
        <v>22.42</v>
      </c>
      <c r="M72" s="68">
        <v>22.43</v>
      </c>
      <c r="N72" s="68">
        <v>22.59</v>
      </c>
      <c r="O72" s="68">
        <v>23.4</v>
      </c>
      <c r="P72" s="68">
        <v>25.65</v>
      </c>
      <c r="Q72" s="68">
        <v>26.28</v>
      </c>
      <c r="R72" s="69" t="s">
        <v>3470</v>
      </c>
      <c r="S72" s="69" t="s">
        <v>3489</v>
      </c>
      <c r="T72" s="70" t="s">
        <v>3497</v>
      </c>
      <c r="U72" s="452"/>
      <c r="V72" s="453" t="str">
        <f>IF(VLOOKUP($A72,'GeneratingCapabilityList sorted'!$E$9:$O$801,8,FALSE)&lt;&gt;"",VLOOKUP($A72,'GeneratingCapabilityList sorted'!$E$9:$O$801,8,FALSE),"NoneListed")</f>
        <v>NATURAL GAS</v>
      </c>
      <c r="W72" s="454">
        <f>IF($AB72,$AB72,IF($AA72,$AA72,Scenarios!$B$43))</f>
        <v>33165</v>
      </c>
      <c r="X72" s="454"/>
      <c r="Y72" s="454"/>
      <c r="Z72" s="454"/>
      <c r="AA72" s="454">
        <f>IFERROR(VLOOKUP($A72,'GeneratingCapabilityList sorted'!$E$9:$O$801,11,FALSE),Scenarios!$B$43)</f>
        <v>33165</v>
      </c>
      <c r="AB72" s="453"/>
      <c r="AC72" s="453"/>
    </row>
    <row r="73" spans="1:29" x14ac:dyDescent="0.25">
      <c r="A73" s="65" t="s">
        <v>2359</v>
      </c>
      <c r="B73" s="65" t="s">
        <v>3539</v>
      </c>
      <c r="C73" s="66" t="s">
        <v>3468</v>
      </c>
      <c r="D73" s="66" t="s">
        <v>3474</v>
      </c>
      <c r="E73" s="67">
        <v>17</v>
      </c>
      <c r="F73" s="68">
        <v>0</v>
      </c>
      <c r="G73" s="68">
        <v>0</v>
      </c>
      <c r="H73" s="68">
        <v>0</v>
      </c>
      <c r="I73" s="68">
        <v>0</v>
      </c>
      <c r="J73" s="68">
        <v>0</v>
      </c>
      <c r="K73" s="68">
        <v>0</v>
      </c>
      <c r="L73" s="68">
        <v>0</v>
      </c>
      <c r="M73" s="68">
        <v>0</v>
      </c>
      <c r="N73" s="68">
        <v>0</v>
      </c>
      <c r="O73" s="68">
        <v>0</v>
      </c>
      <c r="P73" s="68">
        <v>0</v>
      </c>
      <c r="Q73" s="68">
        <v>0</v>
      </c>
      <c r="R73" s="69" t="s">
        <v>3470</v>
      </c>
      <c r="S73" s="69" t="s">
        <v>3471</v>
      </c>
      <c r="T73" s="70" t="s">
        <v>3472</v>
      </c>
      <c r="U73" s="452"/>
      <c r="V73" s="453" t="str">
        <f>IF(VLOOKUP($A73,'GeneratingCapabilityList sorted'!$E$9:$O$801,8,FALSE)&lt;&gt;"",VLOOKUP($A73,'GeneratingCapabilityList sorted'!$E$9:$O$801,8,FALSE),"NoneListed")</f>
        <v>AGRICULTURAL WASTE</v>
      </c>
      <c r="W73" s="454">
        <f>IF($AB73,$AB73,IF($AA73,$AA73,Scenarios!$B$43))</f>
        <v>37027</v>
      </c>
      <c r="X73" s="454"/>
      <c r="Y73" s="454"/>
      <c r="Z73" s="454"/>
      <c r="AA73" s="454">
        <f>IFERROR(VLOOKUP($A73,'GeneratingCapabilityList sorted'!$E$9:$O$801,11,FALSE),Scenarios!$B$43)</f>
        <v>37027</v>
      </c>
      <c r="AB73" s="453"/>
      <c r="AC73" s="453"/>
    </row>
    <row r="74" spans="1:29" x14ac:dyDescent="0.25">
      <c r="A74" s="65" t="s">
        <v>192</v>
      </c>
      <c r="B74" s="65" t="s">
        <v>3540</v>
      </c>
      <c r="C74" s="66" t="s">
        <v>3468</v>
      </c>
      <c r="D74" s="66" t="s">
        <v>3488</v>
      </c>
      <c r="E74" s="67">
        <v>0</v>
      </c>
      <c r="F74" s="68">
        <v>48</v>
      </c>
      <c r="G74" s="68">
        <v>48</v>
      </c>
      <c r="H74" s="68">
        <v>48</v>
      </c>
      <c r="I74" s="68">
        <v>48</v>
      </c>
      <c r="J74" s="68">
        <v>48</v>
      </c>
      <c r="K74" s="68">
        <v>48</v>
      </c>
      <c r="L74" s="68">
        <v>48</v>
      </c>
      <c r="M74" s="68">
        <v>48</v>
      </c>
      <c r="N74" s="68">
        <v>48</v>
      </c>
      <c r="O74" s="68">
        <v>48</v>
      </c>
      <c r="P74" s="68">
        <v>48</v>
      </c>
      <c r="Q74" s="68">
        <v>48</v>
      </c>
      <c r="R74" s="69" t="s">
        <v>3470</v>
      </c>
      <c r="S74" s="69" t="s">
        <v>3489</v>
      </c>
      <c r="T74" s="70" t="s">
        <v>3484</v>
      </c>
      <c r="U74" s="452"/>
      <c r="V74" s="453" t="str">
        <f>IF(VLOOKUP($A74,'GeneratingCapabilityList sorted'!$E$9:$O$801,8,FALSE)&lt;&gt;"",VLOOKUP($A74,'GeneratingCapabilityList sorted'!$E$9:$O$801,8,FALSE),"NoneListed")</f>
        <v>WATER</v>
      </c>
      <c r="W74" s="454">
        <f>IF($AB74,$AB74,IF($AA74,$AA74,Scenarios!$B$43))</f>
        <v>7672</v>
      </c>
      <c r="X74" s="454"/>
      <c r="Y74" s="454"/>
      <c r="Z74" s="454"/>
      <c r="AA74" s="454">
        <f>IFERROR(VLOOKUP($A74,'GeneratingCapabilityList sorted'!$E$9:$O$801,11,FALSE),Scenarios!$B$43)</f>
        <v>7672</v>
      </c>
      <c r="AB74" s="453"/>
      <c r="AC74" s="453"/>
    </row>
    <row r="75" spans="1:29" x14ac:dyDescent="0.25">
      <c r="A75" s="65" t="s">
        <v>419</v>
      </c>
      <c r="B75" s="65" t="s">
        <v>3541</v>
      </c>
      <c r="C75" s="66" t="s">
        <v>3468</v>
      </c>
      <c r="D75" s="66" t="s">
        <v>3488</v>
      </c>
      <c r="E75" s="67">
        <v>0</v>
      </c>
      <c r="F75" s="68">
        <v>120</v>
      </c>
      <c r="G75" s="68">
        <v>120</v>
      </c>
      <c r="H75" s="68">
        <v>120</v>
      </c>
      <c r="I75" s="68">
        <v>120</v>
      </c>
      <c r="J75" s="68">
        <v>120</v>
      </c>
      <c r="K75" s="68">
        <v>120</v>
      </c>
      <c r="L75" s="68">
        <v>120</v>
      </c>
      <c r="M75" s="68">
        <v>120</v>
      </c>
      <c r="N75" s="68">
        <v>120</v>
      </c>
      <c r="O75" s="68">
        <v>120</v>
      </c>
      <c r="P75" s="68">
        <v>120</v>
      </c>
      <c r="Q75" s="68">
        <v>120</v>
      </c>
      <c r="R75" s="69" t="s">
        <v>3470</v>
      </c>
      <c r="S75" s="69" t="s">
        <v>3489</v>
      </c>
      <c r="T75" s="70" t="s">
        <v>3484</v>
      </c>
      <c r="U75" s="452"/>
      <c r="V75" s="453" t="str">
        <f>IF(VLOOKUP($A75,'GeneratingCapabilityList sorted'!$E$9:$O$801,8,FALSE)&lt;&gt;"",VLOOKUP($A75,'GeneratingCapabilityList sorted'!$E$9:$O$801,8,FALSE),"NoneListed")</f>
        <v>WATER</v>
      </c>
      <c r="W75" s="454">
        <f>IF($AB75,$AB75,IF($AA75,$AA75,Scenarios!$B$43))</f>
        <v>21186</v>
      </c>
      <c r="X75" s="454"/>
      <c r="Y75" s="454"/>
      <c r="Z75" s="454"/>
      <c r="AA75" s="454">
        <f>IFERROR(VLOOKUP($A75,'GeneratingCapabilityList sorted'!$E$9:$O$801,11,FALSE),Scenarios!$B$43)</f>
        <v>21186</v>
      </c>
      <c r="AB75" s="453"/>
      <c r="AC75" s="453"/>
    </row>
    <row r="76" spans="1:29" x14ac:dyDescent="0.25">
      <c r="A76" s="65" t="s">
        <v>197</v>
      </c>
      <c r="B76" s="65" t="s">
        <v>3542</v>
      </c>
      <c r="C76" s="66" t="s">
        <v>3468</v>
      </c>
      <c r="D76" s="66" t="s">
        <v>3488</v>
      </c>
      <c r="E76" s="67">
        <v>0</v>
      </c>
      <c r="F76" s="68">
        <v>24</v>
      </c>
      <c r="G76" s="68">
        <v>24</v>
      </c>
      <c r="H76" s="68">
        <v>24</v>
      </c>
      <c r="I76" s="68">
        <v>24</v>
      </c>
      <c r="J76" s="68">
        <v>24</v>
      </c>
      <c r="K76" s="68">
        <v>24</v>
      </c>
      <c r="L76" s="68">
        <v>24</v>
      </c>
      <c r="M76" s="68">
        <v>24</v>
      </c>
      <c r="N76" s="68">
        <v>24</v>
      </c>
      <c r="O76" s="68">
        <v>24</v>
      </c>
      <c r="P76" s="68">
        <v>24</v>
      </c>
      <c r="Q76" s="68">
        <v>24</v>
      </c>
      <c r="R76" s="69" t="s">
        <v>3470</v>
      </c>
      <c r="S76" s="69" t="s">
        <v>3489</v>
      </c>
      <c r="T76" s="70" t="s">
        <v>3484</v>
      </c>
      <c r="U76" s="452"/>
      <c r="V76" s="453" t="str">
        <f>IF(VLOOKUP($A76,'GeneratingCapabilityList sorted'!$E$9:$O$801,8,FALSE)&lt;&gt;"",VLOOKUP($A76,'GeneratingCapabilityList sorted'!$E$9:$O$801,8,FALSE),"NoneListed")</f>
        <v>WATER</v>
      </c>
      <c r="W76" s="454">
        <f>IF($AB76,$AB76,IF($AA76,$AA76,Scenarios!$B$43))</f>
        <v>7672</v>
      </c>
      <c r="X76" s="454"/>
      <c r="Y76" s="454"/>
      <c r="Z76" s="454"/>
      <c r="AA76" s="454">
        <f>IFERROR(VLOOKUP($A76,'GeneratingCapabilityList sorted'!$E$9:$O$801,11,FALSE),Scenarios!$B$43)</f>
        <v>7672</v>
      </c>
      <c r="AB76" s="453"/>
      <c r="AC76" s="453"/>
    </row>
    <row r="77" spans="1:29" x14ac:dyDescent="0.25">
      <c r="A77" s="65" t="s">
        <v>1696</v>
      </c>
      <c r="B77" s="65" t="s">
        <v>1697</v>
      </c>
      <c r="C77" s="66" t="s">
        <v>3468</v>
      </c>
      <c r="D77" s="66" t="s">
        <v>3382</v>
      </c>
      <c r="E77" s="67">
        <v>0</v>
      </c>
      <c r="F77" s="68">
        <v>18.55</v>
      </c>
      <c r="G77" s="68">
        <v>16.96</v>
      </c>
      <c r="H77" s="68">
        <v>16.489999999999998</v>
      </c>
      <c r="I77" s="68">
        <v>13.45</v>
      </c>
      <c r="J77" s="68">
        <v>20.97</v>
      </c>
      <c r="K77" s="68">
        <v>21.28</v>
      </c>
      <c r="L77" s="68">
        <v>21.48</v>
      </c>
      <c r="M77" s="68">
        <v>21.35</v>
      </c>
      <c r="N77" s="68">
        <v>19.829999999999998</v>
      </c>
      <c r="O77" s="68">
        <v>21.62</v>
      </c>
      <c r="P77" s="68">
        <v>16.52</v>
      </c>
      <c r="Q77" s="68">
        <v>19.09</v>
      </c>
      <c r="R77" s="69" t="s">
        <v>3470</v>
      </c>
      <c r="S77" s="69" t="s">
        <v>3489</v>
      </c>
      <c r="T77" s="70" t="s">
        <v>3497</v>
      </c>
      <c r="U77" s="452"/>
      <c r="V77" s="453" t="str">
        <f>IF(VLOOKUP($A77,'GeneratingCapabilityList sorted'!$E$9:$O$801,8,FALSE)&lt;&gt;"",VLOOKUP($A77,'GeneratingCapabilityList sorted'!$E$9:$O$801,8,FALSE),"NoneListed")</f>
        <v>NATURAL GAS</v>
      </c>
      <c r="W77" s="454">
        <f>IF($AB77,$AB77,IF($AA77,$AA77,Scenarios!$B$43))</f>
        <v>32193</v>
      </c>
      <c r="X77" s="454"/>
      <c r="Y77" s="454"/>
      <c r="Z77" s="454"/>
      <c r="AA77" s="454">
        <f>IFERROR(VLOOKUP($A77,'GeneratingCapabilityList sorted'!$E$9:$O$801,11,FALSE),Scenarios!$B$43)</f>
        <v>32193</v>
      </c>
      <c r="AB77" s="453"/>
      <c r="AC77" s="453"/>
    </row>
    <row r="78" spans="1:29" x14ac:dyDescent="0.25">
      <c r="A78" s="65" t="s">
        <v>1178</v>
      </c>
      <c r="B78" s="65" t="s">
        <v>3543</v>
      </c>
      <c r="C78" s="66" t="s">
        <v>3477</v>
      </c>
      <c r="D78" s="66" t="s">
        <v>3385</v>
      </c>
      <c r="E78" s="67">
        <v>0</v>
      </c>
      <c r="F78" s="68">
        <v>1.91</v>
      </c>
      <c r="G78" s="68">
        <v>2.19</v>
      </c>
      <c r="H78" s="68">
        <v>2.35</v>
      </c>
      <c r="I78" s="68">
        <v>2.4900000000000002</v>
      </c>
      <c r="J78" s="68">
        <v>1.99</v>
      </c>
      <c r="K78" s="68">
        <v>1.25</v>
      </c>
      <c r="L78" s="68">
        <v>1.93</v>
      </c>
      <c r="M78" s="68">
        <v>2.23</v>
      </c>
      <c r="N78" s="68">
        <v>1.99</v>
      </c>
      <c r="O78" s="68">
        <v>1.65</v>
      </c>
      <c r="P78" s="68">
        <v>1.9</v>
      </c>
      <c r="Q78" s="68">
        <v>2.16</v>
      </c>
      <c r="R78" s="69" t="s">
        <v>3470</v>
      </c>
      <c r="S78" s="69" t="s">
        <v>3489</v>
      </c>
      <c r="T78" s="70" t="s">
        <v>3497</v>
      </c>
      <c r="U78" s="452"/>
      <c r="V78" s="453" t="str">
        <f>IF(VLOOKUP($A78,'GeneratingCapabilityList sorted'!$E$9:$O$801,8,FALSE)&lt;&gt;"",VLOOKUP($A78,'GeneratingCapabilityList sorted'!$E$9:$O$801,8,FALSE),"NoneListed")</f>
        <v>LANDFILL GAS</v>
      </c>
      <c r="W78" s="454">
        <f>IF($AB78,$AB78,IF($AA78,$AA78,Scenarios!$B$43))</f>
        <v>31048</v>
      </c>
      <c r="X78" s="454"/>
      <c r="Y78" s="454"/>
      <c r="Z78" s="454"/>
      <c r="AA78" s="454">
        <f>IFERROR(VLOOKUP($A78,'GeneratingCapabilityList sorted'!$E$9:$O$801,11,FALSE),Scenarios!$B$43)</f>
        <v>31048</v>
      </c>
      <c r="AB78" s="453"/>
      <c r="AC78" s="453"/>
    </row>
    <row r="79" spans="1:29" x14ac:dyDescent="0.25">
      <c r="A79" s="65" t="s">
        <v>2874</v>
      </c>
      <c r="B79" s="65" t="s">
        <v>2875</v>
      </c>
      <c r="C79" s="66" t="s">
        <v>3477</v>
      </c>
      <c r="D79" s="66" t="s">
        <v>3385</v>
      </c>
      <c r="E79" s="67">
        <v>0</v>
      </c>
      <c r="F79" s="68">
        <v>1.53</v>
      </c>
      <c r="G79" s="68">
        <v>0.55000000000000004</v>
      </c>
      <c r="H79" s="68">
        <v>1.78</v>
      </c>
      <c r="I79" s="68">
        <v>2.04</v>
      </c>
      <c r="J79" s="68">
        <v>2.77</v>
      </c>
      <c r="K79" s="68">
        <v>3.3</v>
      </c>
      <c r="L79" s="68">
        <v>3.99</v>
      </c>
      <c r="M79" s="68">
        <v>3.69</v>
      </c>
      <c r="N79" s="68">
        <v>3.31</v>
      </c>
      <c r="O79" s="68">
        <v>2.64</v>
      </c>
      <c r="P79" s="68">
        <v>2.0699999999999998</v>
      </c>
      <c r="Q79" s="68">
        <v>1.19</v>
      </c>
      <c r="R79" s="69" t="s">
        <v>3470</v>
      </c>
      <c r="S79" s="69" t="s">
        <v>3489</v>
      </c>
      <c r="T79" s="70" t="s">
        <v>3502</v>
      </c>
      <c r="U79" s="452"/>
      <c r="V79" s="453" t="str">
        <f>IF(VLOOKUP($A79,'GeneratingCapabilityList sorted'!$E$9:$O$801,8,FALSE)&lt;&gt;"",VLOOKUP($A79,'GeneratingCapabilityList sorted'!$E$9:$O$801,8,FALSE),"NoneListed")</f>
        <v>WATER</v>
      </c>
      <c r="W79" s="454">
        <f>IF($AB79,$AB79,IF($AA79,$AA79,Scenarios!$B$43))</f>
        <v>39105</v>
      </c>
      <c r="X79" s="454"/>
      <c r="Y79" s="454"/>
      <c r="Z79" s="454"/>
      <c r="AA79" s="454">
        <f>IFERROR(VLOOKUP($A79,'GeneratingCapabilityList sorted'!$E$9:$O$801,11,FALSE),Scenarios!$B$43)</f>
        <v>39105</v>
      </c>
      <c r="AB79" s="453"/>
      <c r="AC79" s="453"/>
    </row>
    <row r="80" spans="1:29" x14ac:dyDescent="0.25">
      <c r="A80" s="72" t="s">
        <v>3544</v>
      </c>
      <c r="B80" s="72" t="s">
        <v>3544</v>
      </c>
      <c r="C80" s="73" t="s">
        <v>3468</v>
      </c>
      <c r="D80" s="73" t="s">
        <v>3488</v>
      </c>
      <c r="E80" s="85">
        <v>0</v>
      </c>
      <c r="F80" s="75">
        <v>90</v>
      </c>
      <c r="G80" s="75">
        <v>81</v>
      </c>
      <c r="H80" s="75">
        <v>216</v>
      </c>
      <c r="I80" s="75">
        <v>249</v>
      </c>
      <c r="J80" s="75">
        <v>184</v>
      </c>
      <c r="K80" s="75">
        <v>200</v>
      </c>
      <c r="L80" s="75">
        <v>305</v>
      </c>
      <c r="M80" s="75">
        <v>305</v>
      </c>
      <c r="N80" s="75">
        <v>256</v>
      </c>
      <c r="O80" s="75">
        <v>249</v>
      </c>
      <c r="P80" s="75">
        <v>216</v>
      </c>
      <c r="Q80" s="75">
        <v>130</v>
      </c>
      <c r="R80" s="69" t="s">
        <v>3470</v>
      </c>
      <c r="S80" s="76" t="s">
        <v>560</v>
      </c>
      <c r="T80" s="70" t="s">
        <v>3502</v>
      </c>
      <c r="U80" s="452"/>
      <c r="V80" s="453" t="e">
        <f>IF(VLOOKUP($A80,'GeneratingCapabilityList sorted'!$E$9:$O$801,8,FALSE)&lt;&gt;"",VLOOKUP($A80,'GeneratingCapabilityList sorted'!$E$9:$O$801,8,FALSE),"NoneListed")</f>
        <v>#N/A</v>
      </c>
      <c r="W80" s="454">
        <f>IF($AB80,$AB80,IF($AA80,$AA80,Scenarios!$B$43))</f>
        <v>29221</v>
      </c>
      <c r="X80" s="454"/>
      <c r="Y80" s="454"/>
      <c r="Z80" s="454"/>
      <c r="AA80" s="454">
        <f>IFERROR(VLOOKUP($A80,'GeneratingCapabilityList sorted'!$E$9:$O$801,11,FALSE),Scenarios!$B$43)</f>
        <v>29221</v>
      </c>
      <c r="AB80" s="453"/>
      <c r="AC80" s="453"/>
    </row>
    <row r="81" spans="1:29" x14ac:dyDescent="0.25">
      <c r="A81" s="65" t="s">
        <v>1076</v>
      </c>
      <c r="B81" s="65" t="s">
        <v>1076</v>
      </c>
      <c r="C81" s="66" t="s">
        <v>3468</v>
      </c>
      <c r="D81" s="66" t="s">
        <v>3488</v>
      </c>
      <c r="E81" s="67">
        <v>0</v>
      </c>
      <c r="F81" s="68">
        <v>0.28000000000000003</v>
      </c>
      <c r="G81" s="68">
        <v>0.36</v>
      </c>
      <c r="H81" s="68">
        <v>0.59</v>
      </c>
      <c r="I81" s="68">
        <v>0.63</v>
      </c>
      <c r="J81" s="68">
        <v>0.7</v>
      </c>
      <c r="K81" s="68">
        <v>0.38</v>
      </c>
      <c r="L81" s="68">
        <v>0.17</v>
      </c>
      <c r="M81" s="68">
        <v>0.13</v>
      </c>
      <c r="N81" s="68">
        <v>0.12</v>
      </c>
      <c r="O81" s="68">
        <v>0.13</v>
      </c>
      <c r="P81" s="68">
        <v>0.15</v>
      </c>
      <c r="Q81" s="68">
        <v>0.3</v>
      </c>
      <c r="R81" s="69" t="s">
        <v>3470</v>
      </c>
      <c r="S81" s="69" t="s">
        <v>3489</v>
      </c>
      <c r="T81" s="70" t="s">
        <v>3502</v>
      </c>
      <c r="U81" s="452"/>
      <c r="V81" s="453" t="str">
        <f>IF(VLOOKUP($A81,'GeneratingCapabilityList sorted'!$E$9:$O$801,8,FALSE)&lt;&gt;"",VLOOKUP($A81,'GeneratingCapabilityList sorted'!$E$9:$O$801,8,FALSE),"NoneListed")</f>
        <v>WATER</v>
      </c>
      <c r="W81" s="454">
        <f>IF($AB81,$AB81,IF($AA81,$AA81,Scenarios!$B$43))</f>
        <v>30763</v>
      </c>
      <c r="X81" s="454"/>
      <c r="Y81" s="454"/>
      <c r="Z81" s="454"/>
      <c r="AA81" s="454">
        <f>IFERROR(VLOOKUP($A81,'GeneratingCapabilityList sorted'!$E$9:$O$801,11,FALSE),Scenarios!$B$43)</f>
        <v>30763</v>
      </c>
      <c r="AB81" s="453"/>
      <c r="AC81" s="453"/>
    </row>
    <row r="82" spans="1:29" x14ac:dyDescent="0.25">
      <c r="A82" s="65" t="s">
        <v>1512</v>
      </c>
      <c r="B82" s="65" t="s">
        <v>3545</v>
      </c>
      <c r="C82" s="66" t="s">
        <v>3477</v>
      </c>
      <c r="D82" s="66" t="s">
        <v>3387</v>
      </c>
      <c r="E82" s="67">
        <v>0</v>
      </c>
      <c r="F82" s="68">
        <v>13.31</v>
      </c>
      <c r="G82" s="68">
        <v>11.63</v>
      </c>
      <c r="H82" s="68">
        <v>17.260000000000002</v>
      </c>
      <c r="I82" s="68">
        <v>17.39</v>
      </c>
      <c r="J82" s="68">
        <v>15.57</v>
      </c>
      <c r="K82" s="68">
        <v>19.03</v>
      </c>
      <c r="L82" s="68">
        <v>18.579999999999998</v>
      </c>
      <c r="M82" s="68">
        <v>18.100000000000001</v>
      </c>
      <c r="N82" s="68">
        <v>18.399999999999999</v>
      </c>
      <c r="O82" s="68">
        <v>18.5</v>
      </c>
      <c r="P82" s="68">
        <v>15.23</v>
      </c>
      <c r="Q82" s="68">
        <v>18.7</v>
      </c>
      <c r="R82" s="69" t="s">
        <v>3470</v>
      </c>
      <c r="S82" s="69" t="s">
        <v>3489</v>
      </c>
      <c r="T82" s="70" t="s">
        <v>3497</v>
      </c>
      <c r="U82" s="452"/>
      <c r="V82" s="453" t="str">
        <f>IF(VLOOKUP($A82,'GeneratingCapabilityList sorted'!$E$9:$O$801,8,FALSE)&lt;&gt;"",VLOOKUP($A82,'GeneratingCapabilityList sorted'!$E$9:$O$801,8,FALSE),"NoneListed")</f>
        <v>NATURAL GAS</v>
      </c>
      <c r="W82" s="454">
        <f>IF($AB82,$AB82,IF($AA82,$AA82,Scenarios!$B$43))</f>
        <v>31778</v>
      </c>
      <c r="X82" s="454"/>
      <c r="Y82" s="454"/>
      <c r="Z82" s="454"/>
      <c r="AA82" s="454">
        <f>IFERROR(VLOOKUP($A82,'GeneratingCapabilityList sorted'!$E$9:$O$801,11,FALSE),Scenarios!$B$43)</f>
        <v>31778</v>
      </c>
      <c r="AB82" s="453"/>
      <c r="AC82" s="453"/>
    </row>
    <row r="83" spans="1:29" x14ac:dyDescent="0.25">
      <c r="A83" s="65" t="s">
        <v>1017</v>
      </c>
      <c r="B83" s="72" t="s">
        <v>3546</v>
      </c>
      <c r="C83" s="66" t="s">
        <v>3477</v>
      </c>
      <c r="D83" s="66" t="s">
        <v>3387</v>
      </c>
      <c r="E83" s="67">
        <v>1.91</v>
      </c>
      <c r="F83" s="68">
        <v>0</v>
      </c>
      <c r="G83" s="68">
        <v>0</v>
      </c>
      <c r="H83" s="68">
        <v>0</v>
      </c>
      <c r="I83" s="68">
        <v>0</v>
      </c>
      <c r="J83" s="68">
        <v>0</v>
      </c>
      <c r="K83" s="68">
        <v>0</v>
      </c>
      <c r="L83" s="68">
        <v>0</v>
      </c>
      <c r="M83" s="68">
        <v>0</v>
      </c>
      <c r="N83" s="68">
        <v>0</v>
      </c>
      <c r="O83" s="68">
        <v>0</v>
      </c>
      <c r="P83" s="68">
        <v>0</v>
      </c>
      <c r="Q83" s="68">
        <v>0</v>
      </c>
      <c r="R83" s="69" t="s">
        <v>3470</v>
      </c>
      <c r="S83" s="69" t="s">
        <v>3491</v>
      </c>
      <c r="T83" s="70" t="s">
        <v>3484</v>
      </c>
      <c r="U83" s="452"/>
      <c r="V83" s="453" t="str">
        <f>IF(VLOOKUP($A83,'GeneratingCapabilityList sorted'!$E$9:$O$801,8,FALSE)&lt;&gt;"",VLOOKUP($A83,'GeneratingCapabilityList sorted'!$E$9:$O$801,8,FALSE),"NoneListed")</f>
        <v>WATER</v>
      </c>
      <c r="W83" s="454">
        <f>IF($AB83,$AB83,IF($AA83,$AA83,Scenarios!$B$43))</f>
        <v>30682</v>
      </c>
      <c r="X83" s="454"/>
      <c r="Y83" s="454"/>
      <c r="Z83" s="454"/>
      <c r="AA83" s="454">
        <f>IFERROR(VLOOKUP($A83,'GeneratingCapabilityList sorted'!$E$9:$O$801,11,FALSE),Scenarios!$B$43)</f>
        <v>30682</v>
      </c>
      <c r="AB83" s="453"/>
      <c r="AC83" s="453"/>
    </row>
    <row r="84" spans="1:29" x14ac:dyDescent="0.25">
      <c r="A84" s="65" t="s">
        <v>2897</v>
      </c>
      <c r="B84" s="65" t="s">
        <v>2898</v>
      </c>
      <c r="C84" s="66" t="s">
        <v>3477</v>
      </c>
      <c r="D84" s="66" t="s">
        <v>3387</v>
      </c>
      <c r="E84" s="67">
        <v>44.57</v>
      </c>
      <c r="F84" s="68">
        <v>0</v>
      </c>
      <c r="G84" s="68">
        <v>0</v>
      </c>
      <c r="H84" s="68">
        <v>0</v>
      </c>
      <c r="I84" s="68">
        <v>0</v>
      </c>
      <c r="J84" s="68">
        <v>0</v>
      </c>
      <c r="K84" s="68">
        <v>0</v>
      </c>
      <c r="L84" s="68">
        <v>0</v>
      </c>
      <c r="M84" s="68">
        <v>0</v>
      </c>
      <c r="N84" s="68">
        <v>0</v>
      </c>
      <c r="O84" s="68">
        <v>0</v>
      </c>
      <c r="P84" s="68">
        <v>0</v>
      </c>
      <c r="Q84" s="68">
        <v>0</v>
      </c>
      <c r="R84" s="69" t="s">
        <v>3470</v>
      </c>
      <c r="S84" s="69" t="s">
        <v>3471</v>
      </c>
      <c r="T84" s="70" t="s">
        <v>3472</v>
      </c>
      <c r="U84" s="452"/>
      <c r="V84" s="453" t="str">
        <f>IF(VLOOKUP($A84,'GeneratingCapabilityList sorted'!$E$9:$O$801,8,FALSE)&lt;&gt;"",VLOOKUP($A84,'GeneratingCapabilityList sorted'!$E$9:$O$801,8,FALSE),"NoneListed")</f>
        <v>NATURAL GAS</v>
      </c>
      <c r="W84" s="454">
        <f>IF($AB84,$AB84,IF($AA84,$AA84,Scenarios!$B$43))</f>
        <v>39345</v>
      </c>
      <c r="X84" s="454"/>
      <c r="Y84" s="454"/>
      <c r="Z84" s="454"/>
      <c r="AA84" s="454">
        <f>IFERROR(VLOOKUP($A84,'GeneratingCapabilityList sorted'!$E$9:$O$801,11,FALSE),Scenarios!$B$43)</f>
        <v>39345</v>
      </c>
      <c r="AB84" s="453"/>
      <c r="AC84" s="453"/>
    </row>
    <row r="85" spans="1:29" x14ac:dyDescent="0.25">
      <c r="A85" s="65" t="s">
        <v>2496</v>
      </c>
      <c r="B85" s="65" t="s">
        <v>3547</v>
      </c>
      <c r="C85" s="66" t="s">
        <v>3477</v>
      </c>
      <c r="D85" s="66" t="s">
        <v>3387</v>
      </c>
      <c r="E85" s="67">
        <v>0</v>
      </c>
      <c r="F85" s="68">
        <v>36</v>
      </c>
      <c r="G85" s="68">
        <v>36</v>
      </c>
      <c r="H85" s="68">
        <v>36</v>
      </c>
      <c r="I85" s="68">
        <v>36</v>
      </c>
      <c r="J85" s="68">
        <v>36</v>
      </c>
      <c r="K85" s="68">
        <v>36</v>
      </c>
      <c r="L85" s="68">
        <v>36</v>
      </c>
      <c r="M85" s="68">
        <v>36</v>
      </c>
      <c r="N85" s="68">
        <v>36</v>
      </c>
      <c r="O85" s="68">
        <v>36</v>
      </c>
      <c r="P85" s="68">
        <v>36</v>
      </c>
      <c r="Q85" s="68">
        <v>36</v>
      </c>
      <c r="R85" s="69" t="s">
        <v>3470</v>
      </c>
      <c r="S85" s="69" t="s">
        <v>3471</v>
      </c>
      <c r="T85" s="70" t="s">
        <v>3472</v>
      </c>
      <c r="U85" s="452"/>
      <c r="V85" s="453" t="str">
        <f>IF(VLOOKUP($A85,'GeneratingCapabilityList sorted'!$E$9:$O$801,8,FALSE)&lt;&gt;"",VLOOKUP($A85,'GeneratingCapabilityList sorted'!$E$9:$O$801,8,FALSE),"NoneListed")</f>
        <v>NATURAL GAS</v>
      </c>
      <c r="W85" s="454">
        <f>IF($AB85,$AB85,IF($AA85,$AA85,Scenarios!$B$43))</f>
        <v>37151</v>
      </c>
      <c r="X85" s="454"/>
      <c r="Y85" s="454"/>
      <c r="Z85" s="454"/>
      <c r="AA85" s="454">
        <f>IFERROR(VLOOKUP($A85,'GeneratingCapabilityList sorted'!$E$9:$O$801,11,FALSE),Scenarios!$B$43)</f>
        <v>37151</v>
      </c>
      <c r="AB85" s="453"/>
      <c r="AC85" s="453"/>
    </row>
    <row r="86" spans="1:29" x14ac:dyDescent="0.25">
      <c r="A86" s="65" t="s">
        <v>2028</v>
      </c>
      <c r="B86" s="65" t="s">
        <v>2029</v>
      </c>
      <c r="C86" s="66" t="s">
        <v>3468</v>
      </c>
      <c r="D86" s="66" t="s">
        <v>3505</v>
      </c>
      <c r="E86" s="67">
        <v>0</v>
      </c>
      <c r="F86" s="68">
        <v>46.55</v>
      </c>
      <c r="G86" s="68">
        <v>46.35</v>
      </c>
      <c r="H86" s="68">
        <v>45.63</v>
      </c>
      <c r="I86" s="68">
        <v>45.95</v>
      </c>
      <c r="J86" s="68">
        <v>25.94</v>
      </c>
      <c r="K86" s="68">
        <v>39.299999999999997</v>
      </c>
      <c r="L86" s="68">
        <v>43.78</v>
      </c>
      <c r="M86" s="68">
        <v>44.76</v>
      </c>
      <c r="N86" s="68">
        <v>43.2</v>
      </c>
      <c r="O86" s="68">
        <v>35.68</v>
      </c>
      <c r="P86" s="68">
        <v>46.28</v>
      </c>
      <c r="Q86" s="68">
        <v>45.5</v>
      </c>
      <c r="R86" s="69" t="s">
        <v>3470</v>
      </c>
      <c r="S86" s="69" t="s">
        <v>3489</v>
      </c>
      <c r="T86" s="70" t="s">
        <v>3497</v>
      </c>
      <c r="U86" s="452"/>
      <c r="V86" s="453" t="str">
        <f>IF(VLOOKUP($A86,'GeneratingCapabilityList sorted'!$E$9:$O$801,8,FALSE)&lt;&gt;"",VLOOKUP($A86,'GeneratingCapabilityList sorted'!$E$9:$O$801,8,FALSE),"NoneListed")</f>
        <v>NATURAL GAS</v>
      </c>
      <c r="W86" s="454">
        <f>IF($AB86,$AB86,IF($AA86,$AA86,Scenarios!$B$43))</f>
        <v>32952</v>
      </c>
      <c r="X86" s="454"/>
      <c r="Y86" s="454"/>
      <c r="Z86" s="454"/>
      <c r="AA86" s="454">
        <f>IFERROR(VLOOKUP($A86,'GeneratingCapabilityList sorted'!$E$9:$O$801,11,FALSE),Scenarios!$B$43)</f>
        <v>32952</v>
      </c>
      <c r="AB86" s="453"/>
      <c r="AC86" s="453"/>
    </row>
    <row r="87" spans="1:29" x14ac:dyDescent="0.25">
      <c r="A87" s="65" t="s">
        <v>844</v>
      </c>
      <c r="B87" s="65" t="s">
        <v>845</v>
      </c>
      <c r="C87" s="66" t="s">
        <v>3468</v>
      </c>
      <c r="D87" s="66" t="s">
        <v>3505</v>
      </c>
      <c r="E87" s="67">
        <v>0</v>
      </c>
      <c r="F87" s="68">
        <v>0.48</v>
      </c>
      <c r="G87" s="68">
        <v>0.8</v>
      </c>
      <c r="H87" s="68">
        <v>1.1299999999999999</v>
      </c>
      <c r="I87" s="68">
        <v>1.9</v>
      </c>
      <c r="J87" s="68">
        <v>1.69</v>
      </c>
      <c r="K87" s="68">
        <v>2.86</v>
      </c>
      <c r="L87" s="68">
        <v>2.78</v>
      </c>
      <c r="M87" s="68">
        <v>2.16</v>
      </c>
      <c r="N87" s="68">
        <v>1.74</v>
      </c>
      <c r="O87" s="68">
        <v>1.82</v>
      </c>
      <c r="P87" s="68">
        <v>1.7</v>
      </c>
      <c r="Q87" s="68">
        <v>1.02</v>
      </c>
      <c r="R87" s="69" t="s">
        <v>3470</v>
      </c>
      <c r="S87" s="69" t="s">
        <v>3489</v>
      </c>
      <c r="T87" s="70" t="s">
        <v>3497</v>
      </c>
      <c r="U87" s="452"/>
      <c r="V87" s="453" t="str">
        <f>IF(VLOOKUP($A87,'GeneratingCapabilityList sorted'!$E$9:$O$801,8,FALSE)&lt;&gt;"",VLOOKUP($A87,'GeneratingCapabilityList sorted'!$E$9:$O$801,8,FALSE),"NoneListed")</f>
        <v>NATURAL GAS</v>
      </c>
      <c r="W87" s="454">
        <f>IF($AB87,$AB87,IF($AA87,$AA87,Scenarios!$B$43))</f>
        <v>30158</v>
      </c>
      <c r="X87" s="454"/>
      <c r="Y87" s="454"/>
      <c r="Z87" s="454"/>
      <c r="AA87" s="454">
        <f>IFERROR(VLOOKUP($A87,'GeneratingCapabilityList sorted'!$E$9:$O$801,11,FALSE),Scenarios!$B$43)</f>
        <v>30158</v>
      </c>
      <c r="AB87" s="453"/>
      <c r="AC87" s="453"/>
    </row>
    <row r="88" spans="1:29" x14ac:dyDescent="0.25">
      <c r="A88" s="65" t="s">
        <v>1373</v>
      </c>
      <c r="B88" s="65" t="s">
        <v>1374</v>
      </c>
      <c r="C88" s="66" t="s">
        <v>3468</v>
      </c>
      <c r="D88" s="66" t="s">
        <v>3474</v>
      </c>
      <c r="E88" s="67">
        <v>0</v>
      </c>
      <c r="F88" s="68">
        <v>6.94</v>
      </c>
      <c r="G88" s="68">
        <v>10.130000000000001</v>
      </c>
      <c r="H88" s="68">
        <v>9</v>
      </c>
      <c r="I88" s="68">
        <v>8.51</v>
      </c>
      <c r="J88" s="68">
        <v>7.79</v>
      </c>
      <c r="K88" s="68">
        <v>7.41</v>
      </c>
      <c r="L88" s="68">
        <v>7.03</v>
      </c>
      <c r="M88" s="68">
        <v>6.69</v>
      </c>
      <c r="N88" s="68">
        <v>7</v>
      </c>
      <c r="O88" s="68">
        <v>7.73</v>
      </c>
      <c r="P88" s="68">
        <v>6.54</v>
      </c>
      <c r="Q88" s="68">
        <v>8.2200000000000006</v>
      </c>
      <c r="R88" s="69" t="s">
        <v>3470</v>
      </c>
      <c r="S88" s="69" t="s">
        <v>3489</v>
      </c>
      <c r="T88" s="70" t="s">
        <v>3497</v>
      </c>
      <c r="U88" s="452"/>
      <c r="V88" s="453" t="str">
        <f>IF(VLOOKUP($A88,'GeneratingCapabilityList sorted'!$E$9:$O$801,8,FALSE)&lt;&gt;"",VLOOKUP($A88,'GeneratingCapabilityList sorted'!$E$9:$O$801,8,FALSE),"NoneListed")</f>
        <v>NATURAL GAS</v>
      </c>
      <c r="W88" s="454">
        <f>IF($AB88,$AB88,IF($AA88,$AA88,Scenarios!$B$43))</f>
        <v>31429</v>
      </c>
      <c r="X88" s="454"/>
      <c r="Y88" s="454"/>
      <c r="Z88" s="454"/>
      <c r="AA88" s="454">
        <f>IFERROR(VLOOKUP($A88,'GeneratingCapabilityList sorted'!$E$9:$O$801,11,FALSE),Scenarios!$B$43)</f>
        <v>31429</v>
      </c>
      <c r="AB88" s="453"/>
      <c r="AC88" s="453"/>
    </row>
    <row r="89" spans="1:29" x14ac:dyDescent="0.25">
      <c r="A89" s="65" t="s">
        <v>1727</v>
      </c>
      <c r="B89" s="65" t="s">
        <v>3548</v>
      </c>
      <c r="C89" s="66" t="s">
        <v>3468</v>
      </c>
      <c r="D89" s="66" t="s">
        <v>3474</v>
      </c>
      <c r="E89" s="67">
        <v>0</v>
      </c>
      <c r="F89" s="68">
        <v>2.1800000000000002</v>
      </c>
      <c r="G89" s="68">
        <v>2.1800000000000002</v>
      </c>
      <c r="H89" s="68">
        <v>2.16</v>
      </c>
      <c r="I89" s="68">
        <v>2.06</v>
      </c>
      <c r="J89" s="68">
        <v>1.85</v>
      </c>
      <c r="K89" s="68">
        <v>1.67</v>
      </c>
      <c r="L89" s="68">
        <v>1.78</v>
      </c>
      <c r="M89" s="68">
        <v>1.4</v>
      </c>
      <c r="N89" s="68">
        <v>1.72</v>
      </c>
      <c r="O89" s="68">
        <v>1.66</v>
      </c>
      <c r="P89" s="68">
        <v>2.1</v>
      </c>
      <c r="Q89" s="68">
        <v>1.62</v>
      </c>
      <c r="R89" s="69" t="s">
        <v>3470</v>
      </c>
      <c r="S89" s="69" t="s">
        <v>3489</v>
      </c>
      <c r="T89" s="70" t="s">
        <v>3497</v>
      </c>
      <c r="U89" s="452"/>
      <c r="V89" s="453" t="str">
        <f>IF(VLOOKUP($A89,'GeneratingCapabilityList sorted'!$E$9:$O$801,8,FALSE)&lt;&gt;"",VLOOKUP($A89,'GeneratingCapabilityList sorted'!$E$9:$O$801,8,FALSE),"NoneListed")</f>
        <v>NATURAL GAS</v>
      </c>
      <c r="W89" s="454">
        <f>IF($AB89,$AB89,IF($AA89,$AA89,Scenarios!$B$43))</f>
        <v>32297</v>
      </c>
      <c r="X89" s="454"/>
      <c r="Y89" s="454"/>
      <c r="Z89" s="454"/>
      <c r="AA89" s="454">
        <f>IFERROR(VLOOKUP($A89,'GeneratingCapabilityList sorted'!$E$9:$O$801,11,FALSE),Scenarios!$B$43)</f>
        <v>32297</v>
      </c>
      <c r="AB89" s="453"/>
      <c r="AC89" s="453"/>
    </row>
    <row r="90" spans="1:29" x14ac:dyDescent="0.25">
      <c r="A90" s="65" t="s">
        <v>852</v>
      </c>
      <c r="B90" s="65" t="s">
        <v>853</v>
      </c>
      <c r="C90" s="66" t="s">
        <v>3468</v>
      </c>
      <c r="D90" s="66" t="s">
        <v>3505</v>
      </c>
      <c r="E90" s="67">
        <v>0</v>
      </c>
      <c r="F90" s="68">
        <v>6.53</v>
      </c>
      <c r="G90" s="68">
        <v>5.13</v>
      </c>
      <c r="H90" s="68">
        <v>4.71</v>
      </c>
      <c r="I90" s="68">
        <v>3.94</v>
      </c>
      <c r="J90" s="68">
        <v>6.46</v>
      </c>
      <c r="K90" s="68">
        <v>5.99</v>
      </c>
      <c r="L90" s="68">
        <v>5.2</v>
      </c>
      <c r="M90" s="68">
        <v>5.04</v>
      </c>
      <c r="N90" s="68">
        <v>3.02</v>
      </c>
      <c r="O90" s="68">
        <v>2.56</v>
      </c>
      <c r="P90" s="68">
        <v>3.96</v>
      </c>
      <c r="Q90" s="68">
        <v>4.7699999999999996</v>
      </c>
      <c r="R90" s="69" t="s">
        <v>3470</v>
      </c>
      <c r="S90" s="69" t="s">
        <v>3489</v>
      </c>
      <c r="T90" s="70" t="s">
        <v>3497</v>
      </c>
      <c r="U90" s="452"/>
      <c r="V90" s="453" t="str">
        <f>IF(VLOOKUP($A90,'GeneratingCapabilityList sorted'!$E$9:$O$801,8,FALSE)&lt;&gt;"",VLOOKUP($A90,'GeneratingCapabilityList sorted'!$E$9:$O$801,8,FALSE),"NoneListed")</f>
        <v>NATURAL GAS</v>
      </c>
      <c r="W90" s="454">
        <f>IF($AB90,$AB90,IF($AA90,$AA90,Scenarios!$B$43))</f>
        <v>30239</v>
      </c>
      <c r="X90" s="454"/>
      <c r="Y90" s="454"/>
      <c r="Z90" s="454"/>
      <c r="AA90" s="454">
        <f>IFERROR(VLOOKUP($A90,'GeneratingCapabilityList sorted'!$E$9:$O$801,11,FALSE),Scenarios!$B$43)</f>
        <v>30239</v>
      </c>
      <c r="AB90" s="453"/>
      <c r="AC90" s="453"/>
    </row>
    <row r="91" spans="1:29" x14ac:dyDescent="0.25">
      <c r="A91" s="65" t="s">
        <v>1661</v>
      </c>
      <c r="B91" s="65" t="s">
        <v>3549</v>
      </c>
      <c r="C91" s="66" t="s">
        <v>3477</v>
      </c>
      <c r="D91" s="66" t="s">
        <v>3387</v>
      </c>
      <c r="E91" s="67">
        <v>0</v>
      </c>
      <c r="F91" s="68">
        <v>0.76</v>
      </c>
      <c r="G91" s="68">
        <v>2.2000000000000002</v>
      </c>
      <c r="H91" s="68">
        <v>0.14000000000000001</v>
      </c>
      <c r="I91" s="68">
        <v>0.01</v>
      </c>
      <c r="J91" s="68">
        <v>0.03</v>
      </c>
      <c r="K91" s="68">
        <v>0.01</v>
      </c>
      <c r="L91" s="68">
        <v>0</v>
      </c>
      <c r="M91" s="68">
        <v>0</v>
      </c>
      <c r="N91" s="68">
        <v>0</v>
      </c>
      <c r="O91" s="68">
        <v>4.42</v>
      </c>
      <c r="P91" s="68">
        <v>6.57</v>
      </c>
      <c r="Q91" s="68">
        <v>0</v>
      </c>
      <c r="R91" s="69" t="s">
        <v>3470</v>
      </c>
      <c r="S91" s="69" t="s">
        <v>3489</v>
      </c>
      <c r="T91" s="70" t="s">
        <v>3497</v>
      </c>
      <c r="U91" s="452"/>
      <c r="V91" s="453" t="str">
        <f>IF(VLOOKUP($A91,'GeneratingCapabilityList sorted'!$E$9:$O$801,8,FALSE)&lt;&gt;"",VLOOKUP($A91,'GeneratingCapabilityList sorted'!$E$9:$O$801,8,FALSE),"NoneListed")</f>
        <v>NATURAL GAS</v>
      </c>
      <c r="W91" s="454">
        <f>IF($AB91,$AB91,IF($AA91,$AA91,Scenarios!$B$43))</f>
        <v>32140</v>
      </c>
      <c r="X91" s="454"/>
      <c r="Y91" s="454"/>
      <c r="Z91" s="454"/>
      <c r="AA91" s="454">
        <f>IFERROR(VLOOKUP($A91,'GeneratingCapabilityList sorted'!$E$9:$O$801,11,FALSE),Scenarios!$B$43)</f>
        <v>32140</v>
      </c>
      <c r="AB91" s="453"/>
      <c r="AC91" s="453"/>
    </row>
    <row r="92" spans="1:29" x14ac:dyDescent="0.25">
      <c r="A92" s="65" t="s">
        <v>508</v>
      </c>
      <c r="B92" s="65" t="s">
        <v>3550</v>
      </c>
      <c r="C92" s="66" t="s">
        <v>3468</v>
      </c>
      <c r="D92" s="66" t="s">
        <v>3510</v>
      </c>
      <c r="E92" s="67">
        <v>0</v>
      </c>
      <c r="F92" s="68">
        <v>38</v>
      </c>
      <c r="G92" s="68">
        <v>38</v>
      </c>
      <c r="H92" s="68">
        <v>38</v>
      </c>
      <c r="I92" s="68">
        <v>38</v>
      </c>
      <c r="J92" s="68">
        <v>38</v>
      </c>
      <c r="K92" s="68">
        <v>38</v>
      </c>
      <c r="L92" s="68">
        <v>38</v>
      </c>
      <c r="M92" s="68">
        <v>38</v>
      </c>
      <c r="N92" s="68">
        <v>38</v>
      </c>
      <c r="O92" s="68">
        <v>38</v>
      </c>
      <c r="P92" s="68">
        <v>38</v>
      </c>
      <c r="Q92" s="68">
        <v>38</v>
      </c>
      <c r="R92" s="69" t="s">
        <v>3470</v>
      </c>
      <c r="S92" s="69" t="s">
        <v>3489</v>
      </c>
      <c r="T92" s="70" t="s">
        <v>3484</v>
      </c>
      <c r="U92" s="452"/>
      <c r="V92" s="453" t="str">
        <f>IF(VLOOKUP($A92,'GeneratingCapabilityList sorted'!$E$9:$O$801,8,FALSE)&lt;&gt;"",VLOOKUP($A92,'GeneratingCapabilityList sorted'!$E$9:$O$801,8,FALSE),"NoneListed")</f>
        <v>WATER</v>
      </c>
      <c r="W92" s="454">
        <f>IF($AB92,$AB92,IF($AA92,$AA92,Scenarios!$B$43))</f>
        <v>23743</v>
      </c>
      <c r="X92" s="454"/>
      <c r="Y92" s="454"/>
      <c r="Z92" s="454"/>
      <c r="AA92" s="454">
        <f>IFERROR(VLOOKUP($A92,'GeneratingCapabilityList sorted'!$E$9:$O$801,11,FALSE),Scenarios!$B$43)</f>
        <v>23743</v>
      </c>
      <c r="AB92" s="453"/>
      <c r="AC92" s="453"/>
    </row>
    <row r="93" spans="1:29" x14ac:dyDescent="0.25">
      <c r="A93" s="65" t="s">
        <v>3042</v>
      </c>
      <c r="B93" s="65" t="s">
        <v>1690</v>
      </c>
      <c r="C93" s="66" t="s">
        <v>3477</v>
      </c>
      <c r="D93" s="66" t="s">
        <v>3385</v>
      </c>
      <c r="E93" s="67">
        <v>0</v>
      </c>
      <c r="F93" s="68">
        <v>0.33</v>
      </c>
      <c r="G93" s="68">
        <v>0.59</v>
      </c>
      <c r="H93" s="68">
        <v>0.67</v>
      </c>
      <c r="I93" s="68">
        <v>0.64</v>
      </c>
      <c r="J93" s="68">
        <v>0.41</v>
      </c>
      <c r="K93" s="68">
        <v>0.35</v>
      </c>
      <c r="L93" s="68">
        <v>0.18</v>
      </c>
      <c r="M93" s="68">
        <v>0.26</v>
      </c>
      <c r="N93" s="68">
        <v>0.28000000000000003</v>
      </c>
      <c r="O93" s="68">
        <v>0.28999999999999998</v>
      </c>
      <c r="P93" s="68">
        <v>0.27</v>
      </c>
      <c r="Q93" s="68">
        <v>0.17</v>
      </c>
      <c r="R93" s="69" t="s">
        <v>3470</v>
      </c>
      <c r="S93" s="69" t="s">
        <v>3489</v>
      </c>
      <c r="T93" s="70" t="s">
        <v>3497</v>
      </c>
      <c r="U93" s="452"/>
      <c r="V93" s="453" t="str">
        <f>IF(VLOOKUP($A93,'GeneratingCapabilityList sorted'!$E$9:$O$801,8,FALSE)&lt;&gt;"",VLOOKUP($A93,'GeneratingCapabilityList sorted'!$E$9:$O$801,8,FALSE),"NoneListed")</f>
        <v>LANDFILL GAS</v>
      </c>
      <c r="W93" s="454">
        <f>IF($AB93,$AB93,IF($AA93,$AA93,Scenarios!$B$43))</f>
        <v>40682</v>
      </c>
      <c r="X93" s="454"/>
      <c r="Y93" s="454"/>
      <c r="Z93" s="454"/>
      <c r="AA93" s="454">
        <f>IFERROR(VLOOKUP($A93,'GeneratingCapabilityList sorted'!$E$9:$O$801,11,FALSE),Scenarios!$B$43)</f>
        <v>40682</v>
      </c>
      <c r="AB93" s="453"/>
      <c r="AC93" s="453"/>
    </row>
    <row r="94" spans="1:29" x14ac:dyDescent="0.25">
      <c r="A94" s="65" t="s">
        <v>2728</v>
      </c>
      <c r="B94" s="65" t="s">
        <v>3551</v>
      </c>
      <c r="C94" s="66" t="s">
        <v>3477</v>
      </c>
      <c r="D94" s="66" t="s">
        <v>3385</v>
      </c>
      <c r="E94" s="67">
        <v>0</v>
      </c>
      <c r="F94" s="68">
        <v>1.69</v>
      </c>
      <c r="G94" s="68">
        <v>1.69</v>
      </c>
      <c r="H94" s="68">
        <v>1.61</v>
      </c>
      <c r="I94" s="68">
        <v>1.26</v>
      </c>
      <c r="J94" s="68">
        <v>0.91</v>
      </c>
      <c r="K94" s="68">
        <v>1.01</v>
      </c>
      <c r="L94" s="68">
        <v>1.08</v>
      </c>
      <c r="M94" s="68">
        <v>1.31</v>
      </c>
      <c r="N94" s="68">
        <v>1.01</v>
      </c>
      <c r="O94" s="68">
        <v>1.35</v>
      </c>
      <c r="P94" s="68">
        <v>1.23</v>
      </c>
      <c r="Q94" s="68">
        <v>1.02</v>
      </c>
      <c r="R94" s="69" t="s">
        <v>3470</v>
      </c>
      <c r="S94" s="69" t="s">
        <v>3489</v>
      </c>
      <c r="T94" s="70" t="s">
        <v>3497</v>
      </c>
      <c r="U94" s="452"/>
      <c r="V94" s="453" t="str">
        <f>IF(VLOOKUP($A94,'GeneratingCapabilityList sorted'!$E$9:$O$801,8,FALSE)&lt;&gt;"",VLOOKUP($A94,'GeneratingCapabilityList sorted'!$E$9:$O$801,8,FALSE),"NoneListed")</f>
        <v>LANDFILL GAS</v>
      </c>
      <c r="W94" s="454">
        <f>IF($AB94,$AB94,IF($AA94,$AA94,Scenarios!$B$43))</f>
        <v>38182</v>
      </c>
      <c r="X94" s="454"/>
      <c r="Y94" s="454"/>
      <c r="Z94" s="454"/>
      <c r="AA94" s="454">
        <f>IFERROR(VLOOKUP($A94,'GeneratingCapabilityList sorted'!$E$9:$O$801,11,FALSE),Scenarios!$B$43)</f>
        <v>38182</v>
      </c>
      <c r="AB94" s="453"/>
      <c r="AC94" s="453"/>
    </row>
    <row r="95" spans="1:29" x14ac:dyDescent="0.25">
      <c r="A95" s="65" t="s">
        <v>1516</v>
      </c>
      <c r="B95" s="65" t="s">
        <v>3552</v>
      </c>
      <c r="C95" s="66" t="s">
        <v>3477</v>
      </c>
      <c r="D95" s="66" t="s">
        <v>3387</v>
      </c>
      <c r="E95" s="67">
        <v>0</v>
      </c>
      <c r="F95" s="68">
        <v>6.2</v>
      </c>
      <c r="G95" s="68">
        <v>5.0599999999999996</v>
      </c>
      <c r="H95" s="68">
        <v>6.89</v>
      </c>
      <c r="I95" s="68">
        <v>7.47</v>
      </c>
      <c r="J95" s="68">
        <v>6.94</v>
      </c>
      <c r="K95" s="68">
        <v>7.97</v>
      </c>
      <c r="L95" s="68">
        <v>7.62</v>
      </c>
      <c r="M95" s="68">
        <v>7.83</v>
      </c>
      <c r="N95" s="68">
        <v>7.76</v>
      </c>
      <c r="O95" s="68">
        <v>6.78</v>
      </c>
      <c r="P95" s="68">
        <v>5.28</v>
      </c>
      <c r="Q95" s="68">
        <v>5.31</v>
      </c>
      <c r="R95" s="69" t="s">
        <v>3470</v>
      </c>
      <c r="S95" s="69" t="s">
        <v>3489</v>
      </c>
      <c r="T95" s="70" t="s">
        <v>3497</v>
      </c>
      <c r="U95" s="452"/>
      <c r="V95" s="453" t="str">
        <f>IF(VLOOKUP($A95,'GeneratingCapabilityList sorted'!$E$9:$O$801,8,FALSE)&lt;&gt;"",VLOOKUP($A95,'GeneratingCapabilityList sorted'!$E$9:$O$801,8,FALSE),"NoneListed")</f>
        <v>LANDFILL GAS</v>
      </c>
      <c r="W95" s="454">
        <f>IF($AB95,$AB95,IF($AA95,$AA95,Scenarios!$B$43))</f>
        <v>31778</v>
      </c>
      <c r="X95" s="454"/>
      <c r="Y95" s="454"/>
      <c r="Z95" s="454"/>
      <c r="AA95" s="454">
        <f>IFERROR(VLOOKUP($A95,'GeneratingCapabilityList sorted'!$E$9:$O$801,11,FALSE),Scenarios!$B$43)</f>
        <v>31778</v>
      </c>
      <c r="AB95" s="453"/>
      <c r="AC95" s="453"/>
    </row>
    <row r="96" spans="1:29" x14ac:dyDescent="0.25">
      <c r="A96" s="84" t="s">
        <v>2959</v>
      </c>
      <c r="B96" s="84" t="s">
        <v>3553</v>
      </c>
      <c r="C96" s="66" t="s">
        <v>3477</v>
      </c>
      <c r="D96" s="66" t="s">
        <v>3387</v>
      </c>
      <c r="E96" s="67">
        <v>0</v>
      </c>
      <c r="F96" s="68">
        <v>0</v>
      </c>
      <c r="G96" s="68">
        <v>0</v>
      </c>
      <c r="H96" s="68">
        <v>0</v>
      </c>
      <c r="I96" s="68">
        <v>0</v>
      </c>
      <c r="J96" s="68">
        <v>0</v>
      </c>
      <c r="K96" s="68">
        <v>0</v>
      </c>
      <c r="L96" s="68">
        <v>0</v>
      </c>
      <c r="M96" s="68">
        <v>0</v>
      </c>
      <c r="N96" s="68">
        <v>0</v>
      </c>
      <c r="O96" s="68">
        <v>0</v>
      </c>
      <c r="P96" s="68">
        <v>0</v>
      </c>
      <c r="Q96" s="68">
        <v>0</v>
      </c>
      <c r="R96" s="69" t="s">
        <v>3521</v>
      </c>
      <c r="S96" s="69" t="s">
        <v>3489</v>
      </c>
      <c r="T96" s="70" t="s">
        <v>3522</v>
      </c>
      <c r="U96" s="452"/>
      <c r="V96" s="453" t="str">
        <f>IF(VLOOKUP($A96,'GeneratingCapabilityList sorted'!$E$9:$O$801,8,FALSE)&lt;&gt;"",VLOOKUP($A96,'GeneratingCapabilityList sorted'!$E$9:$O$801,8,FALSE),"NoneListed")</f>
        <v>SUN</v>
      </c>
      <c r="W96" s="454">
        <f>IF($AB96,$AB96,IF($AA96,$AA96,Scenarios!$B$43))</f>
        <v>40148</v>
      </c>
      <c r="X96" s="454"/>
      <c r="Y96" s="454"/>
      <c r="Z96" s="454"/>
      <c r="AA96" s="454">
        <f>IFERROR(VLOOKUP($A96,'GeneratingCapabilityList sorted'!$E$9:$O$801,11,FALSE),Scenarios!$B$43)</f>
        <v>40148</v>
      </c>
      <c r="AB96" s="453"/>
      <c r="AC96" s="453"/>
    </row>
    <row r="97" spans="1:29" x14ac:dyDescent="0.25">
      <c r="A97" s="65" t="s">
        <v>1657</v>
      </c>
      <c r="B97" s="65" t="s">
        <v>3554</v>
      </c>
      <c r="C97" s="66" t="s">
        <v>3477</v>
      </c>
      <c r="D97" s="66" t="s">
        <v>3387</v>
      </c>
      <c r="E97" s="67">
        <v>0</v>
      </c>
      <c r="F97" s="68">
        <v>22.82</v>
      </c>
      <c r="G97" s="68">
        <v>25.14</v>
      </c>
      <c r="H97" s="68">
        <v>25.44</v>
      </c>
      <c r="I97" s="68">
        <v>23.96</v>
      </c>
      <c r="J97" s="68">
        <v>22.95</v>
      </c>
      <c r="K97" s="68">
        <v>25.52</v>
      </c>
      <c r="L97" s="68">
        <v>25.01</v>
      </c>
      <c r="M97" s="68">
        <v>25.29</v>
      </c>
      <c r="N97" s="68">
        <v>25.71</v>
      </c>
      <c r="O97" s="68">
        <v>23.95</v>
      </c>
      <c r="P97" s="68">
        <v>23.06</v>
      </c>
      <c r="Q97" s="68">
        <v>25.81</v>
      </c>
      <c r="R97" s="69" t="s">
        <v>3470</v>
      </c>
      <c r="S97" s="69" t="s">
        <v>3489</v>
      </c>
      <c r="T97" s="70" t="s">
        <v>3497</v>
      </c>
      <c r="U97" s="452"/>
      <c r="V97" s="453" t="str">
        <f>IF(VLOOKUP($A97,'GeneratingCapabilityList sorted'!$E$9:$O$801,8,FALSE)&lt;&gt;"",VLOOKUP($A97,'GeneratingCapabilityList sorted'!$E$9:$O$801,8,FALSE),"NoneListed")</f>
        <v>NATURAL GAS</v>
      </c>
      <c r="W97" s="454">
        <f>IF($AB97,$AB97,IF($AA97,$AA97,Scenarios!$B$43))</f>
        <v>32135</v>
      </c>
      <c r="X97" s="454"/>
      <c r="Y97" s="454"/>
      <c r="Z97" s="454"/>
      <c r="AA97" s="454">
        <f>IFERROR(VLOOKUP($A97,'GeneratingCapabilityList sorted'!$E$9:$O$801,11,FALSE),Scenarios!$B$43)</f>
        <v>32135</v>
      </c>
      <c r="AB97" s="453"/>
      <c r="AC97" s="453"/>
    </row>
    <row r="98" spans="1:29" x14ac:dyDescent="0.25">
      <c r="A98" s="65" t="s">
        <v>1266</v>
      </c>
      <c r="B98" s="65" t="s">
        <v>3555</v>
      </c>
      <c r="C98" s="66" t="s">
        <v>3477</v>
      </c>
      <c r="D98" s="66" t="s">
        <v>3387</v>
      </c>
      <c r="E98" s="67">
        <v>0</v>
      </c>
      <c r="F98" s="68">
        <v>27.6</v>
      </c>
      <c r="G98" s="68">
        <v>25.44</v>
      </c>
      <c r="H98" s="68">
        <v>26.89</v>
      </c>
      <c r="I98" s="68">
        <v>29.68</v>
      </c>
      <c r="J98" s="68">
        <v>20.81</v>
      </c>
      <c r="K98" s="68">
        <v>28.12</v>
      </c>
      <c r="L98" s="68">
        <v>26.91</v>
      </c>
      <c r="M98" s="68">
        <v>27.15</v>
      </c>
      <c r="N98" s="68">
        <v>27.22</v>
      </c>
      <c r="O98" s="68">
        <v>22.69</v>
      </c>
      <c r="P98" s="68">
        <v>30.86</v>
      </c>
      <c r="Q98" s="68">
        <v>27.53</v>
      </c>
      <c r="R98" s="69" t="s">
        <v>3470</v>
      </c>
      <c r="S98" s="69" t="s">
        <v>3489</v>
      </c>
      <c r="T98" s="70" t="s">
        <v>3497</v>
      </c>
      <c r="U98" s="452"/>
      <c r="V98" s="453" t="str">
        <f>IF(VLOOKUP($A98,'GeneratingCapabilityList sorted'!$E$9:$O$801,8,FALSE)&lt;&gt;"",VLOOKUP($A98,'GeneratingCapabilityList sorted'!$E$9:$O$801,8,FALSE),"NoneListed")</f>
        <v>NATURAL GAS</v>
      </c>
      <c r="W98" s="454">
        <f>IF($AB98,$AB98,IF($AA98,$AA98,Scenarios!$B$43))</f>
        <v>31369</v>
      </c>
      <c r="X98" s="454"/>
      <c r="Y98" s="454"/>
      <c r="Z98" s="454"/>
      <c r="AA98" s="454">
        <f>IFERROR(VLOOKUP($A98,'GeneratingCapabilityList sorted'!$E$9:$O$801,11,FALSE),Scenarios!$B$43)</f>
        <v>31369</v>
      </c>
      <c r="AB98" s="453"/>
      <c r="AC98" s="453"/>
    </row>
    <row r="99" spans="1:29" x14ac:dyDescent="0.25">
      <c r="A99" s="65" t="s">
        <v>2673</v>
      </c>
      <c r="B99" s="65" t="s">
        <v>3556</v>
      </c>
      <c r="C99" s="66" t="s">
        <v>3477</v>
      </c>
      <c r="D99" s="66" t="s">
        <v>3387</v>
      </c>
      <c r="E99" s="67">
        <v>0</v>
      </c>
      <c r="F99" s="68">
        <v>0.98</v>
      </c>
      <c r="G99" s="68">
        <v>1.05</v>
      </c>
      <c r="H99" s="68">
        <v>1.07</v>
      </c>
      <c r="I99" s="68">
        <v>1.22</v>
      </c>
      <c r="J99" s="68">
        <v>1.26</v>
      </c>
      <c r="K99" s="68">
        <v>1.48</v>
      </c>
      <c r="L99" s="68">
        <v>1.53</v>
      </c>
      <c r="M99" s="68">
        <v>1.37</v>
      </c>
      <c r="N99" s="68">
        <v>1.52</v>
      </c>
      <c r="O99" s="68">
        <v>1.63</v>
      </c>
      <c r="P99" s="68">
        <v>1.41</v>
      </c>
      <c r="Q99" s="68">
        <v>1.21</v>
      </c>
      <c r="R99" s="69" t="s">
        <v>3470</v>
      </c>
      <c r="S99" s="69" t="s">
        <v>3489</v>
      </c>
      <c r="T99" s="70" t="s">
        <v>3497</v>
      </c>
      <c r="U99" s="452"/>
      <c r="V99" s="453" t="str">
        <f>IF(VLOOKUP($A99,'GeneratingCapabilityList sorted'!$E$9:$O$801,8,FALSE)&lt;&gt;"",VLOOKUP($A99,'GeneratingCapabilityList sorted'!$E$9:$O$801,8,FALSE),"NoneListed")</f>
        <v>LANDFILL GAS</v>
      </c>
      <c r="W99" s="454">
        <f>IF($AB99,$AB99,IF($AA99,$AA99,Scenarios!$B$43))</f>
        <v>37819</v>
      </c>
      <c r="X99" s="454"/>
      <c r="Y99" s="454"/>
      <c r="Z99" s="454"/>
      <c r="AA99" s="454">
        <f>IFERROR(VLOOKUP($A99,'GeneratingCapabilityList sorted'!$E$9:$O$801,11,FALSE),Scenarios!$B$43)</f>
        <v>37819</v>
      </c>
      <c r="AB99" s="453"/>
      <c r="AC99" s="453"/>
    </row>
    <row r="100" spans="1:29" x14ac:dyDescent="0.25">
      <c r="A100" s="65" t="s">
        <v>2914</v>
      </c>
      <c r="B100" s="65" t="s">
        <v>2915</v>
      </c>
      <c r="C100" s="66" t="s">
        <v>3468</v>
      </c>
      <c r="D100" s="66" t="s">
        <v>3474</v>
      </c>
      <c r="E100" s="67">
        <v>0</v>
      </c>
      <c r="F100" s="68">
        <v>6.14</v>
      </c>
      <c r="G100" s="68">
        <v>6.02</v>
      </c>
      <c r="H100" s="68">
        <v>6.83</v>
      </c>
      <c r="I100" s="68">
        <v>6.23</v>
      </c>
      <c r="J100" s="68">
        <v>2.35</v>
      </c>
      <c r="K100" s="68">
        <v>2.57</v>
      </c>
      <c r="L100" s="68">
        <v>2.97</v>
      </c>
      <c r="M100" s="68">
        <v>3.84</v>
      </c>
      <c r="N100" s="68">
        <v>4.1399999999999997</v>
      </c>
      <c r="O100" s="68">
        <v>2.57</v>
      </c>
      <c r="P100" s="68">
        <v>2.93</v>
      </c>
      <c r="Q100" s="68">
        <v>3.48</v>
      </c>
      <c r="R100" s="69" t="s">
        <v>3470</v>
      </c>
      <c r="S100" s="69" t="s">
        <v>3489</v>
      </c>
      <c r="T100" s="70" t="s">
        <v>3497</v>
      </c>
      <c r="U100" s="452"/>
      <c r="V100" s="453" t="str">
        <f>IF(VLOOKUP($A100,'GeneratingCapabilityList sorted'!$E$9:$O$801,8,FALSE)&lt;&gt;"",VLOOKUP($A100,'GeneratingCapabilityList sorted'!$E$9:$O$801,8,FALSE),"NoneListed")</f>
        <v>LANDFILL GAS</v>
      </c>
      <c r="W100" s="454">
        <f>IF($AB100,$AB100,IF($AA100,$AA100,Scenarios!$B$43))</f>
        <v>39576</v>
      </c>
      <c r="X100" s="454"/>
      <c r="Y100" s="454"/>
      <c r="Z100" s="454"/>
      <c r="AA100" s="454">
        <f>IFERROR(VLOOKUP($A100,'GeneratingCapabilityList sorted'!$E$9:$O$801,11,FALSE),Scenarios!$B$43)</f>
        <v>39576</v>
      </c>
      <c r="AB100" s="453"/>
      <c r="AC100" s="453"/>
    </row>
    <row r="101" spans="1:29" x14ac:dyDescent="0.25">
      <c r="A101" s="65" t="s">
        <v>2380</v>
      </c>
      <c r="B101" s="65" t="s">
        <v>3557</v>
      </c>
      <c r="C101" s="66" t="s">
        <v>3468</v>
      </c>
      <c r="D101" s="66" t="s">
        <v>3474</v>
      </c>
      <c r="E101" s="67">
        <v>48</v>
      </c>
      <c r="F101" s="68">
        <v>0</v>
      </c>
      <c r="G101" s="68">
        <v>0</v>
      </c>
      <c r="H101" s="68">
        <v>0</v>
      </c>
      <c r="I101" s="68">
        <v>0</v>
      </c>
      <c r="J101" s="68">
        <v>0</v>
      </c>
      <c r="K101" s="68">
        <v>0</v>
      </c>
      <c r="L101" s="68">
        <v>0</v>
      </c>
      <c r="M101" s="68">
        <v>0</v>
      </c>
      <c r="N101" s="68">
        <v>0</v>
      </c>
      <c r="O101" s="68">
        <v>0</v>
      </c>
      <c r="P101" s="68">
        <v>0</v>
      </c>
      <c r="Q101" s="68">
        <v>0</v>
      </c>
      <c r="R101" s="69" t="s">
        <v>3470</v>
      </c>
      <c r="S101" s="69" t="s">
        <v>3471</v>
      </c>
      <c r="T101" s="70" t="s">
        <v>3472</v>
      </c>
      <c r="U101" s="452"/>
      <c r="V101" s="453" t="str">
        <f>IF(VLOOKUP($A101,'GeneratingCapabilityList sorted'!$E$9:$O$801,8,FALSE)&lt;&gt;"",VLOOKUP($A101,'GeneratingCapabilityList sorted'!$E$9:$O$801,8,FALSE),"NoneListed")</f>
        <v>NATURAL GAS</v>
      </c>
      <c r="W101" s="454">
        <f>IF($AB101,$AB101,IF($AA101,$AA101,Scenarios!$B$43))</f>
        <v>37055</v>
      </c>
      <c r="X101" s="454"/>
      <c r="Y101" s="454"/>
      <c r="Z101" s="454"/>
      <c r="AA101" s="454">
        <f>IFERROR(VLOOKUP($A101,'GeneratingCapabilityList sorted'!$E$9:$O$801,11,FALSE),Scenarios!$B$43)</f>
        <v>37055</v>
      </c>
      <c r="AB101" s="453"/>
      <c r="AC101" s="453"/>
    </row>
    <row r="102" spans="1:29" x14ac:dyDescent="0.25">
      <c r="A102" s="65" t="s">
        <v>1390</v>
      </c>
      <c r="B102" s="65" t="s">
        <v>1391</v>
      </c>
      <c r="C102" s="66" t="s">
        <v>3468</v>
      </c>
      <c r="D102" s="66" t="s">
        <v>3488</v>
      </c>
      <c r="E102" s="67">
        <v>0</v>
      </c>
      <c r="F102" s="68">
        <v>0.6</v>
      </c>
      <c r="G102" s="68">
        <v>0.76</v>
      </c>
      <c r="H102" s="68">
        <v>0.62</v>
      </c>
      <c r="I102" s="68">
        <v>0.62</v>
      </c>
      <c r="J102" s="68">
        <v>0.68</v>
      </c>
      <c r="K102" s="68">
        <v>0.43</v>
      </c>
      <c r="L102" s="68">
        <v>0.11</v>
      </c>
      <c r="M102" s="68">
        <v>0</v>
      </c>
      <c r="N102" s="68">
        <v>0.01</v>
      </c>
      <c r="O102" s="68">
        <v>0.05</v>
      </c>
      <c r="P102" s="68">
        <v>0.2</v>
      </c>
      <c r="Q102" s="68">
        <v>0.44</v>
      </c>
      <c r="R102" s="69" t="s">
        <v>3470</v>
      </c>
      <c r="S102" s="69" t="s">
        <v>3489</v>
      </c>
      <c r="T102" s="70" t="s">
        <v>3502</v>
      </c>
      <c r="U102" s="452"/>
      <c r="V102" s="453" t="str">
        <f>IF(VLOOKUP($A102,'GeneratingCapabilityList sorted'!$E$9:$O$801,8,FALSE)&lt;&gt;"",VLOOKUP($A102,'GeneratingCapabilityList sorted'!$E$9:$O$801,8,FALSE),"NoneListed")</f>
        <v>WATER</v>
      </c>
      <c r="W102" s="454">
        <f>IF($AB102,$AB102,IF($AA102,$AA102,Scenarios!$B$43))</f>
        <v>31464</v>
      </c>
      <c r="X102" s="454"/>
      <c r="Y102" s="454"/>
      <c r="Z102" s="454"/>
      <c r="AA102" s="454">
        <f>IFERROR(VLOOKUP($A102,'GeneratingCapabilityList sorted'!$E$9:$O$801,11,FALSE),Scenarios!$B$43)</f>
        <v>31464</v>
      </c>
      <c r="AB102" s="453"/>
      <c r="AC102" s="453"/>
    </row>
    <row r="103" spans="1:29" x14ac:dyDescent="0.25">
      <c r="A103" s="65" t="s">
        <v>86</v>
      </c>
      <c r="B103" s="65" t="s">
        <v>3558</v>
      </c>
      <c r="C103" s="66" t="s">
        <v>3468</v>
      </c>
      <c r="D103" s="66" t="s">
        <v>3488</v>
      </c>
      <c r="E103" s="67">
        <v>0</v>
      </c>
      <c r="F103" s="68">
        <v>0</v>
      </c>
      <c r="G103" s="68">
        <v>0</v>
      </c>
      <c r="H103" s="68">
        <v>0</v>
      </c>
      <c r="I103" s="68">
        <v>0</v>
      </c>
      <c r="J103" s="68">
        <v>0</v>
      </c>
      <c r="K103" s="68">
        <v>0</v>
      </c>
      <c r="L103" s="68">
        <v>0</v>
      </c>
      <c r="M103" s="68">
        <v>0</v>
      </c>
      <c r="N103" s="68">
        <v>0</v>
      </c>
      <c r="O103" s="68">
        <v>0</v>
      </c>
      <c r="P103" s="68">
        <v>0</v>
      </c>
      <c r="Q103" s="68">
        <v>0</v>
      </c>
      <c r="R103" s="69" t="s">
        <v>3470</v>
      </c>
      <c r="S103" s="69" t="s">
        <v>3489</v>
      </c>
      <c r="T103" s="70" t="s">
        <v>3502</v>
      </c>
      <c r="U103" s="452"/>
      <c r="V103" s="453" t="str">
        <f>IF(VLOOKUP($A103,'GeneratingCapabilityList sorted'!$E$9:$O$801,8,FALSE)&lt;&gt;"",VLOOKUP($A103,'GeneratingCapabilityList sorted'!$E$9:$O$801,8,FALSE),"NoneListed")</f>
        <v>WATER</v>
      </c>
      <c r="W103" s="454">
        <f>IF($AB103,$AB103,IF($AA103,$AA103,Scenarios!$B$43))</f>
        <v>2558</v>
      </c>
      <c r="X103" s="454"/>
      <c r="Y103" s="454"/>
      <c r="Z103" s="454"/>
      <c r="AA103" s="454">
        <f>IFERROR(VLOOKUP($A103,'GeneratingCapabilityList sorted'!$E$9:$O$801,11,FALSE),Scenarios!$B$43)</f>
        <v>2558</v>
      </c>
      <c r="AB103" s="453"/>
      <c r="AC103" s="453"/>
    </row>
    <row r="104" spans="1:29" x14ac:dyDescent="0.25">
      <c r="A104" s="65" t="s">
        <v>82</v>
      </c>
      <c r="B104" s="65" t="s">
        <v>3559</v>
      </c>
      <c r="C104" s="66" t="s">
        <v>3468</v>
      </c>
      <c r="D104" s="66" t="s">
        <v>3488</v>
      </c>
      <c r="E104" s="67">
        <v>0</v>
      </c>
      <c r="F104" s="68">
        <v>0.49</v>
      </c>
      <c r="G104" s="68">
        <v>0.28999999999999998</v>
      </c>
      <c r="H104" s="68">
        <v>0.19</v>
      </c>
      <c r="I104" s="68">
        <v>0.47</v>
      </c>
      <c r="J104" s="68">
        <v>0.77</v>
      </c>
      <c r="K104" s="68">
        <v>0.73</v>
      </c>
      <c r="L104" s="68">
        <v>0.64</v>
      </c>
      <c r="M104" s="68">
        <v>0.67</v>
      </c>
      <c r="N104" s="68">
        <v>0.61</v>
      </c>
      <c r="O104" s="68">
        <v>0.59</v>
      </c>
      <c r="P104" s="68">
        <v>0.57999999999999996</v>
      </c>
      <c r="Q104" s="68">
        <v>0.62</v>
      </c>
      <c r="R104" s="69" t="s">
        <v>3470</v>
      </c>
      <c r="S104" s="69" t="s">
        <v>3489</v>
      </c>
      <c r="T104" s="70" t="s">
        <v>3502</v>
      </c>
      <c r="U104" s="452"/>
      <c r="V104" s="453" t="str">
        <f>IF(VLOOKUP($A104,'GeneratingCapabilityList sorted'!$E$9:$O$801,8,FALSE)&lt;&gt;"",VLOOKUP($A104,'GeneratingCapabilityList sorted'!$E$9:$O$801,8,FALSE),"NoneListed")</f>
        <v>WATER</v>
      </c>
      <c r="W104" s="454">
        <f>IF($AB104,$AB104,IF($AA104,$AA104,Scenarios!$B$43))</f>
        <v>2193</v>
      </c>
      <c r="X104" s="454"/>
      <c r="Y104" s="454"/>
      <c r="Z104" s="454"/>
      <c r="AA104" s="454">
        <f>IFERROR(VLOOKUP($A104,'GeneratingCapabilityList sorted'!$E$9:$O$801,11,FALSE),Scenarios!$B$43)</f>
        <v>2193</v>
      </c>
      <c r="AB104" s="453"/>
      <c r="AC104" s="453"/>
    </row>
    <row r="105" spans="1:29" x14ac:dyDescent="0.25">
      <c r="A105" s="65" t="s">
        <v>998</v>
      </c>
      <c r="B105" s="65" t="s">
        <v>3560</v>
      </c>
      <c r="C105" s="66" t="s">
        <v>3468</v>
      </c>
      <c r="D105" s="66" t="s">
        <v>3382</v>
      </c>
      <c r="E105" s="67">
        <v>0</v>
      </c>
      <c r="F105" s="68">
        <v>0</v>
      </c>
      <c r="G105" s="68">
        <v>0</v>
      </c>
      <c r="H105" s="68">
        <v>0</v>
      </c>
      <c r="I105" s="68">
        <v>0</v>
      </c>
      <c r="J105" s="68">
        <v>0</v>
      </c>
      <c r="K105" s="68">
        <v>0</v>
      </c>
      <c r="L105" s="68">
        <v>0</v>
      </c>
      <c r="M105" s="68">
        <v>0</v>
      </c>
      <c r="N105" s="68">
        <v>0</v>
      </c>
      <c r="O105" s="68">
        <v>0</v>
      </c>
      <c r="P105" s="68">
        <v>0</v>
      </c>
      <c r="Q105" s="68">
        <v>0</v>
      </c>
      <c r="R105" s="69" t="s">
        <v>3470</v>
      </c>
      <c r="S105" s="69" t="s">
        <v>3489</v>
      </c>
      <c r="T105" s="70" t="s">
        <v>3497</v>
      </c>
      <c r="U105" s="452"/>
      <c r="V105" s="453" t="str">
        <f>IF(VLOOKUP($A105,'GeneratingCapabilityList sorted'!$E$9:$O$801,8,FALSE)&lt;&gt;"",VLOOKUP($A105,'GeneratingCapabilityList sorted'!$E$9:$O$801,8,FALSE),"NoneListed")</f>
        <v>NATURAL GAS</v>
      </c>
      <c r="W105" s="454">
        <f>IF($AB105,$AB105,IF($AA105,$AA105,Scenarios!$B$43))</f>
        <v>30655</v>
      </c>
      <c r="X105" s="454"/>
      <c r="Y105" s="454"/>
      <c r="Z105" s="454"/>
      <c r="AA105" s="454">
        <f>IFERROR(VLOOKUP($A105,'GeneratingCapabilityList sorted'!$E$9:$O$801,11,FALSE),Scenarios!$B$43)</f>
        <v>30655</v>
      </c>
      <c r="AB105" s="453"/>
      <c r="AC105" s="453"/>
    </row>
    <row r="106" spans="1:29" x14ac:dyDescent="0.25">
      <c r="A106" s="65" t="s">
        <v>41</v>
      </c>
      <c r="B106" s="65" t="s">
        <v>3561</v>
      </c>
      <c r="C106" s="66" t="s">
        <v>3468</v>
      </c>
      <c r="D106" s="66" t="s">
        <v>3488</v>
      </c>
      <c r="E106" s="67">
        <v>0</v>
      </c>
      <c r="F106" s="68">
        <v>0.4</v>
      </c>
      <c r="G106" s="68">
        <v>0.59</v>
      </c>
      <c r="H106" s="68">
        <v>0.98</v>
      </c>
      <c r="I106" s="68">
        <v>2.77</v>
      </c>
      <c r="J106" s="68">
        <v>2.98</v>
      </c>
      <c r="K106" s="68">
        <v>1.87</v>
      </c>
      <c r="L106" s="68">
        <v>1.56</v>
      </c>
      <c r="M106" s="68">
        <v>1.41</v>
      </c>
      <c r="N106" s="68">
        <v>1.03</v>
      </c>
      <c r="O106" s="68">
        <v>0.49</v>
      </c>
      <c r="P106" s="68">
        <v>0.56000000000000005</v>
      </c>
      <c r="Q106" s="68">
        <v>0.24</v>
      </c>
      <c r="R106" s="69" t="s">
        <v>3470</v>
      </c>
      <c r="S106" s="69" t="s">
        <v>3489</v>
      </c>
      <c r="T106" s="70" t="s">
        <v>3502</v>
      </c>
      <c r="U106" s="452"/>
      <c r="V106" s="453" t="str">
        <f>IF(VLOOKUP($A106,'GeneratingCapabilityList sorted'!$E$9:$O$801,8,FALSE)&lt;&gt;"",VLOOKUP($A106,'GeneratingCapabilityList sorted'!$E$9:$O$801,8,FALSE),"NoneListed")</f>
        <v>WATER</v>
      </c>
      <c r="W106" s="454">
        <f>IF($AB106,$AB106,IF($AA106,$AA106,Scenarios!$B$43))</f>
        <v>1</v>
      </c>
      <c r="X106" s="454"/>
      <c r="Y106" s="454"/>
      <c r="Z106" s="454"/>
      <c r="AA106" s="454">
        <f>IFERROR(VLOOKUP($A106,'GeneratingCapabilityList sorted'!$E$9:$O$801,11,FALSE),Scenarios!$B$43)</f>
        <v>1</v>
      </c>
      <c r="AB106" s="453"/>
      <c r="AC106" s="453"/>
    </row>
    <row r="107" spans="1:29" x14ac:dyDescent="0.25">
      <c r="A107" s="65" t="s">
        <v>490</v>
      </c>
      <c r="B107" s="65" t="s">
        <v>3562</v>
      </c>
      <c r="C107" s="66" t="s">
        <v>3468</v>
      </c>
      <c r="D107" s="66" t="s">
        <v>3382</v>
      </c>
      <c r="E107" s="67">
        <v>337</v>
      </c>
      <c r="F107" s="68">
        <v>0</v>
      </c>
      <c r="G107" s="68">
        <v>0</v>
      </c>
      <c r="H107" s="68">
        <v>0</v>
      </c>
      <c r="I107" s="68">
        <v>0</v>
      </c>
      <c r="J107" s="68">
        <v>0</v>
      </c>
      <c r="K107" s="68">
        <v>0</v>
      </c>
      <c r="L107" s="68">
        <v>0</v>
      </c>
      <c r="M107" s="68">
        <v>0</v>
      </c>
      <c r="N107" s="68">
        <v>0</v>
      </c>
      <c r="O107" s="68">
        <v>0</v>
      </c>
      <c r="P107" s="68">
        <v>0</v>
      </c>
      <c r="Q107" s="68">
        <v>0</v>
      </c>
      <c r="R107" s="69" t="s">
        <v>3470</v>
      </c>
      <c r="S107" s="69" t="s">
        <v>3471</v>
      </c>
      <c r="T107" s="70" t="s">
        <v>3472</v>
      </c>
      <c r="U107" s="452" t="s">
        <v>29</v>
      </c>
      <c r="V107" s="453" t="str">
        <f>IF(VLOOKUP($A107,'GeneratingCapabilityList sorted'!$E$9:$O$801,8,FALSE)&lt;&gt;"",VLOOKUP($A107,'GeneratingCapabilityList sorted'!$E$9:$O$801,8,FALSE),"NoneListed")</f>
        <v>NATURAL GAS</v>
      </c>
      <c r="W107" s="454">
        <f>IF($AB107,$AB107,IF($AA107,$AA107,Scenarios!$B$43))</f>
        <v>23377</v>
      </c>
      <c r="X107" s="454">
        <f>OTC!G11</f>
        <v>43100</v>
      </c>
      <c r="Y107" s="454">
        <f>OTC!H11</f>
        <v>41639</v>
      </c>
      <c r="Z107" s="454"/>
      <c r="AA107" s="454">
        <f>IFERROR(VLOOKUP($A107,'GeneratingCapabilityList sorted'!$E$9:$O$801,11,FALSE),Scenarios!$B$43)</f>
        <v>23377</v>
      </c>
      <c r="AB107" s="453"/>
      <c r="AC107" s="453"/>
    </row>
    <row r="108" spans="1:29" x14ac:dyDescent="0.25">
      <c r="A108" s="65" t="s">
        <v>492</v>
      </c>
      <c r="B108" s="65" t="s">
        <v>3563</v>
      </c>
      <c r="C108" s="66" t="s">
        <v>3468</v>
      </c>
      <c r="D108" s="66" t="s">
        <v>3382</v>
      </c>
      <c r="E108" s="67">
        <v>337</v>
      </c>
      <c r="F108" s="68">
        <v>0</v>
      </c>
      <c r="G108" s="68">
        <v>0</v>
      </c>
      <c r="H108" s="68">
        <v>0</v>
      </c>
      <c r="I108" s="68">
        <v>0</v>
      </c>
      <c r="J108" s="68">
        <v>0</v>
      </c>
      <c r="K108" s="68">
        <v>0</v>
      </c>
      <c r="L108" s="68">
        <v>0</v>
      </c>
      <c r="M108" s="68">
        <v>0</v>
      </c>
      <c r="N108" s="68">
        <v>0</v>
      </c>
      <c r="O108" s="68">
        <v>0</v>
      </c>
      <c r="P108" s="68">
        <v>0</v>
      </c>
      <c r="Q108" s="68">
        <v>0</v>
      </c>
      <c r="R108" s="69" t="s">
        <v>3470</v>
      </c>
      <c r="S108" s="69" t="s">
        <v>3471</v>
      </c>
      <c r="T108" s="70" t="s">
        <v>3472</v>
      </c>
      <c r="U108" s="452" t="s">
        <v>29</v>
      </c>
      <c r="V108" s="453" t="str">
        <f>IF(VLOOKUP($A108,'GeneratingCapabilityList sorted'!$E$9:$O$801,8,FALSE)&lt;&gt;"",VLOOKUP($A108,'GeneratingCapabilityList sorted'!$E$9:$O$801,8,FALSE),"NoneListed")</f>
        <v>NATURAL GAS</v>
      </c>
      <c r="W108" s="454">
        <f>IF($AB108,$AB108,IF($AA108,$AA108,Scenarios!$B$43))</f>
        <v>23377</v>
      </c>
      <c r="X108" s="454">
        <f>OTC!G12</f>
        <v>43100</v>
      </c>
      <c r="Y108" s="454">
        <f>OTC!H12</f>
        <v>41639</v>
      </c>
      <c r="Z108" s="454"/>
      <c r="AA108" s="454">
        <f>IFERROR(VLOOKUP($A108,'GeneratingCapabilityList sorted'!$E$9:$O$801,11,FALSE),Scenarios!$B$43)</f>
        <v>23377</v>
      </c>
      <c r="AB108" s="453"/>
      <c r="AC108" s="453"/>
    </row>
    <row r="109" spans="1:29" x14ac:dyDescent="0.25">
      <c r="A109" s="65" t="s">
        <v>754</v>
      </c>
      <c r="B109" s="65" t="s">
        <v>3564</v>
      </c>
      <c r="C109" s="66" t="s">
        <v>3468</v>
      </c>
      <c r="D109" s="66" t="s">
        <v>3488</v>
      </c>
      <c r="E109" s="67">
        <v>0</v>
      </c>
      <c r="F109" s="68">
        <v>6.86</v>
      </c>
      <c r="G109" s="68">
        <v>6.72</v>
      </c>
      <c r="H109" s="68">
        <v>7.09</v>
      </c>
      <c r="I109" s="68">
        <v>8.33</v>
      </c>
      <c r="J109" s="68">
        <v>8.6</v>
      </c>
      <c r="K109" s="68">
        <v>6.8</v>
      </c>
      <c r="L109" s="68">
        <v>4.04</v>
      </c>
      <c r="M109" s="68">
        <v>0.5</v>
      </c>
      <c r="N109" s="68">
        <v>1.82</v>
      </c>
      <c r="O109" s="68">
        <v>3.12</v>
      </c>
      <c r="P109" s="68">
        <v>3.81</v>
      </c>
      <c r="Q109" s="68">
        <v>4.8499999999999996</v>
      </c>
      <c r="R109" s="69" t="s">
        <v>3470</v>
      </c>
      <c r="S109" s="69" t="s">
        <v>3489</v>
      </c>
      <c r="T109" s="70" t="s">
        <v>3502</v>
      </c>
      <c r="U109" s="452"/>
      <c r="V109" s="453" t="str">
        <f>IF(VLOOKUP($A109,'GeneratingCapabilityList sorted'!$E$9:$O$801,8,FALSE)&lt;&gt;"",VLOOKUP($A109,'GeneratingCapabilityList sorted'!$E$9:$O$801,8,FALSE),"NoneListed")</f>
        <v>WATER</v>
      </c>
      <c r="W109" s="454">
        <f>IF($AB109,$AB109,IF($AA109,$AA109,Scenarios!$B$43))</f>
        <v>28856</v>
      </c>
      <c r="X109" s="454"/>
      <c r="Y109" s="454"/>
      <c r="Z109" s="454"/>
      <c r="AA109" s="454">
        <f>IFERROR(VLOOKUP($A109,'GeneratingCapabilityList sorted'!$E$9:$O$801,11,FALSE),Scenarios!$B$43)</f>
        <v>28856</v>
      </c>
      <c r="AB109" s="453"/>
      <c r="AC109" s="453"/>
    </row>
    <row r="110" spans="1:29" x14ac:dyDescent="0.25">
      <c r="A110" s="65" t="s">
        <v>2133</v>
      </c>
      <c r="B110" s="65" t="s">
        <v>2134</v>
      </c>
      <c r="C110" s="66" t="s">
        <v>3468</v>
      </c>
      <c r="D110" s="66" t="s">
        <v>3474</v>
      </c>
      <c r="E110" s="67">
        <v>0</v>
      </c>
      <c r="F110" s="68">
        <v>38.43</v>
      </c>
      <c r="G110" s="68">
        <v>38.96</v>
      </c>
      <c r="H110" s="68">
        <v>37.880000000000003</v>
      </c>
      <c r="I110" s="68">
        <v>34.950000000000003</v>
      </c>
      <c r="J110" s="68">
        <v>34.340000000000003</v>
      </c>
      <c r="K110" s="68">
        <v>35.04</v>
      </c>
      <c r="L110" s="68">
        <v>35.020000000000003</v>
      </c>
      <c r="M110" s="68">
        <v>35.61</v>
      </c>
      <c r="N110" s="68">
        <v>34.71</v>
      </c>
      <c r="O110" s="68">
        <v>26.88</v>
      </c>
      <c r="P110" s="68">
        <v>38.83</v>
      </c>
      <c r="Q110" s="68">
        <v>39.770000000000003</v>
      </c>
      <c r="R110" s="69" t="s">
        <v>3470</v>
      </c>
      <c r="S110" s="69" t="s">
        <v>3489</v>
      </c>
      <c r="T110" s="70" t="s">
        <v>3497</v>
      </c>
      <c r="U110" s="452"/>
      <c r="V110" s="453" t="str">
        <f>IF(VLOOKUP($A110,'GeneratingCapabilityList sorted'!$E$9:$O$801,8,FALSE)&lt;&gt;"",VLOOKUP($A110,'GeneratingCapabilityList sorted'!$E$9:$O$801,8,FALSE),"NoneListed")</f>
        <v>NATURAL GAS</v>
      </c>
      <c r="W110" s="454">
        <f>IF($AB110,$AB110,IF($AA110,$AA110,Scenarios!$B$43))</f>
        <v>33528</v>
      </c>
      <c r="X110" s="454"/>
      <c r="Y110" s="454"/>
      <c r="Z110" s="454"/>
      <c r="AA110" s="454">
        <f>IFERROR(VLOOKUP($A110,'GeneratingCapabilityList sorted'!$E$9:$O$801,11,FALSE),Scenarios!$B$43)</f>
        <v>33528</v>
      </c>
      <c r="AB110" s="453"/>
      <c r="AC110" s="453"/>
    </row>
    <row r="111" spans="1:29" x14ac:dyDescent="0.25">
      <c r="A111" s="65" t="s">
        <v>628</v>
      </c>
      <c r="B111" s="65" t="s">
        <v>3565</v>
      </c>
      <c r="C111" s="66" t="s">
        <v>3468</v>
      </c>
      <c r="D111" s="66" t="s">
        <v>3510</v>
      </c>
      <c r="E111" s="67">
        <v>0</v>
      </c>
      <c r="F111" s="68">
        <v>149.85</v>
      </c>
      <c r="G111" s="68">
        <v>148.63999999999999</v>
      </c>
      <c r="H111" s="68">
        <v>153.29</v>
      </c>
      <c r="I111" s="68">
        <v>158.63</v>
      </c>
      <c r="J111" s="68">
        <v>162.79</v>
      </c>
      <c r="K111" s="68">
        <v>165.7</v>
      </c>
      <c r="L111" s="68">
        <v>165.1</v>
      </c>
      <c r="M111" s="68">
        <v>161.65</v>
      </c>
      <c r="N111" s="68">
        <v>156.74</v>
      </c>
      <c r="O111" s="68">
        <v>151.87</v>
      </c>
      <c r="P111" s="68">
        <v>149.94999999999999</v>
      </c>
      <c r="Q111" s="68">
        <v>148.24</v>
      </c>
      <c r="R111" s="69" t="s">
        <v>3470</v>
      </c>
      <c r="S111" s="69" t="s">
        <v>3489</v>
      </c>
      <c r="T111" s="70" t="s">
        <v>3484</v>
      </c>
      <c r="U111" s="452"/>
      <c r="V111" s="453" t="str">
        <f>IF(VLOOKUP($A111,'GeneratingCapabilityList sorted'!$E$9:$O$801,8,FALSE)&lt;&gt;"",VLOOKUP($A111,'GeneratingCapabilityList sorted'!$E$9:$O$801,8,FALSE),"NoneListed")</f>
        <v>WATER</v>
      </c>
      <c r="W111" s="454">
        <f>IF($AB111,$AB111,IF($AA111,$AA111,Scenarios!$B$43))</f>
        <v>25204</v>
      </c>
      <c r="X111" s="454"/>
      <c r="Y111" s="454"/>
      <c r="Z111" s="454"/>
      <c r="AA111" s="454">
        <f>IFERROR(VLOOKUP($A111,'GeneratingCapabilityList sorted'!$E$9:$O$801,11,FALSE),Scenarios!$B$43)</f>
        <v>25204</v>
      </c>
      <c r="AB111" s="453"/>
      <c r="AC111" s="453"/>
    </row>
    <row r="112" spans="1:29" x14ac:dyDescent="0.25">
      <c r="A112" s="65" t="s">
        <v>631</v>
      </c>
      <c r="B112" s="65" t="s">
        <v>3566</v>
      </c>
      <c r="C112" s="66" t="s">
        <v>3468</v>
      </c>
      <c r="D112" s="66" t="s">
        <v>3510</v>
      </c>
      <c r="E112" s="67">
        <v>0</v>
      </c>
      <c r="F112" s="68">
        <v>149.80000000000001</v>
      </c>
      <c r="G112" s="68">
        <v>148.6</v>
      </c>
      <c r="H112" s="68">
        <v>153.24</v>
      </c>
      <c r="I112" s="68">
        <v>158.63</v>
      </c>
      <c r="J112" s="68">
        <v>162.83000000000001</v>
      </c>
      <c r="K112" s="68">
        <v>165.76</v>
      </c>
      <c r="L112" s="68">
        <v>165.16</v>
      </c>
      <c r="M112" s="68">
        <v>161.68</v>
      </c>
      <c r="N112" s="68">
        <v>156.71</v>
      </c>
      <c r="O112" s="68">
        <v>151.81</v>
      </c>
      <c r="P112" s="68">
        <v>149.91</v>
      </c>
      <c r="Q112" s="68">
        <v>148.21</v>
      </c>
      <c r="R112" s="69" t="s">
        <v>3470</v>
      </c>
      <c r="S112" s="69" t="s">
        <v>3489</v>
      </c>
      <c r="T112" s="70" t="s">
        <v>3484</v>
      </c>
      <c r="U112" s="452"/>
      <c r="V112" s="453" t="str">
        <f>IF(VLOOKUP($A112,'GeneratingCapabilityList sorted'!$E$9:$O$801,8,FALSE)&lt;&gt;"",VLOOKUP($A112,'GeneratingCapabilityList sorted'!$E$9:$O$801,8,FALSE),"NoneListed")</f>
        <v>WATER</v>
      </c>
      <c r="W112" s="454">
        <f>IF($AB112,$AB112,IF($AA112,$AA112,Scenarios!$B$43))</f>
        <v>25204</v>
      </c>
      <c r="X112" s="454"/>
      <c r="Y112" s="454"/>
      <c r="Z112" s="454"/>
      <c r="AA112" s="454">
        <f>IFERROR(VLOOKUP($A112,'GeneratingCapabilityList sorted'!$E$9:$O$801,11,FALSE),Scenarios!$B$43)</f>
        <v>25204</v>
      </c>
      <c r="AB112" s="453"/>
      <c r="AC112" s="453"/>
    </row>
    <row r="113" spans="1:29" x14ac:dyDescent="0.25">
      <c r="A113" s="65" t="s">
        <v>1080</v>
      </c>
      <c r="B113" s="65" t="s">
        <v>3567</v>
      </c>
      <c r="C113" s="66" t="s">
        <v>3468</v>
      </c>
      <c r="D113" s="66" t="s">
        <v>3488</v>
      </c>
      <c r="E113" s="67">
        <v>0</v>
      </c>
      <c r="F113" s="68">
        <v>4.83</v>
      </c>
      <c r="G113" s="68">
        <v>4.57</v>
      </c>
      <c r="H113" s="68">
        <v>3.61</v>
      </c>
      <c r="I113" s="68">
        <v>2.16</v>
      </c>
      <c r="J113" s="68">
        <v>5.85</v>
      </c>
      <c r="K113" s="68">
        <v>5.69</v>
      </c>
      <c r="L113" s="68">
        <v>5.98</v>
      </c>
      <c r="M113" s="68">
        <v>6.09</v>
      </c>
      <c r="N113" s="68">
        <v>5.66</v>
      </c>
      <c r="O113" s="68">
        <v>6.07</v>
      </c>
      <c r="P113" s="68">
        <v>3.64</v>
      </c>
      <c r="Q113" s="68">
        <v>6.07</v>
      </c>
      <c r="R113" s="69" t="s">
        <v>3470</v>
      </c>
      <c r="S113" s="69" t="s">
        <v>3489</v>
      </c>
      <c r="T113" s="70" t="s">
        <v>3497</v>
      </c>
      <c r="U113" s="452"/>
      <c r="V113" s="453" t="str">
        <f>IF(VLOOKUP($A113,'GeneratingCapabilityList sorted'!$E$9:$O$801,8,FALSE)&lt;&gt;"",VLOOKUP($A113,'GeneratingCapabilityList sorted'!$E$9:$O$801,8,FALSE),"NoneListed")</f>
        <v>WOOD WASTE</v>
      </c>
      <c r="W113" s="454">
        <f>IF($AB113,$AB113,IF($AA113,$AA113,Scenarios!$B$43))</f>
        <v>30776</v>
      </c>
      <c r="X113" s="454"/>
      <c r="Y113" s="454"/>
      <c r="Z113" s="454"/>
      <c r="AA113" s="454">
        <f>IFERROR(VLOOKUP($A113,'GeneratingCapabilityList sorted'!$E$9:$O$801,11,FALSE),Scenarios!$B$43)</f>
        <v>30776</v>
      </c>
      <c r="AB113" s="453"/>
      <c r="AC113" s="453"/>
    </row>
    <row r="114" spans="1:29" x14ac:dyDescent="0.25">
      <c r="A114" s="65" t="s">
        <v>2664</v>
      </c>
      <c r="B114" s="65" t="s">
        <v>3568</v>
      </c>
      <c r="C114" s="66" t="s">
        <v>3477</v>
      </c>
      <c r="D114" s="66" t="s">
        <v>3387</v>
      </c>
      <c r="E114" s="67">
        <v>43</v>
      </c>
      <c r="F114" s="68">
        <v>0</v>
      </c>
      <c r="G114" s="68">
        <v>0</v>
      </c>
      <c r="H114" s="68">
        <v>0</v>
      </c>
      <c r="I114" s="68">
        <v>0</v>
      </c>
      <c r="J114" s="68">
        <v>0</v>
      </c>
      <c r="K114" s="68">
        <v>0</v>
      </c>
      <c r="L114" s="68">
        <v>0</v>
      </c>
      <c r="M114" s="68">
        <v>0</v>
      </c>
      <c r="N114" s="68">
        <v>0</v>
      </c>
      <c r="O114" s="68">
        <v>0</v>
      </c>
      <c r="P114" s="68">
        <v>0</v>
      </c>
      <c r="Q114" s="68">
        <v>0</v>
      </c>
      <c r="R114" s="69" t="s">
        <v>3470</v>
      </c>
      <c r="S114" s="69" t="s">
        <v>3471</v>
      </c>
      <c r="T114" s="70" t="s">
        <v>3472</v>
      </c>
      <c r="U114" s="452"/>
      <c r="V114" s="453" t="str">
        <f>IF(VLOOKUP($A114,'GeneratingCapabilityList sorted'!$E$9:$O$801,8,FALSE)&lt;&gt;"",VLOOKUP($A114,'GeneratingCapabilityList sorted'!$E$9:$O$801,8,FALSE),"NoneListed")</f>
        <v>NATURAL GAS</v>
      </c>
      <c r="W114" s="454">
        <f>IF($AB114,$AB114,IF($AA114,$AA114,Scenarios!$B$43))</f>
        <v>37799</v>
      </c>
      <c r="X114" s="454"/>
      <c r="Y114" s="454"/>
      <c r="Z114" s="454"/>
      <c r="AA114" s="454">
        <f>IFERROR(VLOOKUP($A114,'GeneratingCapabilityList sorted'!$E$9:$O$801,11,FALSE),Scenarios!$B$43)</f>
        <v>37799</v>
      </c>
      <c r="AB114" s="453"/>
      <c r="AC114" s="453"/>
    </row>
    <row r="115" spans="1:29" x14ac:dyDescent="0.25">
      <c r="A115" s="72" t="s">
        <v>3012</v>
      </c>
      <c r="B115" s="72" t="s">
        <v>3013</v>
      </c>
      <c r="C115" s="73" t="s">
        <v>3468</v>
      </c>
      <c r="D115" s="73" t="s">
        <v>3488</v>
      </c>
      <c r="E115" s="67"/>
      <c r="F115" s="68">
        <v>668</v>
      </c>
      <c r="G115" s="68">
        <v>662</v>
      </c>
      <c r="H115" s="68">
        <v>656</v>
      </c>
      <c r="I115" s="68">
        <v>650</v>
      </c>
      <c r="J115" s="68">
        <v>642</v>
      </c>
      <c r="K115" s="68">
        <v>635</v>
      </c>
      <c r="L115" s="68">
        <v>630</v>
      </c>
      <c r="M115" s="68">
        <v>630</v>
      </c>
      <c r="N115" s="68">
        <v>635</v>
      </c>
      <c r="O115" s="68">
        <v>642</v>
      </c>
      <c r="P115" s="68">
        <v>656</v>
      </c>
      <c r="Q115" s="68">
        <v>668</v>
      </c>
      <c r="R115" s="69" t="s">
        <v>3470</v>
      </c>
      <c r="S115" s="69" t="s">
        <v>3471</v>
      </c>
      <c r="T115" s="70" t="s">
        <v>3472</v>
      </c>
      <c r="U115" s="452"/>
      <c r="V115" s="453" t="str">
        <f>IF(VLOOKUP($A115,'GeneratingCapabilityList sorted'!$E$9:$O$801,8,FALSE)&lt;&gt;"",VLOOKUP($A115,'GeneratingCapabilityList sorted'!$E$9:$O$801,8,FALSE),"NoneListed")</f>
        <v>NATURAL GAS</v>
      </c>
      <c r="W115" s="454">
        <f>IF($AB115,$AB115,IF($AA115,$AA115,Scenarios!$B$43))</f>
        <v>40534</v>
      </c>
      <c r="X115" s="454"/>
      <c r="Y115" s="454"/>
      <c r="Z115" s="454"/>
      <c r="AA115" s="454">
        <f>IFERROR(VLOOKUP($A115,'GeneratingCapabilityList sorted'!$E$9:$O$801,11,FALSE),Scenarios!$B$43)</f>
        <v>40534</v>
      </c>
      <c r="AB115" s="453"/>
      <c r="AC115" s="453"/>
    </row>
    <row r="116" spans="1:29" x14ac:dyDescent="0.25">
      <c r="A116" s="65" t="s">
        <v>3170</v>
      </c>
      <c r="B116" s="65" t="s">
        <v>3569</v>
      </c>
      <c r="C116" s="66" t="s">
        <v>3468</v>
      </c>
      <c r="D116" s="66" t="s">
        <v>3488</v>
      </c>
      <c r="E116" s="67">
        <v>246.86</v>
      </c>
      <c r="F116" s="68">
        <v>0</v>
      </c>
      <c r="G116" s="68">
        <v>0</v>
      </c>
      <c r="H116" s="68">
        <v>0</v>
      </c>
      <c r="I116" s="68">
        <v>0</v>
      </c>
      <c r="J116" s="68">
        <v>0</v>
      </c>
      <c r="K116" s="68">
        <v>0</v>
      </c>
      <c r="L116" s="68">
        <v>0</v>
      </c>
      <c r="M116" s="68">
        <v>0</v>
      </c>
      <c r="N116" s="68">
        <v>0</v>
      </c>
      <c r="O116" s="68">
        <v>0</v>
      </c>
      <c r="P116" s="68">
        <v>0</v>
      </c>
      <c r="Q116" s="68">
        <v>0</v>
      </c>
      <c r="R116" s="69" t="s">
        <v>3470</v>
      </c>
      <c r="S116" s="69" t="s">
        <v>879</v>
      </c>
      <c r="T116" s="70" t="s">
        <v>3484</v>
      </c>
      <c r="U116" s="452"/>
      <c r="V116" s="453" t="str">
        <f>IF(VLOOKUP($A116,'GeneratingCapabilityList sorted'!$E$9:$O$801,8,FALSE)&lt;&gt;"",VLOOKUP($A116,'GeneratingCapabilityList sorted'!$E$9:$O$801,8,FALSE),"NoneListed")</f>
        <v>WATER</v>
      </c>
      <c r="W116" s="454">
        <f>IF($AB116,$AB116,IF($AA116,$AA116,Scenarios!$B$43))</f>
        <v>32509</v>
      </c>
      <c r="X116" s="454"/>
      <c r="Y116" s="454"/>
      <c r="Z116" s="454"/>
      <c r="AA116" s="454">
        <f>IFERROR(VLOOKUP($A116,'GeneratingCapabilityList sorted'!$E$9:$O$801,11,FALSE),Scenarios!$B$43)</f>
        <v>0</v>
      </c>
      <c r="AB116" s="454">
        <v>32509</v>
      </c>
      <c r="AC116" s="453" t="s">
        <v>4695</v>
      </c>
    </row>
    <row r="117" spans="1:29" x14ac:dyDescent="0.25">
      <c r="A117" s="65" t="s">
        <v>3176</v>
      </c>
      <c r="B117" s="65" t="s">
        <v>3570</v>
      </c>
      <c r="C117" s="66" t="s">
        <v>3468</v>
      </c>
      <c r="D117" s="66" t="s">
        <v>3382</v>
      </c>
      <c r="E117" s="67">
        <v>0</v>
      </c>
      <c r="F117" s="68">
        <v>25.8</v>
      </c>
      <c r="G117" s="68">
        <v>25.8</v>
      </c>
      <c r="H117" s="68">
        <v>25.8</v>
      </c>
      <c r="I117" s="68">
        <v>25.8</v>
      </c>
      <c r="J117" s="68">
        <v>25.8</v>
      </c>
      <c r="K117" s="68">
        <v>25.8</v>
      </c>
      <c r="L117" s="68">
        <v>25.8</v>
      </c>
      <c r="M117" s="68">
        <v>25.8</v>
      </c>
      <c r="N117" s="68">
        <v>25.8</v>
      </c>
      <c r="O117" s="68">
        <v>25.8</v>
      </c>
      <c r="P117" s="68">
        <v>25.8</v>
      </c>
      <c r="Q117" s="68">
        <v>25.8</v>
      </c>
      <c r="R117" s="69" t="s">
        <v>3470</v>
      </c>
      <c r="S117" s="69" t="s">
        <v>3517</v>
      </c>
      <c r="T117" s="70" t="s">
        <v>3497</v>
      </c>
      <c r="U117" s="452"/>
      <c r="V117" s="453" t="str">
        <f>IF(VLOOKUP($A117,'GeneratingCapabilityList sorted'!$E$9:$O$801,8,FALSE)&lt;&gt;"",VLOOKUP($A117,'GeneratingCapabilityList sorted'!$E$9:$O$801,8,FALSE),"NoneListed")</f>
        <v>NATURAL GAS</v>
      </c>
      <c r="W117" s="454">
        <f>IF($AB117,$AB117,IF($AA117,$AA117,Scenarios!$B$43))</f>
        <v>29221</v>
      </c>
      <c r="X117" s="454"/>
      <c r="Y117" s="454"/>
      <c r="Z117" s="454"/>
      <c r="AA117" s="454">
        <f>IFERROR(VLOOKUP($A117,'GeneratingCapabilityList sorted'!$E$9:$O$801,11,FALSE),Scenarios!$B$43)</f>
        <v>0</v>
      </c>
      <c r="AB117" s="453"/>
      <c r="AC117" s="453"/>
    </row>
    <row r="118" spans="1:29" x14ac:dyDescent="0.25">
      <c r="A118" s="65" t="s">
        <v>129</v>
      </c>
      <c r="B118" s="65" t="s">
        <v>3571</v>
      </c>
      <c r="C118" s="66" t="s">
        <v>3477</v>
      </c>
      <c r="D118" s="66" t="s">
        <v>3488</v>
      </c>
      <c r="E118" s="67">
        <v>0</v>
      </c>
      <c r="F118" s="68">
        <v>0.36</v>
      </c>
      <c r="G118" s="68">
        <v>0.54</v>
      </c>
      <c r="H118" s="68">
        <v>0.54</v>
      </c>
      <c r="I118" s="68">
        <v>0.46</v>
      </c>
      <c r="J118" s="68">
        <v>1.46</v>
      </c>
      <c r="K118" s="68">
        <v>1.6</v>
      </c>
      <c r="L118" s="68">
        <v>1.41</v>
      </c>
      <c r="M118" s="68">
        <v>0.46</v>
      </c>
      <c r="N118" s="68">
        <v>0.18</v>
      </c>
      <c r="O118" s="68">
        <v>0.28000000000000003</v>
      </c>
      <c r="P118" s="68">
        <v>0.43</v>
      </c>
      <c r="Q118" s="68">
        <v>0.47</v>
      </c>
      <c r="R118" s="69" t="s">
        <v>3470</v>
      </c>
      <c r="S118" s="69" t="s">
        <v>3489</v>
      </c>
      <c r="T118" s="70" t="s">
        <v>3512</v>
      </c>
      <c r="U118" s="452"/>
      <c r="V118" s="453" t="str">
        <f>IF(VLOOKUP($A118,'GeneratingCapabilityList sorted'!$E$9:$O$801,8,FALSE)&lt;&gt;"",VLOOKUP($A118,'GeneratingCapabilityList sorted'!$E$9:$O$801,8,FALSE),"NoneListed")</f>
        <v>WATER</v>
      </c>
      <c r="W118" s="454">
        <f>IF($AB118,$AB118,IF($AA118,$AA118,Scenarios!$B$43))</f>
        <v>4019</v>
      </c>
      <c r="X118" s="454"/>
      <c r="Y118" s="454"/>
      <c r="Z118" s="454"/>
      <c r="AA118" s="454">
        <f>IFERROR(VLOOKUP($A118,'GeneratingCapabilityList sorted'!$E$9:$O$801,11,FALSE),Scenarios!$B$43)</f>
        <v>4019</v>
      </c>
      <c r="AB118" s="453"/>
      <c r="AC118" s="453"/>
    </row>
    <row r="119" spans="1:29" x14ac:dyDescent="0.25">
      <c r="A119" s="65" t="s">
        <v>1733</v>
      </c>
      <c r="B119" s="65" t="s">
        <v>3572</v>
      </c>
      <c r="C119" s="66" t="s">
        <v>3477</v>
      </c>
      <c r="D119" s="66" t="s">
        <v>3488</v>
      </c>
      <c r="E119" s="67">
        <v>0</v>
      </c>
      <c r="F119" s="68">
        <v>35.4</v>
      </c>
      <c r="G119" s="68">
        <v>33.83</v>
      </c>
      <c r="H119" s="68">
        <v>48.36</v>
      </c>
      <c r="I119" s="68">
        <v>51.03</v>
      </c>
      <c r="J119" s="68">
        <v>50.98</v>
      </c>
      <c r="K119" s="68">
        <v>52.51</v>
      </c>
      <c r="L119" s="68">
        <v>49.99</v>
      </c>
      <c r="M119" s="68">
        <v>51.91</v>
      </c>
      <c r="N119" s="68">
        <v>50.33</v>
      </c>
      <c r="O119" s="68">
        <v>41.97</v>
      </c>
      <c r="P119" s="68">
        <v>49.82</v>
      </c>
      <c r="Q119" s="68">
        <v>46.8</v>
      </c>
      <c r="R119" s="69" t="s">
        <v>3470</v>
      </c>
      <c r="S119" s="69" t="s">
        <v>3489</v>
      </c>
      <c r="T119" s="70" t="s">
        <v>3497</v>
      </c>
      <c r="U119" s="452"/>
      <c r="V119" s="453" t="str">
        <f>IF(VLOOKUP($A119,'GeneratingCapabilityList sorted'!$E$9:$O$801,8,FALSE)&lt;&gt;"",VLOOKUP($A119,'GeneratingCapabilityList sorted'!$E$9:$O$801,8,FALSE),"NoneListed")</f>
        <v>GEOTHERMAL</v>
      </c>
      <c r="W119" s="454">
        <f>IF($AB119,$AB119,IF($AA119,$AA119,Scenarios!$B$43))</f>
        <v>32308</v>
      </c>
      <c r="X119" s="454"/>
      <c r="Y119" s="454"/>
      <c r="Z119" s="454"/>
      <c r="AA119" s="454">
        <f>IFERROR(VLOOKUP($A119,'GeneratingCapabilityList sorted'!$E$9:$O$801,11,FALSE),Scenarios!$B$43)</f>
        <v>32308</v>
      </c>
      <c r="AB119" s="453"/>
      <c r="AC119" s="453"/>
    </row>
    <row r="120" spans="1:29" x14ac:dyDescent="0.25">
      <c r="A120" s="65" t="s">
        <v>243</v>
      </c>
      <c r="B120" s="65" t="s">
        <v>3573</v>
      </c>
      <c r="C120" s="66" t="s">
        <v>3477</v>
      </c>
      <c r="D120" s="66" t="s">
        <v>3488</v>
      </c>
      <c r="E120" s="67">
        <v>0</v>
      </c>
      <c r="F120" s="68">
        <v>1.1100000000000001</v>
      </c>
      <c r="G120" s="68">
        <v>1.01</v>
      </c>
      <c r="H120" s="68">
        <v>1.3</v>
      </c>
      <c r="I120" s="68">
        <v>2.42</v>
      </c>
      <c r="J120" s="68">
        <v>7.27</v>
      </c>
      <c r="K120" s="68">
        <v>9.19</v>
      </c>
      <c r="L120" s="68">
        <v>7.18</v>
      </c>
      <c r="M120" s="68">
        <v>2.3199999999999998</v>
      </c>
      <c r="N120" s="68">
        <v>1.5</v>
      </c>
      <c r="O120" s="68">
        <v>2.08</v>
      </c>
      <c r="P120" s="68">
        <v>2.15</v>
      </c>
      <c r="Q120" s="68">
        <v>1.67</v>
      </c>
      <c r="R120" s="69" t="s">
        <v>3470</v>
      </c>
      <c r="S120" s="69" t="s">
        <v>3489</v>
      </c>
      <c r="T120" s="70" t="s">
        <v>3512</v>
      </c>
      <c r="U120" s="452"/>
      <c r="V120" s="453" t="str">
        <f>IF(VLOOKUP($A120,'GeneratingCapabilityList sorted'!$E$9:$O$801,8,FALSE)&lt;&gt;"",VLOOKUP($A120,'GeneratingCapabilityList sorted'!$E$9:$O$801,8,FALSE),"NoneListed")</f>
        <v>WATER</v>
      </c>
      <c r="W120" s="454">
        <f>IF($AB120,$AB120,IF($AA120,$AA120,Scenarios!$B$43))</f>
        <v>8767</v>
      </c>
      <c r="X120" s="454"/>
      <c r="Y120" s="454"/>
      <c r="Z120" s="454"/>
      <c r="AA120" s="454">
        <f>IFERROR(VLOOKUP($A120,'GeneratingCapabilityList sorted'!$E$9:$O$801,11,FALSE),Scenarios!$B$43)</f>
        <v>8767</v>
      </c>
      <c r="AB120" s="453"/>
      <c r="AC120" s="453"/>
    </row>
    <row r="121" spans="1:29" x14ac:dyDescent="0.25">
      <c r="A121" s="65" t="s">
        <v>825</v>
      </c>
      <c r="B121" s="65" t="s">
        <v>3574</v>
      </c>
      <c r="C121" s="66" t="s">
        <v>3477</v>
      </c>
      <c r="D121" s="66" t="s">
        <v>3488</v>
      </c>
      <c r="E121" s="67">
        <v>0</v>
      </c>
      <c r="F121" s="68">
        <v>33.909999999999997</v>
      </c>
      <c r="G121" s="68">
        <v>33.65</v>
      </c>
      <c r="H121" s="68">
        <v>31.34</v>
      </c>
      <c r="I121" s="68">
        <v>27.92</v>
      </c>
      <c r="J121" s="68">
        <v>24.94</v>
      </c>
      <c r="K121" s="68">
        <v>20.46</v>
      </c>
      <c r="L121" s="68">
        <v>17.309999999999999</v>
      </c>
      <c r="M121" s="68">
        <v>18.04</v>
      </c>
      <c r="N121" s="68">
        <v>19.309999999999999</v>
      </c>
      <c r="O121" s="68">
        <v>23.65</v>
      </c>
      <c r="P121" s="68">
        <v>31.24</v>
      </c>
      <c r="Q121" s="68">
        <v>32.450000000000003</v>
      </c>
      <c r="R121" s="69" t="s">
        <v>3470</v>
      </c>
      <c r="S121" s="69" t="s">
        <v>3489</v>
      </c>
      <c r="T121" s="70" t="s">
        <v>3497</v>
      </c>
      <c r="U121" s="452"/>
      <c r="V121" s="453" t="str">
        <f>IF(VLOOKUP($A121,'GeneratingCapabilityList sorted'!$E$9:$O$801,8,FALSE)&lt;&gt;"",VLOOKUP($A121,'GeneratingCapabilityList sorted'!$E$9:$O$801,8,FALSE),"NoneListed")</f>
        <v>GEOTHERMAL</v>
      </c>
      <c r="W121" s="454">
        <f>IF($AB121,$AB121,IF($AA121,$AA121,Scenarios!$B$43))</f>
        <v>29952</v>
      </c>
      <c r="X121" s="454"/>
      <c r="Y121" s="454"/>
      <c r="Z121" s="454"/>
      <c r="AA121" s="454">
        <f>IFERROR(VLOOKUP($A121,'GeneratingCapabilityList sorted'!$E$9:$O$801,11,FALSE),Scenarios!$B$43)</f>
        <v>29952</v>
      </c>
      <c r="AB121" s="453"/>
      <c r="AC121" s="453"/>
    </row>
    <row r="122" spans="1:29" x14ac:dyDescent="0.25">
      <c r="A122" s="65" t="s">
        <v>166</v>
      </c>
      <c r="B122" s="65" t="s">
        <v>3575</v>
      </c>
      <c r="C122" s="66" t="s">
        <v>3477</v>
      </c>
      <c r="D122" s="66" t="s">
        <v>3488</v>
      </c>
      <c r="E122" s="67">
        <v>0</v>
      </c>
      <c r="F122" s="68">
        <v>3.57</v>
      </c>
      <c r="G122" s="68">
        <v>5.35</v>
      </c>
      <c r="H122" s="68">
        <v>6.02</v>
      </c>
      <c r="I122" s="68">
        <v>4.17</v>
      </c>
      <c r="J122" s="68">
        <v>4.51</v>
      </c>
      <c r="K122" s="68">
        <v>8.17</v>
      </c>
      <c r="L122" s="68">
        <v>8.76</v>
      </c>
      <c r="M122" s="68">
        <v>1.97</v>
      </c>
      <c r="N122" s="68">
        <v>3.87</v>
      </c>
      <c r="O122" s="68">
        <v>4.05</v>
      </c>
      <c r="P122" s="68">
        <v>4.8099999999999996</v>
      </c>
      <c r="Q122" s="68">
        <v>4.71</v>
      </c>
      <c r="R122" s="69" t="s">
        <v>3470</v>
      </c>
      <c r="S122" s="69" t="s">
        <v>3489</v>
      </c>
      <c r="T122" s="70" t="s">
        <v>3512</v>
      </c>
      <c r="U122" s="452"/>
      <c r="V122" s="453" t="str">
        <f>IF(VLOOKUP($A122,'GeneratingCapabilityList sorted'!$E$9:$O$801,8,FALSE)&lt;&gt;"",VLOOKUP($A122,'GeneratingCapabilityList sorted'!$E$9:$O$801,8,FALSE),"NoneListed")</f>
        <v>WATER</v>
      </c>
      <c r="W122" s="454">
        <f>IF($AB122,$AB122,IF($AA122,$AA122,Scenarios!$B$43))</f>
        <v>5845</v>
      </c>
      <c r="X122" s="454"/>
      <c r="Y122" s="454"/>
      <c r="Z122" s="454"/>
      <c r="AA122" s="454">
        <f>IFERROR(VLOOKUP($A122,'GeneratingCapabilityList sorted'!$E$9:$O$801,11,FALSE),Scenarios!$B$43)</f>
        <v>5845</v>
      </c>
      <c r="AB122" s="453"/>
      <c r="AC122" s="453"/>
    </row>
    <row r="123" spans="1:29" x14ac:dyDescent="0.25">
      <c r="A123" s="72" t="s">
        <v>2977</v>
      </c>
      <c r="B123" s="72" t="s">
        <v>3576</v>
      </c>
      <c r="C123" s="73" t="s">
        <v>3477</v>
      </c>
      <c r="D123" s="73" t="s">
        <v>3577</v>
      </c>
      <c r="F123" s="74">
        <v>1.89</v>
      </c>
      <c r="G123" s="74">
        <v>3.17</v>
      </c>
      <c r="H123" s="74">
        <v>8.24</v>
      </c>
      <c r="I123" s="74">
        <v>10.63</v>
      </c>
      <c r="J123" s="74">
        <v>9.67</v>
      </c>
      <c r="K123" s="74">
        <v>13.1</v>
      </c>
      <c r="L123" s="74">
        <v>11.95</v>
      </c>
      <c r="M123" s="74">
        <v>11.15</v>
      </c>
      <c r="N123" s="74">
        <v>8.3800000000000008</v>
      </c>
      <c r="O123" s="74">
        <v>6.79</v>
      </c>
      <c r="P123" s="74">
        <v>1.1100000000000001</v>
      </c>
      <c r="Q123" s="74">
        <v>0.92</v>
      </c>
      <c r="R123" s="76" t="s">
        <v>3578</v>
      </c>
      <c r="S123" s="76" t="s">
        <v>3471</v>
      </c>
      <c r="T123" s="70" t="s">
        <v>3497</v>
      </c>
      <c r="U123" s="452"/>
      <c r="V123" s="453" t="str">
        <f>IF(VLOOKUP($A123,'GeneratingCapabilityList sorted'!$E$9:$O$801,8,FALSE)&lt;&gt;"",VLOOKUP($A123,'GeneratingCapabilityList sorted'!$E$9:$O$801,8,FALSE),"NoneListed")</f>
        <v>SUN</v>
      </c>
      <c r="W123" s="454">
        <f>IF($AB123,$AB123,IF($AA123,$AA123,Scenarios!$B$43))</f>
        <v>40344</v>
      </c>
      <c r="X123" s="454"/>
      <c r="Y123" s="454"/>
      <c r="Z123" s="454"/>
      <c r="AA123" s="454">
        <f>IFERROR(VLOOKUP($A123,'GeneratingCapabilityList sorted'!$E$9:$O$801,11,FALSE),Scenarios!$B$43)</f>
        <v>40344</v>
      </c>
      <c r="AB123" s="453"/>
      <c r="AC123" s="453"/>
    </row>
    <row r="124" spans="1:29" x14ac:dyDescent="0.25">
      <c r="A124" s="65" t="s">
        <v>2731</v>
      </c>
      <c r="B124" s="65" t="s">
        <v>2732</v>
      </c>
      <c r="C124" s="66" t="s">
        <v>3477</v>
      </c>
      <c r="D124" s="66" t="s">
        <v>3387</v>
      </c>
      <c r="E124" s="67">
        <v>28</v>
      </c>
      <c r="F124" s="68">
        <v>0</v>
      </c>
      <c r="G124" s="68">
        <v>0</v>
      </c>
      <c r="H124" s="68">
        <v>0</v>
      </c>
      <c r="I124" s="68">
        <v>0</v>
      </c>
      <c r="J124" s="68">
        <v>0</v>
      </c>
      <c r="K124" s="68">
        <v>0</v>
      </c>
      <c r="L124" s="68">
        <v>0</v>
      </c>
      <c r="M124" s="68">
        <v>0</v>
      </c>
      <c r="N124" s="68">
        <v>0</v>
      </c>
      <c r="O124" s="68">
        <v>0</v>
      </c>
      <c r="P124" s="68">
        <v>0</v>
      </c>
      <c r="Q124" s="68">
        <v>0</v>
      </c>
      <c r="R124" s="69" t="s">
        <v>3470</v>
      </c>
      <c r="S124" s="69" t="s">
        <v>3471</v>
      </c>
      <c r="T124" s="70" t="s">
        <v>3472</v>
      </c>
      <c r="U124" s="452"/>
      <c r="V124" s="453" t="str">
        <f>IF(VLOOKUP($A124,'GeneratingCapabilityList sorted'!$E$9:$O$801,8,FALSE)&lt;&gt;"",VLOOKUP($A124,'GeneratingCapabilityList sorted'!$E$9:$O$801,8,FALSE),"NoneListed")</f>
        <v>NATURAL GAS</v>
      </c>
      <c r="W124" s="454">
        <f>IF($AB124,$AB124,IF($AA124,$AA124,Scenarios!$B$43))</f>
        <v>38411</v>
      </c>
      <c r="X124" s="454"/>
      <c r="Y124" s="454"/>
      <c r="Z124" s="454"/>
      <c r="AA124" s="454">
        <f>IFERROR(VLOOKUP($A124,'GeneratingCapabilityList sorted'!$E$9:$O$801,11,FALSE),Scenarios!$B$43)</f>
        <v>38411</v>
      </c>
      <c r="AB124" s="453"/>
      <c r="AC124" s="453"/>
    </row>
    <row r="125" spans="1:29" x14ac:dyDescent="0.25">
      <c r="A125" s="65" t="s">
        <v>950</v>
      </c>
      <c r="B125" s="65" t="s">
        <v>3579</v>
      </c>
      <c r="C125" s="66" t="s">
        <v>3468</v>
      </c>
      <c r="D125" s="66" t="s">
        <v>3488</v>
      </c>
      <c r="E125" s="67">
        <v>0</v>
      </c>
      <c r="F125" s="68">
        <v>0</v>
      </c>
      <c r="G125" s="68">
        <v>0</v>
      </c>
      <c r="H125" s="68">
        <v>2.23</v>
      </c>
      <c r="I125" s="68">
        <v>3</v>
      </c>
      <c r="J125" s="68">
        <v>2.98</v>
      </c>
      <c r="K125" s="68">
        <v>3.03</v>
      </c>
      <c r="L125" s="68">
        <v>3.49</v>
      </c>
      <c r="M125" s="68">
        <v>3.25</v>
      </c>
      <c r="N125" s="68">
        <v>2.34</v>
      </c>
      <c r="O125" s="68">
        <v>0</v>
      </c>
      <c r="P125" s="68">
        <v>0</v>
      </c>
      <c r="Q125" s="68">
        <v>0</v>
      </c>
      <c r="R125" s="69" t="s">
        <v>3470</v>
      </c>
      <c r="S125" s="69" t="s">
        <v>3489</v>
      </c>
      <c r="T125" s="70" t="s">
        <v>3502</v>
      </c>
      <c r="U125" s="452"/>
      <c r="V125" s="453" t="str">
        <f>IF(VLOOKUP($A125,'GeneratingCapabilityList sorted'!$E$9:$O$801,8,FALSE)&lt;&gt;"",VLOOKUP($A125,'GeneratingCapabilityList sorted'!$E$9:$O$801,8,FALSE),"NoneListed")</f>
        <v>WATER</v>
      </c>
      <c r="W125" s="454">
        <f>IF($AB125,$AB125,IF($AA125,$AA125,Scenarios!$B$43))</f>
        <v>30359</v>
      </c>
      <c r="X125" s="454"/>
      <c r="Y125" s="454"/>
      <c r="Z125" s="454"/>
      <c r="AA125" s="454">
        <f>IFERROR(VLOOKUP($A125,'GeneratingCapabilityList sorted'!$E$9:$O$801,11,FALSE),Scenarios!$B$43)</f>
        <v>30359</v>
      </c>
      <c r="AB125" s="453"/>
      <c r="AC125" s="453"/>
    </row>
    <row r="126" spans="1:29" x14ac:dyDescent="0.25">
      <c r="A126" s="65" t="s">
        <v>1553</v>
      </c>
      <c r="B126" s="65" t="s">
        <v>3580</v>
      </c>
      <c r="C126" s="66" t="s">
        <v>3468</v>
      </c>
      <c r="D126" s="66" t="s">
        <v>3488</v>
      </c>
      <c r="E126" s="67">
        <v>0</v>
      </c>
      <c r="F126" s="68">
        <v>4.53</v>
      </c>
      <c r="G126" s="68">
        <v>9.7799999999999994</v>
      </c>
      <c r="H126" s="68">
        <v>15.02</v>
      </c>
      <c r="I126" s="68">
        <v>12.77</v>
      </c>
      <c r="J126" s="68">
        <v>9.52</v>
      </c>
      <c r="K126" s="68">
        <v>3.93</v>
      </c>
      <c r="L126" s="68">
        <v>0.38</v>
      </c>
      <c r="M126" s="68">
        <v>0</v>
      </c>
      <c r="N126" s="68">
        <v>0</v>
      </c>
      <c r="O126" s="68">
        <v>0.14000000000000001</v>
      </c>
      <c r="P126" s="68">
        <v>0.44</v>
      </c>
      <c r="Q126" s="68">
        <v>4.58</v>
      </c>
      <c r="R126" s="69" t="s">
        <v>3470</v>
      </c>
      <c r="S126" s="69" t="s">
        <v>3489</v>
      </c>
      <c r="T126" s="70" t="s">
        <v>3502</v>
      </c>
      <c r="U126" s="452"/>
      <c r="V126" s="453" t="str">
        <f>IF(VLOOKUP($A126,'GeneratingCapabilityList sorted'!$E$9:$O$801,8,FALSE)&lt;&gt;"",VLOOKUP($A126,'GeneratingCapabilityList sorted'!$E$9:$O$801,8,FALSE),"NoneListed")</f>
        <v>WATER</v>
      </c>
      <c r="W126" s="454">
        <f>IF($AB126,$AB126,IF($AA126,$AA126,Scenarios!$B$43))</f>
        <v>31782</v>
      </c>
      <c r="X126" s="454"/>
      <c r="Y126" s="454"/>
      <c r="Z126" s="454"/>
      <c r="AA126" s="454">
        <f>IFERROR(VLOOKUP($A126,'GeneratingCapabilityList sorted'!$E$9:$O$801,11,FALSE),Scenarios!$B$43)</f>
        <v>31782</v>
      </c>
      <c r="AB126" s="453"/>
      <c r="AC126" s="453"/>
    </row>
    <row r="127" spans="1:29" x14ac:dyDescent="0.25">
      <c r="A127" s="65" t="s">
        <v>88</v>
      </c>
      <c r="B127" s="65" t="s">
        <v>3581</v>
      </c>
      <c r="C127" s="66" t="s">
        <v>3468</v>
      </c>
      <c r="D127" s="66" t="s">
        <v>3488</v>
      </c>
      <c r="E127" s="67">
        <v>0</v>
      </c>
      <c r="F127" s="68">
        <v>0.75</v>
      </c>
      <c r="G127" s="68">
        <v>0.92</v>
      </c>
      <c r="H127" s="68">
        <v>0.99</v>
      </c>
      <c r="I127" s="68">
        <v>1.05</v>
      </c>
      <c r="J127" s="68">
        <v>0.8</v>
      </c>
      <c r="K127" s="68">
        <v>0.42</v>
      </c>
      <c r="L127" s="68">
        <v>0.12</v>
      </c>
      <c r="M127" s="68">
        <v>0.02</v>
      </c>
      <c r="N127" s="68">
        <v>0</v>
      </c>
      <c r="O127" s="68">
        <v>0.1</v>
      </c>
      <c r="P127" s="68">
        <v>0.25</v>
      </c>
      <c r="Q127" s="68">
        <v>0.45</v>
      </c>
      <c r="R127" s="69" t="s">
        <v>3470</v>
      </c>
      <c r="S127" s="69" t="s">
        <v>3489</v>
      </c>
      <c r="T127" s="70" t="s">
        <v>3502</v>
      </c>
      <c r="U127" s="452"/>
      <c r="V127" s="453" t="str">
        <f>IF(VLOOKUP($A127,'GeneratingCapabilityList sorted'!$E$9:$O$801,8,FALSE)&lt;&gt;"",VLOOKUP($A127,'GeneratingCapabilityList sorted'!$E$9:$O$801,8,FALSE),"NoneListed")</f>
        <v>WATER</v>
      </c>
      <c r="W127" s="454">
        <f>IF($AB127,$AB127,IF($AA127,$AA127,Scenarios!$B$43))</f>
        <v>2558</v>
      </c>
      <c r="X127" s="454"/>
      <c r="Y127" s="454"/>
      <c r="Z127" s="454"/>
      <c r="AA127" s="454">
        <f>IFERROR(VLOOKUP($A127,'GeneratingCapabilityList sorted'!$E$9:$O$801,11,FALSE),Scenarios!$B$43)</f>
        <v>2558</v>
      </c>
      <c r="AB127" s="453"/>
      <c r="AC127" s="453"/>
    </row>
    <row r="128" spans="1:29" x14ac:dyDescent="0.25">
      <c r="A128" s="65" t="s">
        <v>2286</v>
      </c>
      <c r="B128" s="65" t="s">
        <v>3582</v>
      </c>
      <c r="C128" s="66" t="s">
        <v>3477</v>
      </c>
      <c r="D128" s="66" t="s">
        <v>3385</v>
      </c>
      <c r="E128" s="67">
        <v>0</v>
      </c>
      <c r="F128" s="68">
        <v>3.84</v>
      </c>
      <c r="G128" s="68">
        <v>2.9</v>
      </c>
      <c r="H128" s="68">
        <v>4.9000000000000004</v>
      </c>
      <c r="I128" s="68">
        <v>4.8499999999999996</v>
      </c>
      <c r="J128" s="68">
        <v>5.19</v>
      </c>
      <c r="K128" s="68">
        <v>5.27</v>
      </c>
      <c r="L128" s="68">
        <v>4.91</v>
      </c>
      <c r="M128" s="68">
        <v>4.7300000000000004</v>
      </c>
      <c r="N128" s="68">
        <v>4.59</v>
      </c>
      <c r="O128" s="68">
        <v>4.76</v>
      </c>
      <c r="P128" s="68">
        <v>4.7300000000000004</v>
      </c>
      <c r="Q128" s="68">
        <v>4.58</v>
      </c>
      <c r="R128" s="69" t="s">
        <v>3470</v>
      </c>
      <c r="S128" s="69" t="s">
        <v>3489</v>
      </c>
      <c r="T128" s="70" t="s">
        <v>3497</v>
      </c>
      <c r="U128" s="452"/>
      <c r="V128" s="453" t="str">
        <f>IF(VLOOKUP($A128,'GeneratingCapabilityList sorted'!$E$9:$O$801,8,FALSE)&lt;&gt;"",VLOOKUP($A128,'GeneratingCapabilityList sorted'!$E$9:$O$801,8,FALSE),"NoneListed")</f>
        <v>LANDFILL GAS</v>
      </c>
      <c r="W128" s="454">
        <f>IF($AB128,$AB128,IF($AA128,$AA128,Scenarios!$B$43))</f>
        <v>36161</v>
      </c>
      <c r="X128" s="454"/>
      <c r="Y128" s="454"/>
      <c r="Z128" s="454"/>
      <c r="AA128" s="454">
        <f>IFERROR(VLOOKUP($A128,'GeneratingCapabilityList sorted'!$E$9:$O$801,11,FALSE),Scenarios!$B$43)</f>
        <v>36161</v>
      </c>
      <c r="AB128" s="453"/>
      <c r="AC128" s="453"/>
    </row>
    <row r="129" spans="1:29" x14ac:dyDescent="0.25">
      <c r="A129" s="65" t="s">
        <v>801</v>
      </c>
      <c r="B129" s="65" t="s">
        <v>3583</v>
      </c>
      <c r="C129" s="66" t="s">
        <v>3468</v>
      </c>
      <c r="D129" s="66" t="s">
        <v>3474</v>
      </c>
      <c r="E129" s="67">
        <v>0</v>
      </c>
      <c r="F129" s="68">
        <v>0</v>
      </c>
      <c r="G129" s="68">
        <v>0</v>
      </c>
      <c r="H129" s="68">
        <v>0.14000000000000001</v>
      </c>
      <c r="I129" s="68">
        <v>0.6</v>
      </c>
      <c r="J129" s="68">
        <v>1.23</v>
      </c>
      <c r="K129" s="68">
        <v>1.4</v>
      </c>
      <c r="L129" s="68">
        <v>1.03</v>
      </c>
      <c r="M129" s="68">
        <v>1.24</v>
      </c>
      <c r="N129" s="68">
        <v>0.96</v>
      </c>
      <c r="O129" s="68">
        <v>0.34</v>
      </c>
      <c r="P129" s="68">
        <v>0</v>
      </c>
      <c r="Q129" s="68">
        <v>0</v>
      </c>
      <c r="R129" s="69" t="s">
        <v>3470</v>
      </c>
      <c r="S129" s="69" t="s">
        <v>3489</v>
      </c>
      <c r="T129" s="70" t="s">
        <v>3502</v>
      </c>
      <c r="U129" s="452"/>
      <c r="V129" s="453" t="str">
        <f>IF(VLOOKUP($A129,'GeneratingCapabilityList sorted'!$E$9:$O$801,8,FALSE)&lt;&gt;"",VLOOKUP($A129,'GeneratingCapabilityList sorted'!$E$9:$O$801,8,FALSE),"NoneListed")</f>
        <v>WATER</v>
      </c>
      <c r="W129" s="454">
        <f>IF($AB129,$AB129,IF($AA129,$AA129,Scenarios!$B$43))</f>
        <v>29852</v>
      </c>
      <c r="X129" s="454"/>
      <c r="Y129" s="454"/>
      <c r="Z129" s="454"/>
      <c r="AA129" s="454">
        <f>IFERROR(VLOOKUP($A129,'GeneratingCapabilityList sorted'!$E$9:$O$801,11,FALSE),Scenarios!$B$43)</f>
        <v>29852</v>
      </c>
      <c r="AB129" s="453"/>
      <c r="AC129" s="453"/>
    </row>
    <row r="130" spans="1:29" x14ac:dyDescent="0.25">
      <c r="A130" s="65" t="s">
        <v>362</v>
      </c>
      <c r="B130" s="65" t="s">
        <v>3584</v>
      </c>
      <c r="C130" s="66" t="s">
        <v>3468</v>
      </c>
      <c r="D130" s="66" t="s">
        <v>3510</v>
      </c>
      <c r="E130" s="67">
        <v>0</v>
      </c>
      <c r="F130" s="68">
        <v>70</v>
      </c>
      <c r="G130" s="68">
        <v>70</v>
      </c>
      <c r="H130" s="68">
        <v>70</v>
      </c>
      <c r="I130" s="68">
        <v>70</v>
      </c>
      <c r="J130" s="68">
        <v>70</v>
      </c>
      <c r="K130" s="68">
        <v>70</v>
      </c>
      <c r="L130" s="68">
        <v>70</v>
      </c>
      <c r="M130" s="68">
        <v>70</v>
      </c>
      <c r="N130" s="68">
        <v>70</v>
      </c>
      <c r="O130" s="68">
        <v>70</v>
      </c>
      <c r="P130" s="68">
        <v>70</v>
      </c>
      <c r="Q130" s="68">
        <v>70</v>
      </c>
      <c r="R130" s="69" t="s">
        <v>3470</v>
      </c>
      <c r="S130" s="69" t="s">
        <v>3489</v>
      </c>
      <c r="T130" s="70" t="s">
        <v>3484</v>
      </c>
      <c r="U130" s="452"/>
      <c r="V130" s="453" t="str">
        <f>IF(VLOOKUP($A130,'GeneratingCapabilityList sorted'!$E$9:$O$801,8,FALSE)&lt;&gt;"",VLOOKUP($A130,'GeneratingCapabilityList sorted'!$E$9:$O$801,8,FALSE),"NoneListed")</f>
        <v>WATER</v>
      </c>
      <c r="W130" s="454">
        <f>IF($AB130,$AB130,IF($AA130,$AA130,Scenarios!$B$43))</f>
        <v>17899</v>
      </c>
      <c r="X130" s="454"/>
      <c r="Y130" s="454"/>
      <c r="Z130" s="454"/>
      <c r="AA130" s="454">
        <f>IFERROR(VLOOKUP($A130,'GeneratingCapabilityList sorted'!$E$9:$O$801,11,FALSE),Scenarios!$B$43)</f>
        <v>17899</v>
      </c>
      <c r="AB130" s="453"/>
      <c r="AC130" s="453"/>
    </row>
    <row r="131" spans="1:29" x14ac:dyDescent="0.25">
      <c r="A131" s="65" t="s">
        <v>180</v>
      </c>
      <c r="B131" s="65" t="s">
        <v>3585</v>
      </c>
      <c r="C131" s="66" t="s">
        <v>3468</v>
      </c>
      <c r="D131" s="66" t="s">
        <v>3474</v>
      </c>
      <c r="E131" s="67">
        <v>0</v>
      </c>
      <c r="F131" s="68">
        <v>0.65</v>
      </c>
      <c r="G131" s="68">
        <v>0.65</v>
      </c>
      <c r="H131" s="68">
        <v>0.69</v>
      </c>
      <c r="I131" s="68">
        <v>0.75</v>
      </c>
      <c r="J131" s="68">
        <v>0.83</v>
      </c>
      <c r="K131" s="68">
        <v>0.84</v>
      </c>
      <c r="L131" s="68">
        <v>0.78</v>
      </c>
      <c r="M131" s="68">
        <v>0.71</v>
      </c>
      <c r="N131" s="68">
        <v>0.7</v>
      </c>
      <c r="O131" s="68">
        <v>0.69</v>
      </c>
      <c r="P131" s="68">
        <v>0.65</v>
      </c>
      <c r="Q131" s="68">
        <v>0.62</v>
      </c>
      <c r="R131" s="69" t="s">
        <v>3470</v>
      </c>
      <c r="S131" s="69" t="s">
        <v>3489</v>
      </c>
      <c r="T131" s="70" t="s">
        <v>3484</v>
      </c>
      <c r="U131" s="452"/>
      <c r="V131" s="453" t="str">
        <f>IF(VLOOKUP($A131,'GeneratingCapabilityList sorted'!$E$9:$O$801,8,FALSE)&lt;&gt;"",VLOOKUP($A131,'GeneratingCapabilityList sorted'!$E$9:$O$801,8,FALSE),"NoneListed")</f>
        <v>WATER</v>
      </c>
      <c r="W131" s="454">
        <f>IF($AB131,$AB131,IF($AA131,$AA131,Scenarios!$B$43))</f>
        <v>6941</v>
      </c>
      <c r="X131" s="454"/>
      <c r="Y131" s="454"/>
      <c r="Z131" s="454"/>
      <c r="AA131" s="454">
        <f>IFERROR(VLOOKUP($A131,'GeneratingCapabilityList sorted'!$E$9:$O$801,11,FALSE),Scenarios!$B$43)</f>
        <v>6941</v>
      </c>
      <c r="AB131" s="453"/>
      <c r="AC131" s="453"/>
    </row>
    <row r="132" spans="1:29" x14ac:dyDescent="0.25">
      <c r="A132" s="65" t="s">
        <v>174</v>
      </c>
      <c r="B132" s="65" t="s">
        <v>3586</v>
      </c>
      <c r="C132" s="66" t="s">
        <v>3468</v>
      </c>
      <c r="D132" s="66" t="s">
        <v>3474</v>
      </c>
      <c r="E132" s="67">
        <v>0</v>
      </c>
      <c r="F132" s="68">
        <v>3.2</v>
      </c>
      <c r="G132" s="68">
        <v>3.2</v>
      </c>
      <c r="H132" s="68">
        <v>3.2</v>
      </c>
      <c r="I132" s="68">
        <v>3.2</v>
      </c>
      <c r="J132" s="68">
        <v>3.2</v>
      </c>
      <c r="K132" s="68">
        <v>3.2</v>
      </c>
      <c r="L132" s="68">
        <v>3.2</v>
      </c>
      <c r="M132" s="68">
        <v>3.2</v>
      </c>
      <c r="N132" s="68">
        <v>3.2</v>
      </c>
      <c r="O132" s="68">
        <v>3.2</v>
      </c>
      <c r="P132" s="68">
        <v>3.2</v>
      </c>
      <c r="Q132" s="68">
        <v>3.2</v>
      </c>
      <c r="R132" s="69" t="s">
        <v>3470</v>
      </c>
      <c r="S132" s="69" t="s">
        <v>3489</v>
      </c>
      <c r="T132" s="70" t="s">
        <v>3484</v>
      </c>
      <c r="U132" s="452"/>
      <c r="V132" s="453" t="str">
        <f>IF(VLOOKUP($A132,'GeneratingCapabilityList sorted'!$E$9:$O$801,8,FALSE)&lt;&gt;"",VLOOKUP($A132,'GeneratingCapabilityList sorted'!$E$9:$O$801,8,FALSE),"NoneListed")</f>
        <v>WATER</v>
      </c>
      <c r="W132" s="454">
        <f>IF($AB132,$AB132,IF($AA132,$AA132,Scenarios!$B$43))</f>
        <v>6211</v>
      </c>
      <c r="X132" s="454"/>
      <c r="Y132" s="454"/>
      <c r="Z132" s="454"/>
      <c r="AA132" s="454">
        <f>IFERROR(VLOOKUP($A132,'GeneratingCapabilityList sorted'!$E$9:$O$801,11,FALSE),Scenarios!$B$43)</f>
        <v>6211</v>
      </c>
      <c r="AB132" s="453"/>
      <c r="AC132" s="453"/>
    </row>
    <row r="133" spans="1:29" x14ac:dyDescent="0.25">
      <c r="A133" s="65" t="s">
        <v>239</v>
      </c>
      <c r="B133" s="65" t="s">
        <v>3587</v>
      </c>
      <c r="C133" s="66" t="s">
        <v>3468</v>
      </c>
      <c r="D133" s="66" t="s">
        <v>3474</v>
      </c>
      <c r="E133" s="67">
        <v>0</v>
      </c>
      <c r="F133" s="68">
        <v>4.2</v>
      </c>
      <c r="G133" s="68">
        <v>4.2</v>
      </c>
      <c r="H133" s="68">
        <v>4.2</v>
      </c>
      <c r="I133" s="68">
        <v>4.2</v>
      </c>
      <c r="J133" s="68">
        <v>4.2</v>
      </c>
      <c r="K133" s="68">
        <v>4.2</v>
      </c>
      <c r="L133" s="68">
        <v>4.2</v>
      </c>
      <c r="M133" s="68">
        <v>4.2</v>
      </c>
      <c r="N133" s="68">
        <v>4.2</v>
      </c>
      <c r="O133" s="68">
        <v>4.2</v>
      </c>
      <c r="P133" s="68">
        <v>4.2</v>
      </c>
      <c r="Q133" s="68">
        <v>4.2</v>
      </c>
      <c r="R133" s="69" t="s">
        <v>3470</v>
      </c>
      <c r="S133" s="69" t="s">
        <v>3489</v>
      </c>
      <c r="T133" s="70" t="s">
        <v>3484</v>
      </c>
      <c r="U133" s="452"/>
      <c r="V133" s="453" t="str">
        <f>IF(VLOOKUP($A133,'GeneratingCapabilityList sorted'!$E$9:$O$801,8,FALSE)&lt;&gt;"",VLOOKUP($A133,'GeneratingCapabilityList sorted'!$E$9:$O$801,8,FALSE),"NoneListed")</f>
        <v>WATER</v>
      </c>
      <c r="W133" s="454">
        <f>IF($AB133,$AB133,IF($AA133,$AA133,Scenarios!$B$43))</f>
        <v>8402</v>
      </c>
      <c r="X133" s="454"/>
      <c r="Y133" s="454"/>
      <c r="Z133" s="454"/>
      <c r="AA133" s="454">
        <f>IFERROR(VLOOKUP($A133,'GeneratingCapabilityList sorted'!$E$9:$O$801,11,FALSE),Scenarios!$B$43)</f>
        <v>8402</v>
      </c>
      <c r="AB133" s="453"/>
      <c r="AC133" s="453"/>
    </row>
    <row r="134" spans="1:29" x14ac:dyDescent="0.25">
      <c r="A134" s="65" t="s">
        <v>2238</v>
      </c>
      <c r="B134" s="65" t="s">
        <v>2239</v>
      </c>
      <c r="C134" s="66" t="s">
        <v>3468</v>
      </c>
      <c r="D134" s="66" t="s">
        <v>3382</v>
      </c>
      <c r="E134" s="67">
        <v>0</v>
      </c>
      <c r="F134" s="68">
        <v>158.03</v>
      </c>
      <c r="G134" s="68">
        <v>115.36</v>
      </c>
      <c r="H134" s="68">
        <v>113.11</v>
      </c>
      <c r="I134" s="68">
        <v>163.65</v>
      </c>
      <c r="J134" s="68">
        <v>124.38</v>
      </c>
      <c r="K134" s="68">
        <v>145.69</v>
      </c>
      <c r="L134" s="68">
        <v>183.6</v>
      </c>
      <c r="M134" s="68">
        <v>194</v>
      </c>
      <c r="N134" s="68">
        <v>192.36</v>
      </c>
      <c r="O134" s="68">
        <v>134.07</v>
      </c>
      <c r="P134" s="68">
        <v>65.540000000000006</v>
      </c>
      <c r="Q134" s="68">
        <v>96.8</v>
      </c>
      <c r="R134" s="69" t="s">
        <v>3470</v>
      </c>
      <c r="S134" s="69" t="s">
        <v>3489</v>
      </c>
      <c r="T134" s="70" t="s">
        <v>3497</v>
      </c>
      <c r="U134" s="452"/>
      <c r="V134" s="453" t="str">
        <f>IF(VLOOKUP($A134,'GeneratingCapabilityList sorted'!$E$9:$O$801,8,FALSE)&lt;&gt;"",VLOOKUP($A134,'GeneratingCapabilityList sorted'!$E$9:$O$801,8,FALSE),"NoneListed")</f>
        <v>NATURAL GAS</v>
      </c>
      <c r="W134" s="454">
        <f>IF($AB134,$AB134,IF($AA134,$AA134,Scenarios!$B$43))</f>
        <v>35053</v>
      </c>
      <c r="X134" s="454"/>
      <c r="Y134" s="454"/>
      <c r="Z134" s="454"/>
      <c r="AA134" s="454">
        <f>IFERROR(VLOOKUP($A134,'GeneratingCapabilityList sorted'!$E$9:$O$801,11,FALSE),Scenarios!$B$43)</f>
        <v>35053</v>
      </c>
      <c r="AB134" s="453"/>
      <c r="AC134" s="453"/>
    </row>
    <row r="135" spans="1:29" x14ac:dyDescent="0.25">
      <c r="A135" s="65" t="s">
        <v>2824</v>
      </c>
      <c r="B135" s="65" t="s">
        <v>3588</v>
      </c>
      <c r="C135" s="66" t="s">
        <v>3477</v>
      </c>
      <c r="D135" s="66" t="s">
        <v>3385</v>
      </c>
      <c r="E135" s="67">
        <v>0</v>
      </c>
      <c r="F135" s="68">
        <v>8.7200000000000006</v>
      </c>
      <c r="G135" s="68">
        <v>7.65</v>
      </c>
      <c r="H135" s="68">
        <v>13.84</v>
      </c>
      <c r="I135" s="68">
        <v>17.760000000000002</v>
      </c>
      <c r="J135" s="68">
        <v>15.64</v>
      </c>
      <c r="K135" s="68">
        <v>12.96</v>
      </c>
      <c r="L135" s="68">
        <v>7.83</v>
      </c>
      <c r="M135" s="68">
        <v>6.7</v>
      </c>
      <c r="N135" s="68">
        <v>6.5</v>
      </c>
      <c r="O135" s="68">
        <v>8.85</v>
      </c>
      <c r="P135" s="68">
        <v>14.8</v>
      </c>
      <c r="Q135" s="68">
        <v>8.27</v>
      </c>
      <c r="R135" s="69" t="s">
        <v>3470</v>
      </c>
      <c r="S135" s="69" t="s">
        <v>3489</v>
      </c>
      <c r="T135" s="70" t="s">
        <v>3425</v>
      </c>
      <c r="U135" s="452"/>
      <c r="V135" s="453" t="str">
        <f>IF(VLOOKUP($A135,'GeneratingCapabilityList sorted'!$E$9:$O$801,8,FALSE)&lt;&gt;"",VLOOKUP($A135,'GeneratingCapabilityList sorted'!$E$9:$O$801,8,FALSE),"NoneListed")</f>
        <v>WIND</v>
      </c>
      <c r="W135" s="454">
        <f>IF($AB135,$AB135,IF($AA135,$AA135,Scenarios!$B$43))</f>
        <v>38707</v>
      </c>
      <c r="X135" s="454"/>
      <c r="Y135" s="454"/>
      <c r="Z135" s="454"/>
      <c r="AA135" s="454">
        <f>IFERROR(VLOOKUP($A135,'GeneratingCapabilityList sorted'!$E$9:$O$801,11,FALSE),Scenarios!$B$43)</f>
        <v>38707</v>
      </c>
      <c r="AB135" s="453"/>
      <c r="AC135" s="453"/>
    </row>
    <row r="136" spans="1:29" x14ac:dyDescent="0.25">
      <c r="A136" s="65" t="s">
        <v>790</v>
      </c>
      <c r="B136" s="65" t="s">
        <v>3589</v>
      </c>
      <c r="C136" s="66" t="s">
        <v>3468</v>
      </c>
      <c r="D136" s="66" t="s">
        <v>3382</v>
      </c>
      <c r="E136" s="67">
        <v>6</v>
      </c>
      <c r="F136" s="68">
        <v>0</v>
      </c>
      <c r="G136" s="68">
        <v>0</v>
      </c>
      <c r="H136" s="68">
        <v>0</v>
      </c>
      <c r="I136" s="68">
        <v>0</v>
      </c>
      <c r="J136" s="68">
        <v>0</v>
      </c>
      <c r="K136" s="68">
        <v>0</v>
      </c>
      <c r="L136" s="68">
        <v>0</v>
      </c>
      <c r="M136" s="68">
        <v>0</v>
      </c>
      <c r="N136" s="68">
        <v>0</v>
      </c>
      <c r="O136" s="68">
        <v>0</v>
      </c>
      <c r="P136" s="68">
        <v>0</v>
      </c>
      <c r="Q136" s="68">
        <v>0</v>
      </c>
      <c r="R136" s="69" t="s">
        <v>3470</v>
      </c>
      <c r="S136" s="69" t="s">
        <v>3517</v>
      </c>
      <c r="T136" s="70" t="s">
        <v>3472</v>
      </c>
      <c r="U136" s="452"/>
      <c r="V136" s="453" t="str">
        <f>IF(VLOOKUP($A136,'GeneratingCapabilityList sorted'!$E$9:$O$801,8,FALSE)&lt;&gt;"",VLOOKUP($A136,'GeneratingCapabilityList sorted'!$E$9:$O$801,8,FALSE),"NoneListed")</f>
        <v>NATURAL GAS</v>
      </c>
      <c r="W136" s="454">
        <f>IF($AB136,$AB136,IF($AA136,$AA136,Scenarios!$B$43))</f>
        <v>29587</v>
      </c>
      <c r="X136" s="454"/>
      <c r="Y136" s="454"/>
      <c r="Z136" s="454"/>
      <c r="AA136" s="454">
        <f>IFERROR(VLOOKUP($A136,'GeneratingCapabilityList sorted'!$E$9:$O$801,11,FALSE),Scenarios!$B$43)</f>
        <v>29587</v>
      </c>
      <c r="AB136" s="453"/>
      <c r="AC136" s="453"/>
    </row>
    <row r="137" spans="1:29" x14ac:dyDescent="0.25">
      <c r="A137" s="65" t="s">
        <v>1502</v>
      </c>
      <c r="B137" s="65" t="s">
        <v>3590</v>
      </c>
      <c r="C137" s="66" t="s">
        <v>3468</v>
      </c>
      <c r="D137" s="66" t="s">
        <v>3382</v>
      </c>
      <c r="E137" s="67">
        <v>24</v>
      </c>
      <c r="F137" s="68">
        <v>0</v>
      </c>
      <c r="G137" s="68">
        <v>0</v>
      </c>
      <c r="H137" s="68">
        <v>0</v>
      </c>
      <c r="I137" s="68">
        <v>0</v>
      </c>
      <c r="J137" s="68">
        <v>0</v>
      </c>
      <c r="K137" s="68">
        <v>0</v>
      </c>
      <c r="L137" s="68">
        <v>0</v>
      </c>
      <c r="M137" s="68">
        <v>0</v>
      </c>
      <c r="N137" s="68">
        <v>0</v>
      </c>
      <c r="O137" s="68">
        <v>0</v>
      </c>
      <c r="P137" s="68">
        <v>0</v>
      </c>
      <c r="Q137" s="68">
        <v>0</v>
      </c>
      <c r="R137" s="69" t="s">
        <v>3470</v>
      </c>
      <c r="S137" s="69" t="s">
        <v>3517</v>
      </c>
      <c r="T137" s="70" t="s">
        <v>3472</v>
      </c>
      <c r="U137" s="452"/>
      <c r="V137" s="453" t="str">
        <f>IF(VLOOKUP($A137,'GeneratingCapabilityList sorted'!$E$9:$O$801,8,FALSE)&lt;&gt;"",VLOOKUP($A137,'GeneratingCapabilityList sorted'!$E$9:$O$801,8,FALSE),"NoneListed")</f>
        <v>NATURAL GAS</v>
      </c>
      <c r="W137" s="454">
        <f>IF($AB137,$AB137,IF($AA137,$AA137,Scenarios!$B$43))</f>
        <v>31778</v>
      </c>
      <c r="X137" s="454"/>
      <c r="Y137" s="454"/>
      <c r="Z137" s="454"/>
      <c r="AA137" s="454">
        <f>IFERROR(VLOOKUP($A137,'GeneratingCapabilityList sorted'!$E$9:$O$801,11,FALSE),Scenarios!$B$43)</f>
        <v>31778</v>
      </c>
      <c r="AB137" s="453"/>
      <c r="AC137" s="453"/>
    </row>
    <row r="138" spans="1:29" x14ac:dyDescent="0.25">
      <c r="A138" s="65" t="s">
        <v>1310</v>
      </c>
      <c r="B138" s="65" t="s">
        <v>3591</v>
      </c>
      <c r="C138" s="66" t="s">
        <v>3468</v>
      </c>
      <c r="D138" s="66" t="s">
        <v>3382</v>
      </c>
      <c r="E138" s="67">
        <v>24</v>
      </c>
      <c r="F138" s="68">
        <v>0</v>
      </c>
      <c r="G138" s="68">
        <v>0</v>
      </c>
      <c r="H138" s="68">
        <v>0</v>
      </c>
      <c r="I138" s="68">
        <v>0</v>
      </c>
      <c r="J138" s="68">
        <v>0</v>
      </c>
      <c r="K138" s="68">
        <v>0</v>
      </c>
      <c r="L138" s="68">
        <v>0</v>
      </c>
      <c r="M138" s="68">
        <v>0</v>
      </c>
      <c r="N138" s="68">
        <v>0</v>
      </c>
      <c r="O138" s="68">
        <v>0</v>
      </c>
      <c r="P138" s="68">
        <v>0</v>
      </c>
      <c r="Q138" s="68">
        <v>0</v>
      </c>
      <c r="R138" s="69" t="s">
        <v>3470</v>
      </c>
      <c r="S138" s="69" t="s">
        <v>3517</v>
      </c>
      <c r="T138" s="70" t="s">
        <v>3472</v>
      </c>
      <c r="U138" s="452"/>
      <c r="V138" s="453" t="str">
        <f>IF(VLOOKUP($A138,'GeneratingCapabilityList sorted'!$E$9:$O$801,8,FALSE)&lt;&gt;"",VLOOKUP($A138,'GeneratingCapabilityList sorted'!$E$9:$O$801,8,FALSE),"NoneListed")</f>
        <v>NATURAL GAS</v>
      </c>
      <c r="W138" s="454">
        <f>IF($AB138,$AB138,IF($AA138,$AA138,Scenarios!$B$43))</f>
        <v>31413</v>
      </c>
      <c r="X138" s="454"/>
      <c r="Y138" s="454"/>
      <c r="Z138" s="454"/>
      <c r="AA138" s="454">
        <f>IFERROR(VLOOKUP($A138,'GeneratingCapabilityList sorted'!$E$9:$O$801,11,FALSE),Scenarios!$B$43)</f>
        <v>31413</v>
      </c>
      <c r="AB138" s="453"/>
      <c r="AC138" s="453"/>
    </row>
    <row r="139" spans="1:29" x14ac:dyDescent="0.25">
      <c r="A139" s="65" t="s">
        <v>2892</v>
      </c>
      <c r="B139" s="65" t="s">
        <v>3592</v>
      </c>
      <c r="C139" s="66" t="s">
        <v>3468</v>
      </c>
      <c r="D139" s="66" t="s">
        <v>3488</v>
      </c>
      <c r="E139" s="67">
        <v>0</v>
      </c>
      <c r="F139" s="68">
        <v>2.34</v>
      </c>
      <c r="G139" s="68">
        <v>2.29</v>
      </c>
      <c r="H139" s="68">
        <v>2.14</v>
      </c>
      <c r="I139" s="68">
        <v>2.0299999999999998</v>
      </c>
      <c r="J139" s="68">
        <v>1.76</v>
      </c>
      <c r="K139" s="68">
        <v>1.98</v>
      </c>
      <c r="L139" s="68">
        <v>2.3199999999999998</v>
      </c>
      <c r="M139" s="68">
        <v>2.2400000000000002</v>
      </c>
      <c r="N139" s="68">
        <v>2.58</v>
      </c>
      <c r="O139" s="68">
        <v>2.41</v>
      </c>
      <c r="P139" s="68">
        <v>2.3199999999999998</v>
      </c>
      <c r="Q139" s="68">
        <v>2.0499999999999998</v>
      </c>
      <c r="R139" s="69" t="s">
        <v>3470</v>
      </c>
      <c r="S139" s="69" t="s">
        <v>3489</v>
      </c>
      <c r="T139" s="70" t="s">
        <v>3497</v>
      </c>
      <c r="U139" s="452"/>
      <c r="V139" s="453" t="str">
        <f>IF(VLOOKUP($A139,'GeneratingCapabilityList sorted'!$E$9:$O$801,8,FALSE)&lt;&gt;"",VLOOKUP($A139,'GeneratingCapabilityList sorted'!$E$9:$O$801,8,FALSE),"NoneListed")</f>
        <v>LANDFILL GAS</v>
      </c>
      <c r="W139" s="454">
        <f>IF($AB139,$AB139,IF($AA139,$AA139,Scenarios!$B$43))</f>
        <v>39326</v>
      </c>
      <c r="X139" s="454"/>
      <c r="Y139" s="454"/>
      <c r="Z139" s="454"/>
      <c r="AA139" s="454">
        <f>IFERROR(VLOOKUP($A139,'GeneratingCapabilityList sorted'!$E$9:$O$801,11,FALSE),Scenarios!$B$43)</f>
        <v>39326</v>
      </c>
      <c r="AB139" s="453"/>
      <c r="AC139" s="453"/>
    </row>
    <row r="140" spans="1:29" x14ac:dyDescent="0.25">
      <c r="A140" s="65" t="s">
        <v>2850</v>
      </c>
      <c r="B140" s="65" t="s">
        <v>2851</v>
      </c>
      <c r="C140" s="66" t="s">
        <v>3468</v>
      </c>
      <c r="D140" s="66" t="s">
        <v>3488</v>
      </c>
      <c r="E140" s="67">
        <v>0</v>
      </c>
      <c r="F140" s="68">
        <v>1.46</v>
      </c>
      <c r="G140" s="68">
        <v>1.57</v>
      </c>
      <c r="H140" s="68">
        <v>1.46</v>
      </c>
      <c r="I140" s="68">
        <v>1.5</v>
      </c>
      <c r="J140" s="68">
        <v>1.43</v>
      </c>
      <c r="K140" s="68">
        <v>1.08</v>
      </c>
      <c r="L140" s="68">
        <v>1.29</v>
      </c>
      <c r="M140" s="68">
        <v>1.43</v>
      </c>
      <c r="N140" s="68">
        <v>1.4</v>
      </c>
      <c r="O140" s="68">
        <v>1.35</v>
      </c>
      <c r="P140" s="68">
        <v>1.45</v>
      </c>
      <c r="Q140" s="68">
        <v>1.55</v>
      </c>
      <c r="R140" s="69" t="s">
        <v>3470</v>
      </c>
      <c r="S140" s="69" t="s">
        <v>3489</v>
      </c>
      <c r="T140" s="70" t="s">
        <v>3497</v>
      </c>
      <c r="U140" s="452"/>
      <c r="V140" s="453" t="str">
        <f>IF(VLOOKUP($A140,'GeneratingCapabilityList sorted'!$E$9:$O$801,8,FALSE)&lt;&gt;"",VLOOKUP($A140,'GeneratingCapabilityList sorted'!$E$9:$O$801,8,FALSE),"NoneListed")</f>
        <v>COAL</v>
      </c>
      <c r="W140" s="454">
        <f>IF($AB140,$AB140,IF($AA140,$AA140,Scenarios!$B$43))</f>
        <v>38869</v>
      </c>
      <c r="X140" s="454"/>
      <c r="Y140" s="454"/>
      <c r="Z140" s="454"/>
      <c r="AA140" s="454">
        <f>IFERROR(VLOOKUP($A140,'GeneratingCapabilityList sorted'!$E$9:$O$801,11,FALSE),Scenarios!$B$43)</f>
        <v>38869</v>
      </c>
      <c r="AB140" s="453"/>
      <c r="AC140" s="453"/>
    </row>
    <row r="141" spans="1:29" x14ac:dyDescent="0.25">
      <c r="A141" s="65" t="s">
        <v>827</v>
      </c>
      <c r="B141" s="65" t="s">
        <v>3593</v>
      </c>
      <c r="C141" s="66" t="s">
        <v>3468</v>
      </c>
      <c r="D141" s="66" t="s">
        <v>3488</v>
      </c>
      <c r="E141" s="67">
        <v>0</v>
      </c>
      <c r="F141" s="68">
        <v>0.05</v>
      </c>
      <c r="G141" s="68">
        <v>0.06</v>
      </c>
      <c r="H141" s="68">
        <v>0.08</v>
      </c>
      <c r="I141" s="68">
        <v>0.06</v>
      </c>
      <c r="J141" s="68">
        <v>0.08</v>
      </c>
      <c r="K141" s="68">
        <v>0.15</v>
      </c>
      <c r="L141" s="68">
        <v>0.1</v>
      </c>
      <c r="M141" s="68">
        <v>0.06</v>
      </c>
      <c r="N141" s="68">
        <v>0.02</v>
      </c>
      <c r="O141" s="68">
        <v>0.03</v>
      </c>
      <c r="P141" s="68">
        <v>0.03</v>
      </c>
      <c r="Q141" s="68">
        <v>0.05</v>
      </c>
      <c r="R141" s="69" t="s">
        <v>3470</v>
      </c>
      <c r="S141" s="69" t="s">
        <v>3489</v>
      </c>
      <c r="T141" s="70" t="s">
        <v>3502</v>
      </c>
      <c r="U141" s="452"/>
      <c r="V141" s="453" t="str">
        <f>IF(VLOOKUP($A141,'GeneratingCapabilityList sorted'!$E$9:$O$801,8,FALSE)&lt;&gt;"",VLOOKUP($A141,'GeneratingCapabilityList sorted'!$E$9:$O$801,8,FALSE),"NoneListed")</f>
        <v>WATER</v>
      </c>
      <c r="W141" s="454">
        <f>IF($AB141,$AB141,IF($AA141,$AA141,Scenarios!$B$43))</f>
        <v>29952</v>
      </c>
      <c r="X141" s="454"/>
      <c r="Y141" s="454"/>
      <c r="Z141" s="454"/>
      <c r="AA141" s="454">
        <f>IFERROR(VLOOKUP($A141,'GeneratingCapabilityList sorted'!$E$9:$O$801,11,FALSE),Scenarios!$B$43)</f>
        <v>29952</v>
      </c>
      <c r="AB141" s="453"/>
      <c r="AC141" s="453"/>
    </row>
    <row r="142" spans="1:29" x14ac:dyDescent="0.25">
      <c r="A142" s="65" t="s">
        <v>906</v>
      </c>
      <c r="B142" s="65" t="s">
        <v>3594</v>
      </c>
      <c r="C142" s="66" t="s">
        <v>3468</v>
      </c>
      <c r="D142" s="66" t="s">
        <v>3508</v>
      </c>
      <c r="E142" s="67">
        <v>0</v>
      </c>
      <c r="F142" s="68">
        <v>0</v>
      </c>
      <c r="G142" s="68">
        <v>0</v>
      </c>
      <c r="H142" s="68">
        <v>0.01</v>
      </c>
      <c r="I142" s="68">
        <v>0.12</v>
      </c>
      <c r="J142" s="68">
        <v>0.72</v>
      </c>
      <c r="K142" s="68">
        <v>1.07</v>
      </c>
      <c r="L142" s="68">
        <v>1.2</v>
      </c>
      <c r="M142" s="68">
        <v>0.84</v>
      </c>
      <c r="N142" s="68">
        <v>0.36</v>
      </c>
      <c r="O142" s="68">
        <v>7.0000000000000007E-2</v>
      </c>
      <c r="P142" s="68">
        <v>0</v>
      </c>
      <c r="Q142" s="68">
        <v>0</v>
      </c>
      <c r="R142" s="69" t="s">
        <v>3470</v>
      </c>
      <c r="S142" s="69" t="s">
        <v>3489</v>
      </c>
      <c r="T142" s="70" t="s">
        <v>3497</v>
      </c>
      <c r="U142" s="452"/>
      <c r="V142" s="453" t="str">
        <f>IF(VLOOKUP($A142,'GeneratingCapabilityList sorted'!$E$9:$O$801,8,FALSE)&lt;&gt;"",VLOOKUP($A142,'GeneratingCapabilityList sorted'!$E$9:$O$801,8,FALSE),"NoneListed")</f>
        <v>WATER</v>
      </c>
      <c r="W142" s="454">
        <f>IF($AB142,$AB142,IF($AA142,$AA142,Scenarios!$B$43))</f>
        <v>30317</v>
      </c>
      <c r="X142" s="454"/>
      <c r="Y142" s="454"/>
      <c r="Z142" s="454"/>
      <c r="AA142" s="454">
        <f>IFERROR(VLOOKUP($A142,'GeneratingCapabilityList sorted'!$E$9:$O$801,11,FALSE),Scenarios!$B$43)</f>
        <v>30317</v>
      </c>
      <c r="AB142" s="453"/>
      <c r="AC142" s="453"/>
    </row>
    <row r="143" spans="1:29" x14ac:dyDescent="0.25">
      <c r="A143" s="65" t="s">
        <v>462</v>
      </c>
      <c r="B143" s="65" t="s">
        <v>3595</v>
      </c>
      <c r="C143" s="66" t="s">
        <v>3477</v>
      </c>
      <c r="D143" s="66" t="s">
        <v>3488</v>
      </c>
      <c r="E143" s="67">
        <v>63</v>
      </c>
      <c r="F143" s="68">
        <v>0</v>
      </c>
      <c r="G143" s="68">
        <v>0</v>
      </c>
      <c r="H143" s="68">
        <v>0</v>
      </c>
      <c r="I143" s="68">
        <v>0</v>
      </c>
      <c r="J143" s="68">
        <v>0</v>
      </c>
      <c r="K143" s="68">
        <v>0</v>
      </c>
      <c r="L143" s="68">
        <v>0</v>
      </c>
      <c r="M143" s="68">
        <v>0</v>
      </c>
      <c r="N143" s="68">
        <v>0</v>
      </c>
      <c r="O143" s="68">
        <v>0</v>
      </c>
      <c r="P143" s="68">
        <v>0</v>
      </c>
      <c r="Q143" s="68">
        <v>0</v>
      </c>
      <c r="R143" s="69" t="s">
        <v>3470</v>
      </c>
      <c r="S143" s="69" t="s">
        <v>3471</v>
      </c>
      <c r="T143" s="70" t="s">
        <v>3472</v>
      </c>
      <c r="U143" s="452"/>
      <c r="V143" s="453" t="str">
        <f>IF(VLOOKUP($A143,'GeneratingCapabilityList sorted'!$E$9:$O$801,8,FALSE)&lt;&gt;"",VLOOKUP($A143,'GeneratingCapabilityList sorted'!$E$9:$O$801,8,FALSE),"NoneListed")</f>
        <v>NATURAL GAS</v>
      </c>
      <c r="W143" s="454">
        <f>IF($AB143,$AB143,IF($AA143,$AA143,Scenarios!$B$43))</f>
        <v>22282</v>
      </c>
      <c r="X143" s="454"/>
      <c r="Y143" s="454"/>
      <c r="Z143" s="454"/>
      <c r="AA143" s="454">
        <f>IFERROR(VLOOKUP($A143,'GeneratingCapabilityList sorted'!$E$9:$O$801,11,FALSE),Scenarios!$B$43)</f>
        <v>22282</v>
      </c>
      <c r="AB143" s="453"/>
      <c r="AC143" s="453"/>
    </row>
    <row r="144" spans="1:29" x14ac:dyDescent="0.25">
      <c r="A144" s="65" t="s">
        <v>494</v>
      </c>
      <c r="B144" s="65" t="s">
        <v>3596</v>
      </c>
      <c r="C144" s="66" t="s">
        <v>3477</v>
      </c>
      <c r="D144" s="66" t="s">
        <v>3488</v>
      </c>
      <c r="E144" s="67">
        <v>81.5</v>
      </c>
      <c r="F144" s="68">
        <v>0</v>
      </c>
      <c r="G144" s="68">
        <v>0</v>
      </c>
      <c r="H144" s="68">
        <v>0</v>
      </c>
      <c r="I144" s="68">
        <v>0</v>
      </c>
      <c r="J144" s="68">
        <v>0</v>
      </c>
      <c r="K144" s="68">
        <v>0</v>
      </c>
      <c r="L144" s="68">
        <v>0</v>
      </c>
      <c r="M144" s="68">
        <v>0</v>
      </c>
      <c r="N144" s="68">
        <v>0</v>
      </c>
      <c r="O144" s="68">
        <v>0</v>
      </c>
      <c r="P144" s="68">
        <v>0</v>
      </c>
      <c r="Q144" s="68">
        <v>0</v>
      </c>
      <c r="R144" s="69" t="s">
        <v>3470</v>
      </c>
      <c r="S144" s="69" t="s">
        <v>3471</v>
      </c>
      <c r="T144" s="70" t="s">
        <v>3472</v>
      </c>
      <c r="U144" s="452"/>
      <c r="V144" s="453" t="str">
        <f>IF(VLOOKUP($A144,'GeneratingCapabilityList sorted'!$E$9:$O$801,8,FALSE)&lt;&gt;"",VLOOKUP($A144,'GeneratingCapabilityList sorted'!$E$9:$O$801,8,FALSE),"NoneListed")</f>
        <v>NATURAL GAS</v>
      </c>
      <c r="W144" s="454">
        <f>IF($AB144,$AB144,IF($AA144,$AA144,Scenarios!$B$43))</f>
        <v>23377</v>
      </c>
      <c r="X144" s="454"/>
      <c r="Y144" s="454"/>
      <c r="Z144" s="454"/>
      <c r="AA144" s="454">
        <f>IFERROR(VLOOKUP($A144,'GeneratingCapabilityList sorted'!$E$9:$O$801,11,FALSE),Scenarios!$B$43)</f>
        <v>23377</v>
      </c>
      <c r="AB144" s="453"/>
      <c r="AC144" s="453"/>
    </row>
    <row r="145" spans="1:29" x14ac:dyDescent="0.25">
      <c r="A145" s="65" t="s">
        <v>721</v>
      </c>
      <c r="B145" s="65" t="s">
        <v>3597</v>
      </c>
      <c r="C145" s="66" t="s">
        <v>3477</v>
      </c>
      <c r="D145" s="66" t="s">
        <v>3488</v>
      </c>
      <c r="E145" s="67">
        <v>245.3</v>
      </c>
      <c r="F145" s="68">
        <v>0</v>
      </c>
      <c r="G145" s="68">
        <v>0</v>
      </c>
      <c r="H145" s="68">
        <v>0</v>
      </c>
      <c r="I145" s="68">
        <v>0</v>
      </c>
      <c r="J145" s="68">
        <v>0</v>
      </c>
      <c r="K145" s="68">
        <v>0</v>
      </c>
      <c r="L145" s="68">
        <v>0</v>
      </c>
      <c r="M145" s="68">
        <v>0</v>
      </c>
      <c r="N145" s="68">
        <v>0</v>
      </c>
      <c r="O145" s="68">
        <v>0</v>
      </c>
      <c r="P145" s="68">
        <v>0</v>
      </c>
      <c r="Q145" s="68">
        <v>0</v>
      </c>
      <c r="R145" s="69" t="s">
        <v>3470</v>
      </c>
      <c r="S145" s="69" t="s">
        <v>3471</v>
      </c>
      <c r="T145" s="70" t="s">
        <v>3472</v>
      </c>
      <c r="U145" s="452"/>
      <c r="V145" s="453" t="str">
        <f>IF(VLOOKUP($A145,'GeneratingCapabilityList sorted'!$E$9:$O$801,8,FALSE)&lt;&gt;"",VLOOKUP($A145,'GeneratingCapabilityList sorted'!$E$9:$O$801,8,FALSE),"NoneListed")</f>
        <v>NATURAL GAS</v>
      </c>
      <c r="W145" s="454">
        <f>IF($AB145,$AB145,IF($AA145,$AA145,Scenarios!$B$43))</f>
        <v>28491</v>
      </c>
      <c r="X145" s="454"/>
      <c r="Y145" s="454"/>
      <c r="Z145" s="454"/>
      <c r="AA145" s="454">
        <f>IFERROR(VLOOKUP($A145,'GeneratingCapabilityList sorted'!$E$9:$O$801,11,FALSE),Scenarios!$B$43)</f>
        <v>28491</v>
      </c>
      <c r="AB145" s="453"/>
      <c r="AC145" s="453"/>
    </row>
    <row r="146" spans="1:29" x14ac:dyDescent="0.25">
      <c r="A146" s="65" t="s">
        <v>732</v>
      </c>
      <c r="B146" s="65" t="s">
        <v>3598</v>
      </c>
      <c r="C146" s="66" t="s">
        <v>3477</v>
      </c>
      <c r="D146" s="66" t="s">
        <v>3488</v>
      </c>
      <c r="E146" s="67">
        <v>245.9</v>
      </c>
      <c r="F146" s="68">
        <v>0</v>
      </c>
      <c r="G146" s="68">
        <v>0</v>
      </c>
      <c r="H146" s="68">
        <v>0</v>
      </c>
      <c r="I146" s="68">
        <v>0</v>
      </c>
      <c r="J146" s="68">
        <v>0</v>
      </c>
      <c r="K146" s="68">
        <v>0</v>
      </c>
      <c r="L146" s="68">
        <v>0</v>
      </c>
      <c r="M146" s="68">
        <v>0</v>
      </c>
      <c r="N146" s="68">
        <v>0</v>
      </c>
      <c r="O146" s="68">
        <v>0</v>
      </c>
      <c r="P146" s="68">
        <v>0</v>
      </c>
      <c r="Q146" s="68">
        <v>0</v>
      </c>
      <c r="R146" s="69" t="s">
        <v>3470</v>
      </c>
      <c r="S146" s="69" t="s">
        <v>3471</v>
      </c>
      <c r="T146" s="70" t="s">
        <v>3472</v>
      </c>
      <c r="U146" s="452"/>
      <c r="V146" s="453" t="str">
        <f>IF(VLOOKUP($A146,'GeneratingCapabilityList sorted'!$E$9:$O$801,8,FALSE)&lt;&gt;"",VLOOKUP($A146,'GeneratingCapabilityList sorted'!$E$9:$O$801,8,FALSE),"NoneListed")</f>
        <v>NATURAL GAS</v>
      </c>
      <c r="W146" s="454">
        <f>IF($AB146,$AB146,IF($AA146,$AA146,Scenarios!$B$43))</f>
        <v>28491</v>
      </c>
      <c r="X146" s="454"/>
      <c r="Y146" s="454"/>
      <c r="Z146" s="454"/>
      <c r="AA146" s="454">
        <f>IFERROR(VLOOKUP($A146,'GeneratingCapabilityList sorted'!$E$9:$O$801,11,FALSE),Scenarios!$B$43)</f>
        <v>28491</v>
      </c>
      <c r="AB146" s="453"/>
      <c r="AC146" s="453"/>
    </row>
    <row r="147" spans="1:29" x14ac:dyDescent="0.25">
      <c r="A147" s="65" t="s">
        <v>2266</v>
      </c>
      <c r="B147" s="65" t="s">
        <v>3599</v>
      </c>
      <c r="C147" s="66" t="s">
        <v>3468</v>
      </c>
      <c r="D147" s="66" t="s">
        <v>3510</v>
      </c>
      <c r="E147" s="67">
        <v>0</v>
      </c>
      <c r="F147" s="68">
        <v>1.89</v>
      </c>
      <c r="G147" s="68">
        <v>2.2599999999999998</v>
      </c>
      <c r="H147" s="68">
        <v>2.48</v>
      </c>
      <c r="I147" s="68">
        <v>2.37</v>
      </c>
      <c r="J147" s="68">
        <v>2.23</v>
      </c>
      <c r="K147" s="68">
        <v>2.13</v>
      </c>
      <c r="L147" s="68">
        <v>1.9</v>
      </c>
      <c r="M147" s="68">
        <v>2.04</v>
      </c>
      <c r="N147" s="68">
        <v>1.87</v>
      </c>
      <c r="O147" s="68">
        <v>2.17</v>
      </c>
      <c r="P147" s="68">
        <v>2.16</v>
      </c>
      <c r="Q147" s="68">
        <v>1.95</v>
      </c>
      <c r="R147" s="69" t="s">
        <v>3470</v>
      </c>
      <c r="S147" s="69" t="s">
        <v>3489</v>
      </c>
      <c r="T147" s="70" t="s">
        <v>3497</v>
      </c>
      <c r="U147" s="452"/>
      <c r="V147" s="453" t="str">
        <f>IF(VLOOKUP($A147,'GeneratingCapabilityList sorted'!$E$9:$O$801,8,FALSE)&lt;&gt;"",VLOOKUP($A147,'GeneratingCapabilityList sorted'!$E$9:$O$801,8,FALSE),"NoneListed")</f>
        <v>LANDFILL GAS</v>
      </c>
      <c r="W147" s="454">
        <f>IF($AB147,$AB147,IF($AA147,$AA147,Scenarios!$B$43))</f>
        <v>35431</v>
      </c>
      <c r="X147" s="454"/>
      <c r="Y147" s="454"/>
      <c r="Z147" s="454"/>
      <c r="AA147" s="454">
        <f>IFERROR(VLOOKUP($A147,'GeneratingCapabilityList sorted'!$E$9:$O$801,11,FALSE),Scenarios!$B$43)</f>
        <v>35431</v>
      </c>
      <c r="AB147" s="453"/>
      <c r="AC147" s="453"/>
    </row>
    <row r="148" spans="1:29" x14ac:dyDescent="0.25">
      <c r="A148" s="65" t="s">
        <v>2007</v>
      </c>
      <c r="B148" s="65" t="s">
        <v>2007</v>
      </c>
      <c r="C148" s="66" t="s">
        <v>3468</v>
      </c>
      <c r="D148" s="66" t="s">
        <v>3510</v>
      </c>
      <c r="E148" s="67">
        <v>0</v>
      </c>
      <c r="F148" s="68">
        <v>0.12</v>
      </c>
      <c r="G148" s="68">
        <v>0.28999999999999998</v>
      </c>
      <c r="H148" s="68">
        <v>0.67</v>
      </c>
      <c r="I148" s="68">
        <v>0.56000000000000005</v>
      </c>
      <c r="J148" s="68">
        <v>0.44</v>
      </c>
      <c r="K148" s="68">
        <v>0.11</v>
      </c>
      <c r="L148" s="68">
        <v>0.01</v>
      </c>
      <c r="M148" s="68">
        <v>0</v>
      </c>
      <c r="N148" s="68">
        <v>0</v>
      </c>
      <c r="O148" s="68">
        <v>0</v>
      </c>
      <c r="P148" s="68">
        <v>0</v>
      </c>
      <c r="Q148" s="68">
        <v>0.28999999999999998</v>
      </c>
      <c r="R148" s="69" t="s">
        <v>3470</v>
      </c>
      <c r="S148" s="69" t="s">
        <v>3489</v>
      </c>
      <c r="T148" s="70" t="s">
        <v>3502</v>
      </c>
      <c r="U148" s="452"/>
      <c r="V148" s="453" t="str">
        <f>IF(VLOOKUP($A148,'GeneratingCapabilityList sorted'!$E$9:$O$801,8,FALSE)&lt;&gt;"",VLOOKUP($A148,'GeneratingCapabilityList sorted'!$E$9:$O$801,8,FALSE),"NoneListed")</f>
        <v>WATER</v>
      </c>
      <c r="W148" s="454">
        <f>IF($AB148,$AB148,IF($AA148,$AA148,Scenarios!$B$43))</f>
        <v>32902</v>
      </c>
      <c r="X148" s="454"/>
      <c r="Y148" s="454"/>
      <c r="Z148" s="454"/>
      <c r="AA148" s="454">
        <f>IFERROR(VLOOKUP($A148,'GeneratingCapabilityList sorted'!$E$9:$O$801,11,FALSE),Scenarios!$B$43)</f>
        <v>32902</v>
      </c>
      <c r="AB148" s="453"/>
      <c r="AC148" s="453"/>
    </row>
    <row r="149" spans="1:29" x14ac:dyDescent="0.25">
      <c r="A149" s="65" t="s">
        <v>101</v>
      </c>
      <c r="B149" s="65" t="s">
        <v>102</v>
      </c>
      <c r="C149" s="66" t="s">
        <v>3468</v>
      </c>
      <c r="D149" s="66" t="s">
        <v>3510</v>
      </c>
      <c r="E149" s="67">
        <v>0</v>
      </c>
      <c r="F149" s="68">
        <v>1.31</v>
      </c>
      <c r="G149" s="68">
        <v>1.6</v>
      </c>
      <c r="H149" s="68">
        <v>2.16</v>
      </c>
      <c r="I149" s="68">
        <v>0.95</v>
      </c>
      <c r="J149" s="68">
        <v>2.59</v>
      </c>
      <c r="K149" s="68">
        <v>2.75</v>
      </c>
      <c r="L149" s="68">
        <v>3.58</v>
      </c>
      <c r="M149" s="68">
        <v>3.61</v>
      </c>
      <c r="N149" s="68">
        <v>3.56</v>
      </c>
      <c r="O149" s="68">
        <v>2.72</v>
      </c>
      <c r="P149" s="68">
        <v>1.57</v>
      </c>
      <c r="Q149" s="68">
        <v>1.43</v>
      </c>
      <c r="R149" s="69" t="s">
        <v>3470</v>
      </c>
      <c r="S149" s="69" t="s">
        <v>3489</v>
      </c>
      <c r="T149" s="70" t="s">
        <v>3502</v>
      </c>
      <c r="U149" s="452"/>
      <c r="V149" s="453" t="str">
        <f>IF(VLOOKUP($A149,'GeneratingCapabilityList sorted'!$E$9:$O$801,8,FALSE)&lt;&gt;"",VLOOKUP($A149,'GeneratingCapabilityList sorted'!$E$9:$O$801,8,FALSE),"NoneListed")</f>
        <v>WATER</v>
      </c>
      <c r="W149" s="454">
        <f>IF($AB149,$AB149,IF($AA149,$AA149,Scenarios!$B$43))</f>
        <v>2923</v>
      </c>
      <c r="X149" s="454"/>
      <c r="Y149" s="454"/>
      <c r="Z149" s="454"/>
      <c r="AA149" s="454">
        <f>IFERROR(VLOOKUP($A149,'GeneratingCapabilityList sorted'!$E$9:$O$801,11,FALSE),Scenarios!$B$43)</f>
        <v>2923</v>
      </c>
      <c r="AB149" s="453"/>
      <c r="AC149" s="453"/>
    </row>
    <row r="150" spans="1:29" x14ac:dyDescent="0.25">
      <c r="A150" s="65" t="s">
        <v>2552</v>
      </c>
      <c r="B150" s="65" t="s">
        <v>3600</v>
      </c>
      <c r="C150" s="66" t="s">
        <v>3468</v>
      </c>
      <c r="D150" s="66" t="s">
        <v>3382</v>
      </c>
      <c r="E150" s="67">
        <v>0</v>
      </c>
      <c r="F150" s="68">
        <v>861.29</v>
      </c>
      <c r="G150" s="68">
        <v>861.29</v>
      </c>
      <c r="H150" s="68">
        <v>855</v>
      </c>
      <c r="I150" s="68">
        <v>845</v>
      </c>
      <c r="J150" s="68">
        <v>835</v>
      </c>
      <c r="K150" s="68">
        <v>820</v>
      </c>
      <c r="L150" s="68">
        <v>813</v>
      </c>
      <c r="M150" s="68">
        <v>813</v>
      </c>
      <c r="N150" s="68">
        <v>813</v>
      </c>
      <c r="O150" s="68">
        <v>835</v>
      </c>
      <c r="P150" s="68">
        <v>850</v>
      </c>
      <c r="Q150" s="68">
        <v>861.29</v>
      </c>
      <c r="R150" s="69" t="s">
        <v>3470</v>
      </c>
      <c r="S150" s="69" t="s">
        <v>3471</v>
      </c>
      <c r="T150" s="70" t="s">
        <v>3472</v>
      </c>
      <c r="U150" s="452"/>
      <c r="V150" s="453" t="str">
        <f>IF(VLOOKUP($A150,'GeneratingCapabilityList sorted'!$E$9:$O$801,8,FALSE)&lt;&gt;"",VLOOKUP($A150,'GeneratingCapabilityList sorted'!$E$9:$O$801,8,FALSE),"NoneListed")</f>
        <v>NATURAL GAS</v>
      </c>
      <c r="W150" s="454">
        <f>IF($AB150,$AB150,IF($AA150,$AA150,Scenarios!$B$43))</f>
        <v>37424</v>
      </c>
      <c r="X150" s="454"/>
      <c r="Y150" s="454"/>
      <c r="Z150" s="454"/>
      <c r="AA150" s="454">
        <f>IFERROR(VLOOKUP($A150,'GeneratingCapabilityList sorted'!$E$9:$O$801,11,FALSE),Scenarios!$B$43)</f>
        <v>37424</v>
      </c>
      <c r="AB150" s="453"/>
      <c r="AC150" s="453"/>
    </row>
    <row r="151" spans="1:29" x14ac:dyDescent="0.25">
      <c r="A151" s="65" t="s">
        <v>908</v>
      </c>
      <c r="B151" s="65" t="s">
        <v>3601</v>
      </c>
      <c r="C151" s="66" t="s">
        <v>3477</v>
      </c>
      <c r="D151" s="66" t="s">
        <v>3387</v>
      </c>
      <c r="E151" s="67">
        <v>0</v>
      </c>
      <c r="F151" s="68">
        <v>13.37</v>
      </c>
      <c r="G151" s="68">
        <v>27.47</v>
      </c>
      <c r="H151" s="68">
        <v>48.78</v>
      </c>
      <c r="I151" s="68">
        <v>51.63</v>
      </c>
      <c r="J151" s="68">
        <v>94.51</v>
      </c>
      <c r="K151" s="68">
        <v>107.49</v>
      </c>
      <c r="L151" s="68">
        <v>69.56</v>
      </c>
      <c r="M151" s="68">
        <v>35.24</v>
      </c>
      <c r="N151" s="68">
        <v>14.36</v>
      </c>
      <c r="O151" s="68">
        <v>19.920000000000002</v>
      </c>
      <c r="P151" s="68">
        <v>19.579999999999998</v>
      </c>
      <c r="Q151" s="68">
        <v>11.9</v>
      </c>
      <c r="R151" s="69" t="s">
        <v>3470</v>
      </c>
      <c r="S151" s="69" t="s">
        <v>3489</v>
      </c>
      <c r="T151" s="70" t="s">
        <v>3425</v>
      </c>
      <c r="U151" s="452"/>
      <c r="V151" s="453" t="str">
        <f>IF(VLOOKUP($A151,'GeneratingCapabilityList sorted'!$E$9:$O$801,8,FALSE)&lt;&gt;"",VLOOKUP($A151,'GeneratingCapabilityList sorted'!$E$9:$O$801,8,FALSE),"NoneListed")</f>
        <v>WIND</v>
      </c>
      <c r="W151" s="454">
        <f>IF($AB151,$AB151,IF($AA151,$AA151,Scenarios!$B$43))</f>
        <v>30317</v>
      </c>
      <c r="X151" s="454"/>
      <c r="Y151" s="454"/>
      <c r="Z151" s="454"/>
      <c r="AA151" s="454">
        <f>IFERROR(VLOOKUP($A151,'GeneratingCapabilityList sorted'!$E$9:$O$801,11,FALSE),Scenarios!$B$43)</f>
        <v>30317</v>
      </c>
      <c r="AB151" s="453"/>
      <c r="AC151" s="453"/>
    </row>
    <row r="152" spans="1:29" x14ac:dyDescent="0.25">
      <c r="A152" s="65" t="s">
        <v>1927</v>
      </c>
      <c r="B152" s="65" t="s">
        <v>3602</v>
      </c>
      <c r="C152" s="66" t="s">
        <v>3468</v>
      </c>
      <c r="D152" s="66" t="s">
        <v>3505</v>
      </c>
      <c r="E152" s="67">
        <v>0</v>
      </c>
      <c r="F152" s="68">
        <v>27.33</v>
      </c>
      <c r="G152" s="68">
        <v>28.21</v>
      </c>
      <c r="H152" s="68">
        <v>26.49</v>
      </c>
      <c r="I152" s="68">
        <v>19.690000000000001</v>
      </c>
      <c r="J152" s="68">
        <v>24.54</v>
      </c>
      <c r="K152" s="68">
        <v>28.52</v>
      </c>
      <c r="L152" s="68">
        <v>28.07</v>
      </c>
      <c r="M152" s="68">
        <v>28.45</v>
      </c>
      <c r="N152" s="68">
        <v>28.16</v>
      </c>
      <c r="O152" s="68">
        <v>28.36</v>
      </c>
      <c r="P152" s="68">
        <v>23.77</v>
      </c>
      <c r="Q152" s="68">
        <v>27.41</v>
      </c>
      <c r="R152" s="69" t="s">
        <v>3470</v>
      </c>
      <c r="S152" s="69" t="s">
        <v>3489</v>
      </c>
      <c r="T152" s="70" t="s">
        <v>3497</v>
      </c>
      <c r="U152" s="452"/>
      <c r="V152" s="453" t="str">
        <f>IF(VLOOKUP($A152,'GeneratingCapabilityList sorted'!$E$9:$O$801,8,FALSE)&lt;&gt;"",VLOOKUP($A152,'GeneratingCapabilityList sorted'!$E$9:$O$801,8,FALSE),"NoneListed")</f>
        <v>NATURAL GAS</v>
      </c>
      <c r="W152" s="454">
        <f>IF($AB152,$AB152,IF($AA152,$AA152,Scenarios!$B$43))</f>
        <v>32842</v>
      </c>
      <c r="X152" s="454"/>
      <c r="Y152" s="454"/>
      <c r="Z152" s="454"/>
      <c r="AA152" s="454">
        <f>IFERROR(VLOOKUP($A152,'GeneratingCapabilityList sorted'!$E$9:$O$801,11,FALSE),Scenarios!$B$43)</f>
        <v>32842</v>
      </c>
      <c r="AB152" s="453"/>
      <c r="AC152" s="453"/>
    </row>
    <row r="153" spans="1:29" x14ac:dyDescent="0.25">
      <c r="A153" s="65" t="s">
        <v>1159</v>
      </c>
      <c r="B153" s="65" t="s">
        <v>1160</v>
      </c>
      <c r="C153" s="66" t="s">
        <v>3468</v>
      </c>
      <c r="D153" s="66" t="s">
        <v>3488</v>
      </c>
      <c r="E153" s="67">
        <v>1122</v>
      </c>
      <c r="F153" s="68">
        <v>0</v>
      </c>
      <c r="G153" s="68">
        <v>0</v>
      </c>
      <c r="H153" s="68">
        <v>0</v>
      </c>
      <c r="I153" s="68">
        <v>0</v>
      </c>
      <c r="J153" s="68">
        <v>0</v>
      </c>
      <c r="K153" s="68">
        <v>0</v>
      </c>
      <c r="L153" s="68">
        <v>0</v>
      </c>
      <c r="M153" s="68">
        <v>0</v>
      </c>
      <c r="N153" s="68">
        <v>0</v>
      </c>
      <c r="O153" s="68">
        <v>0</v>
      </c>
      <c r="P153" s="68">
        <v>0</v>
      </c>
      <c r="Q153" s="68">
        <v>0</v>
      </c>
      <c r="R153" s="69" t="s">
        <v>3470</v>
      </c>
      <c r="S153" s="69" t="s">
        <v>3489</v>
      </c>
      <c r="T153" s="70" t="s">
        <v>3472</v>
      </c>
      <c r="U153" s="452" t="s">
        <v>29</v>
      </c>
      <c r="V153" s="453" t="str">
        <f>IF(VLOOKUP($A153,'GeneratingCapabilityList sorted'!$E$9:$O$801,8,FALSE)&lt;&gt;"",VLOOKUP($A153,'GeneratingCapabilityList sorted'!$E$9:$O$801,8,FALSE),"NoneListed")</f>
        <v>URANIUM</v>
      </c>
      <c r="W153" s="454">
        <f>IF($AB153,$AB153,IF($AA153,$AA153,Scenarios!$B$43))</f>
        <v>31048</v>
      </c>
      <c r="X153" s="454">
        <f>OTC!G13</f>
        <v>45657</v>
      </c>
      <c r="Y153" s="454">
        <f>OTC!H13</f>
        <v>42005</v>
      </c>
      <c r="Z153" s="454">
        <f>OTC!G13</f>
        <v>45657</v>
      </c>
      <c r="AA153" s="454">
        <f>IFERROR(VLOOKUP($A153,'GeneratingCapabilityList sorted'!$E$9:$O$801,11,FALSE),Scenarios!$B$43)</f>
        <v>31048</v>
      </c>
      <c r="AB153" s="453"/>
      <c r="AC153" s="453"/>
    </row>
    <row r="154" spans="1:29" x14ac:dyDescent="0.25">
      <c r="A154" s="65" t="s">
        <v>1306</v>
      </c>
      <c r="B154" s="65" t="s">
        <v>1307</v>
      </c>
      <c r="C154" s="66" t="s">
        <v>3468</v>
      </c>
      <c r="D154" s="66" t="s">
        <v>3488</v>
      </c>
      <c r="E154" s="67">
        <v>1118</v>
      </c>
      <c r="F154" s="68">
        <v>0</v>
      </c>
      <c r="G154" s="68">
        <v>0</v>
      </c>
      <c r="H154" s="68">
        <v>0</v>
      </c>
      <c r="I154" s="68">
        <v>0</v>
      </c>
      <c r="J154" s="68">
        <v>0</v>
      </c>
      <c r="K154" s="68">
        <v>0</v>
      </c>
      <c r="L154" s="68">
        <v>0</v>
      </c>
      <c r="M154" s="68">
        <v>0</v>
      </c>
      <c r="N154" s="68">
        <v>0</v>
      </c>
      <c r="O154" s="68">
        <v>0</v>
      </c>
      <c r="P154" s="68">
        <v>0</v>
      </c>
      <c r="Q154" s="68">
        <v>0</v>
      </c>
      <c r="R154" s="69" t="s">
        <v>3470</v>
      </c>
      <c r="S154" s="69" t="s">
        <v>3489</v>
      </c>
      <c r="T154" s="70" t="s">
        <v>3472</v>
      </c>
      <c r="U154" s="452" t="s">
        <v>29</v>
      </c>
      <c r="V154" s="453" t="str">
        <f>IF(VLOOKUP($A154,'GeneratingCapabilityList sorted'!$E$9:$O$801,8,FALSE)&lt;&gt;"",VLOOKUP($A154,'GeneratingCapabilityList sorted'!$E$9:$O$801,8,FALSE),"NoneListed")</f>
        <v>URANIUM</v>
      </c>
      <c r="W154" s="454">
        <f>IF($AB154,$AB154,IF($AA154,$AA154,Scenarios!$B$43))</f>
        <v>31413</v>
      </c>
      <c r="X154" s="454">
        <f>OTC!G14</f>
        <v>45657</v>
      </c>
      <c r="Y154" s="454">
        <f>OTC!H14</f>
        <v>42005</v>
      </c>
      <c r="Z154" s="454">
        <f>OTC!G14</f>
        <v>45657</v>
      </c>
      <c r="AA154" s="454">
        <f>IFERROR(VLOOKUP($A154,'GeneratingCapabilityList sorted'!$E$9:$O$801,11,FALSE),Scenarios!$B$43)</f>
        <v>31413</v>
      </c>
      <c r="AB154" s="453"/>
      <c r="AC154" s="453"/>
    </row>
    <row r="155" spans="1:29" x14ac:dyDescent="0.25">
      <c r="A155" s="65" t="s">
        <v>2422</v>
      </c>
      <c r="B155" s="65" t="s">
        <v>3603</v>
      </c>
      <c r="C155" s="66" t="s">
        <v>3468</v>
      </c>
      <c r="D155" s="66" t="s">
        <v>3474</v>
      </c>
      <c r="E155" s="67">
        <v>9.8699999999999992</v>
      </c>
      <c r="F155" s="68">
        <v>0</v>
      </c>
      <c r="G155" s="68">
        <v>0</v>
      </c>
      <c r="H155" s="68">
        <v>0</v>
      </c>
      <c r="I155" s="68">
        <v>0</v>
      </c>
      <c r="J155" s="68">
        <v>0</v>
      </c>
      <c r="K155" s="68">
        <v>0</v>
      </c>
      <c r="L155" s="68">
        <v>0</v>
      </c>
      <c r="M155" s="68">
        <v>0</v>
      </c>
      <c r="N155" s="68">
        <v>0</v>
      </c>
      <c r="O155" s="68">
        <v>0</v>
      </c>
      <c r="P155" s="68">
        <v>0</v>
      </c>
      <c r="Q155" s="68">
        <v>0</v>
      </c>
      <c r="R155" s="69" t="s">
        <v>3470</v>
      </c>
      <c r="S155" s="69" t="s">
        <v>3471</v>
      </c>
      <c r="T155" s="70" t="s">
        <v>3472</v>
      </c>
      <c r="U155" s="452"/>
      <c r="V155" s="453" t="str">
        <f>IF(VLOOKUP($A155,'GeneratingCapabilityList sorted'!$E$9:$O$801,8,FALSE)&lt;&gt;"",VLOOKUP($A155,'GeneratingCapabilityList sorted'!$E$9:$O$801,8,FALSE),"NoneListed")</f>
        <v>NATURAL GAS</v>
      </c>
      <c r="W155" s="454">
        <f>IF($AB155,$AB155,IF($AA155,$AA155,Scenarios!$B$43))</f>
        <v>37077</v>
      </c>
      <c r="X155" s="454"/>
      <c r="Y155" s="454"/>
      <c r="Z155" s="454"/>
      <c r="AA155" s="454">
        <f>IFERROR(VLOOKUP($A155,'GeneratingCapabilityList sorted'!$E$9:$O$801,11,FALSE),Scenarios!$B$43)</f>
        <v>37077</v>
      </c>
      <c r="AB155" s="453"/>
      <c r="AC155" s="453"/>
    </row>
    <row r="156" spans="1:29" x14ac:dyDescent="0.25">
      <c r="A156" s="65" t="s">
        <v>1730</v>
      </c>
      <c r="B156" s="65" t="s">
        <v>1731</v>
      </c>
      <c r="C156" s="66" t="s">
        <v>3468</v>
      </c>
      <c r="D156" s="66" t="s">
        <v>3505</v>
      </c>
      <c r="E156" s="67">
        <v>0</v>
      </c>
      <c r="F156" s="68">
        <v>5.67</v>
      </c>
      <c r="G156" s="68">
        <v>4.74</v>
      </c>
      <c r="H156" s="68">
        <v>2.73</v>
      </c>
      <c r="I156" s="68">
        <v>2.75</v>
      </c>
      <c r="J156" s="68">
        <v>2.5499999999999998</v>
      </c>
      <c r="K156" s="68">
        <v>3.44</v>
      </c>
      <c r="L156" s="68">
        <v>1.46</v>
      </c>
      <c r="M156" s="68">
        <v>2.44</v>
      </c>
      <c r="N156" s="68">
        <v>5.88</v>
      </c>
      <c r="O156" s="68">
        <v>5.18</v>
      </c>
      <c r="P156" s="68">
        <v>6.63</v>
      </c>
      <c r="Q156" s="68">
        <v>8.01</v>
      </c>
      <c r="R156" s="69" t="s">
        <v>3470</v>
      </c>
      <c r="S156" s="69" t="s">
        <v>3489</v>
      </c>
      <c r="T156" s="70" t="s">
        <v>3497</v>
      </c>
      <c r="U156" s="452"/>
      <c r="V156" s="453" t="str">
        <f>IF(VLOOKUP($A156,'GeneratingCapabilityList sorted'!$E$9:$O$801,8,FALSE)&lt;&gt;"",VLOOKUP($A156,'GeneratingCapabilityList sorted'!$E$9:$O$801,8,FALSE),"NoneListed")</f>
        <v>NATURAL GAS</v>
      </c>
      <c r="W156" s="454">
        <f>IF($AB156,$AB156,IF($AA156,$AA156,Scenarios!$B$43))</f>
        <v>32307</v>
      </c>
      <c r="X156" s="454"/>
      <c r="Y156" s="454"/>
      <c r="Z156" s="454"/>
      <c r="AA156" s="454">
        <f>IFERROR(VLOOKUP($A156,'GeneratingCapabilityList sorted'!$E$9:$O$801,11,FALSE),Scenarios!$B$43)</f>
        <v>32307</v>
      </c>
      <c r="AB156" s="453"/>
      <c r="AC156" s="453"/>
    </row>
    <row r="157" spans="1:29" x14ac:dyDescent="0.25">
      <c r="A157" s="65" t="s">
        <v>1807</v>
      </c>
      <c r="B157" s="65" t="s">
        <v>3604</v>
      </c>
      <c r="C157" s="66" t="s">
        <v>3477</v>
      </c>
      <c r="D157" s="66" t="s">
        <v>3385</v>
      </c>
      <c r="E157" s="67">
        <v>0</v>
      </c>
      <c r="F157" s="68">
        <v>44.53</v>
      </c>
      <c r="G157" s="68">
        <v>34.950000000000003</v>
      </c>
      <c r="H157" s="68">
        <v>42.12</v>
      </c>
      <c r="I157" s="68">
        <v>30.74</v>
      </c>
      <c r="J157" s="68">
        <v>35.79</v>
      </c>
      <c r="K157" s="68">
        <v>36.880000000000003</v>
      </c>
      <c r="L157" s="68">
        <v>37.11</v>
      </c>
      <c r="M157" s="68">
        <v>34.409999999999997</v>
      </c>
      <c r="N157" s="68">
        <v>33.409999999999997</v>
      </c>
      <c r="O157" s="68">
        <v>37.04</v>
      </c>
      <c r="P157" s="68">
        <v>41.5</v>
      </c>
      <c r="Q157" s="68">
        <v>43.61</v>
      </c>
      <c r="R157" s="69" t="s">
        <v>3470</v>
      </c>
      <c r="S157" s="69" t="s">
        <v>3489</v>
      </c>
      <c r="T157" s="70" t="s">
        <v>3497</v>
      </c>
      <c r="U157" s="452"/>
      <c r="V157" s="453" t="str">
        <f>IF(VLOOKUP($A157,'GeneratingCapabilityList sorted'!$E$9:$O$801,8,FALSE)&lt;&gt;"",VLOOKUP($A157,'GeneratingCapabilityList sorted'!$E$9:$O$801,8,FALSE),"NoneListed")</f>
        <v>NATURAL GAS</v>
      </c>
      <c r="W157" s="454">
        <f>IF($AB157,$AB157,IF($AA157,$AA157,Scenarios!$B$43))</f>
        <v>32509</v>
      </c>
      <c r="X157" s="454"/>
      <c r="Y157" s="454"/>
      <c r="Z157" s="454"/>
      <c r="AA157" s="454">
        <f>IFERROR(VLOOKUP($A157,'GeneratingCapabilityList sorted'!$E$9:$O$801,11,FALSE),Scenarios!$B$43)</f>
        <v>32509</v>
      </c>
      <c r="AB157" s="453"/>
      <c r="AC157" s="453"/>
    </row>
    <row r="158" spans="1:29" x14ac:dyDescent="0.25">
      <c r="A158" s="65" t="s">
        <v>2305</v>
      </c>
      <c r="B158" s="86" t="s">
        <v>3605</v>
      </c>
      <c r="C158" s="87" t="s">
        <v>3477</v>
      </c>
      <c r="D158" s="87" t="s">
        <v>3387</v>
      </c>
      <c r="E158" s="71"/>
      <c r="F158" s="75">
        <v>6.5977999999999995E-2</v>
      </c>
      <c r="G158" s="75">
        <v>0.20786199999999999</v>
      </c>
      <c r="H158" s="75">
        <v>0.93104399999999998</v>
      </c>
      <c r="I158" s="75">
        <v>4.1581049999999999</v>
      </c>
      <c r="J158" s="75">
        <v>4.7251580000000004</v>
      </c>
      <c r="K158" s="75">
        <v>0.18661700000000001</v>
      </c>
      <c r="L158" s="75">
        <v>0.36389199999999999</v>
      </c>
      <c r="M158" s="75">
        <v>1.3906879999999999</v>
      </c>
      <c r="N158" s="75">
        <v>2.0939999999999999</v>
      </c>
      <c r="O158" s="75">
        <v>3.886819</v>
      </c>
      <c r="P158" s="75">
        <v>2.5012159999999999</v>
      </c>
      <c r="Q158" s="75">
        <v>0.68763399999999997</v>
      </c>
      <c r="R158" s="69" t="s">
        <v>3470</v>
      </c>
      <c r="S158" s="69" t="s">
        <v>3489</v>
      </c>
      <c r="T158" s="70" t="s">
        <v>3502</v>
      </c>
      <c r="U158" s="452"/>
      <c r="V158" s="453" t="str">
        <f>IF(VLOOKUP($A158,'GeneratingCapabilityList sorted'!$E$9:$O$801,8,FALSE)&lt;&gt;"",VLOOKUP($A158,'GeneratingCapabilityList sorted'!$E$9:$O$801,8,FALSE),"NoneListed")</f>
        <v>WATER</v>
      </c>
      <c r="W158" s="454">
        <f>IF($AB158,$AB158,IF($AA158,$AA158,Scenarios!$B$43))</f>
        <v>36892</v>
      </c>
      <c r="X158" s="454"/>
      <c r="Y158" s="454"/>
      <c r="Z158" s="454"/>
      <c r="AA158" s="454">
        <f>IFERROR(VLOOKUP($A158,'GeneratingCapabilityList sorted'!$E$9:$O$801,11,FALSE),Scenarios!$B$43)</f>
        <v>36892</v>
      </c>
      <c r="AB158" s="453"/>
      <c r="AC158" s="453"/>
    </row>
    <row r="159" spans="1:29" x14ac:dyDescent="0.25">
      <c r="A159" s="65" t="s">
        <v>409</v>
      </c>
      <c r="B159" s="65" t="s">
        <v>3606</v>
      </c>
      <c r="C159" s="66" t="s">
        <v>3468</v>
      </c>
      <c r="D159" s="66" t="s">
        <v>3508</v>
      </c>
      <c r="E159" s="67">
        <v>0</v>
      </c>
      <c r="F159" s="68">
        <v>65.95</v>
      </c>
      <c r="G159" s="68">
        <v>66.319999999999993</v>
      </c>
      <c r="H159" s="68">
        <v>67.86</v>
      </c>
      <c r="I159" s="68">
        <v>65.209999999999994</v>
      </c>
      <c r="J159" s="68">
        <v>70.099999999999994</v>
      </c>
      <c r="K159" s="68">
        <v>72</v>
      </c>
      <c r="L159" s="68">
        <v>72</v>
      </c>
      <c r="M159" s="68">
        <v>72</v>
      </c>
      <c r="N159" s="68">
        <v>72</v>
      </c>
      <c r="O159" s="68">
        <v>70.02</v>
      </c>
      <c r="P159" s="68">
        <v>67.92</v>
      </c>
      <c r="Q159" s="68">
        <v>66.81</v>
      </c>
      <c r="R159" s="69" t="s">
        <v>3470</v>
      </c>
      <c r="S159" s="69" t="s">
        <v>3489</v>
      </c>
      <c r="T159" s="70" t="s">
        <v>3484</v>
      </c>
      <c r="U159" s="452"/>
      <c r="V159" s="453" t="str">
        <f>IF(VLOOKUP($A159,'GeneratingCapabilityList sorted'!$E$9:$O$801,8,FALSE)&lt;&gt;"",VLOOKUP($A159,'GeneratingCapabilityList sorted'!$E$9:$O$801,8,FALSE),"NoneListed")</f>
        <v>WATER</v>
      </c>
      <c r="W159" s="454">
        <f>IF($AB159,$AB159,IF($AA159,$AA159,Scenarios!$B$43))</f>
        <v>20821</v>
      </c>
      <c r="X159" s="454"/>
      <c r="Y159" s="454"/>
      <c r="Z159" s="454"/>
      <c r="AA159" s="454">
        <f>IFERROR(VLOOKUP($A159,'GeneratingCapabilityList sorted'!$E$9:$O$801,11,FALSE),Scenarios!$B$43)</f>
        <v>20821</v>
      </c>
      <c r="AB159" s="453"/>
      <c r="AC159" s="453"/>
    </row>
    <row r="160" spans="1:29" x14ac:dyDescent="0.25">
      <c r="A160" s="72" t="s">
        <v>3607</v>
      </c>
      <c r="B160" s="72" t="s">
        <v>3607</v>
      </c>
      <c r="C160" s="73" t="s">
        <v>3468</v>
      </c>
      <c r="D160" s="73" t="s">
        <v>3488</v>
      </c>
      <c r="E160" s="74">
        <v>0</v>
      </c>
      <c r="F160" s="75">
        <v>27</v>
      </c>
      <c r="G160" s="75">
        <v>16</v>
      </c>
      <c r="H160" s="75">
        <v>17</v>
      </c>
      <c r="I160" s="75">
        <v>22</v>
      </c>
      <c r="J160" s="75">
        <v>28</v>
      </c>
      <c r="K160" s="75">
        <v>45</v>
      </c>
      <c r="L160" s="75">
        <v>87</v>
      </c>
      <c r="M160" s="75">
        <v>83</v>
      </c>
      <c r="N160" s="75">
        <v>41</v>
      </c>
      <c r="O160" s="75">
        <v>29</v>
      </c>
      <c r="P160" s="75">
        <v>25</v>
      </c>
      <c r="Q160" s="75">
        <v>19</v>
      </c>
      <c r="R160" s="69" t="s">
        <v>3470</v>
      </c>
      <c r="S160" s="76" t="s">
        <v>560</v>
      </c>
      <c r="T160" s="70" t="s">
        <v>3502</v>
      </c>
      <c r="U160" s="452"/>
      <c r="V160" s="453" t="e">
        <f>IF(VLOOKUP($A160,'GeneratingCapabilityList sorted'!$E$9:$O$801,8,FALSE)&lt;&gt;"",VLOOKUP($A160,'GeneratingCapabilityList sorted'!$E$9:$O$801,8,FALSE),"NoneListed")</f>
        <v>#N/A</v>
      </c>
      <c r="W160" s="454">
        <f>IF($AB160,$AB160,IF($AA160,$AA160,Scenarios!$B$43))</f>
        <v>29221</v>
      </c>
      <c r="X160" s="454"/>
      <c r="Y160" s="454"/>
      <c r="Z160" s="454"/>
      <c r="AA160" s="454">
        <f>IFERROR(VLOOKUP($A160,'GeneratingCapabilityList sorted'!$E$9:$O$801,11,FALSE),Scenarios!$B$43)</f>
        <v>29221</v>
      </c>
      <c r="AB160" s="453"/>
      <c r="AC160" s="453"/>
    </row>
    <row r="161" spans="1:29" x14ac:dyDescent="0.25">
      <c r="A161" s="65" t="s">
        <v>1852</v>
      </c>
      <c r="B161" s="65" t="s">
        <v>1853</v>
      </c>
      <c r="C161" s="66" t="s">
        <v>3468</v>
      </c>
      <c r="D161" s="66" t="s">
        <v>3505</v>
      </c>
      <c r="E161" s="67">
        <v>0</v>
      </c>
      <c r="F161" s="68">
        <v>32.020000000000003</v>
      </c>
      <c r="G161" s="68">
        <v>48.93</v>
      </c>
      <c r="H161" s="68">
        <v>46.3</v>
      </c>
      <c r="I161" s="68">
        <v>48.3</v>
      </c>
      <c r="J161" s="68">
        <v>29.92</v>
      </c>
      <c r="K161" s="68">
        <v>24.28</v>
      </c>
      <c r="L161" s="68">
        <v>38.68</v>
      </c>
      <c r="M161" s="68">
        <v>37.5</v>
      </c>
      <c r="N161" s="68">
        <v>26.44</v>
      </c>
      <c r="O161" s="68">
        <v>35.619999999999997</v>
      </c>
      <c r="P161" s="68">
        <v>22</v>
      </c>
      <c r="Q161" s="68">
        <v>16.12</v>
      </c>
      <c r="R161" s="69" t="s">
        <v>3470</v>
      </c>
      <c r="S161" s="69" t="s">
        <v>3489</v>
      </c>
      <c r="T161" s="70" t="s">
        <v>3497</v>
      </c>
      <c r="U161" s="452"/>
      <c r="V161" s="453" t="str">
        <f>IF(VLOOKUP($A161,'GeneratingCapabilityList sorted'!$E$9:$O$801,8,FALSE)&lt;&gt;"",VLOOKUP($A161,'GeneratingCapabilityList sorted'!$E$9:$O$801,8,FALSE),"NoneListed")</f>
        <v>NATURAL GAS</v>
      </c>
      <c r="W161" s="454">
        <f>IF($AB161,$AB161,IF($AA161,$AA161,Scenarios!$B$43))</f>
        <v>32581</v>
      </c>
      <c r="X161" s="454"/>
      <c r="Y161" s="454"/>
      <c r="Z161" s="454"/>
      <c r="AA161" s="454">
        <f>IFERROR(VLOOKUP($A161,'GeneratingCapabilityList sorted'!$E$9:$O$801,11,FALSE),Scenarios!$B$43)</f>
        <v>32581</v>
      </c>
      <c r="AB161" s="453"/>
      <c r="AC161" s="453"/>
    </row>
    <row r="162" spans="1:29" x14ac:dyDescent="0.25">
      <c r="A162" s="65" t="s">
        <v>2470</v>
      </c>
      <c r="B162" s="65" t="s">
        <v>3608</v>
      </c>
      <c r="C162" s="66" t="s">
        <v>3477</v>
      </c>
      <c r="D162" s="66" t="s">
        <v>3387</v>
      </c>
      <c r="E162" s="67">
        <v>0</v>
      </c>
      <c r="F162" s="68">
        <v>36</v>
      </c>
      <c r="G162" s="68">
        <v>36</v>
      </c>
      <c r="H162" s="68">
        <v>36</v>
      </c>
      <c r="I162" s="68">
        <v>36</v>
      </c>
      <c r="J162" s="68">
        <v>36</v>
      </c>
      <c r="K162" s="68">
        <v>36</v>
      </c>
      <c r="L162" s="68">
        <v>36</v>
      </c>
      <c r="M162" s="68">
        <v>36</v>
      </c>
      <c r="N162" s="68">
        <v>36</v>
      </c>
      <c r="O162" s="68">
        <v>36</v>
      </c>
      <c r="P162" s="68">
        <v>36</v>
      </c>
      <c r="Q162" s="68">
        <v>36</v>
      </c>
      <c r="R162" s="69" t="s">
        <v>3470</v>
      </c>
      <c r="S162" s="69" t="s">
        <v>3471</v>
      </c>
      <c r="T162" s="70" t="s">
        <v>3472</v>
      </c>
      <c r="U162" s="452"/>
      <c r="V162" s="453" t="str">
        <f>IF(VLOOKUP($A162,'GeneratingCapabilityList sorted'!$E$9:$O$801,8,FALSE)&lt;&gt;"",VLOOKUP($A162,'GeneratingCapabilityList sorted'!$E$9:$O$801,8,FALSE),"NoneListed")</f>
        <v>NATURAL GAS</v>
      </c>
      <c r="W162" s="454">
        <f>IF($AB162,$AB162,IF($AA162,$AA162,Scenarios!$B$43))</f>
        <v>37117</v>
      </c>
      <c r="X162" s="454"/>
      <c r="Y162" s="454"/>
      <c r="Z162" s="454"/>
      <c r="AA162" s="454">
        <f>IFERROR(VLOOKUP($A162,'GeneratingCapabilityList sorted'!$E$9:$O$801,11,FALSE),Scenarios!$B$43)</f>
        <v>37117</v>
      </c>
      <c r="AB162" s="453"/>
      <c r="AC162" s="453"/>
    </row>
    <row r="163" spans="1:29" x14ac:dyDescent="0.25">
      <c r="A163" s="65" t="s">
        <v>146</v>
      </c>
      <c r="B163" s="65" t="s">
        <v>3609</v>
      </c>
      <c r="C163" s="66" t="s">
        <v>3468</v>
      </c>
      <c r="D163" s="66" t="s">
        <v>3510</v>
      </c>
      <c r="E163" s="67">
        <v>0</v>
      </c>
      <c r="F163" s="68">
        <v>26</v>
      </c>
      <c r="G163" s="68">
        <v>26</v>
      </c>
      <c r="H163" s="68">
        <v>26</v>
      </c>
      <c r="I163" s="68">
        <v>26</v>
      </c>
      <c r="J163" s="68">
        <v>26</v>
      </c>
      <c r="K163" s="68">
        <v>26</v>
      </c>
      <c r="L163" s="68">
        <v>26</v>
      </c>
      <c r="M163" s="68">
        <v>26</v>
      </c>
      <c r="N163" s="68">
        <v>26</v>
      </c>
      <c r="O163" s="68">
        <v>26</v>
      </c>
      <c r="P163" s="68">
        <v>26</v>
      </c>
      <c r="Q163" s="68">
        <v>26</v>
      </c>
      <c r="R163" s="69" t="s">
        <v>3470</v>
      </c>
      <c r="S163" s="69" t="s">
        <v>3489</v>
      </c>
      <c r="T163" s="70" t="s">
        <v>3484</v>
      </c>
      <c r="U163" s="452"/>
      <c r="V163" s="453" t="str">
        <f>IF(VLOOKUP($A163,'GeneratingCapabilityList sorted'!$E$9:$O$801,8,FALSE)&lt;&gt;"",VLOOKUP($A163,'GeneratingCapabilityList sorted'!$E$9:$O$801,8,FALSE),"NoneListed")</f>
        <v>WATER</v>
      </c>
      <c r="W163" s="454">
        <f>IF($AB163,$AB163,IF($AA163,$AA163,Scenarios!$B$43))</f>
        <v>4750</v>
      </c>
      <c r="X163" s="454"/>
      <c r="Y163" s="454"/>
      <c r="Z163" s="454"/>
      <c r="AA163" s="454">
        <f>IFERROR(VLOOKUP($A163,'GeneratingCapabilityList sorted'!$E$9:$O$801,11,FALSE),Scenarios!$B$43)</f>
        <v>4750</v>
      </c>
      <c r="AB163" s="453"/>
      <c r="AC163" s="453"/>
    </row>
    <row r="164" spans="1:29" x14ac:dyDescent="0.25">
      <c r="A164" s="65" t="s">
        <v>221</v>
      </c>
      <c r="B164" s="65" t="s">
        <v>3610</v>
      </c>
      <c r="C164" s="66" t="s">
        <v>3468</v>
      </c>
      <c r="D164" s="66" t="s">
        <v>3510</v>
      </c>
      <c r="E164" s="67">
        <v>0</v>
      </c>
      <c r="F164" s="68">
        <v>27.4</v>
      </c>
      <c r="G164" s="68">
        <v>27.4</v>
      </c>
      <c r="H164" s="68">
        <v>27.4</v>
      </c>
      <c r="I164" s="68">
        <v>27.4</v>
      </c>
      <c r="J164" s="68">
        <v>27.4</v>
      </c>
      <c r="K164" s="68">
        <v>27.4</v>
      </c>
      <c r="L164" s="68">
        <v>27.4</v>
      </c>
      <c r="M164" s="68">
        <v>27.4</v>
      </c>
      <c r="N164" s="68">
        <v>27.4</v>
      </c>
      <c r="O164" s="68">
        <v>27.4</v>
      </c>
      <c r="P164" s="68">
        <v>27.4</v>
      </c>
      <c r="Q164" s="68">
        <v>27.4</v>
      </c>
      <c r="R164" s="69" t="s">
        <v>3470</v>
      </c>
      <c r="S164" s="69" t="s">
        <v>3489</v>
      </c>
      <c r="T164" s="70" t="s">
        <v>3484</v>
      </c>
      <c r="U164" s="452"/>
      <c r="V164" s="453" t="str">
        <f>IF(VLOOKUP($A164,'GeneratingCapabilityList sorted'!$E$9:$O$801,8,FALSE)&lt;&gt;"",VLOOKUP($A164,'GeneratingCapabilityList sorted'!$E$9:$O$801,8,FALSE),"NoneListed")</f>
        <v>WATER</v>
      </c>
      <c r="W164" s="454">
        <f>IF($AB164,$AB164,IF($AA164,$AA164,Scenarios!$B$43))</f>
        <v>8037</v>
      </c>
      <c r="X164" s="454"/>
      <c r="Y164" s="454"/>
      <c r="Z164" s="454"/>
      <c r="AA164" s="454">
        <f>IFERROR(VLOOKUP($A164,'GeneratingCapabilityList sorted'!$E$9:$O$801,11,FALSE),Scenarios!$B$43)</f>
        <v>8037</v>
      </c>
      <c r="AB164" s="453"/>
      <c r="AC164" s="453"/>
    </row>
    <row r="165" spans="1:29" x14ac:dyDescent="0.25">
      <c r="A165" s="65" t="s">
        <v>511</v>
      </c>
      <c r="B165" s="65" t="s">
        <v>3611</v>
      </c>
      <c r="C165" s="66" t="s">
        <v>3468</v>
      </c>
      <c r="D165" s="66" t="s">
        <v>3510</v>
      </c>
      <c r="E165" s="67">
        <v>0</v>
      </c>
      <c r="F165" s="68">
        <v>49.5</v>
      </c>
      <c r="G165" s="68">
        <v>49.5</v>
      </c>
      <c r="H165" s="68">
        <v>49.5</v>
      </c>
      <c r="I165" s="68">
        <v>49.5</v>
      </c>
      <c r="J165" s="68">
        <v>49.5</v>
      </c>
      <c r="K165" s="68">
        <v>49.5</v>
      </c>
      <c r="L165" s="68">
        <v>49.5</v>
      </c>
      <c r="M165" s="68">
        <v>49.5</v>
      </c>
      <c r="N165" s="68">
        <v>49.5</v>
      </c>
      <c r="O165" s="68">
        <v>49.5</v>
      </c>
      <c r="P165" s="68">
        <v>49.5</v>
      </c>
      <c r="Q165" s="68">
        <v>49.5</v>
      </c>
      <c r="R165" s="69" t="s">
        <v>3470</v>
      </c>
      <c r="S165" s="69" t="s">
        <v>3489</v>
      </c>
      <c r="T165" s="70" t="s">
        <v>3484</v>
      </c>
      <c r="U165" s="452"/>
      <c r="V165" s="453" t="str">
        <f>IF(VLOOKUP($A165,'GeneratingCapabilityList sorted'!$E$9:$O$801,8,FALSE)&lt;&gt;"",VLOOKUP($A165,'GeneratingCapabilityList sorted'!$E$9:$O$801,8,FALSE),"NoneListed")</f>
        <v>WATER</v>
      </c>
      <c r="W165" s="454">
        <f>IF($AB165,$AB165,IF($AA165,$AA165,Scenarios!$B$43))</f>
        <v>23743</v>
      </c>
      <c r="X165" s="454"/>
      <c r="Y165" s="454"/>
      <c r="Z165" s="454"/>
      <c r="AA165" s="454">
        <f>IFERROR(VLOOKUP($A165,'GeneratingCapabilityList sorted'!$E$9:$O$801,11,FALSE),Scenarios!$B$43)</f>
        <v>23743</v>
      </c>
      <c r="AB165" s="453"/>
      <c r="AC165" s="453"/>
    </row>
    <row r="166" spans="1:29" x14ac:dyDescent="0.25">
      <c r="A166" s="65" t="s">
        <v>474</v>
      </c>
      <c r="B166" s="65" t="s">
        <v>3612</v>
      </c>
      <c r="C166" s="66" t="s">
        <v>3468</v>
      </c>
      <c r="D166" s="66" t="s">
        <v>3488</v>
      </c>
      <c r="E166" s="67">
        <v>0</v>
      </c>
      <c r="F166" s="68">
        <v>7.22</v>
      </c>
      <c r="G166" s="68">
        <v>6.01</v>
      </c>
      <c r="H166" s="68">
        <v>11.68</v>
      </c>
      <c r="I166" s="68">
        <v>7.98</v>
      </c>
      <c r="J166" s="68">
        <v>6.87</v>
      </c>
      <c r="K166" s="68">
        <v>14.68</v>
      </c>
      <c r="L166" s="68">
        <v>10.53</v>
      </c>
      <c r="M166" s="68">
        <v>8.36</v>
      </c>
      <c r="N166" s="68">
        <v>6.48</v>
      </c>
      <c r="O166" s="68">
        <v>5.04</v>
      </c>
      <c r="P166" s="68">
        <v>6.05</v>
      </c>
      <c r="Q166" s="68">
        <v>6.07</v>
      </c>
      <c r="R166" s="69" t="s">
        <v>3470</v>
      </c>
      <c r="S166" s="69" t="s">
        <v>3489</v>
      </c>
      <c r="T166" s="70" t="s">
        <v>3502</v>
      </c>
      <c r="U166" s="452"/>
      <c r="V166" s="453" t="str">
        <f>IF(VLOOKUP($A166,'GeneratingCapabilityList sorted'!$E$9:$O$801,8,FALSE)&lt;&gt;"",VLOOKUP($A166,'GeneratingCapabilityList sorted'!$E$9:$O$801,8,FALSE),"NoneListed")</f>
        <v>WATER</v>
      </c>
      <c r="W166" s="454">
        <f>IF($AB166,$AB166,IF($AA166,$AA166,Scenarios!$B$43))</f>
        <v>23012</v>
      </c>
      <c r="X166" s="454"/>
      <c r="Y166" s="454"/>
      <c r="Z166" s="454"/>
      <c r="AA166" s="454">
        <f>IFERROR(VLOOKUP($A166,'GeneratingCapabilityList sorted'!$E$9:$O$801,11,FALSE),Scenarios!$B$43)</f>
        <v>23012</v>
      </c>
      <c r="AB166" s="453"/>
      <c r="AC166" s="453"/>
    </row>
    <row r="167" spans="1:29" x14ac:dyDescent="0.25">
      <c r="A167" s="65" t="s">
        <v>2738</v>
      </c>
      <c r="B167" s="65" t="s">
        <v>3613</v>
      </c>
      <c r="C167" s="66" t="s">
        <v>3468</v>
      </c>
      <c r="D167" s="66" t="s">
        <v>3382</v>
      </c>
      <c r="E167" s="67">
        <v>147.80000000000001</v>
      </c>
      <c r="F167" s="68">
        <v>0</v>
      </c>
      <c r="G167" s="68">
        <v>0</v>
      </c>
      <c r="H167" s="68">
        <v>0</v>
      </c>
      <c r="I167" s="68">
        <v>0</v>
      </c>
      <c r="J167" s="68">
        <v>0</v>
      </c>
      <c r="K167" s="68">
        <v>0</v>
      </c>
      <c r="L167" s="68">
        <v>0</v>
      </c>
      <c r="M167" s="68">
        <v>0</v>
      </c>
      <c r="N167" s="68">
        <v>0</v>
      </c>
      <c r="O167" s="68">
        <v>0</v>
      </c>
      <c r="P167" s="68">
        <v>0</v>
      </c>
      <c r="Q167" s="68">
        <v>0</v>
      </c>
      <c r="R167" s="69" t="s">
        <v>3470</v>
      </c>
      <c r="S167" s="69" t="s">
        <v>3517</v>
      </c>
      <c r="T167" s="70" t="s">
        <v>3472</v>
      </c>
      <c r="U167" s="452"/>
      <c r="V167" s="453" t="str">
        <f>IF(VLOOKUP($A167,'GeneratingCapabilityList sorted'!$E$9:$O$801,8,FALSE)&lt;&gt;"",VLOOKUP($A167,'GeneratingCapabilityList sorted'!$E$9:$O$801,8,FALSE),"NoneListed")</f>
        <v>NATURAL GAS</v>
      </c>
      <c r="W167" s="454">
        <f>IF($AB167,$AB167,IF($AA167,$AA167,Scenarios!$B$43))</f>
        <v>38435</v>
      </c>
      <c r="X167" s="454"/>
      <c r="Y167" s="454"/>
      <c r="Z167" s="454"/>
      <c r="AA167" s="454">
        <f>IFERROR(VLOOKUP($A167,'GeneratingCapabilityList sorted'!$E$9:$O$801,11,FALSE),Scenarios!$B$43)</f>
        <v>38435</v>
      </c>
      <c r="AB167" s="453"/>
      <c r="AC167" s="453"/>
    </row>
    <row r="168" spans="1:29" x14ac:dyDescent="0.25">
      <c r="A168" s="65" t="s">
        <v>335</v>
      </c>
      <c r="B168" s="65" t="s">
        <v>3614</v>
      </c>
      <c r="C168" s="66" t="s">
        <v>3468</v>
      </c>
      <c r="D168" s="66" t="s">
        <v>3510</v>
      </c>
      <c r="E168" s="67">
        <v>0</v>
      </c>
      <c r="F168" s="68">
        <v>22</v>
      </c>
      <c r="G168" s="68">
        <v>22</v>
      </c>
      <c r="H168" s="68">
        <v>22</v>
      </c>
      <c r="I168" s="68">
        <v>22</v>
      </c>
      <c r="J168" s="68">
        <v>22</v>
      </c>
      <c r="K168" s="68">
        <v>22</v>
      </c>
      <c r="L168" s="68">
        <v>22</v>
      </c>
      <c r="M168" s="68">
        <v>22</v>
      </c>
      <c r="N168" s="68">
        <v>22</v>
      </c>
      <c r="O168" s="68">
        <v>22</v>
      </c>
      <c r="P168" s="68">
        <v>22</v>
      </c>
      <c r="Q168" s="68">
        <v>22</v>
      </c>
      <c r="R168" s="69" t="s">
        <v>3470</v>
      </c>
      <c r="S168" s="69" t="s">
        <v>3489</v>
      </c>
      <c r="T168" s="70" t="s">
        <v>3484</v>
      </c>
      <c r="U168" s="452"/>
      <c r="V168" s="453" t="str">
        <f>IF(VLOOKUP($A168,'GeneratingCapabilityList sorted'!$E$9:$O$801,8,FALSE)&lt;&gt;"",VLOOKUP($A168,'GeneratingCapabilityList sorted'!$E$9:$O$801,8,FALSE),"NoneListed")</f>
        <v>WATER</v>
      </c>
      <c r="W168" s="454">
        <f>IF($AB168,$AB168,IF($AA168,$AA168,Scenarios!$B$43))</f>
        <v>15707</v>
      </c>
      <c r="X168" s="454"/>
      <c r="Y168" s="454"/>
      <c r="Z168" s="454"/>
      <c r="AA168" s="454">
        <f>IFERROR(VLOOKUP($A168,'GeneratingCapabilityList sorted'!$E$9:$O$801,11,FALSE),Scenarios!$B$43)</f>
        <v>15707</v>
      </c>
      <c r="AB168" s="453"/>
      <c r="AC168" s="453"/>
    </row>
    <row r="169" spans="1:29" x14ac:dyDescent="0.25">
      <c r="A169" s="65" t="s">
        <v>513</v>
      </c>
      <c r="B169" s="65" t="s">
        <v>3615</v>
      </c>
      <c r="C169" s="66" t="s">
        <v>3468</v>
      </c>
      <c r="D169" s="66" t="s">
        <v>3510</v>
      </c>
      <c r="E169" s="67">
        <v>0</v>
      </c>
      <c r="F169" s="68">
        <v>26</v>
      </c>
      <c r="G169" s="68">
        <v>26</v>
      </c>
      <c r="H169" s="68">
        <v>26</v>
      </c>
      <c r="I169" s="68">
        <v>26</v>
      </c>
      <c r="J169" s="68">
        <v>26</v>
      </c>
      <c r="K169" s="68">
        <v>26</v>
      </c>
      <c r="L169" s="68">
        <v>26</v>
      </c>
      <c r="M169" s="68">
        <v>26</v>
      </c>
      <c r="N169" s="68">
        <v>26</v>
      </c>
      <c r="O169" s="68">
        <v>26</v>
      </c>
      <c r="P169" s="68">
        <v>26</v>
      </c>
      <c r="Q169" s="68">
        <v>26</v>
      </c>
      <c r="R169" s="69" t="s">
        <v>3470</v>
      </c>
      <c r="S169" s="69" t="s">
        <v>3489</v>
      </c>
      <c r="T169" s="70" t="s">
        <v>3484</v>
      </c>
      <c r="U169" s="452"/>
      <c r="V169" s="453" t="str">
        <f>IF(VLOOKUP($A169,'GeneratingCapabilityList sorted'!$E$9:$O$801,8,FALSE)&lt;&gt;"",VLOOKUP($A169,'GeneratingCapabilityList sorted'!$E$9:$O$801,8,FALSE),"NoneListed")</f>
        <v>WATER</v>
      </c>
      <c r="W169" s="454">
        <f>IF($AB169,$AB169,IF($AA169,$AA169,Scenarios!$B$43))</f>
        <v>23743</v>
      </c>
      <c r="X169" s="454"/>
      <c r="Y169" s="454"/>
      <c r="Z169" s="454"/>
      <c r="AA169" s="454">
        <f>IFERROR(VLOOKUP($A169,'GeneratingCapabilityList sorted'!$E$9:$O$801,11,FALSE),Scenarios!$B$43)</f>
        <v>23743</v>
      </c>
      <c r="AB169" s="453"/>
      <c r="AC169" s="453"/>
    </row>
    <row r="170" spans="1:29" x14ac:dyDescent="0.25">
      <c r="A170" s="72" t="s">
        <v>673</v>
      </c>
      <c r="B170" s="72" t="s">
        <v>3616</v>
      </c>
      <c r="C170" s="73" t="s">
        <v>3477</v>
      </c>
      <c r="D170" s="73" t="s">
        <v>3387</v>
      </c>
      <c r="E170" s="74">
        <v>0</v>
      </c>
      <c r="F170" s="75">
        <v>189</v>
      </c>
      <c r="G170" s="75">
        <v>235</v>
      </c>
      <c r="H170" s="75">
        <v>176</v>
      </c>
      <c r="I170" s="75">
        <v>202</v>
      </c>
      <c r="J170" s="75">
        <v>199</v>
      </c>
      <c r="K170" s="75">
        <v>235</v>
      </c>
      <c r="L170" s="75">
        <v>235</v>
      </c>
      <c r="M170" s="75">
        <v>235</v>
      </c>
      <c r="N170" s="75">
        <v>235</v>
      </c>
      <c r="O170" s="75">
        <v>235</v>
      </c>
      <c r="P170" s="75">
        <v>200</v>
      </c>
      <c r="Q170" s="75">
        <v>235</v>
      </c>
      <c r="R170" s="69" t="s">
        <v>3470</v>
      </c>
      <c r="S170" s="76" t="s">
        <v>560</v>
      </c>
      <c r="T170" s="70" t="s">
        <v>3484</v>
      </c>
      <c r="U170" s="452"/>
      <c r="V170" s="453" t="str">
        <f>IF(VLOOKUP($A170,'GeneratingCapabilityList sorted'!$E$9:$O$801,8,FALSE)&lt;&gt;"",VLOOKUP($A170,'GeneratingCapabilityList sorted'!$E$9:$O$801,8,FALSE),"NoneListed")</f>
        <v>WATER</v>
      </c>
      <c r="W170" s="454">
        <f>IF($AB170,$AB170,IF($AA170,$AA170,Scenarios!$B$43))</f>
        <v>26299</v>
      </c>
      <c r="X170" s="454"/>
      <c r="Y170" s="454"/>
      <c r="Z170" s="454"/>
      <c r="AA170" s="454">
        <f>IFERROR(VLOOKUP($A170,'GeneratingCapabilityList sorted'!$E$9:$O$801,11,FALSE),Scenarios!$B$43)</f>
        <v>26299</v>
      </c>
      <c r="AB170" s="453"/>
      <c r="AC170" s="453"/>
    </row>
    <row r="171" spans="1:29" x14ac:dyDescent="0.25">
      <c r="A171" s="65" t="s">
        <v>1483</v>
      </c>
      <c r="B171" s="65" t="s">
        <v>1484</v>
      </c>
      <c r="C171" s="66" t="s">
        <v>3477</v>
      </c>
      <c r="D171" s="66" t="s">
        <v>3388</v>
      </c>
      <c r="E171" s="67">
        <v>199</v>
      </c>
      <c r="F171" s="68">
        <v>0</v>
      </c>
      <c r="G171" s="68">
        <v>0</v>
      </c>
      <c r="H171" s="68">
        <v>0</v>
      </c>
      <c r="I171" s="68">
        <v>0</v>
      </c>
      <c r="J171" s="68">
        <v>0</v>
      </c>
      <c r="K171" s="68">
        <v>0</v>
      </c>
      <c r="L171" s="68">
        <v>0</v>
      </c>
      <c r="M171" s="68">
        <v>0</v>
      </c>
      <c r="N171" s="68">
        <v>0</v>
      </c>
      <c r="O171" s="68">
        <v>0</v>
      </c>
      <c r="P171" s="68">
        <v>0</v>
      </c>
      <c r="Q171" s="68">
        <v>0</v>
      </c>
      <c r="R171" s="69" t="s">
        <v>3470</v>
      </c>
      <c r="S171" s="69" t="s">
        <v>3489</v>
      </c>
      <c r="T171" s="70" t="s">
        <v>3484</v>
      </c>
      <c r="U171" s="452"/>
      <c r="V171" s="453" t="str">
        <f>IF(VLOOKUP($A171,'GeneratingCapabilityList sorted'!$E$9:$O$801,8,FALSE)&lt;&gt;"",VLOOKUP($A171,'GeneratingCapabilityList sorted'!$E$9:$O$801,8,FALSE),"NoneListed")</f>
        <v>WATER</v>
      </c>
      <c r="W171" s="454">
        <f>IF($AB171,$AB171,IF($AA171,$AA171,Scenarios!$B$43))</f>
        <v>31778</v>
      </c>
      <c r="X171" s="454"/>
      <c r="Y171" s="454"/>
      <c r="Z171" s="454"/>
      <c r="AA171" s="454">
        <f>IFERROR(VLOOKUP($A171,'GeneratingCapabilityList sorted'!$E$9:$O$801,11,FALSE),Scenarios!$B$43)</f>
        <v>31778</v>
      </c>
      <c r="AB171" s="453"/>
      <c r="AC171" s="453"/>
    </row>
    <row r="172" spans="1:29" x14ac:dyDescent="0.25">
      <c r="A172" s="72" t="s">
        <v>3617</v>
      </c>
      <c r="B172" s="72" t="s">
        <v>3617</v>
      </c>
      <c r="C172" s="73" t="s">
        <v>3477</v>
      </c>
      <c r="D172" s="73" t="s">
        <v>3388</v>
      </c>
      <c r="E172" s="74">
        <v>0</v>
      </c>
      <c r="F172" s="75">
        <v>300</v>
      </c>
      <c r="G172" s="75">
        <v>300</v>
      </c>
      <c r="H172" s="75">
        <v>423</v>
      </c>
      <c r="I172" s="75">
        <v>483</v>
      </c>
      <c r="J172" s="75">
        <v>363</v>
      </c>
      <c r="K172" s="75">
        <v>363</v>
      </c>
      <c r="L172" s="75">
        <v>483</v>
      </c>
      <c r="M172" s="75">
        <v>302</v>
      </c>
      <c r="N172" s="75">
        <v>483</v>
      </c>
      <c r="O172" s="75">
        <v>483</v>
      </c>
      <c r="P172" s="75">
        <v>423</v>
      </c>
      <c r="Q172" s="75">
        <v>302</v>
      </c>
      <c r="R172" s="69" t="s">
        <v>3470</v>
      </c>
      <c r="S172" s="76" t="s">
        <v>560</v>
      </c>
      <c r="T172" s="70" t="s">
        <v>3502</v>
      </c>
      <c r="U172" s="452"/>
      <c r="V172" s="453" t="e">
        <f>IF(VLOOKUP($A172,'GeneratingCapabilityList sorted'!$E$9:$O$801,8,FALSE)&lt;&gt;"",VLOOKUP($A172,'GeneratingCapabilityList sorted'!$E$9:$O$801,8,FALSE),"NoneListed")</f>
        <v>#N/A</v>
      </c>
      <c r="W172" s="454">
        <f>IF($AB172,$AB172,IF($AA172,$AA172,Scenarios!$B$43))</f>
        <v>29221</v>
      </c>
      <c r="X172" s="454"/>
      <c r="Y172" s="454"/>
      <c r="Z172" s="454"/>
      <c r="AA172" s="454">
        <f>IFERROR(VLOOKUP($A172,'GeneratingCapabilityList sorted'!$E$9:$O$801,11,FALSE),Scenarios!$B$43)</f>
        <v>29221</v>
      </c>
      <c r="AB172" s="453"/>
      <c r="AC172" s="453"/>
    </row>
    <row r="173" spans="1:29" x14ac:dyDescent="0.25">
      <c r="A173" s="65" t="s">
        <v>2282</v>
      </c>
      <c r="B173" s="65" t="s">
        <v>3618</v>
      </c>
      <c r="C173" s="66" t="s">
        <v>3477</v>
      </c>
      <c r="D173" s="66" t="s">
        <v>3385</v>
      </c>
      <c r="E173" s="67">
        <v>0</v>
      </c>
      <c r="F173" s="68">
        <v>0.65</v>
      </c>
      <c r="G173" s="68">
        <v>0.5</v>
      </c>
      <c r="H173" s="68">
        <v>0.6</v>
      </c>
      <c r="I173" s="68">
        <v>0.43</v>
      </c>
      <c r="J173" s="68">
        <v>0.3</v>
      </c>
      <c r="K173" s="68">
        <v>0.3</v>
      </c>
      <c r="L173" s="68">
        <v>0.18</v>
      </c>
      <c r="M173" s="68">
        <v>0.21</v>
      </c>
      <c r="N173" s="68">
        <v>0.16</v>
      </c>
      <c r="O173" s="68">
        <v>0.49</v>
      </c>
      <c r="P173" s="68">
        <v>0.6</v>
      </c>
      <c r="Q173" s="68">
        <v>0.91</v>
      </c>
      <c r="R173" s="69" t="s">
        <v>3470</v>
      </c>
      <c r="S173" s="69" t="s">
        <v>3489</v>
      </c>
      <c r="T173" s="70" t="s">
        <v>3497</v>
      </c>
      <c r="U173" s="452"/>
      <c r="V173" s="453" t="str">
        <f>IF(VLOOKUP($A173,'GeneratingCapabilityList sorted'!$E$9:$O$801,8,FALSE)&lt;&gt;"",VLOOKUP($A173,'GeneratingCapabilityList sorted'!$E$9:$O$801,8,FALSE),"NoneListed")</f>
        <v>LANDFILL GAS</v>
      </c>
      <c r="W173" s="454">
        <f>IF($AB173,$AB173,IF($AA173,$AA173,Scenarios!$B$43))</f>
        <v>36161</v>
      </c>
      <c r="X173" s="454"/>
      <c r="Y173" s="454"/>
      <c r="Z173" s="454"/>
      <c r="AA173" s="454">
        <f>IFERROR(VLOOKUP($A173,'GeneratingCapabilityList sorted'!$E$9:$O$801,11,FALSE),Scenarios!$B$43)</f>
        <v>36161</v>
      </c>
      <c r="AB173" s="453"/>
      <c r="AC173" s="453"/>
    </row>
    <row r="174" spans="1:29" x14ac:dyDescent="0.25">
      <c r="A174" s="65" t="s">
        <v>2981</v>
      </c>
      <c r="B174" s="65" t="s">
        <v>2982</v>
      </c>
      <c r="C174" s="66" t="s">
        <v>3477</v>
      </c>
      <c r="D174" s="66" t="s">
        <v>3385</v>
      </c>
      <c r="E174" s="67">
        <v>48.1</v>
      </c>
      <c r="F174" s="68">
        <v>0</v>
      </c>
      <c r="G174" s="68">
        <v>0</v>
      </c>
      <c r="H174" s="68">
        <v>0</v>
      </c>
      <c r="I174" s="68">
        <v>0</v>
      </c>
      <c r="J174" s="68">
        <v>0</v>
      </c>
      <c r="K174" s="68">
        <v>0</v>
      </c>
      <c r="L174" s="68">
        <v>0</v>
      </c>
      <c r="M174" s="68">
        <v>0</v>
      </c>
      <c r="N174" s="68">
        <v>0</v>
      </c>
      <c r="O174" s="68">
        <v>0</v>
      </c>
      <c r="P174" s="68">
        <v>0</v>
      </c>
      <c r="Q174" s="68">
        <v>0</v>
      </c>
      <c r="R174" s="69" t="s">
        <v>3470</v>
      </c>
      <c r="S174" s="69" t="s">
        <v>3489</v>
      </c>
      <c r="T174" s="70" t="s">
        <v>3472</v>
      </c>
      <c r="U174" s="452"/>
      <c r="V174" s="453" t="str">
        <f>IF(VLOOKUP($A174,'GeneratingCapabilityList sorted'!$E$9:$O$801,8,FALSE)&lt;&gt;"",VLOOKUP($A174,'GeneratingCapabilityList sorted'!$E$9:$O$801,8,FALSE),"NoneListed")</f>
        <v>NATURAL GAS</v>
      </c>
      <c r="W174" s="454">
        <f>IF($AB174,$AB174,IF($AA174,$AA174,Scenarios!$B$43))</f>
        <v>40345</v>
      </c>
      <c r="X174" s="454"/>
      <c r="Y174" s="454"/>
      <c r="Z174" s="454"/>
      <c r="AA174" s="454">
        <f>IFERROR(VLOOKUP($A174,'GeneratingCapabilityList sorted'!$E$9:$O$801,11,FALSE),Scenarios!$B$43)</f>
        <v>40345</v>
      </c>
      <c r="AB174" s="453"/>
      <c r="AC174" s="453"/>
    </row>
    <row r="175" spans="1:29" x14ac:dyDescent="0.25">
      <c r="A175" s="65" t="s">
        <v>2537</v>
      </c>
      <c r="B175" s="65" t="s">
        <v>3619</v>
      </c>
      <c r="C175" s="66" t="s">
        <v>3477</v>
      </c>
      <c r="D175" s="66" t="s">
        <v>3385</v>
      </c>
      <c r="E175" s="67">
        <v>45.42</v>
      </c>
      <c r="F175" s="68">
        <v>0</v>
      </c>
      <c r="G175" s="68">
        <v>0</v>
      </c>
      <c r="H175" s="68">
        <v>0</v>
      </c>
      <c r="I175" s="68">
        <v>0</v>
      </c>
      <c r="J175" s="68">
        <v>0</v>
      </c>
      <c r="K175" s="68">
        <v>0</v>
      </c>
      <c r="L175" s="68">
        <v>0</v>
      </c>
      <c r="M175" s="68">
        <v>0</v>
      </c>
      <c r="N175" s="68">
        <v>0</v>
      </c>
      <c r="O175" s="68">
        <v>0</v>
      </c>
      <c r="P175" s="68">
        <v>0</v>
      </c>
      <c r="Q175" s="68">
        <v>0</v>
      </c>
      <c r="R175" s="69" t="s">
        <v>3470</v>
      </c>
      <c r="S175" s="69" t="s">
        <v>3471</v>
      </c>
      <c r="T175" s="70" t="s">
        <v>3472</v>
      </c>
      <c r="U175" s="452"/>
      <c r="V175" s="453" t="str">
        <f>IF(VLOOKUP($A175,'GeneratingCapabilityList sorted'!$E$9:$O$801,8,FALSE)&lt;&gt;"",VLOOKUP($A175,'GeneratingCapabilityList sorted'!$E$9:$O$801,8,FALSE),"NoneListed")</f>
        <v>NATURAL GAS</v>
      </c>
      <c r="W175" s="454">
        <f>IF($AB175,$AB175,IF($AA175,$AA175,Scenarios!$B$43))</f>
        <v>37405</v>
      </c>
      <c r="X175" s="454"/>
      <c r="Y175" s="454"/>
      <c r="Z175" s="454"/>
      <c r="AA175" s="454">
        <f>IFERROR(VLOOKUP($A175,'GeneratingCapabilityList sorted'!$E$9:$O$801,11,FALSE),Scenarios!$B$43)</f>
        <v>37405</v>
      </c>
      <c r="AB175" s="453"/>
      <c r="AC175" s="453"/>
    </row>
    <row r="176" spans="1:29" x14ac:dyDescent="0.25">
      <c r="A176" s="65" t="s">
        <v>596</v>
      </c>
      <c r="B176" s="65" t="s">
        <v>3620</v>
      </c>
      <c r="C176" s="66" t="s">
        <v>3477</v>
      </c>
      <c r="D176" s="66" t="s">
        <v>3385</v>
      </c>
      <c r="E176" s="67">
        <v>16</v>
      </c>
      <c r="F176" s="68">
        <v>0</v>
      </c>
      <c r="G176" s="68">
        <v>0</v>
      </c>
      <c r="H176" s="68">
        <v>0</v>
      </c>
      <c r="I176" s="68">
        <v>0</v>
      </c>
      <c r="J176" s="68">
        <v>0</v>
      </c>
      <c r="K176" s="68">
        <v>0</v>
      </c>
      <c r="L176" s="68">
        <v>0</v>
      </c>
      <c r="M176" s="68">
        <v>0</v>
      </c>
      <c r="N176" s="68">
        <v>0</v>
      </c>
      <c r="O176" s="68">
        <v>0</v>
      </c>
      <c r="P176" s="68">
        <v>0</v>
      </c>
      <c r="Q176" s="68">
        <v>0</v>
      </c>
      <c r="R176" s="69" t="s">
        <v>3470</v>
      </c>
      <c r="S176" s="69" t="s">
        <v>3471</v>
      </c>
      <c r="T176" s="70" t="s">
        <v>3472</v>
      </c>
      <c r="U176" s="452"/>
      <c r="V176" s="453" t="str">
        <f>IF(VLOOKUP($A176,'GeneratingCapabilityList sorted'!$E$9:$O$801,8,FALSE)&lt;&gt;"",VLOOKUP($A176,'GeneratingCapabilityList sorted'!$E$9:$O$801,8,FALSE),"NoneListed")</f>
        <v>NATURAL GAS</v>
      </c>
      <c r="W176" s="454">
        <f>IF($AB176,$AB176,IF($AA176,$AA176,Scenarios!$B$43))</f>
        <v>24838</v>
      </c>
      <c r="X176" s="454"/>
      <c r="Y176" s="454"/>
      <c r="Z176" s="454"/>
      <c r="AA176" s="454">
        <f>IFERROR(VLOOKUP($A176,'GeneratingCapabilityList sorted'!$E$9:$O$801,11,FALSE),Scenarios!$B$43)</f>
        <v>24838</v>
      </c>
      <c r="AB176" s="453"/>
      <c r="AC176" s="453"/>
    </row>
    <row r="177" spans="1:29" x14ac:dyDescent="0.25">
      <c r="A177" s="65" t="s">
        <v>2763</v>
      </c>
      <c r="B177" s="65" t="s">
        <v>3621</v>
      </c>
      <c r="C177" s="66" t="s">
        <v>3468</v>
      </c>
      <c r="D177" s="66" t="s">
        <v>3510</v>
      </c>
      <c r="E177" s="67">
        <v>11</v>
      </c>
      <c r="F177" s="68">
        <v>0</v>
      </c>
      <c r="G177" s="68">
        <v>0</v>
      </c>
      <c r="H177" s="68">
        <v>0</v>
      </c>
      <c r="I177" s="68">
        <v>0</v>
      </c>
      <c r="J177" s="68">
        <v>0</v>
      </c>
      <c r="K177" s="68">
        <v>0</v>
      </c>
      <c r="L177" s="68">
        <v>0</v>
      </c>
      <c r="M177" s="68">
        <v>0</v>
      </c>
      <c r="N177" s="68">
        <v>0</v>
      </c>
      <c r="O177" s="68">
        <v>0</v>
      </c>
      <c r="P177" s="68">
        <v>0</v>
      </c>
      <c r="Q177" s="68">
        <v>0</v>
      </c>
      <c r="R177" s="69" t="s">
        <v>3470</v>
      </c>
      <c r="S177" s="69" t="s">
        <v>3489</v>
      </c>
      <c r="T177" s="70" t="s">
        <v>3484</v>
      </c>
      <c r="U177" s="452"/>
      <c r="V177" s="453" t="str">
        <f>IF(VLOOKUP($A177,'GeneratingCapabilityList sorted'!$E$9:$O$801,8,FALSE)&lt;&gt;"",VLOOKUP($A177,'GeneratingCapabilityList sorted'!$E$9:$O$801,8,FALSE),"NoneListed")</f>
        <v>WATER</v>
      </c>
      <c r="W177" s="454">
        <f>IF($AB177,$AB177,IF($AA177,$AA177,Scenarios!$B$43))</f>
        <v>38493</v>
      </c>
      <c r="X177" s="454"/>
      <c r="Y177" s="454"/>
      <c r="Z177" s="454"/>
      <c r="AA177" s="454">
        <f>IFERROR(VLOOKUP($A177,'GeneratingCapabilityList sorted'!$E$9:$O$801,11,FALSE),Scenarios!$B$43)</f>
        <v>38493</v>
      </c>
      <c r="AB177" s="453"/>
      <c r="AC177" s="453"/>
    </row>
    <row r="178" spans="1:29" x14ac:dyDescent="0.25">
      <c r="A178" s="65" t="s">
        <v>2767</v>
      </c>
      <c r="B178" s="65" t="s">
        <v>3622</v>
      </c>
      <c r="C178" s="66" t="s">
        <v>3468</v>
      </c>
      <c r="D178" s="66" t="s">
        <v>3510</v>
      </c>
      <c r="E178" s="67">
        <v>11</v>
      </c>
      <c r="F178" s="68">
        <v>0</v>
      </c>
      <c r="G178" s="68">
        <v>0</v>
      </c>
      <c r="H178" s="68">
        <v>0</v>
      </c>
      <c r="I178" s="68">
        <v>0</v>
      </c>
      <c r="J178" s="68">
        <v>0</v>
      </c>
      <c r="K178" s="68">
        <v>0</v>
      </c>
      <c r="L178" s="68">
        <v>0</v>
      </c>
      <c r="M178" s="68">
        <v>0</v>
      </c>
      <c r="N178" s="68">
        <v>0</v>
      </c>
      <c r="O178" s="68">
        <v>0</v>
      </c>
      <c r="P178" s="68">
        <v>0</v>
      </c>
      <c r="Q178" s="68">
        <v>0</v>
      </c>
      <c r="R178" s="69" t="s">
        <v>3470</v>
      </c>
      <c r="S178" s="69" t="s">
        <v>3489</v>
      </c>
      <c r="T178" s="70" t="s">
        <v>3484</v>
      </c>
      <c r="U178" s="452"/>
      <c r="V178" s="453" t="str">
        <f>IF(VLOOKUP($A178,'GeneratingCapabilityList sorted'!$E$9:$O$801,8,FALSE)&lt;&gt;"",VLOOKUP($A178,'GeneratingCapabilityList sorted'!$E$9:$O$801,8,FALSE),"NoneListed")</f>
        <v>WATER</v>
      </c>
      <c r="W178" s="454">
        <f>IF($AB178,$AB178,IF($AA178,$AA178,Scenarios!$B$43))</f>
        <v>38493</v>
      </c>
      <c r="X178" s="454"/>
      <c r="Y178" s="454"/>
      <c r="Z178" s="454"/>
      <c r="AA178" s="454">
        <f>IFERROR(VLOOKUP($A178,'GeneratingCapabilityList sorted'!$E$9:$O$801,11,FALSE),Scenarios!$B$43)</f>
        <v>38493</v>
      </c>
      <c r="AB178" s="453"/>
      <c r="AC178" s="453"/>
    </row>
    <row r="179" spans="1:29" x14ac:dyDescent="0.25">
      <c r="A179" s="65" t="s">
        <v>352</v>
      </c>
      <c r="B179" s="65" t="s">
        <v>3623</v>
      </c>
      <c r="C179" s="66" t="s">
        <v>3468</v>
      </c>
      <c r="D179" s="66" t="s">
        <v>3488</v>
      </c>
      <c r="E179" s="67">
        <v>0</v>
      </c>
      <c r="F179" s="68">
        <v>98</v>
      </c>
      <c r="G179" s="68">
        <v>98</v>
      </c>
      <c r="H179" s="68">
        <v>98</v>
      </c>
      <c r="I179" s="68">
        <v>98</v>
      </c>
      <c r="J179" s="68">
        <v>98</v>
      </c>
      <c r="K179" s="68">
        <v>98</v>
      </c>
      <c r="L179" s="68">
        <v>98</v>
      </c>
      <c r="M179" s="68">
        <v>98</v>
      </c>
      <c r="N179" s="68">
        <v>98</v>
      </c>
      <c r="O179" s="68">
        <v>98</v>
      </c>
      <c r="P179" s="68">
        <v>98</v>
      </c>
      <c r="Q179" s="68">
        <v>98</v>
      </c>
      <c r="R179" s="69" t="s">
        <v>3470</v>
      </c>
      <c r="S179" s="69" t="s">
        <v>3489</v>
      </c>
      <c r="T179" s="70" t="s">
        <v>3484</v>
      </c>
      <c r="U179" s="452"/>
      <c r="V179" s="453" t="str">
        <f>IF(VLOOKUP($A179,'GeneratingCapabilityList sorted'!$E$9:$O$801,8,FALSE)&lt;&gt;"",VLOOKUP($A179,'GeneratingCapabilityList sorted'!$E$9:$O$801,8,FALSE),"NoneListed")</f>
        <v>WATER</v>
      </c>
      <c r="W179" s="454">
        <f>IF($AB179,$AB179,IF($AA179,$AA179,Scenarios!$B$43))</f>
        <v>17533</v>
      </c>
      <c r="X179" s="454"/>
      <c r="Y179" s="454"/>
      <c r="Z179" s="454"/>
      <c r="AA179" s="454">
        <f>IFERROR(VLOOKUP($A179,'GeneratingCapabilityList sorted'!$E$9:$O$801,11,FALSE),Scenarios!$B$43)</f>
        <v>17533</v>
      </c>
      <c r="AB179" s="453"/>
      <c r="AC179" s="453"/>
    </row>
    <row r="180" spans="1:29" x14ac:dyDescent="0.25">
      <c r="A180" s="65" t="s">
        <v>1316</v>
      </c>
      <c r="B180" s="65" t="s">
        <v>3624</v>
      </c>
      <c r="C180" s="66" t="s">
        <v>3468</v>
      </c>
      <c r="D180" s="66" t="s">
        <v>3488</v>
      </c>
      <c r="E180" s="67">
        <v>0</v>
      </c>
      <c r="F180" s="68">
        <v>1.8</v>
      </c>
      <c r="G180" s="68">
        <v>2.4</v>
      </c>
      <c r="H180" s="68">
        <v>2.7</v>
      </c>
      <c r="I180" s="68">
        <v>2.2000000000000002</v>
      </c>
      <c r="J180" s="68">
        <v>1.6</v>
      </c>
      <c r="K180" s="68">
        <v>1.7</v>
      </c>
      <c r="L180" s="68">
        <v>2.2000000000000002</v>
      </c>
      <c r="M180" s="68">
        <v>2</v>
      </c>
      <c r="N180" s="68">
        <v>1.4</v>
      </c>
      <c r="O180" s="68">
        <v>0.4</v>
      </c>
      <c r="P180" s="68">
        <v>0.1</v>
      </c>
      <c r="Q180" s="68">
        <v>0.9</v>
      </c>
      <c r="R180" s="69" t="s">
        <v>3470</v>
      </c>
      <c r="S180" s="69" t="s">
        <v>3517</v>
      </c>
      <c r="T180" s="70" t="s">
        <v>3502</v>
      </c>
      <c r="U180" s="452"/>
      <c r="V180" s="453" t="str">
        <f>IF(VLOOKUP($A180,'GeneratingCapabilityList sorted'!$E$9:$O$801,8,FALSE)&lt;&gt;"",VLOOKUP($A180,'GeneratingCapabilityList sorted'!$E$9:$O$801,8,FALSE),"NoneListed")</f>
        <v>WATER</v>
      </c>
      <c r="W180" s="454">
        <f>IF($AB180,$AB180,IF($AA180,$AA180,Scenarios!$B$43))</f>
        <v>31413</v>
      </c>
      <c r="X180" s="454"/>
      <c r="Y180" s="454"/>
      <c r="Z180" s="454"/>
      <c r="AA180" s="454">
        <f>IFERROR(VLOOKUP($A180,'GeneratingCapabilityList sorted'!$E$9:$O$801,11,FALSE),Scenarios!$B$43)</f>
        <v>31413</v>
      </c>
      <c r="AB180" s="453"/>
      <c r="AC180" s="453"/>
    </row>
    <row r="181" spans="1:29" x14ac:dyDescent="0.25">
      <c r="A181" s="65" t="s">
        <v>2688</v>
      </c>
      <c r="B181" s="65" t="s">
        <v>3625</v>
      </c>
      <c r="C181" s="66" t="s">
        <v>3468</v>
      </c>
      <c r="D181" s="66" t="s">
        <v>3488</v>
      </c>
      <c r="E181" s="67">
        <v>550</v>
      </c>
      <c r="F181" s="68">
        <v>0</v>
      </c>
      <c r="G181" s="68">
        <v>0</v>
      </c>
      <c r="H181" s="68">
        <v>0</v>
      </c>
      <c r="I181" s="68">
        <v>0</v>
      </c>
      <c r="J181" s="68">
        <v>0</v>
      </c>
      <c r="K181" s="68">
        <v>0</v>
      </c>
      <c r="L181" s="68">
        <v>0</v>
      </c>
      <c r="M181" s="68">
        <v>0</v>
      </c>
      <c r="N181" s="68">
        <v>0</v>
      </c>
      <c r="O181" s="68">
        <v>0</v>
      </c>
      <c r="P181" s="68">
        <v>0</v>
      </c>
      <c r="Q181" s="68">
        <v>0</v>
      </c>
      <c r="R181" s="69" t="s">
        <v>3470</v>
      </c>
      <c r="S181" s="69" t="s">
        <v>3471</v>
      </c>
      <c r="T181" s="70" t="s">
        <v>3472</v>
      </c>
      <c r="U181" s="452"/>
      <c r="V181" s="453" t="str">
        <f>IF(VLOOKUP($A181,'GeneratingCapabilityList sorted'!$E$9:$O$801,8,FALSE)&lt;&gt;"",VLOOKUP($A181,'GeneratingCapabilityList sorted'!$E$9:$O$801,8,FALSE),"NoneListed")</f>
        <v>NATURAL GAS</v>
      </c>
      <c r="W181" s="454">
        <f>IF($AB181,$AB181,IF($AA181,$AA181,Scenarios!$B$43))</f>
        <v>37826</v>
      </c>
      <c r="X181" s="454"/>
      <c r="Y181" s="454"/>
      <c r="Z181" s="454"/>
      <c r="AA181" s="454">
        <f>IFERROR(VLOOKUP($A181,'GeneratingCapabilityList sorted'!$E$9:$O$801,11,FALSE),Scenarios!$B$43)</f>
        <v>37826</v>
      </c>
      <c r="AB181" s="453"/>
      <c r="AC181" s="453"/>
    </row>
    <row r="182" spans="1:29" x14ac:dyDescent="0.25">
      <c r="A182" s="65" t="s">
        <v>2168</v>
      </c>
      <c r="B182" s="65" t="s">
        <v>3626</v>
      </c>
      <c r="C182" s="66" t="s">
        <v>3477</v>
      </c>
      <c r="D182" s="66" t="s">
        <v>3387</v>
      </c>
      <c r="E182" s="67">
        <v>0</v>
      </c>
      <c r="F182" s="68">
        <v>0.02</v>
      </c>
      <c r="G182" s="68">
        <v>0.01</v>
      </c>
      <c r="H182" s="68">
        <v>0</v>
      </c>
      <c r="I182" s="68">
        <v>0.01</v>
      </c>
      <c r="J182" s="68">
        <v>0</v>
      </c>
      <c r="K182" s="68">
        <v>0</v>
      </c>
      <c r="L182" s="68">
        <v>0</v>
      </c>
      <c r="M182" s="68">
        <v>0</v>
      </c>
      <c r="N182" s="68">
        <v>0</v>
      </c>
      <c r="O182" s="68">
        <v>0</v>
      </c>
      <c r="P182" s="68">
        <v>0</v>
      </c>
      <c r="Q182" s="68">
        <v>0</v>
      </c>
      <c r="R182" s="69" t="s">
        <v>3470</v>
      </c>
      <c r="S182" s="69" t="s">
        <v>3489</v>
      </c>
      <c r="T182" s="70" t="s">
        <v>3497</v>
      </c>
      <c r="U182" s="452"/>
      <c r="V182" s="453" t="str">
        <f>IF(VLOOKUP($A182,'GeneratingCapabilityList sorted'!$E$9:$O$801,8,FALSE)&lt;&gt;"",VLOOKUP($A182,'GeneratingCapabilityList sorted'!$E$9:$O$801,8,FALSE),"NoneListed")</f>
        <v>LANDFILL GAS</v>
      </c>
      <c r="W182" s="454">
        <f>IF($AB182,$AB182,IF($AA182,$AA182,Scenarios!$B$43))</f>
        <v>33970</v>
      </c>
      <c r="X182" s="454"/>
      <c r="Y182" s="454"/>
      <c r="Z182" s="454"/>
      <c r="AA182" s="454">
        <f>IFERROR(VLOOKUP($A182,'GeneratingCapabilityList sorted'!$E$9:$O$801,11,FALSE),Scenarios!$B$43)</f>
        <v>33970</v>
      </c>
      <c r="AB182" s="453"/>
      <c r="AC182" s="453"/>
    </row>
    <row r="183" spans="1:29" x14ac:dyDescent="0.25">
      <c r="A183" s="65" t="s">
        <v>2917</v>
      </c>
      <c r="B183" s="65" t="s">
        <v>2918</v>
      </c>
      <c r="C183" s="66" t="s">
        <v>3468</v>
      </c>
      <c r="D183" s="66" t="s">
        <v>3474</v>
      </c>
      <c r="E183" s="67">
        <v>0</v>
      </c>
      <c r="F183" s="68">
        <v>2.87</v>
      </c>
      <c r="G183" s="68">
        <v>3.11</v>
      </c>
      <c r="H183" s="68">
        <v>5.84</v>
      </c>
      <c r="I183" s="68">
        <v>2.72</v>
      </c>
      <c r="J183" s="68">
        <v>2.02</v>
      </c>
      <c r="K183" s="68">
        <v>4.03</v>
      </c>
      <c r="L183" s="68">
        <v>3.36</v>
      </c>
      <c r="M183" s="68">
        <v>3.16</v>
      </c>
      <c r="N183" s="68">
        <v>3.47</v>
      </c>
      <c r="O183" s="68">
        <v>3.52</v>
      </c>
      <c r="P183" s="68">
        <v>4.6100000000000003</v>
      </c>
      <c r="Q183" s="68">
        <v>3.34</v>
      </c>
      <c r="R183" s="69" t="s">
        <v>3470</v>
      </c>
      <c r="S183" s="69" t="s">
        <v>3489</v>
      </c>
      <c r="T183" s="70" t="s">
        <v>3497</v>
      </c>
      <c r="U183" s="452"/>
      <c r="V183" s="453" t="str">
        <f>IF(VLOOKUP($A183,'GeneratingCapabilityList sorted'!$E$9:$O$801,8,FALSE)&lt;&gt;"",VLOOKUP($A183,'GeneratingCapabilityList sorted'!$E$9:$O$801,8,FALSE),"NoneListed")</f>
        <v>LANDFILL GAS</v>
      </c>
      <c r="W183" s="454">
        <f>IF($AB183,$AB183,IF($AA183,$AA183,Scenarios!$B$43))</f>
        <v>39684</v>
      </c>
      <c r="X183" s="454"/>
      <c r="Y183" s="454"/>
      <c r="Z183" s="454"/>
      <c r="AA183" s="454">
        <f>IFERROR(VLOOKUP($A183,'GeneratingCapabilityList sorted'!$E$9:$O$801,11,FALSE),Scenarios!$B$43)</f>
        <v>39684</v>
      </c>
      <c r="AB183" s="453"/>
      <c r="AC183" s="453"/>
    </row>
    <row r="184" spans="1:29" x14ac:dyDescent="0.25">
      <c r="A184" s="65" t="s">
        <v>496</v>
      </c>
      <c r="B184" s="65" t="s">
        <v>3627</v>
      </c>
      <c r="C184" s="66" t="s">
        <v>3477</v>
      </c>
      <c r="D184" s="66" t="s">
        <v>3387</v>
      </c>
      <c r="E184" s="67">
        <v>335</v>
      </c>
      <c r="F184" s="68">
        <v>0</v>
      </c>
      <c r="G184" s="68">
        <v>0</v>
      </c>
      <c r="H184" s="68">
        <v>0</v>
      </c>
      <c r="I184" s="68">
        <v>0</v>
      </c>
      <c r="J184" s="68">
        <v>0</v>
      </c>
      <c r="K184" s="68">
        <v>0</v>
      </c>
      <c r="L184" s="68">
        <v>0</v>
      </c>
      <c r="M184" s="68">
        <v>0</v>
      </c>
      <c r="N184" s="68">
        <v>0</v>
      </c>
      <c r="O184" s="68">
        <v>0</v>
      </c>
      <c r="P184" s="68">
        <v>0</v>
      </c>
      <c r="Q184" s="68">
        <v>0</v>
      </c>
      <c r="R184" s="69" t="s">
        <v>3470</v>
      </c>
      <c r="S184" s="69" t="s">
        <v>3471</v>
      </c>
      <c r="T184" s="70" t="s">
        <v>3472</v>
      </c>
      <c r="U184" s="452" t="s">
        <v>29</v>
      </c>
      <c r="V184" s="453" t="str">
        <f>IF(VLOOKUP($A184,'GeneratingCapabilityList sorted'!$E$9:$O$801,8,FALSE)&lt;&gt;"",VLOOKUP($A184,'GeneratingCapabilityList sorted'!$E$9:$O$801,8,FALSE),"NoneListed")</f>
        <v>NATURAL GAS</v>
      </c>
      <c r="W184" s="454">
        <f>IF($AB184,$AB184,IF($AA184,$AA184,Scenarios!$B$43))</f>
        <v>23377</v>
      </c>
      <c r="X184" s="454">
        <f>OTC!G15</f>
        <v>42369</v>
      </c>
      <c r="Y184" s="454">
        <f>OTC!H15</f>
        <v>42369</v>
      </c>
      <c r="Z184" s="454"/>
      <c r="AA184" s="454">
        <f>IFERROR(VLOOKUP($A184,'GeneratingCapabilityList sorted'!$E$9:$O$801,11,FALSE),Scenarios!$B$43)</f>
        <v>23377</v>
      </c>
      <c r="AB184" s="453"/>
      <c r="AC184" s="453"/>
    </row>
    <row r="185" spans="1:29" x14ac:dyDescent="0.25">
      <c r="A185" s="65" t="s">
        <v>515</v>
      </c>
      <c r="B185" s="65" t="s">
        <v>3628</v>
      </c>
      <c r="C185" s="66" t="s">
        <v>3477</v>
      </c>
      <c r="D185" s="66" t="s">
        <v>3387</v>
      </c>
      <c r="E185" s="67">
        <v>335</v>
      </c>
      <c r="F185" s="68">
        <v>0</v>
      </c>
      <c r="G185" s="68">
        <v>0</v>
      </c>
      <c r="H185" s="68">
        <v>0</v>
      </c>
      <c r="I185" s="68">
        <v>0</v>
      </c>
      <c r="J185" s="68">
        <v>0</v>
      </c>
      <c r="K185" s="68">
        <v>0</v>
      </c>
      <c r="L185" s="68">
        <v>0</v>
      </c>
      <c r="M185" s="68">
        <v>0</v>
      </c>
      <c r="N185" s="68">
        <v>0</v>
      </c>
      <c r="O185" s="68">
        <v>0</v>
      </c>
      <c r="P185" s="68">
        <v>0</v>
      </c>
      <c r="Q185" s="68">
        <v>0</v>
      </c>
      <c r="R185" s="69" t="s">
        <v>3470</v>
      </c>
      <c r="S185" s="69" t="s">
        <v>3471</v>
      </c>
      <c r="T185" s="70" t="s">
        <v>3472</v>
      </c>
      <c r="U185" s="452" t="s">
        <v>29</v>
      </c>
      <c r="V185" s="453" t="str">
        <f>IF(VLOOKUP($A185,'GeneratingCapabilityList sorted'!$E$9:$O$801,8,FALSE)&lt;&gt;"",VLOOKUP($A185,'GeneratingCapabilityList sorted'!$E$9:$O$801,8,FALSE),"NoneListed")</f>
        <v>NATURAL GAS</v>
      </c>
      <c r="W185" s="454">
        <f>IF($AB185,$AB185,IF($AA185,$AA185,Scenarios!$B$43))</f>
        <v>23743</v>
      </c>
      <c r="X185" s="454">
        <f>OTC!G16</f>
        <v>42369</v>
      </c>
      <c r="Y185" s="454">
        <f>OTC!H16</f>
        <v>42369</v>
      </c>
      <c r="Z185" s="454"/>
      <c r="AA185" s="454">
        <f>IFERROR(VLOOKUP($A185,'GeneratingCapabilityList sorted'!$E$9:$O$801,11,FALSE),Scenarios!$B$43)</f>
        <v>23743</v>
      </c>
      <c r="AB185" s="453"/>
      <c r="AC185" s="453"/>
    </row>
    <row r="186" spans="1:29" x14ac:dyDescent="0.25">
      <c r="A186" s="65" t="s">
        <v>381</v>
      </c>
      <c r="B186" s="65" t="s">
        <v>3629</v>
      </c>
      <c r="C186" s="66" t="s">
        <v>3477</v>
      </c>
      <c r="D186" s="66" t="s">
        <v>3385</v>
      </c>
      <c r="E186" s="67">
        <v>106</v>
      </c>
      <c r="F186" s="68">
        <v>0</v>
      </c>
      <c r="G186" s="68">
        <v>0</v>
      </c>
      <c r="H186" s="68">
        <v>0</v>
      </c>
      <c r="I186" s="68">
        <v>0</v>
      </c>
      <c r="J186" s="68">
        <v>0</v>
      </c>
      <c r="K186" s="68">
        <v>0</v>
      </c>
      <c r="L186" s="68">
        <v>0</v>
      </c>
      <c r="M186" s="68">
        <v>0</v>
      </c>
      <c r="N186" s="68">
        <v>0</v>
      </c>
      <c r="O186" s="68">
        <v>0</v>
      </c>
      <c r="P186" s="68">
        <v>0</v>
      </c>
      <c r="Q186" s="68">
        <v>0</v>
      </c>
      <c r="R186" s="69" t="s">
        <v>3470</v>
      </c>
      <c r="S186" s="69" t="s">
        <v>3471</v>
      </c>
      <c r="T186" s="70" t="s">
        <v>3472</v>
      </c>
      <c r="U186" s="452" t="s">
        <v>29</v>
      </c>
      <c r="V186" s="453" t="str">
        <f>IF(VLOOKUP($A186,'GeneratingCapabilityList sorted'!$E$9:$O$801,8,FALSE)&lt;&gt;"",VLOOKUP($A186,'GeneratingCapabilityList sorted'!$E$9:$O$801,8,FALSE),"NoneListed")</f>
        <v>NATURAL GAS</v>
      </c>
      <c r="W186" s="454">
        <f>IF($AB186,$AB186,IF($AA186,$AA186,Scenarios!$B$43))</f>
        <v>19725</v>
      </c>
      <c r="X186" s="454">
        <f>OTC!G18</f>
        <v>43100</v>
      </c>
      <c r="Y186" s="454">
        <f>OTC!H18</f>
        <v>43100</v>
      </c>
      <c r="Z186" s="454"/>
      <c r="AA186" s="454">
        <f>IFERROR(VLOOKUP($A186,'GeneratingCapabilityList sorted'!$E$9:$O$801,11,FALSE),Scenarios!$B$43)</f>
        <v>19725</v>
      </c>
      <c r="AB186" s="453"/>
      <c r="AC186" s="453"/>
    </row>
    <row r="187" spans="1:29" x14ac:dyDescent="0.25">
      <c r="A187" s="65" t="s">
        <v>402</v>
      </c>
      <c r="B187" s="65" t="s">
        <v>3630</v>
      </c>
      <c r="C187" s="66" t="s">
        <v>3477</v>
      </c>
      <c r="D187" s="66" t="s">
        <v>3385</v>
      </c>
      <c r="E187" s="67">
        <v>104</v>
      </c>
      <c r="F187" s="68">
        <v>0</v>
      </c>
      <c r="G187" s="68">
        <v>0</v>
      </c>
      <c r="H187" s="68">
        <v>0</v>
      </c>
      <c r="I187" s="68">
        <v>0</v>
      </c>
      <c r="J187" s="68">
        <v>0</v>
      </c>
      <c r="K187" s="68">
        <v>0</v>
      </c>
      <c r="L187" s="68">
        <v>0</v>
      </c>
      <c r="M187" s="68">
        <v>0</v>
      </c>
      <c r="N187" s="68">
        <v>0</v>
      </c>
      <c r="O187" s="68">
        <v>0</v>
      </c>
      <c r="P187" s="68">
        <v>0</v>
      </c>
      <c r="Q187" s="68">
        <v>0</v>
      </c>
      <c r="R187" s="69" t="s">
        <v>3470</v>
      </c>
      <c r="S187" s="69" t="s">
        <v>3471</v>
      </c>
      <c r="T187" s="70" t="s">
        <v>3472</v>
      </c>
      <c r="U187" s="452" t="s">
        <v>29</v>
      </c>
      <c r="V187" s="453" t="str">
        <f>IF(VLOOKUP($A187,'GeneratingCapabilityList sorted'!$E$9:$O$801,8,FALSE)&lt;&gt;"",VLOOKUP($A187,'GeneratingCapabilityList sorted'!$E$9:$O$801,8,FALSE),"NoneListed")</f>
        <v>NATURAL GAS</v>
      </c>
      <c r="W187" s="454">
        <f>IF($AB187,$AB187,IF($AA187,$AA187,Scenarios!$B$43))</f>
        <v>20455</v>
      </c>
      <c r="X187" s="454">
        <f>OTC!G19</f>
        <v>43100</v>
      </c>
      <c r="Y187" s="454">
        <f>OTC!H19</f>
        <v>43100</v>
      </c>
      <c r="Z187" s="454"/>
      <c r="AA187" s="454">
        <f>IFERROR(VLOOKUP($A187,'GeneratingCapabilityList sorted'!$E$9:$O$801,11,FALSE),Scenarios!$B$43)</f>
        <v>20455</v>
      </c>
      <c r="AB187" s="453"/>
      <c r="AC187" s="453"/>
    </row>
    <row r="188" spans="1:29" x14ac:dyDescent="0.25">
      <c r="A188" s="65" t="s">
        <v>425</v>
      </c>
      <c r="B188" s="65" t="s">
        <v>3631</v>
      </c>
      <c r="C188" s="66" t="s">
        <v>3477</v>
      </c>
      <c r="D188" s="66" t="s">
        <v>3385</v>
      </c>
      <c r="E188" s="67">
        <v>110</v>
      </c>
      <c r="F188" s="68">
        <v>0</v>
      </c>
      <c r="G188" s="68">
        <v>0</v>
      </c>
      <c r="H188" s="68">
        <v>0</v>
      </c>
      <c r="I188" s="68">
        <v>0</v>
      </c>
      <c r="J188" s="68">
        <v>0</v>
      </c>
      <c r="K188" s="68">
        <v>0</v>
      </c>
      <c r="L188" s="68">
        <v>0</v>
      </c>
      <c r="M188" s="68">
        <v>0</v>
      </c>
      <c r="N188" s="68">
        <v>0</v>
      </c>
      <c r="O188" s="68">
        <v>0</v>
      </c>
      <c r="P188" s="68">
        <v>0</v>
      </c>
      <c r="Q188" s="68">
        <v>0</v>
      </c>
      <c r="R188" s="69" t="s">
        <v>3470</v>
      </c>
      <c r="S188" s="69" t="s">
        <v>3471</v>
      </c>
      <c r="T188" s="70" t="s">
        <v>3472</v>
      </c>
      <c r="U188" s="452" t="s">
        <v>29</v>
      </c>
      <c r="V188" s="453" t="str">
        <f>IF(VLOOKUP($A188,'GeneratingCapabilityList sorted'!$E$9:$O$801,8,FALSE)&lt;&gt;"",VLOOKUP($A188,'GeneratingCapabilityList sorted'!$E$9:$O$801,8,FALSE),"NoneListed")</f>
        <v>NATURAL GAS</v>
      </c>
      <c r="W188" s="454">
        <f>IF($AB188,$AB188,IF($AA188,$AA188,Scenarios!$B$43))</f>
        <v>21186</v>
      </c>
      <c r="X188" s="454">
        <f>OTC!G20</f>
        <v>43100</v>
      </c>
      <c r="Y188" s="454">
        <f>OTC!H20</f>
        <v>43100</v>
      </c>
      <c r="Z188" s="454"/>
      <c r="AA188" s="454">
        <f>IFERROR(VLOOKUP($A188,'GeneratingCapabilityList sorted'!$E$9:$O$801,11,FALSE),Scenarios!$B$43)</f>
        <v>21186</v>
      </c>
      <c r="AB188" s="453"/>
      <c r="AC188" s="453"/>
    </row>
    <row r="189" spans="1:29" x14ac:dyDescent="0.25">
      <c r="A189" s="65" t="s">
        <v>693</v>
      </c>
      <c r="B189" s="65" t="s">
        <v>3632</v>
      </c>
      <c r="C189" s="66" t="s">
        <v>3477</v>
      </c>
      <c r="D189" s="66" t="s">
        <v>3385</v>
      </c>
      <c r="E189" s="67">
        <v>300</v>
      </c>
      <c r="F189" s="68">
        <v>0</v>
      </c>
      <c r="G189" s="68">
        <v>0</v>
      </c>
      <c r="H189" s="68">
        <v>0</v>
      </c>
      <c r="I189" s="68">
        <v>0</v>
      </c>
      <c r="J189" s="68">
        <v>0</v>
      </c>
      <c r="K189" s="68">
        <v>0</v>
      </c>
      <c r="L189" s="68">
        <v>0</v>
      </c>
      <c r="M189" s="68">
        <v>0</v>
      </c>
      <c r="N189" s="68">
        <v>0</v>
      </c>
      <c r="O189" s="68">
        <v>0</v>
      </c>
      <c r="P189" s="68">
        <v>0</v>
      </c>
      <c r="Q189" s="68">
        <v>0</v>
      </c>
      <c r="R189" s="69" t="s">
        <v>3470</v>
      </c>
      <c r="S189" s="69" t="s">
        <v>3471</v>
      </c>
      <c r="T189" s="70" t="s">
        <v>3472</v>
      </c>
      <c r="U189" s="452" t="s">
        <v>29</v>
      </c>
      <c r="V189" s="453" t="str">
        <f>IF(VLOOKUP($A189,'GeneratingCapabilityList sorted'!$E$9:$O$801,8,FALSE)&lt;&gt;"",VLOOKUP($A189,'GeneratingCapabilityList sorted'!$E$9:$O$801,8,FALSE),"NoneListed")</f>
        <v>NATURAL GAS</v>
      </c>
      <c r="W189" s="454">
        <f>IF($AB189,$AB189,IF($AA189,$AA189,Scenarios!$B$43))</f>
        <v>26665</v>
      </c>
      <c r="X189" s="454">
        <f>OTC!G21</f>
        <v>43100</v>
      </c>
      <c r="Y189" s="454">
        <f>OTC!H21</f>
        <v>43100</v>
      </c>
      <c r="Z189" s="454"/>
      <c r="AA189" s="454">
        <f>IFERROR(VLOOKUP($A189,'GeneratingCapabilityList sorted'!$E$9:$O$801,11,FALSE),Scenarios!$B$43)</f>
        <v>26665</v>
      </c>
      <c r="AB189" s="453"/>
      <c r="AC189" s="453"/>
    </row>
    <row r="190" spans="1:29" x14ac:dyDescent="0.25">
      <c r="A190" s="65" t="s">
        <v>740</v>
      </c>
      <c r="B190" s="65" t="s">
        <v>3633</v>
      </c>
      <c r="C190" s="66" t="s">
        <v>3477</v>
      </c>
      <c r="D190" s="66" t="s">
        <v>3385</v>
      </c>
      <c r="E190" s="67">
        <v>330</v>
      </c>
      <c r="F190" s="68">
        <v>0</v>
      </c>
      <c r="G190" s="68">
        <v>0</v>
      </c>
      <c r="H190" s="68">
        <v>0</v>
      </c>
      <c r="I190" s="68">
        <v>0</v>
      </c>
      <c r="J190" s="68">
        <v>0</v>
      </c>
      <c r="K190" s="68">
        <v>0</v>
      </c>
      <c r="L190" s="68">
        <v>0</v>
      </c>
      <c r="M190" s="68">
        <v>0</v>
      </c>
      <c r="N190" s="68">
        <v>0</v>
      </c>
      <c r="O190" s="68">
        <v>0</v>
      </c>
      <c r="P190" s="68">
        <v>0</v>
      </c>
      <c r="Q190" s="68">
        <v>0</v>
      </c>
      <c r="R190" s="69" t="s">
        <v>3470</v>
      </c>
      <c r="S190" s="69" t="s">
        <v>3471</v>
      </c>
      <c r="T190" s="70" t="s">
        <v>3472</v>
      </c>
      <c r="U190" s="452" t="s">
        <v>29</v>
      </c>
      <c r="V190" s="453" t="str">
        <f>IF(VLOOKUP($A190,'GeneratingCapabilityList sorted'!$E$9:$O$801,8,FALSE)&lt;&gt;"",VLOOKUP($A190,'GeneratingCapabilityList sorted'!$E$9:$O$801,8,FALSE),"NoneListed")</f>
        <v>NATURAL GAS</v>
      </c>
      <c r="W190" s="454">
        <f>IF($AB190,$AB190,IF($AA190,$AA190,Scenarios!$B$43))</f>
        <v>28491</v>
      </c>
      <c r="X190" s="454">
        <f>OTC!G22</f>
        <v>43100</v>
      </c>
      <c r="Y190" s="454">
        <f>OTC!H22</f>
        <v>43100</v>
      </c>
      <c r="Z190" s="454"/>
      <c r="AA190" s="454">
        <f>IFERROR(VLOOKUP($A190,'GeneratingCapabilityList sorted'!$E$9:$O$801,11,FALSE),Scenarios!$B$43)</f>
        <v>28491</v>
      </c>
      <c r="AB190" s="453"/>
      <c r="AC190" s="453"/>
    </row>
    <row r="191" spans="1:29" x14ac:dyDescent="0.25">
      <c r="A191" s="65" t="s">
        <v>600</v>
      </c>
      <c r="B191" s="65" t="s">
        <v>3634</v>
      </c>
      <c r="C191" s="66" t="s">
        <v>3477</v>
      </c>
      <c r="D191" s="66" t="s">
        <v>3385</v>
      </c>
      <c r="E191" s="67">
        <v>14.5</v>
      </c>
      <c r="F191" s="68">
        <v>0</v>
      </c>
      <c r="G191" s="68">
        <v>0</v>
      </c>
      <c r="H191" s="68">
        <v>0</v>
      </c>
      <c r="I191" s="68">
        <v>0</v>
      </c>
      <c r="J191" s="68">
        <v>0</v>
      </c>
      <c r="K191" s="68">
        <v>0</v>
      </c>
      <c r="L191" s="68">
        <v>0</v>
      </c>
      <c r="M191" s="68">
        <v>0</v>
      </c>
      <c r="N191" s="68">
        <v>0</v>
      </c>
      <c r="O191" s="68">
        <v>0</v>
      </c>
      <c r="P191" s="68">
        <v>0</v>
      </c>
      <c r="Q191" s="68">
        <v>0</v>
      </c>
      <c r="R191" s="69" t="s">
        <v>3470</v>
      </c>
      <c r="S191" s="69" t="s">
        <v>3471</v>
      </c>
      <c r="T191" s="70" t="s">
        <v>3472</v>
      </c>
      <c r="U191" s="452" t="s">
        <v>29</v>
      </c>
      <c r="V191" s="453" t="str">
        <f>IF(VLOOKUP($A191,'GeneratingCapabilityList sorted'!$E$9:$O$801,8,FALSE)&lt;&gt;"",VLOOKUP($A191,'GeneratingCapabilityList sorted'!$E$9:$O$801,8,FALSE),"NoneListed")</f>
        <v>NATURAL GAS</v>
      </c>
      <c r="W191" s="454">
        <f>IF($AB191,$AB191,IF($AA191,$AA191,Scenarios!$B$43))</f>
        <v>24838</v>
      </c>
      <c r="X191" s="454">
        <f>OTC!G17</f>
        <v>43100</v>
      </c>
      <c r="Y191" s="454">
        <f>OTC!H17</f>
        <v>43100</v>
      </c>
      <c r="Z191" s="454"/>
      <c r="AA191" s="454">
        <f>IFERROR(VLOOKUP($A191,'GeneratingCapabilityList sorted'!$E$9:$O$801,11,FALSE),Scenarios!$B$43)</f>
        <v>24838</v>
      </c>
      <c r="AB191" s="453"/>
      <c r="AC191" s="453"/>
    </row>
    <row r="192" spans="1:29" x14ac:dyDescent="0.25">
      <c r="A192" s="72" t="s">
        <v>2861</v>
      </c>
      <c r="B192" s="72" t="s">
        <v>3635</v>
      </c>
      <c r="C192" s="66" t="s">
        <v>3477</v>
      </c>
      <c r="D192" s="73" t="s">
        <v>3385</v>
      </c>
      <c r="E192" s="67">
        <v>35.5</v>
      </c>
      <c r="F192" s="68">
        <v>0</v>
      </c>
      <c r="G192" s="68">
        <v>0</v>
      </c>
      <c r="H192" s="68">
        <v>0</v>
      </c>
      <c r="I192" s="68">
        <v>0</v>
      </c>
      <c r="J192" s="68">
        <v>0</v>
      </c>
      <c r="K192" s="68">
        <v>0</v>
      </c>
      <c r="L192" s="68">
        <v>0</v>
      </c>
      <c r="M192" s="68">
        <v>0</v>
      </c>
      <c r="N192" s="68">
        <v>0</v>
      </c>
      <c r="O192" s="68">
        <v>0</v>
      </c>
      <c r="P192" s="68">
        <v>0</v>
      </c>
      <c r="Q192" s="68">
        <v>0</v>
      </c>
      <c r="R192" s="76" t="s">
        <v>3470</v>
      </c>
      <c r="S192" s="76" t="s">
        <v>3471</v>
      </c>
      <c r="T192" s="70" t="s">
        <v>3472</v>
      </c>
      <c r="U192" s="452"/>
      <c r="V192" s="453" t="str">
        <f>IF(VLOOKUP($A192,'GeneratingCapabilityList sorted'!$E$9:$O$801,8,FALSE)&lt;&gt;"",VLOOKUP($A192,'GeneratingCapabilityList sorted'!$E$9:$O$801,8,FALSE),"NoneListed")</f>
        <v>NATURAL GAS</v>
      </c>
      <c r="W192" s="454">
        <f>IF($AB192,$AB192,IF($AA192,$AA192,Scenarios!$B$43))</f>
        <v>38875</v>
      </c>
      <c r="X192" s="454"/>
      <c r="Y192" s="454"/>
      <c r="Z192" s="454"/>
      <c r="AA192" s="454">
        <f>IFERROR(VLOOKUP($A192,'GeneratingCapabilityList sorted'!$E$9:$O$801,11,FALSE),Scenarios!$B$43)</f>
        <v>38875</v>
      </c>
      <c r="AB192" s="453"/>
      <c r="AC192" s="453"/>
    </row>
    <row r="193" spans="1:29" x14ac:dyDescent="0.25">
      <c r="A193" s="65" t="s">
        <v>2509</v>
      </c>
      <c r="B193" s="65" t="s">
        <v>3636</v>
      </c>
      <c r="C193" s="66" t="s">
        <v>3477</v>
      </c>
      <c r="D193" s="66" t="s">
        <v>3385</v>
      </c>
      <c r="E193" s="67">
        <v>48.04</v>
      </c>
      <c r="F193" s="68">
        <v>0</v>
      </c>
      <c r="G193" s="68">
        <v>0</v>
      </c>
      <c r="H193" s="68">
        <v>0</v>
      </c>
      <c r="I193" s="68">
        <v>0</v>
      </c>
      <c r="J193" s="68">
        <v>0</v>
      </c>
      <c r="K193" s="68">
        <v>0</v>
      </c>
      <c r="L193" s="68">
        <v>0</v>
      </c>
      <c r="M193" s="68">
        <v>0</v>
      </c>
      <c r="N193" s="68">
        <v>0</v>
      </c>
      <c r="O193" s="68">
        <v>0</v>
      </c>
      <c r="P193" s="68">
        <v>0</v>
      </c>
      <c r="Q193" s="68">
        <v>0</v>
      </c>
      <c r="R193" s="69" t="s">
        <v>3470</v>
      </c>
      <c r="S193" s="69" t="s">
        <v>3471</v>
      </c>
      <c r="T193" s="70" t="s">
        <v>3472</v>
      </c>
      <c r="U193" s="452"/>
      <c r="V193" s="453" t="str">
        <f>IF(VLOOKUP($A193,'GeneratingCapabilityList sorted'!$E$9:$O$801,8,FALSE)&lt;&gt;"",VLOOKUP($A193,'GeneratingCapabilityList sorted'!$E$9:$O$801,8,FALSE),"NoneListed")</f>
        <v>NATURAL GAS</v>
      </c>
      <c r="W193" s="454">
        <f>IF($AB193,$AB193,IF($AA193,$AA193,Scenarios!$B$43))</f>
        <v>37187</v>
      </c>
      <c r="X193" s="454"/>
      <c r="Y193" s="454"/>
      <c r="Z193" s="454"/>
      <c r="AA193" s="454">
        <f>IFERROR(VLOOKUP($A193,'GeneratingCapabilityList sorted'!$E$9:$O$801,11,FALSE),Scenarios!$B$43)</f>
        <v>37187</v>
      </c>
      <c r="AB193" s="453"/>
      <c r="AC193" s="453"/>
    </row>
    <row r="194" spans="1:29" x14ac:dyDescent="0.25">
      <c r="A194" s="65" t="s">
        <v>2203</v>
      </c>
      <c r="B194" s="65" t="s">
        <v>2204</v>
      </c>
      <c r="C194" s="66" t="s">
        <v>3477</v>
      </c>
      <c r="D194" s="66" t="s">
        <v>3385</v>
      </c>
      <c r="E194" s="67">
        <v>0</v>
      </c>
      <c r="F194" s="68">
        <v>43.72</v>
      </c>
      <c r="G194" s="68">
        <v>41.66</v>
      </c>
      <c r="H194" s="68">
        <v>47.71</v>
      </c>
      <c r="I194" s="68">
        <v>46.41</v>
      </c>
      <c r="J194" s="68">
        <v>42.98</v>
      </c>
      <c r="K194" s="68">
        <v>45.33</v>
      </c>
      <c r="L194" s="68">
        <v>41.59</v>
      </c>
      <c r="M194" s="68">
        <v>39.92</v>
      </c>
      <c r="N194" s="68">
        <v>37.090000000000003</v>
      </c>
      <c r="O194" s="68">
        <v>25.94</v>
      </c>
      <c r="P194" s="68">
        <v>40.03</v>
      </c>
      <c r="Q194" s="68">
        <v>40.42</v>
      </c>
      <c r="R194" s="69" t="s">
        <v>3470</v>
      </c>
      <c r="S194" s="69" t="s">
        <v>3489</v>
      </c>
      <c r="T194" s="70" t="s">
        <v>3497</v>
      </c>
      <c r="U194" s="452"/>
      <c r="V194" s="453" t="str">
        <f>IF(VLOOKUP($A194,'GeneratingCapabilityList sorted'!$E$9:$O$801,8,FALSE)&lt;&gt;"",VLOOKUP($A194,'GeneratingCapabilityList sorted'!$E$9:$O$801,8,FALSE),"NoneListed")</f>
        <v>NATURAL GAS</v>
      </c>
      <c r="W194" s="454">
        <f>IF($AB194,$AB194,IF($AA194,$AA194,Scenarios!$B$43))</f>
        <v>34335</v>
      </c>
      <c r="X194" s="454"/>
      <c r="Y194" s="454"/>
      <c r="Z194" s="454"/>
      <c r="AA194" s="454">
        <f>IFERROR(VLOOKUP($A194,'GeneratingCapabilityList sorted'!$E$9:$O$801,11,FALSE),Scenarios!$B$43)</f>
        <v>34335</v>
      </c>
      <c r="AB194" s="453"/>
      <c r="AC194" s="453"/>
    </row>
    <row r="195" spans="1:29" x14ac:dyDescent="0.25">
      <c r="A195" s="65" t="s">
        <v>68</v>
      </c>
      <c r="B195" s="65" t="s">
        <v>3637</v>
      </c>
      <c r="C195" s="66" t="s">
        <v>3477</v>
      </c>
      <c r="D195" s="66" t="s">
        <v>3387</v>
      </c>
      <c r="E195" s="67">
        <v>0</v>
      </c>
      <c r="F195" s="68">
        <v>0.94</v>
      </c>
      <c r="G195" s="68">
        <v>1.35</v>
      </c>
      <c r="H195" s="68">
        <v>1.6</v>
      </c>
      <c r="I195" s="68">
        <v>1.39</v>
      </c>
      <c r="J195" s="68">
        <v>1.3</v>
      </c>
      <c r="K195" s="68">
        <v>1.1200000000000001</v>
      </c>
      <c r="L195" s="68">
        <v>0.91</v>
      </c>
      <c r="M195" s="68">
        <v>0.81</v>
      </c>
      <c r="N195" s="68">
        <v>0.91</v>
      </c>
      <c r="O195" s="68">
        <v>0.95</v>
      </c>
      <c r="P195" s="68">
        <v>1.02</v>
      </c>
      <c r="Q195" s="68">
        <v>1.04</v>
      </c>
      <c r="R195" s="69" t="s">
        <v>3470</v>
      </c>
      <c r="S195" s="69" t="s">
        <v>3489</v>
      </c>
      <c r="T195" s="70" t="s">
        <v>3512</v>
      </c>
      <c r="U195" s="452"/>
      <c r="V195" s="453" t="str">
        <f>IF(VLOOKUP($A195,'GeneratingCapabilityList sorted'!$E$9:$O$801,8,FALSE)&lt;&gt;"",VLOOKUP($A195,'GeneratingCapabilityList sorted'!$E$9:$O$801,8,FALSE),"NoneListed")</f>
        <v>WATER</v>
      </c>
      <c r="W195" s="454">
        <f>IF($AB195,$AB195,IF($AA195,$AA195,Scenarios!$B$43))</f>
        <v>1462</v>
      </c>
      <c r="X195" s="454"/>
      <c r="Y195" s="454"/>
      <c r="Z195" s="454"/>
      <c r="AA195" s="454">
        <f>IFERROR(VLOOKUP($A195,'GeneratingCapabilityList sorted'!$E$9:$O$801,11,FALSE),Scenarios!$B$43)</f>
        <v>1462</v>
      </c>
      <c r="AB195" s="453"/>
      <c r="AC195" s="453"/>
    </row>
    <row r="196" spans="1:29" x14ac:dyDescent="0.25">
      <c r="A196" s="65" t="s">
        <v>257</v>
      </c>
      <c r="B196" s="65" t="s">
        <v>3638</v>
      </c>
      <c r="C196" s="66" t="s">
        <v>3477</v>
      </c>
      <c r="D196" s="66" t="s">
        <v>3387</v>
      </c>
      <c r="E196" s="67">
        <v>0</v>
      </c>
      <c r="F196" s="68">
        <v>13.58</v>
      </c>
      <c r="G196" s="68">
        <v>11.8</v>
      </c>
      <c r="H196" s="68">
        <v>11.03</v>
      </c>
      <c r="I196" s="68">
        <v>9.06</v>
      </c>
      <c r="J196" s="68">
        <v>10.83</v>
      </c>
      <c r="K196" s="68">
        <v>15.31</v>
      </c>
      <c r="L196" s="68">
        <v>16.57</v>
      </c>
      <c r="M196" s="68">
        <v>14.86</v>
      </c>
      <c r="N196" s="68">
        <v>15.28</v>
      </c>
      <c r="O196" s="68">
        <v>10.75</v>
      </c>
      <c r="P196" s="68">
        <v>9.92</v>
      </c>
      <c r="Q196" s="68">
        <v>11.13</v>
      </c>
      <c r="R196" s="69" t="s">
        <v>3470</v>
      </c>
      <c r="S196" s="69" t="s">
        <v>3489</v>
      </c>
      <c r="T196" s="70" t="s">
        <v>3497</v>
      </c>
      <c r="U196" s="452"/>
      <c r="V196" s="453" t="str">
        <f>IF(VLOOKUP($A196,'GeneratingCapabilityList sorted'!$E$9:$O$801,8,FALSE)&lt;&gt;"",VLOOKUP($A196,'GeneratingCapabilityList sorted'!$E$9:$O$801,8,FALSE),"NoneListed")</f>
        <v>NATURAL GAS</v>
      </c>
      <c r="W196" s="454">
        <f>IF($AB196,$AB196,IF($AA196,$AA196,Scenarios!$B$43))</f>
        <v>9133</v>
      </c>
      <c r="X196" s="454"/>
      <c r="Y196" s="454"/>
      <c r="Z196" s="454"/>
      <c r="AA196" s="454">
        <f>IFERROR(VLOOKUP($A196,'GeneratingCapabilityList sorted'!$E$9:$O$801,11,FALSE),Scenarios!$B$43)</f>
        <v>9133</v>
      </c>
      <c r="AB196" s="453"/>
      <c r="AC196" s="453"/>
    </row>
    <row r="197" spans="1:29" x14ac:dyDescent="0.25">
      <c r="A197" s="84" t="s">
        <v>2945</v>
      </c>
      <c r="B197" s="84" t="s">
        <v>2946</v>
      </c>
      <c r="C197" s="66" t="s">
        <v>3477</v>
      </c>
      <c r="D197" s="66" t="s">
        <v>3387</v>
      </c>
      <c r="E197" s="67">
        <v>0</v>
      </c>
      <c r="F197" s="68">
        <v>0</v>
      </c>
      <c r="G197" s="68">
        <v>0</v>
      </c>
      <c r="H197" s="68">
        <v>0</v>
      </c>
      <c r="I197" s="68">
        <v>0</v>
      </c>
      <c r="J197" s="68">
        <v>0</v>
      </c>
      <c r="K197" s="68">
        <v>0</v>
      </c>
      <c r="L197" s="68">
        <v>0</v>
      </c>
      <c r="M197" s="68">
        <v>0</v>
      </c>
      <c r="N197" s="68">
        <v>0</v>
      </c>
      <c r="O197" s="68">
        <v>0</v>
      </c>
      <c r="P197" s="68">
        <v>0</v>
      </c>
      <c r="Q197" s="68">
        <v>0</v>
      </c>
      <c r="R197" s="69" t="s">
        <v>3521</v>
      </c>
      <c r="S197" s="69" t="s">
        <v>3489</v>
      </c>
      <c r="T197" s="70" t="s">
        <v>3522</v>
      </c>
      <c r="U197" s="452"/>
      <c r="V197" s="453" t="str">
        <f>IF(VLOOKUP($A197,'GeneratingCapabilityList sorted'!$E$9:$O$801,8,FALSE)&lt;&gt;"",VLOOKUP($A197,'GeneratingCapabilityList sorted'!$E$9:$O$801,8,FALSE),"NoneListed")</f>
        <v>SUN</v>
      </c>
      <c r="W197" s="454">
        <f>IF($AB197,$AB197,IF($AA197,$AA197,Scenarios!$B$43))</f>
        <v>39994</v>
      </c>
      <c r="X197" s="454"/>
      <c r="Y197" s="454"/>
      <c r="Z197" s="454"/>
      <c r="AA197" s="454">
        <f>IFERROR(VLOOKUP($A197,'GeneratingCapabilityList sorted'!$E$9:$O$801,11,FALSE),Scenarios!$B$43)</f>
        <v>39994</v>
      </c>
      <c r="AB197" s="453"/>
      <c r="AC197" s="453"/>
    </row>
    <row r="198" spans="1:29" x14ac:dyDescent="0.25">
      <c r="A198" s="65" t="s">
        <v>2899</v>
      </c>
      <c r="B198" s="65" t="s">
        <v>2900</v>
      </c>
      <c r="C198" s="66" t="s">
        <v>3477</v>
      </c>
      <c r="D198" s="66" t="s">
        <v>3387</v>
      </c>
      <c r="E198" s="67">
        <v>42.53</v>
      </c>
      <c r="F198" s="68">
        <v>0</v>
      </c>
      <c r="G198" s="68">
        <v>0</v>
      </c>
      <c r="H198" s="68">
        <v>0</v>
      </c>
      <c r="I198" s="68">
        <v>0</v>
      </c>
      <c r="J198" s="68">
        <v>0</v>
      </c>
      <c r="K198" s="68">
        <v>0</v>
      </c>
      <c r="L198" s="68">
        <v>0</v>
      </c>
      <c r="M198" s="68">
        <v>0</v>
      </c>
      <c r="N198" s="68">
        <v>0</v>
      </c>
      <c r="O198" s="68">
        <v>0</v>
      </c>
      <c r="P198" s="68">
        <v>0</v>
      </c>
      <c r="Q198" s="68">
        <v>0</v>
      </c>
      <c r="R198" s="69" t="s">
        <v>3470</v>
      </c>
      <c r="S198" s="69" t="s">
        <v>3471</v>
      </c>
      <c r="T198" s="70" t="s">
        <v>3472</v>
      </c>
      <c r="U198" s="452"/>
      <c r="V198" s="453" t="str">
        <f>IF(VLOOKUP($A198,'GeneratingCapabilityList sorted'!$E$9:$O$801,8,FALSE)&lt;&gt;"",VLOOKUP($A198,'GeneratingCapabilityList sorted'!$E$9:$O$801,8,FALSE),"NoneListed")</f>
        <v>NATURAL GAS</v>
      </c>
      <c r="W198" s="454">
        <f>IF($AB198,$AB198,IF($AA198,$AA198,Scenarios!$B$43))</f>
        <v>39345</v>
      </c>
      <c r="X198" s="454"/>
      <c r="Y198" s="454"/>
      <c r="Z198" s="454"/>
      <c r="AA198" s="454">
        <f>IFERROR(VLOOKUP($A198,'GeneratingCapabilityList sorted'!$E$9:$O$801,11,FALSE),Scenarios!$B$43)</f>
        <v>39345</v>
      </c>
      <c r="AB198" s="453"/>
      <c r="AC198" s="453"/>
    </row>
    <row r="199" spans="1:29" x14ac:dyDescent="0.25">
      <c r="A199" s="65" t="s">
        <v>2198</v>
      </c>
      <c r="B199" s="65" t="s">
        <v>3639</v>
      </c>
      <c r="C199" s="66" t="s">
        <v>3477</v>
      </c>
      <c r="D199" s="66" t="s">
        <v>3387</v>
      </c>
      <c r="E199" s="67">
        <v>0</v>
      </c>
      <c r="F199" s="68">
        <v>2.63</v>
      </c>
      <c r="G199" s="68">
        <v>3.11</v>
      </c>
      <c r="H199" s="68">
        <v>2.89</v>
      </c>
      <c r="I199" s="68">
        <v>4.58</v>
      </c>
      <c r="J199" s="68">
        <v>7.51</v>
      </c>
      <c r="K199" s="68">
        <v>12.47</v>
      </c>
      <c r="L199" s="68">
        <v>12.04</v>
      </c>
      <c r="M199" s="68">
        <v>10.37</v>
      </c>
      <c r="N199" s="68">
        <v>10.58</v>
      </c>
      <c r="O199" s="68">
        <v>6.67</v>
      </c>
      <c r="P199" s="68">
        <v>2.06</v>
      </c>
      <c r="Q199" s="68">
        <v>1.32</v>
      </c>
      <c r="R199" s="69" t="s">
        <v>3470</v>
      </c>
      <c r="S199" s="69" t="s">
        <v>3489</v>
      </c>
      <c r="T199" s="70" t="s">
        <v>3502</v>
      </c>
      <c r="U199" s="452"/>
      <c r="V199" s="453" t="str">
        <f>IF(VLOOKUP($A199,'GeneratingCapabilityList sorted'!$E$9:$O$801,8,FALSE)&lt;&gt;"",VLOOKUP($A199,'GeneratingCapabilityList sorted'!$E$9:$O$801,8,FALSE),"NoneListed")</f>
        <v>WATER</v>
      </c>
      <c r="W199" s="454">
        <f>IF($AB199,$AB199,IF($AA199,$AA199,Scenarios!$B$43))</f>
        <v>34335</v>
      </c>
      <c r="X199" s="454"/>
      <c r="Y199" s="454"/>
      <c r="Z199" s="454"/>
      <c r="AA199" s="454">
        <f>IFERROR(VLOOKUP($A199,'GeneratingCapabilityList sorted'!$E$9:$O$801,11,FALSE),Scenarios!$B$43)</f>
        <v>34335</v>
      </c>
      <c r="AB199" s="453"/>
      <c r="AC199" s="453"/>
    </row>
    <row r="200" spans="1:29" x14ac:dyDescent="0.25">
      <c r="A200" s="65" t="s">
        <v>2648</v>
      </c>
      <c r="B200" s="65" t="s">
        <v>3640</v>
      </c>
      <c r="C200" s="66" t="s">
        <v>3477</v>
      </c>
      <c r="D200" s="66" t="s">
        <v>3387</v>
      </c>
      <c r="E200" s="67">
        <v>0</v>
      </c>
      <c r="F200" s="68">
        <v>1.27</v>
      </c>
      <c r="G200" s="68">
        <v>1.56</v>
      </c>
      <c r="H200" s="68">
        <v>1.53</v>
      </c>
      <c r="I200" s="68">
        <v>1.53</v>
      </c>
      <c r="J200" s="68">
        <v>1.56</v>
      </c>
      <c r="K200" s="68">
        <v>1.76</v>
      </c>
      <c r="L200" s="68">
        <v>1.68</v>
      </c>
      <c r="M200" s="68">
        <v>1.54</v>
      </c>
      <c r="N200" s="68">
        <v>1.59</v>
      </c>
      <c r="O200" s="68">
        <v>1.74</v>
      </c>
      <c r="P200" s="68">
        <v>1.32</v>
      </c>
      <c r="Q200" s="68">
        <v>1.47</v>
      </c>
      <c r="R200" s="69" t="s">
        <v>3470</v>
      </c>
      <c r="S200" s="69" t="s">
        <v>3489</v>
      </c>
      <c r="T200" s="70" t="s">
        <v>3497</v>
      </c>
      <c r="U200" s="452"/>
      <c r="V200" s="453" t="str">
        <f>IF(VLOOKUP($A200,'GeneratingCapabilityList sorted'!$E$9:$O$801,8,FALSE)&lt;&gt;"",VLOOKUP($A200,'GeneratingCapabilityList sorted'!$E$9:$O$801,8,FALSE),"NoneListed")</f>
        <v>LANDFILL GAS</v>
      </c>
      <c r="W200" s="454">
        <f>IF($AB200,$AB200,IF($AA200,$AA200,Scenarios!$B$43))</f>
        <v>37732</v>
      </c>
      <c r="X200" s="454"/>
      <c r="Y200" s="454"/>
      <c r="Z200" s="454"/>
      <c r="AA200" s="454">
        <f>IFERROR(VLOOKUP($A200,'GeneratingCapabilityList sorted'!$E$9:$O$801,11,FALSE),Scenarios!$B$43)</f>
        <v>37732</v>
      </c>
      <c r="AB200" s="453"/>
      <c r="AC200" s="453"/>
    </row>
    <row r="201" spans="1:29" x14ac:dyDescent="0.25">
      <c r="A201" s="65" t="s">
        <v>3189</v>
      </c>
      <c r="B201" s="65" t="s">
        <v>3641</v>
      </c>
      <c r="C201" s="66" t="s">
        <v>3477</v>
      </c>
      <c r="D201" s="66" t="s">
        <v>3387</v>
      </c>
      <c r="E201" s="67">
        <v>320</v>
      </c>
      <c r="F201" s="68">
        <v>0</v>
      </c>
      <c r="G201" s="68">
        <v>0</v>
      </c>
      <c r="H201" s="68">
        <v>0</v>
      </c>
      <c r="I201" s="68">
        <v>0</v>
      </c>
      <c r="J201" s="68">
        <v>0</v>
      </c>
      <c r="K201" s="68">
        <v>0</v>
      </c>
      <c r="L201" s="68">
        <v>0</v>
      </c>
      <c r="M201" s="68">
        <v>0</v>
      </c>
      <c r="N201" s="68">
        <v>0</v>
      </c>
      <c r="O201" s="68">
        <v>0</v>
      </c>
      <c r="P201" s="68">
        <v>0</v>
      </c>
      <c r="Q201" s="68">
        <v>0</v>
      </c>
      <c r="R201" s="69" t="s">
        <v>3470</v>
      </c>
      <c r="S201" s="69" t="s">
        <v>3471</v>
      </c>
      <c r="T201" s="70" t="s">
        <v>3472</v>
      </c>
      <c r="U201" s="452"/>
      <c r="V201" s="453" t="str">
        <f>IF(VLOOKUP($A201,'GeneratingCapabilityList sorted'!$E$9:$O$801,8,FALSE)&lt;&gt;"",VLOOKUP($A201,'GeneratingCapabilityList sorted'!$E$9:$O$801,8,FALSE),"NoneListed")</f>
        <v>NATURAL GAS</v>
      </c>
      <c r="W201" s="454">
        <f>IF($AB201,$AB201,IF($AA201,$AA201,Scenarios!$B$43))</f>
        <v>23012</v>
      </c>
      <c r="X201" s="454"/>
      <c r="Y201" s="454"/>
      <c r="Z201" s="454"/>
      <c r="AA201" s="454">
        <f>IFERROR(VLOOKUP($A201,'GeneratingCapabilityList sorted'!$E$9:$O$801,11,FALSE),Scenarios!$B$43)</f>
        <v>0</v>
      </c>
      <c r="AB201" s="454">
        <v>23012</v>
      </c>
      <c r="AC201" s="453" t="s">
        <v>4696</v>
      </c>
    </row>
    <row r="202" spans="1:29" x14ac:dyDescent="0.25">
      <c r="A202" s="65" t="s">
        <v>3193</v>
      </c>
      <c r="B202" s="65" t="s">
        <v>3642</v>
      </c>
      <c r="C202" s="66" t="s">
        <v>3477</v>
      </c>
      <c r="D202" s="66" t="s">
        <v>3387</v>
      </c>
      <c r="E202" s="67">
        <v>320</v>
      </c>
      <c r="F202" s="68">
        <v>0</v>
      </c>
      <c r="G202" s="68">
        <v>0</v>
      </c>
      <c r="H202" s="68">
        <v>0</v>
      </c>
      <c r="I202" s="68">
        <v>0</v>
      </c>
      <c r="J202" s="68">
        <v>0</v>
      </c>
      <c r="K202" s="68">
        <v>0</v>
      </c>
      <c r="L202" s="68">
        <v>0</v>
      </c>
      <c r="M202" s="68">
        <v>0</v>
      </c>
      <c r="N202" s="68">
        <v>0</v>
      </c>
      <c r="O202" s="68">
        <v>0</v>
      </c>
      <c r="P202" s="68">
        <v>0</v>
      </c>
      <c r="Q202" s="68">
        <v>0</v>
      </c>
      <c r="R202" s="69" t="s">
        <v>3470</v>
      </c>
      <c r="S202" s="69" t="s">
        <v>3471</v>
      </c>
      <c r="T202" s="70" t="s">
        <v>3472</v>
      </c>
      <c r="U202" s="452"/>
      <c r="V202" s="453" t="str">
        <f>IF(VLOOKUP($A202,'GeneratingCapabilityList sorted'!$E$9:$O$801,8,FALSE)&lt;&gt;"",VLOOKUP($A202,'GeneratingCapabilityList sorted'!$E$9:$O$801,8,FALSE),"NoneListed")</f>
        <v>NATURAL GAS</v>
      </c>
      <c r="W202" s="454">
        <f>IF($AB202,$AB202,IF($AA202,$AA202,Scenarios!$B$43))</f>
        <v>23012</v>
      </c>
      <c r="X202" s="454"/>
      <c r="Y202" s="454"/>
      <c r="Z202" s="454"/>
      <c r="AA202" s="454">
        <f>IFERROR(VLOOKUP($A202,'GeneratingCapabilityList sorted'!$E$9:$O$801,11,FALSE),Scenarios!$B$43)</f>
        <v>0</v>
      </c>
      <c r="AB202" s="454">
        <v>23012</v>
      </c>
      <c r="AC202" s="453" t="s">
        <v>4696</v>
      </c>
    </row>
    <row r="203" spans="1:29" x14ac:dyDescent="0.25">
      <c r="A203" s="65" t="s">
        <v>545</v>
      </c>
      <c r="B203" s="65" t="s">
        <v>3643</v>
      </c>
      <c r="C203" s="66" t="s">
        <v>3468</v>
      </c>
      <c r="D203" s="66" t="s">
        <v>3474</v>
      </c>
      <c r="E203" s="67">
        <v>0</v>
      </c>
      <c r="F203" s="68">
        <v>32.31</v>
      </c>
      <c r="G203" s="68">
        <v>31.55</v>
      </c>
      <c r="H203" s="68">
        <v>37.18</v>
      </c>
      <c r="I203" s="68">
        <v>48.43</v>
      </c>
      <c r="J203" s="68">
        <v>57.45</v>
      </c>
      <c r="K203" s="68">
        <v>71.08</v>
      </c>
      <c r="L203" s="68">
        <v>70.239999999999995</v>
      </c>
      <c r="M203" s="68">
        <v>61.77</v>
      </c>
      <c r="N203" s="68">
        <v>53.48</v>
      </c>
      <c r="O203" s="68">
        <v>47.74</v>
      </c>
      <c r="P203" s="68">
        <v>46.06</v>
      </c>
      <c r="Q203" s="68">
        <v>45.39</v>
      </c>
      <c r="R203" s="69" t="s">
        <v>3470</v>
      </c>
      <c r="S203" s="69" t="s">
        <v>3489</v>
      </c>
      <c r="T203" s="70" t="s">
        <v>3484</v>
      </c>
      <c r="U203" s="452"/>
      <c r="V203" s="453" t="str">
        <f>IF(VLOOKUP($A203,'GeneratingCapabilityList sorted'!$E$9:$O$801,8,FALSE)&lt;&gt;"",VLOOKUP($A203,'GeneratingCapabilityList sorted'!$E$9:$O$801,8,FALSE),"NoneListed")</f>
        <v>WATER</v>
      </c>
      <c r="W203" s="454">
        <f>IF($AB203,$AB203,IF($AA203,$AA203,Scenarios!$B$43))</f>
        <v>24473</v>
      </c>
      <c r="X203" s="454"/>
      <c r="Y203" s="454"/>
      <c r="Z203" s="454"/>
      <c r="AA203" s="454">
        <f>IFERROR(VLOOKUP($A203,'GeneratingCapabilityList sorted'!$E$9:$O$801,11,FALSE),Scenarios!$B$43)</f>
        <v>24473</v>
      </c>
      <c r="AB203" s="453"/>
      <c r="AC203" s="453"/>
    </row>
    <row r="204" spans="1:29" x14ac:dyDescent="0.25">
      <c r="A204" s="65" t="s">
        <v>1456</v>
      </c>
      <c r="B204" s="65" t="s">
        <v>1457</v>
      </c>
      <c r="C204" s="66" t="s">
        <v>3468</v>
      </c>
      <c r="D204" s="66" t="s">
        <v>3520</v>
      </c>
      <c r="E204" s="67">
        <v>0</v>
      </c>
      <c r="F204" s="68">
        <v>13.75</v>
      </c>
      <c r="G204" s="68">
        <v>12.41</v>
      </c>
      <c r="H204" s="68">
        <v>11.63</v>
      </c>
      <c r="I204" s="68">
        <v>8.85</v>
      </c>
      <c r="J204" s="68">
        <v>12.51</v>
      </c>
      <c r="K204" s="68">
        <v>14.73</v>
      </c>
      <c r="L204" s="68">
        <v>14.89</v>
      </c>
      <c r="M204" s="68">
        <v>14.69</v>
      </c>
      <c r="N204" s="68">
        <v>13.35</v>
      </c>
      <c r="O204" s="68">
        <v>13.22</v>
      </c>
      <c r="P204" s="68">
        <v>12.17</v>
      </c>
      <c r="Q204" s="68">
        <v>10.44</v>
      </c>
      <c r="R204" s="69" t="s">
        <v>3470</v>
      </c>
      <c r="S204" s="69" t="s">
        <v>3489</v>
      </c>
      <c r="T204" s="70" t="s">
        <v>3497</v>
      </c>
      <c r="U204" s="452"/>
      <c r="V204" s="453" t="str">
        <f>IF(VLOOKUP($A204,'GeneratingCapabilityList sorted'!$E$9:$O$801,8,FALSE)&lt;&gt;"",VLOOKUP($A204,'GeneratingCapabilityList sorted'!$E$9:$O$801,8,FALSE),"NoneListed")</f>
        <v>WOOD WASTE</v>
      </c>
      <c r="W204" s="454">
        <f>IF($AB204,$AB204,IF($AA204,$AA204,Scenarios!$B$43))</f>
        <v>31670</v>
      </c>
      <c r="X204" s="454"/>
      <c r="Y204" s="454"/>
      <c r="Z204" s="454"/>
      <c r="AA204" s="454">
        <f>IFERROR(VLOOKUP($A204,'GeneratingCapabilityList sorted'!$E$9:$O$801,11,FALSE),Scenarios!$B$43)</f>
        <v>31670</v>
      </c>
      <c r="AB204" s="453"/>
      <c r="AC204" s="453"/>
    </row>
    <row r="205" spans="1:29" x14ac:dyDescent="0.25">
      <c r="A205" s="65" t="s">
        <v>897</v>
      </c>
      <c r="B205" s="65" t="s">
        <v>3644</v>
      </c>
      <c r="C205" s="66" t="s">
        <v>3468</v>
      </c>
      <c r="D205" s="66" t="s">
        <v>3488</v>
      </c>
      <c r="E205" s="67">
        <v>0</v>
      </c>
      <c r="F205" s="68">
        <v>0</v>
      </c>
      <c r="G205" s="68">
        <v>0</v>
      </c>
      <c r="H205" s="68">
        <v>0</v>
      </c>
      <c r="I205" s="68">
        <v>0</v>
      </c>
      <c r="J205" s="68">
        <v>0</v>
      </c>
      <c r="K205" s="68">
        <v>0</v>
      </c>
      <c r="L205" s="68">
        <v>0</v>
      </c>
      <c r="M205" s="68">
        <v>0</v>
      </c>
      <c r="N205" s="68">
        <v>0</v>
      </c>
      <c r="O205" s="68">
        <v>0</v>
      </c>
      <c r="P205" s="68">
        <v>0</v>
      </c>
      <c r="Q205" s="68">
        <v>0</v>
      </c>
      <c r="R205" s="69" t="s">
        <v>3470</v>
      </c>
      <c r="S205" s="69" t="s">
        <v>3489</v>
      </c>
      <c r="T205" s="70" t="s">
        <v>3425</v>
      </c>
      <c r="U205" s="452"/>
      <c r="V205" s="453" t="str">
        <f>IF(VLOOKUP($A205,'GeneratingCapabilityList sorted'!$E$9:$O$801,8,FALSE)&lt;&gt;"",VLOOKUP($A205,'GeneratingCapabilityList sorted'!$E$9:$O$801,8,FALSE),"NoneListed")</f>
        <v>WIND</v>
      </c>
      <c r="W205" s="454">
        <f>IF($AB205,$AB205,IF($AA205,$AA205,Scenarios!$B$43))</f>
        <v>30317</v>
      </c>
      <c r="X205" s="454"/>
      <c r="Y205" s="454"/>
      <c r="Z205" s="454"/>
      <c r="AA205" s="454">
        <f>IFERROR(VLOOKUP($A205,'GeneratingCapabilityList sorted'!$E$9:$O$801,11,FALSE),Scenarios!$B$43)</f>
        <v>30317</v>
      </c>
      <c r="AB205" s="453"/>
      <c r="AC205" s="453"/>
    </row>
    <row r="206" spans="1:29" x14ac:dyDescent="0.25">
      <c r="A206" s="65" t="s">
        <v>2853</v>
      </c>
      <c r="B206" s="65" t="s">
        <v>3645</v>
      </c>
      <c r="C206" s="66" t="s">
        <v>3468</v>
      </c>
      <c r="D206" s="66" t="s">
        <v>3505</v>
      </c>
      <c r="E206" s="67">
        <v>0</v>
      </c>
      <c r="F206" s="68">
        <v>0.57999999999999996</v>
      </c>
      <c r="G206" s="68">
        <v>1.17</v>
      </c>
      <c r="H206" s="68">
        <v>1.1599999999999999</v>
      </c>
      <c r="I206" s="68">
        <v>1.45</v>
      </c>
      <c r="J206" s="68">
        <v>1.59</v>
      </c>
      <c r="K206" s="68">
        <v>1.19</v>
      </c>
      <c r="L206" s="68">
        <v>1.1399999999999999</v>
      </c>
      <c r="M206" s="68">
        <v>1.34</v>
      </c>
      <c r="N206" s="68">
        <v>1.1000000000000001</v>
      </c>
      <c r="O206" s="68">
        <v>1.2</v>
      </c>
      <c r="P206" s="68">
        <v>1.3</v>
      </c>
      <c r="Q206" s="68">
        <v>0.77</v>
      </c>
      <c r="R206" s="69" t="s">
        <v>3470</v>
      </c>
      <c r="S206" s="69" t="s">
        <v>3489</v>
      </c>
      <c r="T206" s="70" t="s">
        <v>3497</v>
      </c>
      <c r="U206" s="452"/>
      <c r="V206" s="453" t="str">
        <f>IF(VLOOKUP($A206,'GeneratingCapabilityList sorted'!$E$9:$O$801,8,FALSE)&lt;&gt;"",VLOOKUP($A206,'GeneratingCapabilityList sorted'!$E$9:$O$801,8,FALSE),"NoneListed")</f>
        <v>NATURAL GAS</v>
      </c>
      <c r="W206" s="454">
        <f>IF($AB206,$AB206,IF($AA206,$AA206,Scenarios!$B$43))</f>
        <v>38869</v>
      </c>
      <c r="X206" s="454"/>
      <c r="Y206" s="454"/>
      <c r="Z206" s="454"/>
      <c r="AA206" s="454">
        <f>IFERROR(VLOOKUP($A206,'GeneratingCapabilityList sorted'!$E$9:$O$801,11,FALSE),Scenarios!$B$43)</f>
        <v>38869</v>
      </c>
      <c r="AB206" s="453"/>
      <c r="AC206" s="453"/>
    </row>
    <row r="207" spans="1:29" x14ac:dyDescent="0.25">
      <c r="A207" s="65" t="s">
        <v>1029</v>
      </c>
      <c r="B207" s="65" t="s">
        <v>1030</v>
      </c>
      <c r="C207" s="66" t="s">
        <v>3468</v>
      </c>
      <c r="D207" s="66" t="s">
        <v>3382</v>
      </c>
      <c r="E207" s="67">
        <v>0</v>
      </c>
      <c r="F207" s="68">
        <v>0</v>
      </c>
      <c r="G207" s="68">
        <v>0</v>
      </c>
      <c r="H207" s="68">
        <v>0</v>
      </c>
      <c r="I207" s="68">
        <v>0</v>
      </c>
      <c r="J207" s="68">
        <v>0</v>
      </c>
      <c r="K207" s="68">
        <v>0</v>
      </c>
      <c r="L207" s="68">
        <v>0</v>
      </c>
      <c r="M207" s="68">
        <v>0</v>
      </c>
      <c r="N207" s="68">
        <v>0</v>
      </c>
      <c r="O207" s="68">
        <v>0</v>
      </c>
      <c r="P207" s="68">
        <v>0</v>
      </c>
      <c r="Q207" s="68">
        <v>0</v>
      </c>
      <c r="R207" s="69" t="s">
        <v>3470</v>
      </c>
      <c r="S207" s="69" t="s">
        <v>3489</v>
      </c>
      <c r="T207" s="70" t="s">
        <v>3425</v>
      </c>
      <c r="U207" s="452"/>
      <c r="V207" s="453" t="str">
        <f>IF(VLOOKUP($A207,'GeneratingCapabilityList sorted'!$E$9:$O$801,8,FALSE)&lt;&gt;"",VLOOKUP($A207,'GeneratingCapabilityList sorted'!$E$9:$O$801,8,FALSE),"NoneListed")</f>
        <v>WIND</v>
      </c>
      <c r="W207" s="454">
        <f>IF($AB207,$AB207,IF($AA207,$AA207,Scenarios!$B$43))</f>
        <v>30682</v>
      </c>
      <c r="X207" s="454"/>
      <c r="Y207" s="454"/>
      <c r="Z207" s="454"/>
      <c r="AA207" s="454">
        <f>IFERROR(VLOOKUP($A207,'GeneratingCapabilityList sorted'!$E$9:$O$801,11,FALSE),Scenarios!$B$43)</f>
        <v>30682</v>
      </c>
      <c r="AB207" s="453"/>
      <c r="AC207" s="453"/>
    </row>
    <row r="208" spans="1:29" x14ac:dyDescent="0.25">
      <c r="A208" s="65" t="s">
        <v>2752</v>
      </c>
      <c r="B208" s="65" t="s">
        <v>2753</v>
      </c>
      <c r="C208" s="66" t="s">
        <v>3468</v>
      </c>
      <c r="D208" s="66" t="s">
        <v>3488</v>
      </c>
      <c r="E208" s="67">
        <v>0</v>
      </c>
      <c r="F208" s="68">
        <v>0.62</v>
      </c>
      <c r="G208" s="68">
        <v>0.99</v>
      </c>
      <c r="H208" s="68">
        <v>2.4500000000000002</v>
      </c>
      <c r="I208" s="68">
        <v>1.6</v>
      </c>
      <c r="J208" s="68">
        <v>3.95</v>
      </c>
      <c r="K208" s="68">
        <v>3.83</v>
      </c>
      <c r="L208" s="68">
        <v>4.8899999999999997</v>
      </c>
      <c r="M208" s="68">
        <v>2.46</v>
      </c>
      <c r="N208" s="68">
        <v>0.59</v>
      </c>
      <c r="O208" s="68">
        <v>0.72</v>
      </c>
      <c r="P208" s="68">
        <v>0.92</v>
      </c>
      <c r="Q208" s="68">
        <v>0.53</v>
      </c>
      <c r="R208" s="69" t="s">
        <v>3470</v>
      </c>
      <c r="S208" s="69" t="s">
        <v>3489</v>
      </c>
      <c r="T208" s="70" t="s">
        <v>3425</v>
      </c>
      <c r="U208" s="452"/>
      <c r="V208" s="453" t="str">
        <f>IF(VLOOKUP($A208,'GeneratingCapabilityList sorted'!$E$9:$O$801,8,FALSE)&lt;&gt;"",VLOOKUP($A208,'GeneratingCapabilityList sorted'!$E$9:$O$801,8,FALSE),"NoneListed")</f>
        <v>WIND</v>
      </c>
      <c r="W208" s="454">
        <f>IF($AB208,$AB208,IF($AA208,$AA208,Scenarios!$B$43))</f>
        <v>38473</v>
      </c>
      <c r="X208" s="454"/>
      <c r="Y208" s="454"/>
      <c r="Z208" s="454"/>
      <c r="AA208" s="454">
        <f>IFERROR(VLOOKUP($A208,'GeneratingCapabilityList sorted'!$E$9:$O$801,11,FALSE),Scenarios!$B$43)</f>
        <v>38473</v>
      </c>
      <c r="AB208" s="453"/>
      <c r="AC208" s="453"/>
    </row>
    <row r="209" spans="1:29" x14ac:dyDescent="0.25">
      <c r="A209" s="65" t="s">
        <v>1189</v>
      </c>
      <c r="B209" s="65" t="s">
        <v>3646</v>
      </c>
      <c r="C209" s="66" t="s">
        <v>3468</v>
      </c>
      <c r="D209" s="66" t="s">
        <v>3382</v>
      </c>
      <c r="E209" s="67">
        <v>0</v>
      </c>
      <c r="F209" s="68">
        <v>0.11</v>
      </c>
      <c r="G209" s="68">
        <v>0.34</v>
      </c>
      <c r="H209" s="68">
        <v>1.45</v>
      </c>
      <c r="I209" s="68">
        <v>1.43</v>
      </c>
      <c r="J209" s="68">
        <v>2.46</v>
      </c>
      <c r="K209" s="68">
        <v>3.95</v>
      </c>
      <c r="L209" s="68">
        <v>5.6</v>
      </c>
      <c r="M209" s="68">
        <v>2.86</v>
      </c>
      <c r="N209" s="68">
        <v>0.71</v>
      </c>
      <c r="O209" s="68">
        <v>0.72</v>
      </c>
      <c r="P209" s="68">
        <v>0.31</v>
      </c>
      <c r="Q209" s="68">
        <v>0</v>
      </c>
      <c r="R209" s="69" t="s">
        <v>3470</v>
      </c>
      <c r="S209" s="69" t="s">
        <v>3489</v>
      </c>
      <c r="T209" s="70" t="s">
        <v>3425</v>
      </c>
      <c r="U209" s="452"/>
      <c r="V209" s="453" t="str">
        <f>IF(VLOOKUP($A209,'GeneratingCapabilityList sorted'!$E$9:$O$801,8,FALSE)&lt;&gt;"",VLOOKUP($A209,'GeneratingCapabilityList sorted'!$E$9:$O$801,8,FALSE),"NoneListed")</f>
        <v>WIND</v>
      </c>
      <c r="W209" s="454">
        <f>IF($AB209,$AB209,IF($AA209,$AA209,Scenarios!$B$43))</f>
        <v>31048</v>
      </c>
      <c r="X209" s="454"/>
      <c r="Y209" s="454"/>
      <c r="Z209" s="454"/>
      <c r="AA209" s="454">
        <f>IFERROR(VLOOKUP($A209,'GeneratingCapabilityList sorted'!$E$9:$O$801,11,FALSE),Scenarios!$B$43)</f>
        <v>31048</v>
      </c>
      <c r="AB209" s="453"/>
      <c r="AC209" s="453"/>
    </row>
    <row r="210" spans="1:29" x14ac:dyDescent="0.25">
      <c r="A210" s="65" t="s">
        <v>966</v>
      </c>
      <c r="B210" s="65" t="s">
        <v>966</v>
      </c>
      <c r="C210" s="66" t="s">
        <v>3468</v>
      </c>
      <c r="D210" s="66" t="s">
        <v>3510</v>
      </c>
      <c r="E210" s="67">
        <v>0</v>
      </c>
      <c r="F210" s="68">
        <v>0.1</v>
      </c>
      <c r="G210" s="68">
        <v>0.06</v>
      </c>
      <c r="H210" s="68">
        <v>7.0000000000000007E-2</v>
      </c>
      <c r="I210" s="68">
        <v>0.13</v>
      </c>
      <c r="J210" s="68">
        <v>0.28999999999999998</v>
      </c>
      <c r="K210" s="68">
        <v>0.53</v>
      </c>
      <c r="L210" s="68">
        <v>0.57999999999999996</v>
      </c>
      <c r="M210" s="68">
        <v>0.54</v>
      </c>
      <c r="N210" s="68">
        <v>0.48</v>
      </c>
      <c r="O210" s="68">
        <v>0.49</v>
      </c>
      <c r="P210" s="68">
        <v>0.4</v>
      </c>
      <c r="Q210" s="68">
        <v>0.28999999999999998</v>
      </c>
      <c r="R210" s="69" t="s">
        <v>3470</v>
      </c>
      <c r="S210" s="69" t="s">
        <v>3489</v>
      </c>
      <c r="T210" s="70" t="s">
        <v>3502</v>
      </c>
      <c r="U210" s="452"/>
      <c r="V210" s="453" t="str">
        <f>IF(VLOOKUP($A210,'GeneratingCapabilityList sorted'!$E$9:$O$801,8,FALSE)&lt;&gt;"",VLOOKUP($A210,'GeneratingCapabilityList sorted'!$E$9:$O$801,8,FALSE),"NoneListed")</f>
        <v>WATER</v>
      </c>
      <c r="W210" s="454">
        <f>IF($AB210,$AB210,IF($AA210,$AA210,Scenarios!$B$43))</f>
        <v>30436</v>
      </c>
      <c r="X210" s="454"/>
      <c r="Y210" s="454"/>
      <c r="Z210" s="454"/>
      <c r="AA210" s="454">
        <f>IFERROR(VLOOKUP($A210,'GeneratingCapabilityList sorted'!$E$9:$O$801,11,FALSE),Scenarios!$B$43)</f>
        <v>30436</v>
      </c>
      <c r="AB210" s="453"/>
      <c r="AC210" s="453"/>
    </row>
    <row r="211" spans="1:29" x14ac:dyDescent="0.25">
      <c r="A211" s="65" t="s">
        <v>529</v>
      </c>
      <c r="B211" s="65" t="s">
        <v>3647</v>
      </c>
      <c r="C211" s="66" t="s">
        <v>3468</v>
      </c>
      <c r="D211" s="66" t="s">
        <v>3510</v>
      </c>
      <c r="E211" s="67">
        <v>0</v>
      </c>
      <c r="F211" s="68">
        <v>14.44</v>
      </c>
      <c r="G211" s="68">
        <v>14.45</v>
      </c>
      <c r="H211" s="68">
        <v>14.88</v>
      </c>
      <c r="I211" s="68">
        <v>15.41</v>
      </c>
      <c r="J211" s="68">
        <v>16.350000000000001</v>
      </c>
      <c r="K211" s="68">
        <v>17.16</v>
      </c>
      <c r="L211" s="68">
        <v>16.829999999999998</v>
      </c>
      <c r="M211" s="68">
        <v>16.010000000000002</v>
      </c>
      <c r="N211" s="68">
        <v>14.99</v>
      </c>
      <c r="O211" s="68">
        <v>14.24</v>
      </c>
      <c r="P211" s="68">
        <v>14.2</v>
      </c>
      <c r="Q211" s="68">
        <v>14.24</v>
      </c>
      <c r="R211" s="69" t="s">
        <v>3470</v>
      </c>
      <c r="S211" s="69" t="s">
        <v>3489</v>
      </c>
      <c r="T211" s="70" t="s">
        <v>3484</v>
      </c>
      <c r="U211" s="452"/>
      <c r="V211" s="453" t="str">
        <f>IF(VLOOKUP($A211,'GeneratingCapabilityList sorted'!$E$9:$O$801,8,FALSE)&lt;&gt;"",VLOOKUP($A211,'GeneratingCapabilityList sorted'!$E$9:$O$801,8,FALSE),"NoneListed")</f>
        <v>WATER</v>
      </c>
      <c r="W211" s="454">
        <f>IF($AB211,$AB211,IF($AA211,$AA211,Scenarios!$B$43))</f>
        <v>24108</v>
      </c>
      <c r="X211" s="454"/>
      <c r="Y211" s="454"/>
      <c r="Z211" s="454"/>
      <c r="AA211" s="454">
        <f>IFERROR(VLOOKUP($A211,'GeneratingCapabilityList sorted'!$E$9:$O$801,11,FALSE),Scenarios!$B$43)</f>
        <v>24108</v>
      </c>
      <c r="AB211" s="453"/>
      <c r="AC211" s="453"/>
    </row>
    <row r="212" spans="1:29" x14ac:dyDescent="0.25">
      <c r="A212" s="65" t="s">
        <v>477</v>
      </c>
      <c r="B212" s="65" t="s">
        <v>3648</v>
      </c>
      <c r="C212" s="66" t="s">
        <v>3468</v>
      </c>
      <c r="D212" s="66" t="s">
        <v>3510</v>
      </c>
      <c r="E212" s="67">
        <v>0</v>
      </c>
      <c r="F212" s="68">
        <v>39</v>
      </c>
      <c r="G212" s="68">
        <v>39</v>
      </c>
      <c r="H212" s="68">
        <v>39</v>
      </c>
      <c r="I212" s="68">
        <v>39</v>
      </c>
      <c r="J212" s="68">
        <v>39</v>
      </c>
      <c r="K212" s="68">
        <v>39</v>
      </c>
      <c r="L212" s="68">
        <v>39</v>
      </c>
      <c r="M212" s="68">
        <v>39</v>
      </c>
      <c r="N212" s="68">
        <v>39</v>
      </c>
      <c r="O212" s="68">
        <v>39</v>
      </c>
      <c r="P212" s="68">
        <v>39</v>
      </c>
      <c r="Q212" s="68">
        <v>39</v>
      </c>
      <c r="R212" s="69" t="s">
        <v>3470</v>
      </c>
      <c r="S212" s="69" t="s">
        <v>3489</v>
      </c>
      <c r="T212" s="70" t="s">
        <v>3484</v>
      </c>
      <c r="U212" s="452"/>
      <c r="V212" s="453" t="str">
        <f>IF(VLOOKUP($A212,'GeneratingCapabilityList sorted'!$E$9:$O$801,8,FALSE)&lt;&gt;"",VLOOKUP($A212,'GeneratingCapabilityList sorted'!$E$9:$O$801,8,FALSE),"NoneListed")</f>
        <v>WATER</v>
      </c>
      <c r="W212" s="454">
        <f>IF($AB212,$AB212,IF($AA212,$AA212,Scenarios!$B$43))</f>
        <v>23012</v>
      </c>
      <c r="X212" s="454"/>
      <c r="Y212" s="454"/>
      <c r="Z212" s="454"/>
      <c r="AA212" s="454">
        <f>IFERROR(VLOOKUP($A212,'GeneratingCapabilityList sorted'!$E$9:$O$801,11,FALSE),Scenarios!$B$43)</f>
        <v>23012</v>
      </c>
      <c r="AB212" s="453"/>
      <c r="AC212" s="453"/>
    </row>
    <row r="213" spans="1:29" x14ac:dyDescent="0.25">
      <c r="A213" s="65" t="s">
        <v>2148</v>
      </c>
      <c r="B213" s="65" t="s">
        <v>3649</v>
      </c>
      <c r="C213" s="66" t="s">
        <v>3468</v>
      </c>
      <c r="D213" s="66" t="s">
        <v>3488</v>
      </c>
      <c r="E213" s="67">
        <v>0</v>
      </c>
      <c r="F213" s="68">
        <v>4.71</v>
      </c>
      <c r="G213" s="68">
        <v>9.51</v>
      </c>
      <c r="H213" s="68">
        <v>10.71</v>
      </c>
      <c r="I213" s="68">
        <v>10.63</v>
      </c>
      <c r="J213" s="68">
        <v>10.41</v>
      </c>
      <c r="K213" s="68">
        <v>3.58</v>
      </c>
      <c r="L213" s="68">
        <v>0.18</v>
      </c>
      <c r="M213" s="68">
        <v>0</v>
      </c>
      <c r="N213" s="68">
        <v>0</v>
      </c>
      <c r="O213" s="68">
        <v>0.34</v>
      </c>
      <c r="P213" s="68">
        <v>0.83</v>
      </c>
      <c r="Q213" s="68">
        <v>4.8600000000000003</v>
      </c>
      <c r="R213" s="69" t="s">
        <v>3470</v>
      </c>
      <c r="S213" s="69" t="s">
        <v>3489</v>
      </c>
      <c r="T213" s="70" t="s">
        <v>3502</v>
      </c>
      <c r="U213" s="452"/>
      <c r="V213" s="453" t="str">
        <f>IF(VLOOKUP($A213,'GeneratingCapabilityList sorted'!$E$9:$O$801,8,FALSE)&lt;&gt;"",VLOOKUP($A213,'GeneratingCapabilityList sorted'!$E$9:$O$801,8,FALSE),"NoneListed")</f>
        <v>WATER</v>
      </c>
      <c r="W213" s="454">
        <f>IF($AB213,$AB213,IF($AA213,$AA213,Scenarios!$B$43))</f>
        <v>33679</v>
      </c>
      <c r="X213" s="454"/>
      <c r="Y213" s="454"/>
      <c r="Z213" s="454"/>
      <c r="AA213" s="454">
        <f>IFERROR(VLOOKUP($A213,'GeneratingCapabilityList sorted'!$E$9:$O$801,11,FALSE),Scenarios!$B$43)</f>
        <v>33679</v>
      </c>
      <c r="AB213" s="453"/>
      <c r="AC213" s="453"/>
    </row>
    <row r="214" spans="1:29" x14ac:dyDescent="0.25">
      <c r="A214" s="65" t="s">
        <v>1230</v>
      </c>
      <c r="B214" s="65" t="s">
        <v>1231</v>
      </c>
      <c r="C214" s="66" t="s">
        <v>3468</v>
      </c>
      <c r="D214" s="66" t="s">
        <v>3474</v>
      </c>
      <c r="E214" s="67">
        <v>0</v>
      </c>
      <c r="F214" s="68">
        <v>0.8</v>
      </c>
      <c r="G214" s="68">
        <v>1.77</v>
      </c>
      <c r="H214" s="68">
        <v>3.5</v>
      </c>
      <c r="I214" s="68">
        <v>6.22</v>
      </c>
      <c r="J214" s="68">
        <v>14</v>
      </c>
      <c r="K214" s="68">
        <v>21.79</v>
      </c>
      <c r="L214" s="68">
        <v>22.92</v>
      </c>
      <c r="M214" s="68">
        <v>14.59</v>
      </c>
      <c r="N214" s="68">
        <v>7.21</v>
      </c>
      <c r="O214" s="68">
        <v>4.42</v>
      </c>
      <c r="P214" s="68">
        <v>3.35</v>
      </c>
      <c r="Q214" s="68">
        <v>0.79</v>
      </c>
      <c r="R214" s="69" t="s">
        <v>3470</v>
      </c>
      <c r="S214" s="69" t="s">
        <v>3489</v>
      </c>
      <c r="T214" s="70" t="s">
        <v>3502</v>
      </c>
      <c r="U214" s="452"/>
      <c r="V214" s="453" t="str">
        <f>IF(VLOOKUP($A214,'GeneratingCapabilityList sorted'!$E$9:$O$801,8,FALSE)&lt;&gt;"",VLOOKUP($A214,'GeneratingCapabilityList sorted'!$E$9:$O$801,8,FALSE),"NoneListed")</f>
        <v>WATER</v>
      </c>
      <c r="W214" s="454">
        <f>IF($AB214,$AB214,IF($AA214,$AA214,Scenarios!$B$43))</f>
        <v>31153</v>
      </c>
      <c r="X214" s="454"/>
      <c r="Y214" s="454"/>
      <c r="Z214" s="454"/>
      <c r="AA214" s="454">
        <f>IFERROR(VLOOKUP($A214,'GeneratingCapabilityList sorted'!$E$9:$O$801,11,FALSE),Scenarios!$B$43)</f>
        <v>31153</v>
      </c>
      <c r="AB214" s="453"/>
      <c r="AC214" s="453"/>
    </row>
    <row r="215" spans="1:29" x14ac:dyDescent="0.25">
      <c r="A215" s="65" t="s">
        <v>1332</v>
      </c>
      <c r="B215" s="65" t="s">
        <v>3650</v>
      </c>
      <c r="C215" s="66" t="s">
        <v>3468</v>
      </c>
      <c r="D215" s="66" t="s">
        <v>3505</v>
      </c>
      <c r="E215" s="67">
        <v>0</v>
      </c>
      <c r="F215" s="68">
        <v>0.09</v>
      </c>
      <c r="G215" s="68">
        <v>0.12</v>
      </c>
      <c r="H215" s="68">
        <v>0.12</v>
      </c>
      <c r="I215" s="68">
        <v>0.1</v>
      </c>
      <c r="J215" s="68">
        <v>0.11</v>
      </c>
      <c r="K215" s="68">
        <v>0.09</v>
      </c>
      <c r="L215" s="68">
        <v>0.08</v>
      </c>
      <c r="M215" s="68">
        <v>0.09</v>
      </c>
      <c r="N215" s="68">
        <v>7.0000000000000007E-2</v>
      </c>
      <c r="O215" s="68">
        <v>0.08</v>
      </c>
      <c r="P215" s="68">
        <v>0.08</v>
      </c>
      <c r="Q215" s="68">
        <v>0.09</v>
      </c>
      <c r="R215" s="69" t="s">
        <v>3470</v>
      </c>
      <c r="S215" s="69" t="s">
        <v>3489</v>
      </c>
      <c r="T215" s="70" t="s">
        <v>3497</v>
      </c>
      <c r="U215" s="452"/>
      <c r="V215" s="453" t="str">
        <f>IF(VLOOKUP($A215,'GeneratingCapabilityList sorted'!$E$9:$O$801,8,FALSE)&lt;&gt;"",VLOOKUP($A215,'GeneratingCapabilityList sorted'!$E$9:$O$801,8,FALSE),"NoneListed")</f>
        <v>NATURAL GAS</v>
      </c>
      <c r="W215" s="454">
        <f>IF($AB215,$AB215,IF($AA215,$AA215,Scenarios!$B$43))</f>
        <v>31413</v>
      </c>
      <c r="X215" s="454"/>
      <c r="Y215" s="454"/>
      <c r="Z215" s="454"/>
      <c r="AA215" s="454">
        <f>IFERROR(VLOOKUP($A215,'GeneratingCapabilityList sorted'!$E$9:$O$801,11,FALSE),Scenarios!$B$43)</f>
        <v>31413</v>
      </c>
      <c r="AB215" s="453"/>
      <c r="AC215" s="453"/>
    </row>
    <row r="216" spans="1:29" x14ac:dyDescent="0.25">
      <c r="A216" s="65" t="s">
        <v>3264</v>
      </c>
      <c r="B216" s="65" t="s">
        <v>3264</v>
      </c>
      <c r="C216" s="66" t="s">
        <v>3468</v>
      </c>
      <c r="D216" s="66" t="s">
        <v>3520</v>
      </c>
      <c r="E216" s="67">
        <v>0</v>
      </c>
      <c r="F216" s="68">
        <v>1.27</v>
      </c>
      <c r="G216" s="68">
        <v>1.48</v>
      </c>
      <c r="H216" s="68">
        <v>1.6</v>
      </c>
      <c r="I216" s="68">
        <v>1.49</v>
      </c>
      <c r="J216" s="68">
        <v>1.43</v>
      </c>
      <c r="K216" s="68">
        <v>1.1000000000000001</v>
      </c>
      <c r="L216" s="68">
        <v>0.8</v>
      </c>
      <c r="M216" s="68">
        <v>0.51</v>
      </c>
      <c r="N216" s="68">
        <v>0.37</v>
      </c>
      <c r="O216" s="68">
        <v>0.44</v>
      </c>
      <c r="P216" s="68">
        <v>0.41</v>
      </c>
      <c r="Q216" s="68">
        <v>0.9</v>
      </c>
      <c r="R216" s="69" t="s">
        <v>3470</v>
      </c>
      <c r="S216" s="69" t="s">
        <v>3489</v>
      </c>
      <c r="T216" s="70" t="s">
        <v>3502</v>
      </c>
      <c r="U216" s="452"/>
      <c r="V216" s="453" t="str">
        <f>IF(VLOOKUP($A216,'GeneratingCapabilityList sorted'!$E$9:$O$801,8,FALSE)&lt;&gt;"",VLOOKUP($A216,'GeneratingCapabilityList sorted'!$E$9:$O$801,8,FALSE),"NoneListed")</f>
        <v>WATER</v>
      </c>
      <c r="W216" s="454">
        <f>IF($AB216,$AB216,IF($AA216,$AA216,Scenarios!$B$43))</f>
        <v>31044</v>
      </c>
      <c r="X216" s="454"/>
      <c r="Y216" s="454"/>
      <c r="Z216" s="454"/>
      <c r="AA216" s="454">
        <f>IFERROR(VLOOKUP($A216,'GeneratingCapabilityList sorted'!$E$9:$O$801,11,FALSE),Scenarios!$B$43)</f>
        <v>0</v>
      </c>
      <c r="AB216" s="454">
        <v>31044</v>
      </c>
      <c r="AC216" s="453" t="s">
        <v>4731</v>
      </c>
    </row>
    <row r="217" spans="1:29" x14ac:dyDescent="0.25">
      <c r="A217" s="65" t="s">
        <v>911</v>
      </c>
      <c r="B217" s="65" t="s">
        <v>3651</v>
      </c>
      <c r="C217" s="66" t="s">
        <v>3468</v>
      </c>
      <c r="D217" s="66" t="s">
        <v>3469</v>
      </c>
      <c r="E217" s="67">
        <v>0</v>
      </c>
      <c r="F217" s="68">
        <v>0.15</v>
      </c>
      <c r="G217" s="68">
        <v>0.23</v>
      </c>
      <c r="H217" s="68">
        <v>0.17</v>
      </c>
      <c r="I217" s="68">
        <v>0.14000000000000001</v>
      </c>
      <c r="J217" s="68">
        <v>0.19</v>
      </c>
      <c r="K217" s="68">
        <v>0.11</v>
      </c>
      <c r="L217" s="68">
        <v>7.0000000000000007E-2</v>
      </c>
      <c r="M217" s="68">
        <v>0.06</v>
      </c>
      <c r="N217" s="68">
        <v>0.05</v>
      </c>
      <c r="O217" s="68">
        <v>0.04</v>
      </c>
      <c r="P217" s="68">
        <v>0.06</v>
      </c>
      <c r="Q217" s="68">
        <v>0.1</v>
      </c>
      <c r="R217" s="69" t="s">
        <v>3470</v>
      </c>
      <c r="S217" s="69" t="s">
        <v>3489</v>
      </c>
      <c r="T217" s="70" t="s">
        <v>3502</v>
      </c>
      <c r="U217" s="452"/>
      <c r="V217" s="453" t="str">
        <f>IF(VLOOKUP($A217,'GeneratingCapabilityList sorted'!$E$9:$O$801,8,FALSE)&lt;&gt;"",VLOOKUP($A217,'GeneratingCapabilityList sorted'!$E$9:$O$801,8,FALSE),"NoneListed")</f>
        <v>WATER</v>
      </c>
      <c r="W217" s="454">
        <f>IF($AB217,$AB217,IF($AA217,$AA217,Scenarios!$B$43))</f>
        <v>30317</v>
      </c>
      <c r="X217" s="454"/>
      <c r="Y217" s="454"/>
      <c r="Z217" s="454"/>
      <c r="AA217" s="454">
        <f>IFERROR(VLOOKUP($A217,'GeneratingCapabilityList sorted'!$E$9:$O$801,11,FALSE),Scenarios!$B$43)</f>
        <v>30317</v>
      </c>
      <c r="AB217" s="453"/>
      <c r="AC217" s="453"/>
    </row>
    <row r="218" spans="1:29" x14ac:dyDescent="0.25">
      <c r="A218" s="65" t="s">
        <v>1053</v>
      </c>
      <c r="B218" s="65" t="s">
        <v>1054</v>
      </c>
      <c r="C218" s="66" t="s">
        <v>3477</v>
      </c>
      <c r="D218" s="66" t="s">
        <v>3488</v>
      </c>
      <c r="E218" s="67">
        <v>0</v>
      </c>
      <c r="F218" s="68">
        <v>0</v>
      </c>
      <c r="G218" s="68">
        <v>0.02</v>
      </c>
      <c r="H218" s="68">
        <v>0.44</v>
      </c>
      <c r="I218" s="68">
        <v>3.6</v>
      </c>
      <c r="J218" s="68">
        <v>4.8899999999999997</v>
      </c>
      <c r="K218" s="68">
        <v>8.51</v>
      </c>
      <c r="L218" s="68">
        <v>8.09</v>
      </c>
      <c r="M218" s="68">
        <v>8.23</v>
      </c>
      <c r="N218" s="68">
        <v>6.65</v>
      </c>
      <c r="O218" s="68">
        <v>0.53</v>
      </c>
      <c r="P218" s="68">
        <v>0.02</v>
      </c>
      <c r="Q218" s="68">
        <v>0</v>
      </c>
      <c r="R218" s="69" t="s">
        <v>3470</v>
      </c>
      <c r="S218" s="69" t="s">
        <v>3489</v>
      </c>
      <c r="T218" s="70" t="s">
        <v>3522</v>
      </c>
      <c r="U218" s="452"/>
      <c r="V218" s="453" t="str">
        <f>IF(VLOOKUP($A218,'GeneratingCapabilityList sorted'!$E$9:$O$801,8,FALSE)&lt;&gt;"",VLOOKUP($A218,'GeneratingCapabilityList sorted'!$E$9:$O$801,8,FALSE),"NoneListed")</f>
        <v>SUN</v>
      </c>
      <c r="W218" s="454">
        <f>IF($AB218,$AB218,IF($AA218,$AA218,Scenarios!$B$43))</f>
        <v>30682</v>
      </c>
      <c r="X218" s="454"/>
      <c r="Y218" s="454"/>
      <c r="Z218" s="454"/>
      <c r="AA218" s="454">
        <f>IFERROR(VLOOKUP($A218,'GeneratingCapabilityList sorted'!$E$9:$O$801,11,FALSE),Scenarios!$B$43)</f>
        <v>30682</v>
      </c>
      <c r="AB218" s="453"/>
      <c r="AC218" s="453"/>
    </row>
    <row r="219" spans="1:29" x14ac:dyDescent="0.25">
      <c r="A219" s="65" t="s">
        <v>3202</v>
      </c>
      <c r="B219" s="65" t="s">
        <v>3652</v>
      </c>
      <c r="C219" s="66" t="s">
        <v>3477</v>
      </c>
      <c r="D219" s="66" t="s">
        <v>3387</v>
      </c>
      <c r="E219" s="67">
        <v>0</v>
      </c>
      <c r="F219" s="68">
        <v>0.31</v>
      </c>
      <c r="G219" s="68">
        <v>0.95</v>
      </c>
      <c r="H219" s="68">
        <v>1.73</v>
      </c>
      <c r="I219" s="68">
        <v>1.73</v>
      </c>
      <c r="J219" s="68">
        <v>3.58</v>
      </c>
      <c r="K219" s="68">
        <v>5</v>
      </c>
      <c r="L219" s="68">
        <v>3.86</v>
      </c>
      <c r="M219" s="68">
        <v>1.71</v>
      </c>
      <c r="N219" s="68">
        <v>0.83</v>
      </c>
      <c r="O219" s="68">
        <v>1</v>
      </c>
      <c r="P219" s="68">
        <v>0.96</v>
      </c>
      <c r="Q219" s="68">
        <v>0.47</v>
      </c>
      <c r="R219" s="69" t="s">
        <v>3470</v>
      </c>
      <c r="S219" s="69" t="s">
        <v>3489</v>
      </c>
      <c r="T219" s="70" t="s">
        <v>3425</v>
      </c>
      <c r="U219" s="452"/>
      <c r="V219" s="453" t="str">
        <f>IF(VLOOKUP($A219,'GeneratingCapabilityList sorted'!$E$9:$O$801,8,FALSE)&lt;&gt;"",VLOOKUP($A219,'GeneratingCapabilityList sorted'!$E$9:$O$801,8,FALSE),"NoneListed")</f>
        <v>WIND</v>
      </c>
      <c r="W219" s="454">
        <f>IF($AB219,$AB219,IF($AA219,$AA219,Scenarios!$B$43))</f>
        <v>29221</v>
      </c>
      <c r="X219" s="454"/>
      <c r="Y219" s="454"/>
      <c r="Z219" s="454"/>
      <c r="AA219" s="454">
        <f>IFERROR(VLOOKUP($A219,'GeneratingCapabilityList sorted'!$E$9:$O$801,11,FALSE),Scenarios!$B$43)</f>
        <v>0</v>
      </c>
      <c r="AB219" s="453"/>
      <c r="AC219" s="453"/>
    </row>
    <row r="220" spans="1:29" x14ac:dyDescent="0.25">
      <c r="A220" s="65" t="s">
        <v>2939</v>
      </c>
      <c r="B220" s="65" t="s">
        <v>2940</v>
      </c>
      <c r="C220" s="66" t="s">
        <v>3477</v>
      </c>
      <c r="D220" s="66" t="s">
        <v>3387</v>
      </c>
      <c r="E220" s="67">
        <v>0</v>
      </c>
      <c r="F220" s="68">
        <v>0.32820096919690867</v>
      </c>
      <c r="G220" s="68">
        <v>0.39495916526040742</v>
      </c>
      <c r="H220" s="68">
        <v>0.97363935763490617</v>
      </c>
      <c r="I220" s="68">
        <v>1.312614110802772</v>
      </c>
      <c r="J220" s="68">
        <v>1.7471228439257234</v>
      </c>
      <c r="K220" s="68">
        <v>2.39185810471669</v>
      </c>
      <c r="L220" s="68">
        <v>1.7889428404660968</v>
      </c>
      <c r="M220" s="68">
        <v>1.3216672363121837</v>
      </c>
      <c r="N220" s="68">
        <v>0.94978473321624657</v>
      </c>
      <c r="O220" s="68">
        <v>0.60456393459315527</v>
      </c>
      <c r="P220" s="68">
        <v>0.23827238453772662</v>
      </c>
      <c r="Q220" s="68">
        <v>0.24589230603277137</v>
      </c>
      <c r="R220" s="69" t="s">
        <v>3470</v>
      </c>
      <c r="S220" s="69" t="s">
        <v>3489</v>
      </c>
      <c r="T220" s="70" t="s">
        <v>3425</v>
      </c>
      <c r="U220" s="452"/>
      <c r="V220" s="453" t="str">
        <f>IF(VLOOKUP($A220,'GeneratingCapabilityList sorted'!$E$9:$O$801,8,FALSE)&lt;&gt;"",VLOOKUP($A220,'GeneratingCapabilityList sorted'!$E$9:$O$801,8,FALSE),"NoneListed")</f>
        <v>WIND</v>
      </c>
      <c r="W220" s="454">
        <f>IF($AB220,$AB220,IF($AA220,$AA220,Scenarios!$B$43))</f>
        <v>39966</v>
      </c>
      <c r="X220" s="454"/>
      <c r="Y220" s="454"/>
      <c r="Z220" s="454"/>
      <c r="AA220" s="454">
        <f>IFERROR(VLOOKUP($A220,'GeneratingCapabilityList sorted'!$E$9:$O$801,11,FALSE),Scenarios!$B$43)</f>
        <v>39966</v>
      </c>
      <c r="AB220" s="453"/>
      <c r="AC220" s="453"/>
    </row>
    <row r="221" spans="1:29" x14ac:dyDescent="0.25">
      <c r="A221" s="65" t="s">
        <v>2790</v>
      </c>
      <c r="B221" s="65" t="s">
        <v>3653</v>
      </c>
      <c r="C221" s="66" t="s">
        <v>3468</v>
      </c>
      <c r="D221" s="66" t="s">
        <v>3474</v>
      </c>
      <c r="E221" s="67">
        <v>0</v>
      </c>
      <c r="F221" s="68">
        <v>0</v>
      </c>
      <c r="G221" s="68">
        <v>0</v>
      </c>
      <c r="H221" s="68">
        <v>0</v>
      </c>
      <c r="I221" s="68">
        <v>0</v>
      </c>
      <c r="J221" s="68">
        <v>0</v>
      </c>
      <c r="K221" s="68">
        <v>0</v>
      </c>
      <c r="L221" s="68">
        <v>0</v>
      </c>
      <c r="M221" s="68">
        <v>0</v>
      </c>
      <c r="N221" s="68">
        <v>0</v>
      </c>
      <c r="O221" s="68">
        <v>0</v>
      </c>
      <c r="P221" s="68">
        <v>0</v>
      </c>
      <c r="Q221" s="68">
        <v>0</v>
      </c>
      <c r="R221" s="69" t="s">
        <v>3470</v>
      </c>
      <c r="S221" s="69" t="s">
        <v>3471</v>
      </c>
      <c r="T221" s="70" t="s">
        <v>3472</v>
      </c>
      <c r="U221" s="452"/>
      <c r="V221" s="453" t="str">
        <f>IF(VLOOKUP($A221,'GeneratingCapabilityList sorted'!$E$9:$O$801,8,FALSE)&lt;&gt;"",VLOOKUP($A221,'GeneratingCapabilityList sorted'!$E$9:$O$801,8,FALSE),"NoneListed")</f>
        <v>NATURAL GAS</v>
      </c>
      <c r="W221" s="454">
        <f>IF($AB221,$AB221,IF($AA221,$AA221,Scenarios!$B$43))</f>
        <v>38567</v>
      </c>
      <c r="X221" s="454"/>
      <c r="Y221" s="454"/>
      <c r="Z221" s="454"/>
      <c r="AA221" s="454">
        <f>IFERROR(VLOOKUP($A221,'GeneratingCapabilityList sorted'!$E$9:$O$801,11,FALSE),Scenarios!$B$43)</f>
        <v>38567</v>
      </c>
      <c r="AB221" s="453"/>
      <c r="AC221" s="453"/>
    </row>
    <row r="222" spans="1:29" x14ac:dyDescent="0.25">
      <c r="A222" s="65" t="s">
        <v>2919</v>
      </c>
      <c r="B222" s="65" t="s">
        <v>3654</v>
      </c>
      <c r="C222" s="66" t="s">
        <v>3468</v>
      </c>
      <c r="D222" s="66" t="s">
        <v>3382</v>
      </c>
      <c r="E222" s="67">
        <v>0</v>
      </c>
      <c r="F222" s="68">
        <v>579</v>
      </c>
      <c r="G222" s="68">
        <v>579</v>
      </c>
      <c r="H222" s="68">
        <v>579</v>
      </c>
      <c r="I222" s="68">
        <v>579</v>
      </c>
      <c r="J222" s="68">
        <v>579</v>
      </c>
      <c r="K222" s="68">
        <v>564</v>
      </c>
      <c r="L222" s="68">
        <v>560</v>
      </c>
      <c r="M222" s="68">
        <v>560</v>
      </c>
      <c r="N222" s="68">
        <v>564</v>
      </c>
      <c r="O222" s="68">
        <v>579</v>
      </c>
      <c r="P222" s="68">
        <v>579</v>
      </c>
      <c r="Q222" s="68">
        <v>579</v>
      </c>
      <c r="R222" s="69" t="s">
        <v>3470</v>
      </c>
      <c r="S222" s="69" t="s">
        <v>3471</v>
      </c>
      <c r="T222" s="70" t="s">
        <v>3472</v>
      </c>
      <c r="U222" s="452"/>
      <c r="V222" s="453" t="str">
        <f>IF(VLOOKUP($A222,'GeneratingCapabilityList sorted'!$E$9:$O$801,8,FALSE)&lt;&gt;"",VLOOKUP($A222,'GeneratingCapabilityList sorted'!$E$9:$O$801,8,FALSE),"NoneListed")</f>
        <v>NATURAL GAS</v>
      </c>
      <c r="W222" s="454">
        <f>IF($AB222,$AB222,IF($AA222,$AA222,Scenarios!$B$43))</f>
        <v>39817</v>
      </c>
      <c r="X222" s="454"/>
      <c r="Y222" s="454"/>
      <c r="Z222" s="454"/>
      <c r="AA222" s="454">
        <f>IFERROR(VLOOKUP($A222,'GeneratingCapabilityList sorted'!$E$9:$O$801,11,FALSE),Scenarios!$B$43)</f>
        <v>39817</v>
      </c>
      <c r="AB222" s="453"/>
      <c r="AC222" s="453"/>
    </row>
    <row r="223" spans="1:29" x14ac:dyDescent="0.25">
      <c r="A223" s="72" t="s">
        <v>700</v>
      </c>
      <c r="B223" s="72" t="s">
        <v>3655</v>
      </c>
      <c r="C223" s="73" t="s">
        <v>3468</v>
      </c>
      <c r="D223" s="73" t="s">
        <v>3469</v>
      </c>
      <c r="E223" s="67">
        <v>65</v>
      </c>
      <c r="F223" s="68">
        <v>0</v>
      </c>
      <c r="G223" s="68">
        <v>0</v>
      </c>
      <c r="H223" s="68">
        <v>0</v>
      </c>
      <c r="I223" s="68">
        <v>0</v>
      </c>
      <c r="J223" s="68">
        <v>0</v>
      </c>
      <c r="K223" s="68">
        <v>0</v>
      </c>
      <c r="L223" s="68">
        <v>0</v>
      </c>
      <c r="M223" s="68">
        <v>0</v>
      </c>
      <c r="N223" s="68">
        <v>0</v>
      </c>
      <c r="O223" s="68">
        <v>0</v>
      </c>
      <c r="P223" s="68">
        <v>0</v>
      </c>
      <c r="Q223" s="68">
        <v>0</v>
      </c>
      <c r="R223" s="69" t="s">
        <v>3470</v>
      </c>
      <c r="S223" s="69" t="s">
        <v>3471</v>
      </c>
      <c r="T223" s="70" t="s">
        <v>3472</v>
      </c>
      <c r="U223" s="452"/>
      <c r="V223" s="453" t="str">
        <f>IF(VLOOKUP($A223,'GeneratingCapabilityList sorted'!$E$9:$O$801,8,FALSE)&lt;&gt;"",VLOOKUP($A223,'GeneratingCapabilityList sorted'!$E$9:$O$801,8,FALSE),"NoneListed")</f>
        <v>GEOTHERMAL</v>
      </c>
      <c r="W223" s="454">
        <f>IF($AB223,$AB223,IF($AA223,$AA223,Scenarios!$B$43))</f>
        <v>27395</v>
      </c>
      <c r="X223" s="454"/>
      <c r="Y223" s="454"/>
      <c r="Z223" s="454"/>
      <c r="AA223" s="454">
        <f>IFERROR(VLOOKUP($A223,'GeneratingCapabilityList sorted'!$E$9:$O$801,11,FALSE),Scenarios!$B$43)</f>
        <v>27395</v>
      </c>
      <c r="AB223" s="453"/>
      <c r="AC223" s="453"/>
    </row>
    <row r="224" spans="1:29" x14ac:dyDescent="0.25">
      <c r="A224" s="65" t="s">
        <v>757</v>
      </c>
      <c r="B224" s="65" t="s">
        <v>3656</v>
      </c>
      <c r="C224" s="66" t="s">
        <v>3468</v>
      </c>
      <c r="D224" s="66" t="s">
        <v>3469</v>
      </c>
      <c r="E224" s="67">
        <v>50</v>
      </c>
      <c r="F224" s="68">
        <v>0</v>
      </c>
      <c r="G224" s="68">
        <v>0</v>
      </c>
      <c r="H224" s="68">
        <v>0</v>
      </c>
      <c r="I224" s="68">
        <v>0</v>
      </c>
      <c r="J224" s="68">
        <v>0</v>
      </c>
      <c r="K224" s="68">
        <v>0</v>
      </c>
      <c r="L224" s="68">
        <v>0</v>
      </c>
      <c r="M224" s="68">
        <v>0</v>
      </c>
      <c r="N224" s="68">
        <v>0</v>
      </c>
      <c r="O224" s="68">
        <v>0</v>
      </c>
      <c r="P224" s="68">
        <v>0</v>
      </c>
      <c r="Q224" s="68">
        <v>0</v>
      </c>
      <c r="R224" s="69" t="s">
        <v>3470</v>
      </c>
      <c r="S224" s="69" t="s">
        <v>3471</v>
      </c>
      <c r="T224" s="70" t="s">
        <v>3472</v>
      </c>
      <c r="U224" s="452"/>
      <c r="V224" s="453" t="str">
        <f>IF(VLOOKUP($A224,'GeneratingCapabilityList sorted'!$E$9:$O$801,8,FALSE)&lt;&gt;"",VLOOKUP($A224,'GeneratingCapabilityList sorted'!$E$9:$O$801,8,FALSE),"NoneListed")</f>
        <v>GEOTHERMAL</v>
      </c>
      <c r="W224" s="454">
        <f>IF($AB224,$AB224,IF($AA224,$AA224,Scenarios!$B$43))</f>
        <v>28856</v>
      </c>
      <c r="X224" s="454"/>
      <c r="Y224" s="454"/>
      <c r="Z224" s="454"/>
      <c r="AA224" s="454">
        <f>IFERROR(VLOOKUP($A224,'GeneratingCapabilityList sorted'!$E$9:$O$801,11,FALSE),Scenarios!$B$43)</f>
        <v>28856</v>
      </c>
      <c r="AB224" s="453"/>
      <c r="AC224" s="453"/>
    </row>
    <row r="225" spans="1:29" x14ac:dyDescent="0.25">
      <c r="A225" s="65" t="s">
        <v>770</v>
      </c>
      <c r="B225" s="65" t="s">
        <v>3657</v>
      </c>
      <c r="C225" s="66" t="s">
        <v>3468</v>
      </c>
      <c r="D225" s="66" t="s">
        <v>3469</v>
      </c>
      <c r="E225" s="67">
        <v>56</v>
      </c>
      <c r="F225" s="68">
        <v>0</v>
      </c>
      <c r="G225" s="68">
        <v>0</v>
      </c>
      <c r="H225" s="68">
        <v>0</v>
      </c>
      <c r="I225" s="68">
        <v>0</v>
      </c>
      <c r="J225" s="68">
        <v>0</v>
      </c>
      <c r="K225" s="68">
        <v>0</v>
      </c>
      <c r="L225" s="68">
        <v>0</v>
      </c>
      <c r="M225" s="68">
        <v>0</v>
      </c>
      <c r="N225" s="68">
        <v>0</v>
      </c>
      <c r="O225" s="68">
        <v>0</v>
      </c>
      <c r="P225" s="68">
        <v>0</v>
      </c>
      <c r="Q225" s="68">
        <v>0</v>
      </c>
      <c r="R225" s="69" t="s">
        <v>3470</v>
      </c>
      <c r="S225" s="69" t="s">
        <v>3471</v>
      </c>
      <c r="T225" s="70" t="s">
        <v>3472</v>
      </c>
      <c r="U225" s="452"/>
      <c r="V225" s="453" t="str">
        <f>IF(VLOOKUP($A225,'GeneratingCapabilityList sorted'!$E$9:$O$801,8,FALSE)&lt;&gt;"",VLOOKUP($A225,'GeneratingCapabilityList sorted'!$E$9:$O$801,8,FALSE),"NoneListed")</f>
        <v>GEOTHERMAL</v>
      </c>
      <c r="W225" s="454">
        <f>IF($AB225,$AB225,IF($AA225,$AA225,Scenarios!$B$43))</f>
        <v>29221</v>
      </c>
      <c r="X225" s="454"/>
      <c r="Y225" s="454"/>
      <c r="Z225" s="454"/>
      <c r="AA225" s="454">
        <f>IFERROR(VLOOKUP($A225,'GeneratingCapabilityList sorted'!$E$9:$O$801,11,FALSE),Scenarios!$B$43)</f>
        <v>29221</v>
      </c>
      <c r="AB225" s="453"/>
      <c r="AC225" s="453"/>
    </row>
    <row r="226" spans="1:29" x14ac:dyDescent="0.25">
      <c r="A226" s="65" t="s">
        <v>772</v>
      </c>
      <c r="B226" s="65" t="s">
        <v>3658</v>
      </c>
      <c r="C226" s="66" t="s">
        <v>3468</v>
      </c>
      <c r="D226" s="66" t="s">
        <v>3469</v>
      </c>
      <c r="E226" s="67">
        <v>50</v>
      </c>
      <c r="F226" s="68">
        <v>0</v>
      </c>
      <c r="G226" s="68">
        <v>0</v>
      </c>
      <c r="H226" s="68">
        <v>0</v>
      </c>
      <c r="I226" s="68">
        <v>0</v>
      </c>
      <c r="J226" s="68">
        <v>0</v>
      </c>
      <c r="K226" s="68">
        <v>0</v>
      </c>
      <c r="L226" s="68">
        <v>0</v>
      </c>
      <c r="M226" s="68">
        <v>0</v>
      </c>
      <c r="N226" s="68">
        <v>0</v>
      </c>
      <c r="O226" s="68">
        <v>0</v>
      </c>
      <c r="P226" s="68">
        <v>0</v>
      </c>
      <c r="Q226" s="68">
        <v>0</v>
      </c>
      <c r="R226" s="69" t="s">
        <v>3470</v>
      </c>
      <c r="S226" s="69" t="s">
        <v>3471</v>
      </c>
      <c r="T226" s="70" t="s">
        <v>3472</v>
      </c>
      <c r="U226" s="452"/>
      <c r="V226" s="453" t="str">
        <f>IF(VLOOKUP($A226,'GeneratingCapabilityList sorted'!$E$9:$O$801,8,FALSE)&lt;&gt;"",VLOOKUP($A226,'GeneratingCapabilityList sorted'!$E$9:$O$801,8,FALSE),"NoneListed")</f>
        <v>GEOTHERMAL</v>
      </c>
      <c r="W226" s="454">
        <f>IF($AB226,$AB226,IF($AA226,$AA226,Scenarios!$B$43))</f>
        <v>29221</v>
      </c>
      <c r="X226" s="454"/>
      <c r="Y226" s="454"/>
      <c r="Z226" s="454"/>
      <c r="AA226" s="454">
        <f>IFERROR(VLOOKUP($A226,'GeneratingCapabilityList sorted'!$E$9:$O$801,11,FALSE),Scenarios!$B$43)</f>
        <v>29221</v>
      </c>
      <c r="AB226" s="453"/>
      <c r="AC226" s="453"/>
    </row>
    <row r="227" spans="1:29" x14ac:dyDescent="0.25">
      <c r="A227" s="65" t="s">
        <v>1163</v>
      </c>
      <c r="B227" s="65" t="s">
        <v>3659</v>
      </c>
      <c r="C227" s="66" t="s">
        <v>3468</v>
      </c>
      <c r="D227" s="66" t="s">
        <v>3469</v>
      </c>
      <c r="E227" s="67">
        <v>49</v>
      </c>
      <c r="F227" s="68">
        <v>0</v>
      </c>
      <c r="G227" s="68">
        <v>0</v>
      </c>
      <c r="H227" s="68">
        <v>0</v>
      </c>
      <c r="I227" s="68">
        <v>0</v>
      </c>
      <c r="J227" s="68">
        <v>0</v>
      </c>
      <c r="K227" s="68">
        <v>0</v>
      </c>
      <c r="L227" s="68">
        <v>0</v>
      </c>
      <c r="M227" s="68">
        <v>0</v>
      </c>
      <c r="N227" s="68">
        <v>0</v>
      </c>
      <c r="O227" s="68">
        <v>0</v>
      </c>
      <c r="P227" s="68">
        <v>0</v>
      </c>
      <c r="Q227" s="68">
        <v>0</v>
      </c>
      <c r="R227" s="69" t="s">
        <v>3470</v>
      </c>
      <c r="S227" s="69" t="s">
        <v>3471</v>
      </c>
      <c r="T227" s="70" t="s">
        <v>3472</v>
      </c>
      <c r="U227" s="452"/>
      <c r="V227" s="453" t="str">
        <f>IF(VLOOKUP($A227,'GeneratingCapabilityList sorted'!$E$9:$O$801,8,FALSE)&lt;&gt;"",VLOOKUP($A227,'GeneratingCapabilityList sorted'!$E$9:$O$801,8,FALSE),"NoneListed")</f>
        <v>GEOTHERMAL</v>
      </c>
      <c r="W227" s="454">
        <f>IF($AB227,$AB227,IF($AA227,$AA227,Scenarios!$B$43))</f>
        <v>31048</v>
      </c>
      <c r="X227" s="454"/>
      <c r="Y227" s="454"/>
      <c r="Z227" s="454"/>
      <c r="AA227" s="454">
        <f>IFERROR(VLOOKUP($A227,'GeneratingCapabilityList sorted'!$E$9:$O$801,11,FALSE),Scenarios!$B$43)</f>
        <v>31048</v>
      </c>
      <c r="AB227" s="453"/>
      <c r="AC227" s="453"/>
    </row>
    <row r="228" spans="1:29" x14ac:dyDescent="0.25">
      <c r="A228" s="65" t="s">
        <v>2903</v>
      </c>
      <c r="B228" s="65" t="s">
        <v>2903</v>
      </c>
      <c r="C228" s="66" t="s">
        <v>3468</v>
      </c>
      <c r="D228" s="66" t="s">
        <v>3469</v>
      </c>
      <c r="E228" s="67">
        <v>14.7</v>
      </c>
      <c r="F228" s="68">
        <v>0</v>
      </c>
      <c r="G228" s="68">
        <v>0</v>
      </c>
      <c r="H228" s="68">
        <v>0</v>
      </c>
      <c r="I228" s="68">
        <v>0</v>
      </c>
      <c r="J228" s="68">
        <v>0</v>
      </c>
      <c r="K228" s="68">
        <v>0</v>
      </c>
      <c r="L228" s="68">
        <v>0</v>
      </c>
      <c r="M228" s="68">
        <v>0</v>
      </c>
      <c r="N228" s="68">
        <v>0</v>
      </c>
      <c r="O228" s="68">
        <v>0</v>
      </c>
      <c r="P228" s="68">
        <v>0</v>
      </c>
      <c r="Q228" s="68">
        <v>0</v>
      </c>
      <c r="R228" s="69" t="s">
        <v>3470</v>
      </c>
      <c r="S228" s="69" t="s">
        <v>3471</v>
      </c>
      <c r="T228" s="70" t="s">
        <v>3472</v>
      </c>
      <c r="U228" s="452"/>
      <c r="V228" s="453" t="str">
        <f>IF(VLOOKUP($A228,'GeneratingCapabilityList sorted'!$E$9:$O$801,8,FALSE)&lt;&gt;"",VLOOKUP($A228,'GeneratingCapabilityList sorted'!$E$9:$O$801,8,FALSE),"NoneListed")</f>
        <v>GEOTHERMAL</v>
      </c>
      <c r="W228" s="454">
        <f>IF($AB228,$AB228,IF($AA228,$AA228,Scenarios!$B$43))</f>
        <v>39347</v>
      </c>
      <c r="X228" s="454"/>
      <c r="Y228" s="454"/>
      <c r="Z228" s="454"/>
      <c r="AA228" s="454">
        <f>IFERROR(VLOOKUP($A228,'GeneratingCapabilityList sorted'!$E$9:$O$801,11,FALSE),Scenarios!$B$43)</f>
        <v>39347</v>
      </c>
      <c r="AB228" s="453"/>
      <c r="AC228" s="453"/>
    </row>
    <row r="229" spans="1:29" x14ac:dyDescent="0.25">
      <c r="A229" s="72" t="s">
        <v>814</v>
      </c>
      <c r="B229" s="72" t="s">
        <v>3660</v>
      </c>
      <c r="C229" s="73" t="s">
        <v>3468</v>
      </c>
      <c r="D229" s="73" t="s">
        <v>3469</v>
      </c>
      <c r="E229" s="67">
        <v>53</v>
      </c>
      <c r="F229" s="68">
        <v>0</v>
      </c>
      <c r="G229" s="68">
        <v>0</v>
      </c>
      <c r="H229" s="68">
        <v>0</v>
      </c>
      <c r="I229" s="68">
        <v>0</v>
      </c>
      <c r="J229" s="68">
        <v>0</v>
      </c>
      <c r="K229" s="68">
        <v>0</v>
      </c>
      <c r="L229" s="68">
        <v>0</v>
      </c>
      <c r="M229" s="68">
        <v>0</v>
      </c>
      <c r="N229" s="68">
        <v>0</v>
      </c>
      <c r="O229" s="68">
        <v>0</v>
      </c>
      <c r="P229" s="68">
        <v>0</v>
      </c>
      <c r="Q229" s="68">
        <v>0</v>
      </c>
      <c r="R229" s="69" t="s">
        <v>3470</v>
      </c>
      <c r="S229" s="69" t="s">
        <v>3471</v>
      </c>
      <c r="T229" s="70" t="s">
        <v>3472</v>
      </c>
      <c r="U229" s="452"/>
      <c r="V229" s="453" t="str">
        <f>IF(VLOOKUP($A229,'GeneratingCapabilityList sorted'!$E$9:$O$801,8,FALSE)&lt;&gt;"",VLOOKUP($A229,'GeneratingCapabilityList sorted'!$E$9:$O$801,8,FALSE),"NoneListed")</f>
        <v>GEOTHERMAL</v>
      </c>
      <c r="W229" s="454">
        <f>IF($AB229,$AB229,IF($AA229,$AA229,Scenarios!$B$43))</f>
        <v>29952</v>
      </c>
      <c r="X229" s="454"/>
      <c r="Y229" s="454"/>
      <c r="Z229" s="454"/>
      <c r="AA229" s="454">
        <f>IFERROR(VLOOKUP($A229,'GeneratingCapabilityList sorted'!$E$9:$O$801,11,FALSE),Scenarios!$B$43)</f>
        <v>29952</v>
      </c>
      <c r="AB229" s="453"/>
      <c r="AC229" s="453"/>
    </row>
    <row r="230" spans="1:29" x14ac:dyDescent="0.25">
      <c r="A230" s="65" t="s">
        <v>882</v>
      </c>
      <c r="B230" s="65" t="s">
        <v>3661</v>
      </c>
      <c r="C230" s="66" t="s">
        <v>3468</v>
      </c>
      <c r="D230" s="66" t="s">
        <v>3469</v>
      </c>
      <c r="E230" s="67">
        <v>45</v>
      </c>
      <c r="F230" s="68">
        <v>0</v>
      </c>
      <c r="G230" s="68">
        <v>0</v>
      </c>
      <c r="H230" s="68">
        <v>0</v>
      </c>
      <c r="I230" s="68">
        <v>0</v>
      </c>
      <c r="J230" s="68">
        <v>0</v>
      </c>
      <c r="K230" s="68">
        <v>0</v>
      </c>
      <c r="L230" s="68">
        <v>0</v>
      </c>
      <c r="M230" s="68">
        <v>0</v>
      </c>
      <c r="N230" s="68">
        <v>0</v>
      </c>
      <c r="O230" s="68">
        <v>0</v>
      </c>
      <c r="P230" s="68">
        <v>0</v>
      </c>
      <c r="Q230" s="68">
        <v>0</v>
      </c>
      <c r="R230" s="69" t="s">
        <v>3470</v>
      </c>
      <c r="S230" s="69" t="s">
        <v>3471</v>
      </c>
      <c r="T230" s="70" t="s">
        <v>3472</v>
      </c>
      <c r="U230" s="452"/>
      <c r="V230" s="453" t="str">
        <f>IF(VLOOKUP($A230,'GeneratingCapabilityList sorted'!$E$9:$O$801,8,FALSE)&lt;&gt;"",VLOOKUP($A230,'GeneratingCapabilityList sorted'!$E$9:$O$801,8,FALSE),"NoneListed")</f>
        <v>GEOTHERMAL</v>
      </c>
      <c r="W230" s="454">
        <f>IF($AB230,$AB230,IF($AA230,$AA230,Scenarios!$B$43))</f>
        <v>30317</v>
      </c>
      <c r="X230" s="454"/>
      <c r="Y230" s="454"/>
      <c r="Z230" s="454"/>
      <c r="AA230" s="454">
        <f>IFERROR(VLOOKUP($A230,'GeneratingCapabilityList sorted'!$E$9:$O$801,11,FALSE),Scenarios!$B$43)</f>
        <v>30317</v>
      </c>
      <c r="AB230" s="453"/>
      <c r="AC230" s="453"/>
    </row>
    <row r="231" spans="1:29" x14ac:dyDescent="0.25">
      <c r="A231" s="65" t="s">
        <v>1165</v>
      </c>
      <c r="B231" s="65" t="s">
        <v>3662</v>
      </c>
      <c r="C231" s="66" t="s">
        <v>3468</v>
      </c>
      <c r="D231" s="66" t="s">
        <v>3469</v>
      </c>
      <c r="E231" s="67">
        <v>40</v>
      </c>
      <c r="F231" s="68">
        <v>0</v>
      </c>
      <c r="G231" s="68">
        <v>0</v>
      </c>
      <c r="H231" s="68">
        <v>0</v>
      </c>
      <c r="I231" s="68">
        <v>0</v>
      </c>
      <c r="J231" s="68">
        <v>0</v>
      </c>
      <c r="K231" s="68">
        <v>0</v>
      </c>
      <c r="L231" s="68">
        <v>0</v>
      </c>
      <c r="M231" s="68">
        <v>0</v>
      </c>
      <c r="N231" s="68">
        <v>0</v>
      </c>
      <c r="O231" s="68">
        <v>0</v>
      </c>
      <c r="P231" s="68">
        <v>0</v>
      </c>
      <c r="Q231" s="68">
        <v>0</v>
      </c>
      <c r="R231" s="69" t="s">
        <v>3470</v>
      </c>
      <c r="S231" s="69" t="s">
        <v>3471</v>
      </c>
      <c r="T231" s="70" t="s">
        <v>3472</v>
      </c>
      <c r="U231" s="452"/>
      <c r="V231" s="453" t="str">
        <f>IF(VLOOKUP($A231,'GeneratingCapabilityList sorted'!$E$9:$O$801,8,FALSE)&lt;&gt;"",VLOOKUP($A231,'GeneratingCapabilityList sorted'!$E$9:$O$801,8,FALSE),"NoneListed")</f>
        <v>GEOTHERMAL</v>
      </c>
      <c r="W231" s="454">
        <f>IF($AB231,$AB231,IF($AA231,$AA231,Scenarios!$B$43))</f>
        <v>31048</v>
      </c>
      <c r="X231" s="454"/>
      <c r="Y231" s="454"/>
      <c r="Z231" s="454"/>
      <c r="AA231" s="454">
        <f>IFERROR(VLOOKUP($A231,'GeneratingCapabilityList sorted'!$E$9:$O$801,11,FALSE),Scenarios!$B$43)</f>
        <v>31048</v>
      </c>
      <c r="AB231" s="453"/>
      <c r="AC231" s="453"/>
    </row>
    <row r="232" spans="1:29" x14ac:dyDescent="0.25">
      <c r="A232" s="65" t="s">
        <v>1493</v>
      </c>
      <c r="B232" s="65" t="s">
        <v>3663</v>
      </c>
      <c r="C232" s="66" t="s">
        <v>3468</v>
      </c>
      <c r="D232" s="66" t="s">
        <v>3382</v>
      </c>
      <c r="E232" s="67">
        <v>0</v>
      </c>
      <c r="F232" s="68">
        <v>130</v>
      </c>
      <c r="G232" s="68">
        <v>128</v>
      </c>
      <c r="H232" s="68">
        <v>125</v>
      </c>
      <c r="I232" s="68">
        <v>120</v>
      </c>
      <c r="J232" s="68">
        <v>115</v>
      </c>
      <c r="K232" s="68">
        <v>110</v>
      </c>
      <c r="L232" s="68">
        <v>105</v>
      </c>
      <c r="M232" s="68">
        <v>105</v>
      </c>
      <c r="N232" s="68">
        <v>110</v>
      </c>
      <c r="O232" s="68">
        <v>120</v>
      </c>
      <c r="P232" s="68">
        <v>125</v>
      </c>
      <c r="Q232" s="68">
        <v>130</v>
      </c>
      <c r="R232" s="69" t="s">
        <v>3470</v>
      </c>
      <c r="S232" s="69" t="s">
        <v>3471</v>
      </c>
      <c r="T232" s="70" t="s">
        <v>3472</v>
      </c>
      <c r="U232" s="452"/>
      <c r="V232" s="453" t="str">
        <f>IF(VLOOKUP($A232,'GeneratingCapabilityList sorted'!$E$9:$O$801,8,FALSE)&lt;&gt;"",VLOOKUP($A232,'GeneratingCapabilityList sorted'!$E$9:$O$801,8,FALSE),"NoneListed")</f>
        <v>NATURAL GAS</v>
      </c>
      <c r="W232" s="454">
        <f>IF($AB232,$AB232,IF($AA232,$AA232,Scenarios!$B$43))</f>
        <v>31778</v>
      </c>
      <c r="X232" s="454"/>
      <c r="Y232" s="454"/>
      <c r="Z232" s="454"/>
      <c r="AA232" s="454">
        <f>IFERROR(VLOOKUP($A232,'GeneratingCapabilityList sorted'!$E$9:$O$801,11,FALSE),Scenarios!$B$43)</f>
        <v>31778</v>
      </c>
      <c r="AB232" s="453"/>
      <c r="AC232" s="453"/>
    </row>
    <row r="233" spans="1:29" x14ac:dyDescent="0.25">
      <c r="A233" s="65" t="s">
        <v>2524</v>
      </c>
      <c r="B233" s="65" t="s">
        <v>3664</v>
      </c>
      <c r="C233" s="66" t="s">
        <v>3468</v>
      </c>
      <c r="D233" s="66" t="s">
        <v>3382</v>
      </c>
      <c r="E233" s="67">
        <v>0</v>
      </c>
      <c r="F233" s="68">
        <v>94.5</v>
      </c>
      <c r="G233" s="68">
        <v>94.5</v>
      </c>
      <c r="H233" s="68">
        <v>94.5</v>
      </c>
      <c r="I233" s="68">
        <v>93</v>
      </c>
      <c r="J233" s="68">
        <v>92</v>
      </c>
      <c r="K233" s="68">
        <v>91</v>
      </c>
      <c r="L233" s="68">
        <v>91</v>
      </c>
      <c r="M233" s="68">
        <v>91</v>
      </c>
      <c r="N233" s="68">
        <v>92</v>
      </c>
      <c r="O233" s="68">
        <v>93</v>
      </c>
      <c r="P233" s="68">
        <v>94.5</v>
      </c>
      <c r="Q233" s="68">
        <v>94.5</v>
      </c>
      <c r="R233" s="69" t="s">
        <v>3470</v>
      </c>
      <c r="S233" s="69" t="s">
        <v>3471</v>
      </c>
      <c r="T233" s="70" t="s">
        <v>3472</v>
      </c>
      <c r="U233" s="452"/>
      <c r="V233" s="453" t="str">
        <f>IF(VLOOKUP($A233,'GeneratingCapabilityList sorted'!$E$9:$O$801,8,FALSE)&lt;&gt;"",VLOOKUP($A233,'GeneratingCapabilityList sorted'!$E$9:$O$801,8,FALSE),"NoneListed")</f>
        <v>NATURAL GAS</v>
      </c>
      <c r="W233" s="454">
        <f>IF($AB233,$AB233,IF($AA233,$AA233,Scenarios!$B$43))</f>
        <v>37285</v>
      </c>
      <c r="X233" s="454"/>
      <c r="Y233" s="454"/>
      <c r="Z233" s="454"/>
      <c r="AA233" s="454">
        <f>IFERROR(VLOOKUP($A233,'GeneratingCapabilityList sorted'!$E$9:$O$801,11,FALSE),Scenarios!$B$43)</f>
        <v>37285</v>
      </c>
      <c r="AB233" s="453"/>
      <c r="AC233" s="453"/>
    </row>
    <row r="234" spans="1:29" x14ac:dyDescent="0.25">
      <c r="A234" s="65" t="s">
        <v>2530</v>
      </c>
      <c r="B234" s="65" t="s">
        <v>3665</v>
      </c>
      <c r="C234" s="66" t="s">
        <v>3468</v>
      </c>
      <c r="D234" s="66" t="s">
        <v>3382</v>
      </c>
      <c r="E234" s="67">
        <v>0</v>
      </c>
      <c r="F234" s="68">
        <v>46.2</v>
      </c>
      <c r="G234" s="68">
        <v>46.2</v>
      </c>
      <c r="H234" s="68">
        <v>46.2</v>
      </c>
      <c r="I234" s="68">
        <v>46.2</v>
      </c>
      <c r="J234" s="68">
        <v>46.2</v>
      </c>
      <c r="K234" s="68">
        <v>46</v>
      </c>
      <c r="L234" s="68">
        <v>46</v>
      </c>
      <c r="M234" s="68">
        <v>46</v>
      </c>
      <c r="N234" s="68">
        <v>46</v>
      </c>
      <c r="O234" s="68">
        <v>46.2</v>
      </c>
      <c r="P234" s="68">
        <v>46.2</v>
      </c>
      <c r="Q234" s="68">
        <v>46.2</v>
      </c>
      <c r="R234" s="69" t="s">
        <v>3470</v>
      </c>
      <c r="S234" s="69" t="s">
        <v>3471</v>
      </c>
      <c r="T234" s="70" t="s">
        <v>3472</v>
      </c>
      <c r="U234" s="452"/>
      <c r="V234" s="453" t="str">
        <f>IF(VLOOKUP($A234,'GeneratingCapabilityList sorted'!$E$9:$O$801,8,FALSE)&lt;&gt;"",VLOOKUP($A234,'GeneratingCapabilityList sorted'!$E$9:$O$801,8,FALSE),"NoneListed")</f>
        <v>NATURAL GAS</v>
      </c>
      <c r="W234" s="454">
        <f>IF($AB234,$AB234,IF($AA234,$AA234,Scenarios!$B$43))</f>
        <v>37315</v>
      </c>
      <c r="X234" s="454"/>
      <c r="Y234" s="454"/>
      <c r="Z234" s="454"/>
      <c r="AA234" s="454">
        <f>IFERROR(VLOOKUP($A234,'GeneratingCapabilityList sorted'!$E$9:$O$801,11,FALSE),Scenarios!$B$43)</f>
        <v>37315</v>
      </c>
      <c r="AB234" s="453"/>
      <c r="AC234" s="453"/>
    </row>
    <row r="235" spans="1:29" x14ac:dyDescent="0.25">
      <c r="A235" s="65" t="s">
        <v>706</v>
      </c>
      <c r="B235" s="65" t="s">
        <v>3666</v>
      </c>
      <c r="C235" s="66" t="s">
        <v>3477</v>
      </c>
      <c r="D235" s="66" t="s">
        <v>3387</v>
      </c>
      <c r="E235" s="67">
        <v>22.3</v>
      </c>
      <c r="F235" s="68">
        <v>0</v>
      </c>
      <c r="G235" s="68">
        <v>0</v>
      </c>
      <c r="H235" s="68">
        <v>0</v>
      </c>
      <c r="I235" s="68">
        <v>0</v>
      </c>
      <c r="J235" s="68">
        <v>0</v>
      </c>
      <c r="K235" s="68">
        <v>0</v>
      </c>
      <c r="L235" s="68">
        <v>0</v>
      </c>
      <c r="M235" s="68">
        <v>0</v>
      </c>
      <c r="N235" s="68">
        <v>0</v>
      </c>
      <c r="O235" s="68">
        <v>0</v>
      </c>
      <c r="P235" s="68">
        <v>0</v>
      </c>
      <c r="Q235" s="68">
        <v>0</v>
      </c>
      <c r="R235" s="69" t="s">
        <v>3470</v>
      </c>
      <c r="S235" s="69" t="s">
        <v>3471</v>
      </c>
      <c r="T235" s="70" t="s">
        <v>3472</v>
      </c>
      <c r="U235" s="452"/>
      <c r="V235" s="453" t="str">
        <f>IF(VLOOKUP($A235,'GeneratingCapabilityList sorted'!$E$9:$O$801,8,FALSE)&lt;&gt;"",VLOOKUP($A235,'GeneratingCapabilityList sorted'!$E$9:$O$801,8,FALSE),"NoneListed")</f>
        <v>NATURAL GAS</v>
      </c>
      <c r="W235" s="454">
        <f>IF($AB235,$AB235,IF($AA235,$AA235,Scenarios!$B$43))</f>
        <v>27760</v>
      </c>
      <c r="X235" s="454"/>
      <c r="Y235" s="454"/>
      <c r="Z235" s="454"/>
      <c r="AA235" s="454">
        <f>IFERROR(VLOOKUP($A235,'GeneratingCapabilityList sorted'!$E$9:$O$801,11,FALSE),Scenarios!$B$43)</f>
        <v>27760</v>
      </c>
      <c r="AB235" s="453"/>
      <c r="AC235" s="453"/>
    </row>
    <row r="236" spans="1:29" x14ac:dyDescent="0.25">
      <c r="A236" s="65" t="s">
        <v>709</v>
      </c>
      <c r="B236" s="65" t="s">
        <v>3667</v>
      </c>
      <c r="C236" s="66" t="s">
        <v>3477</v>
      </c>
      <c r="D236" s="66" t="s">
        <v>3387</v>
      </c>
      <c r="E236" s="67">
        <v>22.3</v>
      </c>
      <c r="F236" s="68">
        <v>0</v>
      </c>
      <c r="G236" s="68">
        <v>0</v>
      </c>
      <c r="H236" s="68">
        <v>0</v>
      </c>
      <c r="I236" s="68">
        <v>0</v>
      </c>
      <c r="J236" s="68">
        <v>0</v>
      </c>
      <c r="K236" s="68">
        <v>0</v>
      </c>
      <c r="L236" s="68">
        <v>0</v>
      </c>
      <c r="M236" s="68">
        <v>0</v>
      </c>
      <c r="N236" s="68">
        <v>0</v>
      </c>
      <c r="O236" s="68">
        <v>0</v>
      </c>
      <c r="P236" s="68">
        <v>0</v>
      </c>
      <c r="Q236" s="68">
        <v>0</v>
      </c>
      <c r="R236" s="69" t="s">
        <v>3470</v>
      </c>
      <c r="S236" s="69" t="s">
        <v>3471</v>
      </c>
      <c r="T236" s="70" t="s">
        <v>3472</v>
      </c>
      <c r="U236" s="452"/>
      <c r="V236" s="453" t="str">
        <f>IF(VLOOKUP($A236,'GeneratingCapabilityList sorted'!$E$9:$O$801,8,FALSE)&lt;&gt;"",VLOOKUP($A236,'GeneratingCapabilityList sorted'!$E$9:$O$801,8,FALSE),"NoneListed")</f>
        <v>NATURAL GAS</v>
      </c>
      <c r="W236" s="454">
        <f>IF($AB236,$AB236,IF($AA236,$AA236,Scenarios!$B$43))</f>
        <v>27760</v>
      </c>
      <c r="X236" s="454"/>
      <c r="Y236" s="454"/>
      <c r="Z236" s="454"/>
      <c r="AA236" s="454">
        <f>IFERROR(VLOOKUP($A236,'GeneratingCapabilityList sorted'!$E$9:$O$801,11,FALSE),Scenarios!$B$43)</f>
        <v>27760</v>
      </c>
      <c r="AB236" s="453"/>
      <c r="AC236" s="453"/>
    </row>
    <row r="237" spans="1:29" x14ac:dyDescent="0.25">
      <c r="A237" s="65" t="s">
        <v>2714</v>
      </c>
      <c r="B237" s="65" t="s">
        <v>3668</v>
      </c>
      <c r="C237" s="66" t="s">
        <v>3477</v>
      </c>
      <c r="D237" s="66" t="s">
        <v>3387</v>
      </c>
      <c r="E237" s="67">
        <v>44.83</v>
      </c>
      <c r="F237" s="68">
        <v>0</v>
      </c>
      <c r="G237" s="68">
        <v>0</v>
      </c>
      <c r="H237" s="68">
        <v>0</v>
      </c>
      <c r="I237" s="68">
        <v>0</v>
      </c>
      <c r="J237" s="68">
        <v>0</v>
      </c>
      <c r="K237" s="68">
        <v>0</v>
      </c>
      <c r="L237" s="68">
        <v>0</v>
      </c>
      <c r="M237" s="68">
        <v>0</v>
      </c>
      <c r="N237" s="68">
        <v>0</v>
      </c>
      <c r="O237" s="68">
        <v>0</v>
      </c>
      <c r="P237" s="68">
        <v>0</v>
      </c>
      <c r="Q237" s="68">
        <v>0</v>
      </c>
      <c r="R237" s="69" t="s">
        <v>3470</v>
      </c>
      <c r="S237" s="69" t="s">
        <v>3471</v>
      </c>
      <c r="T237" s="70" t="s">
        <v>3472</v>
      </c>
      <c r="U237" s="452"/>
      <c r="V237" s="453" t="str">
        <f>IF(VLOOKUP($A237,'GeneratingCapabilityList sorted'!$E$9:$O$801,8,FALSE)&lt;&gt;"",VLOOKUP($A237,'GeneratingCapabilityList sorted'!$E$9:$O$801,8,FALSE),"NoneListed")</f>
        <v>NATURAL GAS</v>
      </c>
      <c r="W237" s="454">
        <f>IF($AB237,$AB237,IF($AA237,$AA237,Scenarios!$B$43))</f>
        <v>37994</v>
      </c>
      <c r="X237" s="454"/>
      <c r="Y237" s="454"/>
      <c r="Z237" s="454"/>
      <c r="AA237" s="454">
        <f>IFERROR(VLOOKUP($A237,'GeneratingCapabilityList sorted'!$E$9:$O$801,11,FALSE),Scenarios!$B$43)</f>
        <v>37994</v>
      </c>
      <c r="AB237" s="453"/>
      <c r="AC237" s="453"/>
    </row>
    <row r="238" spans="1:29" x14ac:dyDescent="0.25">
      <c r="A238" s="65" t="s">
        <v>2716</v>
      </c>
      <c r="B238" s="65" t="s">
        <v>3669</v>
      </c>
      <c r="C238" s="66" t="s">
        <v>3477</v>
      </c>
      <c r="D238" s="66" t="s">
        <v>3387</v>
      </c>
      <c r="E238" s="67">
        <v>42.42</v>
      </c>
      <c r="F238" s="68">
        <v>0</v>
      </c>
      <c r="G238" s="68">
        <v>0</v>
      </c>
      <c r="H238" s="68">
        <v>0</v>
      </c>
      <c r="I238" s="68">
        <v>0</v>
      </c>
      <c r="J238" s="68">
        <v>0</v>
      </c>
      <c r="K238" s="68">
        <v>0</v>
      </c>
      <c r="L238" s="68">
        <v>0</v>
      </c>
      <c r="M238" s="68">
        <v>0</v>
      </c>
      <c r="N238" s="68">
        <v>0</v>
      </c>
      <c r="O238" s="68">
        <v>0</v>
      </c>
      <c r="P238" s="68">
        <v>0</v>
      </c>
      <c r="Q238" s="68">
        <v>0</v>
      </c>
      <c r="R238" s="69" t="s">
        <v>3470</v>
      </c>
      <c r="S238" s="69" t="s">
        <v>3471</v>
      </c>
      <c r="T238" s="70" t="s">
        <v>3472</v>
      </c>
      <c r="U238" s="452"/>
      <c r="V238" s="453" t="str">
        <f>IF(VLOOKUP($A238,'GeneratingCapabilityList sorted'!$E$9:$O$801,8,FALSE)&lt;&gt;"",VLOOKUP($A238,'GeneratingCapabilityList sorted'!$E$9:$O$801,8,FALSE),"NoneListed")</f>
        <v>NATURAL GAS</v>
      </c>
      <c r="W238" s="454">
        <f>IF($AB238,$AB238,IF($AA238,$AA238,Scenarios!$B$43))</f>
        <v>37994</v>
      </c>
      <c r="X238" s="454"/>
      <c r="Y238" s="454"/>
      <c r="Z238" s="454"/>
      <c r="AA238" s="454">
        <f>IFERROR(VLOOKUP($A238,'GeneratingCapabilityList sorted'!$E$9:$O$801,11,FALSE),Scenarios!$B$43)</f>
        <v>37994</v>
      </c>
      <c r="AB238" s="453"/>
      <c r="AC238" s="453"/>
    </row>
    <row r="239" spans="1:29" x14ac:dyDescent="0.25">
      <c r="A239" s="65" t="s">
        <v>2159</v>
      </c>
      <c r="B239" s="65" t="s">
        <v>3670</v>
      </c>
      <c r="C239" s="66" t="s">
        <v>3468</v>
      </c>
      <c r="D239" s="66" t="s">
        <v>3510</v>
      </c>
      <c r="E239" s="67">
        <v>0</v>
      </c>
      <c r="F239" s="68">
        <v>0</v>
      </c>
      <c r="G239" s="68">
        <v>0</v>
      </c>
      <c r="H239" s="68">
        <v>0</v>
      </c>
      <c r="I239" s="68">
        <v>0</v>
      </c>
      <c r="J239" s="68">
        <v>0</v>
      </c>
      <c r="K239" s="68">
        <v>0</v>
      </c>
      <c r="L239" s="68">
        <v>0</v>
      </c>
      <c r="M239" s="68">
        <v>0</v>
      </c>
      <c r="N239" s="68">
        <v>0</v>
      </c>
      <c r="O239" s="68">
        <v>0</v>
      </c>
      <c r="P239" s="68">
        <v>0</v>
      </c>
      <c r="Q239" s="68">
        <v>0</v>
      </c>
      <c r="R239" s="69" t="s">
        <v>3470</v>
      </c>
      <c r="S239" s="69" t="s">
        <v>3489</v>
      </c>
      <c r="T239" s="70" t="s">
        <v>3502</v>
      </c>
      <c r="U239" s="452"/>
      <c r="V239" s="453" t="str">
        <f>IF(VLOOKUP($A239,'GeneratingCapabilityList sorted'!$E$9:$O$801,8,FALSE)&lt;&gt;"",VLOOKUP($A239,'GeneratingCapabilityList sorted'!$E$9:$O$801,8,FALSE),"NoneListed")</f>
        <v>WIND</v>
      </c>
      <c r="W239" s="454">
        <f>IF($AB239,$AB239,IF($AA239,$AA239,Scenarios!$B$43))</f>
        <v>33926</v>
      </c>
      <c r="X239" s="454"/>
      <c r="Y239" s="454"/>
      <c r="Z239" s="454"/>
      <c r="AA239" s="454">
        <f>IFERROR(VLOOKUP($A239,'GeneratingCapabilityList sorted'!$E$9:$O$801,11,FALSE),Scenarios!$B$43)</f>
        <v>33926</v>
      </c>
      <c r="AB239" s="453"/>
      <c r="AC239" s="453"/>
    </row>
    <row r="240" spans="1:29" x14ac:dyDescent="0.25">
      <c r="A240" s="65" t="s">
        <v>1335</v>
      </c>
      <c r="B240" s="65" t="s">
        <v>3671</v>
      </c>
      <c r="C240" s="66" t="s">
        <v>3477</v>
      </c>
      <c r="D240" s="66" t="s">
        <v>3388</v>
      </c>
      <c r="E240" s="67">
        <v>0</v>
      </c>
      <c r="F240" s="68">
        <v>0.4</v>
      </c>
      <c r="G240" s="68">
        <v>0.4</v>
      </c>
      <c r="H240" s="68">
        <v>0.4</v>
      </c>
      <c r="I240" s="68">
        <v>0.4</v>
      </c>
      <c r="J240" s="68">
        <v>0.4</v>
      </c>
      <c r="K240" s="68">
        <v>0.11</v>
      </c>
      <c r="L240" s="68">
        <v>0.11</v>
      </c>
      <c r="M240" s="68">
        <v>0.14000000000000001</v>
      </c>
      <c r="N240" s="68">
        <v>0.14000000000000001</v>
      </c>
      <c r="O240" s="68">
        <v>0.11</v>
      </c>
      <c r="P240" s="68">
        <v>0.11</v>
      </c>
      <c r="Q240" s="68">
        <v>7.0000000000000007E-2</v>
      </c>
      <c r="R240" s="69" t="s">
        <v>3470</v>
      </c>
      <c r="S240" s="69" t="s">
        <v>3489</v>
      </c>
      <c r="T240" s="70" t="s">
        <v>3497</v>
      </c>
      <c r="U240" s="452"/>
      <c r="V240" s="453" t="str">
        <f>IF(VLOOKUP($A240,'GeneratingCapabilityList sorted'!$E$9:$O$801,8,FALSE)&lt;&gt;"",VLOOKUP($A240,'GeneratingCapabilityList sorted'!$E$9:$O$801,8,FALSE),"NoneListed")</f>
        <v>VARIOUS</v>
      </c>
      <c r="W240" s="454">
        <f>IF($AB240,$AB240,IF($AA240,$AA240,Scenarios!$B$43))</f>
        <v>31413</v>
      </c>
      <c r="X240" s="454"/>
      <c r="Y240" s="454"/>
      <c r="Z240" s="454"/>
      <c r="AA240" s="454">
        <f>IFERROR(VLOOKUP($A240,'GeneratingCapabilityList sorted'!$E$9:$O$801,11,FALSE),Scenarios!$B$43)</f>
        <v>31413</v>
      </c>
      <c r="AB240" s="453"/>
      <c r="AC240" s="453"/>
    </row>
    <row r="241" spans="1:29" x14ac:dyDescent="0.25">
      <c r="A241" s="65" t="s">
        <v>3196</v>
      </c>
      <c r="B241" s="65" t="s">
        <v>3672</v>
      </c>
      <c r="C241" s="66" t="s">
        <v>3477</v>
      </c>
      <c r="D241" s="66" t="s">
        <v>3388</v>
      </c>
      <c r="E241" s="67">
        <v>54</v>
      </c>
      <c r="F241" s="68">
        <v>0</v>
      </c>
      <c r="G241" s="68">
        <v>0</v>
      </c>
      <c r="H241" s="68">
        <v>0</v>
      </c>
      <c r="I241" s="68">
        <v>0</v>
      </c>
      <c r="J241" s="68">
        <v>0</v>
      </c>
      <c r="K241" s="68">
        <v>0</v>
      </c>
      <c r="L241" s="68">
        <v>0</v>
      </c>
      <c r="M241" s="68">
        <v>0</v>
      </c>
      <c r="N241" s="68">
        <v>0</v>
      </c>
      <c r="O241" s="68">
        <v>0</v>
      </c>
      <c r="P241" s="68">
        <v>0</v>
      </c>
      <c r="Q241" s="68">
        <v>0</v>
      </c>
      <c r="R241" s="69" t="s">
        <v>3470</v>
      </c>
      <c r="S241" s="69" t="s">
        <v>3471</v>
      </c>
      <c r="T241" s="70" t="s">
        <v>3472</v>
      </c>
      <c r="U241" s="452"/>
      <c r="V241" s="453" t="str">
        <f>IF(VLOOKUP($A241,'GeneratingCapabilityList sorted'!$E$9:$O$801,8,FALSE)&lt;&gt;"",VLOOKUP($A241,'GeneratingCapabilityList sorted'!$E$9:$O$801,8,FALSE),"NoneListed")</f>
        <v>NATURAL GAS</v>
      </c>
      <c r="W241" s="454">
        <f>IF($AB241,$AB241,IF($AA241,$AA241,Scenarios!$B$43))</f>
        <v>27030</v>
      </c>
      <c r="X241" s="454"/>
      <c r="Y241" s="454"/>
      <c r="Z241" s="454"/>
      <c r="AA241" s="454">
        <f>IFERROR(VLOOKUP($A241,'GeneratingCapabilityList sorted'!$E$9:$O$801,11,FALSE),Scenarios!$B$43)</f>
        <v>0</v>
      </c>
      <c r="AB241" s="454">
        <v>27030</v>
      </c>
      <c r="AC241" s="453" t="s">
        <v>4697</v>
      </c>
    </row>
    <row r="242" spans="1:29" x14ac:dyDescent="0.25">
      <c r="A242" s="65" t="s">
        <v>2188</v>
      </c>
      <c r="B242" s="65" t="s">
        <v>3673</v>
      </c>
      <c r="C242" s="66" t="s">
        <v>3477</v>
      </c>
      <c r="D242" s="66" t="s">
        <v>3388</v>
      </c>
      <c r="E242" s="67">
        <v>0</v>
      </c>
      <c r="F242" s="68">
        <v>0.45</v>
      </c>
      <c r="G242" s="68">
        <v>0.56999999999999995</v>
      </c>
      <c r="H242" s="68">
        <v>1.28</v>
      </c>
      <c r="I242" s="68">
        <v>0.82</v>
      </c>
      <c r="J242" s="68">
        <v>0.47</v>
      </c>
      <c r="K242" s="68">
        <v>0.57999999999999996</v>
      </c>
      <c r="L242" s="68">
        <v>1.03</v>
      </c>
      <c r="M242" s="68">
        <v>1.17</v>
      </c>
      <c r="N242" s="68">
        <v>0.56999999999999995</v>
      </c>
      <c r="O242" s="68">
        <v>0.87</v>
      </c>
      <c r="P242" s="68">
        <v>0.6</v>
      </c>
      <c r="Q242" s="68">
        <v>1.04</v>
      </c>
      <c r="R242" s="69" t="s">
        <v>3470</v>
      </c>
      <c r="S242" s="69" t="s">
        <v>3489</v>
      </c>
      <c r="T242" s="70" t="s">
        <v>3497</v>
      </c>
      <c r="U242" s="452"/>
      <c r="V242" s="453" t="str">
        <f>IF(VLOOKUP($A242,'GeneratingCapabilityList sorted'!$E$9:$O$801,8,FALSE)&lt;&gt;"",VLOOKUP($A242,'GeneratingCapabilityList sorted'!$E$9:$O$801,8,FALSE),"NoneListed")</f>
        <v>NATURAL GAS</v>
      </c>
      <c r="W242" s="454">
        <f>IF($AB242,$AB242,IF($AA242,$AA242,Scenarios!$B$43))</f>
        <v>34200</v>
      </c>
      <c r="X242" s="454"/>
      <c r="Y242" s="454"/>
      <c r="Z242" s="454"/>
      <c r="AA242" s="454">
        <f>IFERROR(VLOOKUP($A242,'GeneratingCapabilityList sorted'!$E$9:$O$801,11,FALSE),Scenarios!$B$43)</f>
        <v>34200</v>
      </c>
      <c r="AB242" s="453"/>
      <c r="AC242" s="453"/>
    </row>
    <row r="243" spans="1:29" x14ac:dyDescent="0.25">
      <c r="A243" s="65" t="s">
        <v>1485</v>
      </c>
      <c r="B243" s="65" t="s">
        <v>3674</v>
      </c>
      <c r="C243" s="66" t="s">
        <v>3477</v>
      </c>
      <c r="D243" s="66" t="s">
        <v>3388</v>
      </c>
      <c r="E243" s="67">
        <v>0</v>
      </c>
      <c r="F243" s="68">
        <v>3.8</v>
      </c>
      <c r="G243" s="68">
        <v>3.09</v>
      </c>
      <c r="H243" s="68">
        <v>3.26</v>
      </c>
      <c r="I243" s="68">
        <v>2.67</v>
      </c>
      <c r="J243" s="68">
        <v>2.6</v>
      </c>
      <c r="K243" s="68">
        <v>1.99</v>
      </c>
      <c r="L243" s="68">
        <v>1.1000000000000001</v>
      </c>
      <c r="M243" s="68">
        <v>1.41</v>
      </c>
      <c r="N243" s="68">
        <v>1.29</v>
      </c>
      <c r="O243" s="68">
        <v>1.46</v>
      </c>
      <c r="P243" s="68">
        <v>2.2999999999999998</v>
      </c>
      <c r="Q243" s="68">
        <v>2.34</v>
      </c>
      <c r="R243" s="69" t="s">
        <v>3470</v>
      </c>
      <c r="S243" s="69" t="s">
        <v>3489</v>
      </c>
      <c r="T243" s="70" t="s">
        <v>3497</v>
      </c>
      <c r="U243" s="452"/>
      <c r="V243" s="453" t="str">
        <f>IF(VLOOKUP($A243,'GeneratingCapabilityList sorted'!$E$9:$O$801,8,FALSE)&lt;&gt;"",VLOOKUP($A243,'GeneratingCapabilityList sorted'!$E$9:$O$801,8,FALSE),"NoneListed")</f>
        <v>NATURAL GAS</v>
      </c>
      <c r="W243" s="454">
        <f>IF($AB243,$AB243,IF($AA243,$AA243,Scenarios!$B$43))</f>
        <v>31778</v>
      </c>
      <c r="X243" s="454"/>
      <c r="Y243" s="454"/>
      <c r="Z243" s="454"/>
      <c r="AA243" s="454">
        <f>IFERROR(VLOOKUP($A243,'GeneratingCapabilityList sorted'!$E$9:$O$801,11,FALSE),Scenarios!$B$43)</f>
        <v>31778</v>
      </c>
      <c r="AB243" s="453"/>
      <c r="AC243" s="453"/>
    </row>
    <row r="244" spans="1:29" x14ac:dyDescent="0.25">
      <c r="A244" s="65" t="s">
        <v>2302</v>
      </c>
      <c r="B244" s="65" t="s">
        <v>2302</v>
      </c>
      <c r="C244" s="66" t="s">
        <v>3477</v>
      </c>
      <c r="D244" s="66" t="s">
        <v>3388</v>
      </c>
      <c r="E244" s="67">
        <v>0</v>
      </c>
      <c r="F244" s="68">
        <v>2.52</v>
      </c>
      <c r="G244" s="68">
        <v>2.63</v>
      </c>
      <c r="H244" s="68">
        <v>2.13</v>
      </c>
      <c r="I244" s="68">
        <v>2.5299999999999998</v>
      </c>
      <c r="J244" s="68">
        <v>2.72</v>
      </c>
      <c r="K244" s="68">
        <v>2.79</v>
      </c>
      <c r="L244" s="68">
        <v>2.91</v>
      </c>
      <c r="M244" s="68">
        <v>2.9</v>
      </c>
      <c r="N244" s="68">
        <v>2.93</v>
      </c>
      <c r="O244" s="68">
        <v>2.76</v>
      </c>
      <c r="P244" s="68">
        <v>2.8</v>
      </c>
      <c r="Q244" s="68">
        <v>2.77</v>
      </c>
      <c r="R244" s="69" t="s">
        <v>3470</v>
      </c>
      <c r="S244" s="69" t="s">
        <v>3489</v>
      </c>
      <c r="T244" s="70" t="s">
        <v>3497</v>
      </c>
      <c r="U244" s="452"/>
      <c r="V244" s="453" t="str">
        <f>IF(VLOOKUP($A244,'GeneratingCapabilityList sorted'!$E$9:$O$801,8,FALSE)&lt;&gt;"",VLOOKUP($A244,'GeneratingCapabilityList sorted'!$E$9:$O$801,8,FALSE),"NoneListed")</f>
        <v>LANDFILL GAS</v>
      </c>
      <c r="W244" s="454">
        <f>IF($AB244,$AB244,IF($AA244,$AA244,Scenarios!$B$43))</f>
        <v>36743</v>
      </c>
      <c r="X244" s="454"/>
      <c r="Y244" s="454"/>
      <c r="Z244" s="454"/>
      <c r="AA244" s="454">
        <f>IFERROR(VLOOKUP($A244,'GeneratingCapabilityList sorted'!$E$9:$O$801,11,FALSE),Scenarios!$B$43)</f>
        <v>36743</v>
      </c>
      <c r="AB244" s="453"/>
      <c r="AC244" s="453"/>
    </row>
    <row r="245" spans="1:29" x14ac:dyDescent="0.25">
      <c r="A245" s="65" t="s">
        <v>2166</v>
      </c>
      <c r="B245" s="65" t="s">
        <v>3675</v>
      </c>
      <c r="C245" s="66" t="s">
        <v>3468</v>
      </c>
      <c r="D245" s="66" t="s">
        <v>3488</v>
      </c>
      <c r="E245" s="67">
        <v>17.66</v>
      </c>
      <c r="F245" s="68">
        <v>0</v>
      </c>
      <c r="G245" s="68">
        <v>0</v>
      </c>
      <c r="H245" s="68">
        <v>0</v>
      </c>
      <c r="I245" s="68">
        <v>0</v>
      </c>
      <c r="J245" s="68">
        <v>0</v>
      </c>
      <c r="K245" s="68">
        <v>0</v>
      </c>
      <c r="L245" s="68">
        <v>0</v>
      </c>
      <c r="M245" s="68">
        <v>0</v>
      </c>
      <c r="N245" s="68">
        <v>0</v>
      </c>
      <c r="O245" s="68">
        <v>0</v>
      </c>
      <c r="P245" s="68">
        <v>0</v>
      </c>
      <c r="Q245" s="68">
        <v>0</v>
      </c>
      <c r="R245" s="69" t="s">
        <v>3470</v>
      </c>
      <c r="S245" s="69" t="s">
        <v>3489</v>
      </c>
      <c r="T245" s="70" t="s">
        <v>3484</v>
      </c>
      <c r="U245" s="452"/>
      <c r="V245" s="453" t="str">
        <f>IF(VLOOKUP($A245,'GeneratingCapabilityList sorted'!$E$9:$O$801,8,FALSE)&lt;&gt;"",VLOOKUP($A245,'GeneratingCapabilityList sorted'!$E$9:$O$801,8,FALSE),"NoneListed")</f>
        <v>WATER</v>
      </c>
      <c r="W245" s="454">
        <f>IF($AB245,$AB245,IF($AA245,$AA245,Scenarios!$B$43))</f>
        <v>33970</v>
      </c>
      <c r="X245" s="454"/>
      <c r="Y245" s="454"/>
      <c r="Z245" s="454"/>
      <c r="AA245" s="454">
        <f>IFERROR(VLOOKUP($A245,'GeneratingCapabilityList sorted'!$E$9:$O$801,11,FALSE),Scenarios!$B$43)</f>
        <v>33970</v>
      </c>
      <c r="AB245" s="453"/>
      <c r="AC245" s="453"/>
    </row>
    <row r="246" spans="1:29" x14ac:dyDescent="0.25">
      <c r="A246" s="65" t="s">
        <v>1827</v>
      </c>
      <c r="B246" s="65" t="s">
        <v>3676</v>
      </c>
      <c r="C246" s="66" t="s">
        <v>3468</v>
      </c>
      <c r="D246" s="66" t="s">
        <v>3510</v>
      </c>
      <c r="E246" s="67">
        <v>0</v>
      </c>
      <c r="F246" s="68">
        <v>27.64</v>
      </c>
      <c r="G246" s="68">
        <v>26.69</v>
      </c>
      <c r="H246" s="68">
        <v>30.65</v>
      </c>
      <c r="I246" s="68">
        <v>29.03</v>
      </c>
      <c r="J246" s="68">
        <v>29.99</v>
      </c>
      <c r="K246" s="68">
        <v>33.520000000000003</v>
      </c>
      <c r="L246" s="68">
        <v>35.6</v>
      </c>
      <c r="M246" s="68">
        <v>33.44</v>
      </c>
      <c r="N246" s="68">
        <v>29.08</v>
      </c>
      <c r="O246" s="68">
        <v>29.77</v>
      </c>
      <c r="P246" s="68">
        <v>22.64</v>
      </c>
      <c r="Q246" s="68">
        <v>30.28</v>
      </c>
      <c r="R246" s="69" t="s">
        <v>3470</v>
      </c>
      <c r="S246" s="69" t="s">
        <v>3489</v>
      </c>
      <c r="T246" s="70" t="s">
        <v>3497</v>
      </c>
      <c r="U246" s="452"/>
      <c r="V246" s="453" t="str">
        <f>IF(VLOOKUP($A246,'GeneratingCapabilityList sorted'!$E$9:$O$801,8,FALSE)&lt;&gt;"",VLOOKUP($A246,'GeneratingCapabilityList sorted'!$E$9:$O$801,8,FALSE),"NoneListed")</f>
        <v>NATURAL GAS</v>
      </c>
      <c r="W246" s="454">
        <f>IF($AB246,$AB246,IF($AA246,$AA246,Scenarios!$B$43))</f>
        <v>32519</v>
      </c>
      <c r="X246" s="454"/>
      <c r="Y246" s="454"/>
      <c r="Z246" s="454"/>
      <c r="AA246" s="454">
        <f>IFERROR(VLOOKUP($A246,'GeneratingCapabilityList sorted'!$E$9:$O$801,11,FALSE),Scenarios!$B$43)</f>
        <v>32519</v>
      </c>
      <c r="AB246" s="453"/>
      <c r="AC246" s="453"/>
    </row>
    <row r="247" spans="1:29" x14ac:dyDescent="0.25">
      <c r="A247" s="65" t="s">
        <v>1913</v>
      </c>
      <c r="B247" s="65" t="s">
        <v>3677</v>
      </c>
      <c r="C247" s="66" t="s">
        <v>3468</v>
      </c>
      <c r="D247" s="66" t="s">
        <v>3510</v>
      </c>
      <c r="E247" s="67">
        <v>0</v>
      </c>
      <c r="F247" s="68">
        <v>27.05</v>
      </c>
      <c r="G247" s="68">
        <v>30.52</v>
      </c>
      <c r="H247" s="68">
        <v>28.64</v>
      </c>
      <c r="I247" s="68">
        <v>27.14</v>
      </c>
      <c r="J247" s="68">
        <v>30.4</v>
      </c>
      <c r="K247" s="68">
        <v>35.1</v>
      </c>
      <c r="L247" s="68">
        <v>35.229999999999997</v>
      </c>
      <c r="M247" s="68">
        <v>34</v>
      </c>
      <c r="N247" s="68">
        <v>33.1</v>
      </c>
      <c r="O247" s="68">
        <v>37.46</v>
      </c>
      <c r="P247" s="68">
        <v>26.9</v>
      </c>
      <c r="Q247" s="68">
        <v>27.47</v>
      </c>
      <c r="R247" s="69" t="s">
        <v>3470</v>
      </c>
      <c r="S247" s="69" t="s">
        <v>3489</v>
      </c>
      <c r="T247" s="70" t="s">
        <v>3497</v>
      </c>
      <c r="U247" s="452"/>
      <c r="V247" s="453" t="str">
        <f>IF(VLOOKUP($A247,'GeneratingCapabilityList sorted'!$E$9:$O$801,8,FALSE)&lt;&gt;"",VLOOKUP($A247,'GeneratingCapabilityList sorted'!$E$9:$O$801,8,FALSE),"NoneListed")</f>
        <v>NATURAL GAS</v>
      </c>
      <c r="W247" s="454">
        <f>IF($AB247,$AB247,IF($AA247,$AA247,Scenarios!$B$43))</f>
        <v>32793</v>
      </c>
      <c r="X247" s="454"/>
      <c r="Y247" s="454"/>
      <c r="Z247" s="454"/>
      <c r="AA247" s="454">
        <f>IFERROR(VLOOKUP($A247,'GeneratingCapabilityList sorted'!$E$9:$O$801,11,FALSE),Scenarios!$B$43)</f>
        <v>32793</v>
      </c>
      <c r="AB247" s="453"/>
      <c r="AC247" s="453"/>
    </row>
    <row r="248" spans="1:29" x14ac:dyDescent="0.25">
      <c r="A248" s="65" t="s">
        <v>2836</v>
      </c>
      <c r="B248" s="65" t="s">
        <v>2837</v>
      </c>
      <c r="C248" s="66" t="s">
        <v>3468</v>
      </c>
      <c r="D248" s="66" t="s">
        <v>3488</v>
      </c>
      <c r="E248" s="67">
        <v>3.04</v>
      </c>
      <c r="F248" s="68">
        <v>0</v>
      </c>
      <c r="G248" s="68">
        <v>0</v>
      </c>
      <c r="H248" s="68">
        <v>0</v>
      </c>
      <c r="I248" s="68">
        <v>0</v>
      </c>
      <c r="J248" s="68">
        <v>0</v>
      </c>
      <c r="K248" s="68">
        <v>0</v>
      </c>
      <c r="L248" s="68">
        <v>0</v>
      </c>
      <c r="M248" s="68">
        <v>0</v>
      </c>
      <c r="N248" s="68">
        <v>0</v>
      </c>
      <c r="O248" s="68">
        <v>0</v>
      </c>
      <c r="P248" s="68">
        <v>0</v>
      </c>
      <c r="Q248" s="68">
        <v>0</v>
      </c>
      <c r="R248" s="69" t="s">
        <v>3470</v>
      </c>
      <c r="S248" s="69" t="s">
        <v>879</v>
      </c>
      <c r="T248" s="70" t="s">
        <v>3497</v>
      </c>
      <c r="U248" s="452"/>
      <c r="V248" s="453" t="str">
        <f>IF(VLOOKUP($A248,'GeneratingCapabilityList sorted'!$E$9:$O$801,8,FALSE)&lt;&gt;"",VLOOKUP($A248,'GeneratingCapabilityList sorted'!$E$9:$O$801,8,FALSE),"NoneListed")</f>
        <v>LANDFILL GAS</v>
      </c>
      <c r="W248" s="454">
        <f>IF($AB248,$AB248,IF($AA248,$AA248,Scenarios!$B$43))</f>
        <v>38750</v>
      </c>
      <c r="X248" s="454"/>
      <c r="Y248" s="454"/>
      <c r="Z248" s="454"/>
      <c r="AA248" s="454">
        <f>IFERROR(VLOOKUP($A248,'GeneratingCapabilityList sorted'!$E$9:$O$801,11,FALSE),Scenarios!$B$43)</f>
        <v>38750</v>
      </c>
      <c r="AB248" s="453"/>
      <c r="AC248" s="453"/>
    </row>
    <row r="249" spans="1:29" x14ac:dyDescent="0.25">
      <c r="A249" s="65" t="s">
        <v>1586</v>
      </c>
      <c r="B249" s="65" t="s">
        <v>1587</v>
      </c>
      <c r="C249" s="66" t="s">
        <v>3468</v>
      </c>
      <c r="D249" s="66" t="s">
        <v>3382</v>
      </c>
      <c r="E249" s="67">
        <v>0</v>
      </c>
      <c r="F249" s="68">
        <v>23.62</v>
      </c>
      <c r="G249" s="68">
        <v>24.19</v>
      </c>
      <c r="H249" s="68">
        <v>23.9</v>
      </c>
      <c r="I249" s="68">
        <v>21.06</v>
      </c>
      <c r="J249" s="68">
        <v>24.98</v>
      </c>
      <c r="K249" s="68">
        <v>25.38</v>
      </c>
      <c r="L249" s="68">
        <v>23.85</v>
      </c>
      <c r="M249" s="68">
        <v>24.58</v>
      </c>
      <c r="N249" s="68">
        <v>22.91</v>
      </c>
      <c r="O249" s="68">
        <v>23.62</v>
      </c>
      <c r="P249" s="68">
        <v>17.88</v>
      </c>
      <c r="Q249" s="68">
        <v>23.38</v>
      </c>
      <c r="R249" s="69" t="s">
        <v>3470</v>
      </c>
      <c r="S249" s="69" t="s">
        <v>3489</v>
      </c>
      <c r="T249" s="70" t="s">
        <v>3497</v>
      </c>
      <c r="U249" s="452"/>
      <c r="V249" s="453" t="str">
        <f>IF(VLOOKUP($A249,'GeneratingCapabilityList sorted'!$E$9:$O$801,8,FALSE)&lt;&gt;"",VLOOKUP($A249,'GeneratingCapabilityList sorted'!$E$9:$O$801,8,FALSE),"NoneListed")</f>
        <v>NATURAL GAS</v>
      </c>
      <c r="W249" s="454">
        <f>IF($AB249,$AB249,IF($AA249,$AA249,Scenarios!$B$43))</f>
        <v>31916</v>
      </c>
      <c r="X249" s="454"/>
      <c r="Y249" s="454"/>
      <c r="Z249" s="454"/>
      <c r="AA249" s="454">
        <f>IFERROR(VLOOKUP($A249,'GeneratingCapabilityList sorted'!$E$9:$O$801,11,FALSE),Scenarios!$B$43)</f>
        <v>31916</v>
      </c>
      <c r="AB249" s="453"/>
      <c r="AC249" s="453"/>
    </row>
    <row r="250" spans="1:29" x14ac:dyDescent="0.25">
      <c r="A250" s="65" t="s">
        <v>2081</v>
      </c>
      <c r="B250" s="65" t="s">
        <v>2082</v>
      </c>
      <c r="C250" s="66" t="s">
        <v>3468</v>
      </c>
      <c r="D250" s="66" t="s">
        <v>3382</v>
      </c>
      <c r="E250" s="67">
        <v>0</v>
      </c>
      <c r="F250" s="68">
        <v>18.86</v>
      </c>
      <c r="G250" s="68">
        <v>17.690000000000001</v>
      </c>
      <c r="H250" s="68">
        <v>17.5</v>
      </c>
      <c r="I250" s="68">
        <v>18.559999999999999</v>
      </c>
      <c r="J250" s="68">
        <v>16.690000000000001</v>
      </c>
      <c r="K250" s="68">
        <v>17.38</v>
      </c>
      <c r="L250" s="68">
        <v>15.61</v>
      </c>
      <c r="M250" s="68">
        <v>15.73</v>
      </c>
      <c r="N250" s="68">
        <v>16.63</v>
      </c>
      <c r="O250" s="68">
        <v>11.15</v>
      </c>
      <c r="P250" s="68">
        <v>17.98</v>
      </c>
      <c r="Q250" s="68">
        <v>18.13</v>
      </c>
      <c r="R250" s="69" t="s">
        <v>3470</v>
      </c>
      <c r="S250" s="69" t="s">
        <v>3489</v>
      </c>
      <c r="T250" s="70" t="s">
        <v>3497</v>
      </c>
      <c r="U250" s="452"/>
      <c r="V250" s="453" t="str">
        <f>IF(VLOOKUP($A250,'GeneratingCapabilityList sorted'!$E$9:$O$801,8,FALSE)&lt;&gt;"",VLOOKUP($A250,'GeneratingCapabilityList sorted'!$E$9:$O$801,8,FALSE),"NoneListed")</f>
        <v>PETROLEUM COKE</v>
      </c>
      <c r="W250" s="454">
        <f>IF($AB250,$AB250,IF($AA250,$AA250,Scenarios!$B$43))</f>
        <v>33214</v>
      </c>
      <c r="X250" s="454"/>
      <c r="Y250" s="454"/>
      <c r="Z250" s="454"/>
      <c r="AA250" s="454">
        <f>IFERROR(VLOOKUP($A250,'GeneratingCapabilityList sorted'!$E$9:$O$801,11,FALSE),Scenarios!$B$43)</f>
        <v>33214</v>
      </c>
      <c r="AB250" s="453"/>
      <c r="AC250" s="453"/>
    </row>
    <row r="251" spans="1:29" x14ac:dyDescent="0.25">
      <c r="A251" s="65" t="s">
        <v>1945</v>
      </c>
      <c r="B251" s="65" t="s">
        <v>1946</v>
      </c>
      <c r="C251" s="66" t="s">
        <v>3468</v>
      </c>
      <c r="D251" s="66" t="s">
        <v>3382</v>
      </c>
      <c r="E251" s="67">
        <v>0</v>
      </c>
      <c r="F251" s="68">
        <v>16.850000000000001</v>
      </c>
      <c r="G251" s="68">
        <v>18.16</v>
      </c>
      <c r="H251" s="68">
        <v>18.100000000000001</v>
      </c>
      <c r="I251" s="68">
        <v>18.190000000000001</v>
      </c>
      <c r="J251" s="68">
        <v>16.87</v>
      </c>
      <c r="K251" s="68">
        <v>17.5</v>
      </c>
      <c r="L251" s="68">
        <v>17.920000000000002</v>
      </c>
      <c r="M251" s="68">
        <v>17.53</v>
      </c>
      <c r="N251" s="68">
        <v>17.87</v>
      </c>
      <c r="O251" s="68">
        <v>16.420000000000002</v>
      </c>
      <c r="P251" s="68">
        <v>18.59</v>
      </c>
      <c r="Q251" s="68">
        <v>18.37</v>
      </c>
      <c r="R251" s="69" t="s">
        <v>3470</v>
      </c>
      <c r="S251" s="69" t="s">
        <v>3489</v>
      </c>
      <c r="T251" s="70" t="s">
        <v>3497</v>
      </c>
      <c r="U251" s="452"/>
      <c r="V251" s="453" t="str">
        <f>IF(VLOOKUP($A251,'GeneratingCapabilityList sorted'!$E$9:$O$801,8,FALSE)&lt;&gt;"",VLOOKUP($A251,'GeneratingCapabilityList sorted'!$E$9:$O$801,8,FALSE),"NoneListed")</f>
        <v>PETROLEUM COKE</v>
      </c>
      <c r="W251" s="454">
        <f>IF($AB251,$AB251,IF($AA251,$AA251,Scenarios!$B$43))</f>
        <v>32864</v>
      </c>
      <c r="X251" s="454"/>
      <c r="Y251" s="454"/>
      <c r="Z251" s="454"/>
      <c r="AA251" s="454">
        <f>IFERROR(VLOOKUP($A251,'GeneratingCapabilityList sorted'!$E$9:$O$801,11,FALSE),Scenarios!$B$43)</f>
        <v>32864</v>
      </c>
      <c r="AB251" s="453"/>
      <c r="AC251" s="453"/>
    </row>
    <row r="252" spans="1:29" x14ac:dyDescent="0.25">
      <c r="A252" s="65" t="s">
        <v>2062</v>
      </c>
      <c r="B252" s="65" t="s">
        <v>2063</v>
      </c>
      <c r="C252" s="66" t="s">
        <v>3468</v>
      </c>
      <c r="D252" s="66" t="s">
        <v>3382</v>
      </c>
      <c r="E252" s="67">
        <v>0</v>
      </c>
      <c r="F252" s="68">
        <v>18.510000000000002</v>
      </c>
      <c r="G252" s="68">
        <v>17.78</v>
      </c>
      <c r="H252" s="68">
        <v>18.350000000000001</v>
      </c>
      <c r="I252" s="68">
        <v>14.91</v>
      </c>
      <c r="J252" s="68">
        <v>16.2</v>
      </c>
      <c r="K252" s="68">
        <v>17.7</v>
      </c>
      <c r="L252" s="68">
        <v>15.49</v>
      </c>
      <c r="M252" s="68">
        <v>14.53</v>
      </c>
      <c r="N252" s="68">
        <v>18.190000000000001</v>
      </c>
      <c r="O252" s="68">
        <v>17.920000000000002</v>
      </c>
      <c r="P252" s="68">
        <v>18.46</v>
      </c>
      <c r="Q252" s="68">
        <v>18.440000000000001</v>
      </c>
      <c r="R252" s="69" t="s">
        <v>3470</v>
      </c>
      <c r="S252" s="69" t="s">
        <v>3489</v>
      </c>
      <c r="T252" s="70" t="s">
        <v>3497</v>
      </c>
      <c r="U252" s="452"/>
      <c r="V252" s="453" t="str">
        <f>IF(VLOOKUP($A252,'GeneratingCapabilityList sorted'!$E$9:$O$801,8,FALSE)&lt;&gt;"",VLOOKUP($A252,'GeneratingCapabilityList sorted'!$E$9:$O$801,8,FALSE),"NoneListed")</f>
        <v>PETROLEUM COKE</v>
      </c>
      <c r="W252" s="454">
        <f>IF($AB252,$AB252,IF($AA252,$AA252,Scenarios!$B$43))</f>
        <v>33112</v>
      </c>
      <c r="X252" s="454"/>
      <c r="Y252" s="454"/>
      <c r="Z252" s="454"/>
      <c r="AA252" s="454">
        <f>IFERROR(VLOOKUP($A252,'GeneratingCapabilityList sorted'!$E$9:$O$801,11,FALSE),Scenarios!$B$43)</f>
        <v>33112</v>
      </c>
      <c r="AB252" s="453"/>
      <c r="AC252" s="453"/>
    </row>
    <row r="253" spans="1:29" x14ac:dyDescent="0.25">
      <c r="A253" s="65" t="s">
        <v>2070</v>
      </c>
      <c r="B253" s="65" t="s">
        <v>2071</v>
      </c>
      <c r="C253" s="66" t="s">
        <v>3468</v>
      </c>
      <c r="D253" s="66" t="s">
        <v>3382</v>
      </c>
      <c r="E253" s="67">
        <v>0</v>
      </c>
      <c r="F253" s="68">
        <v>16.329999999999998</v>
      </c>
      <c r="G253" s="68">
        <v>15.98</v>
      </c>
      <c r="H253" s="68">
        <v>17.07</v>
      </c>
      <c r="I253" s="68">
        <v>17.97</v>
      </c>
      <c r="J253" s="68">
        <v>15.96</v>
      </c>
      <c r="K253" s="68">
        <v>17.86</v>
      </c>
      <c r="L253" s="68">
        <v>17.66</v>
      </c>
      <c r="M253" s="68">
        <v>16.510000000000002</v>
      </c>
      <c r="N253" s="68">
        <v>17.36</v>
      </c>
      <c r="O253" s="68">
        <v>16.489999999999998</v>
      </c>
      <c r="P253" s="68">
        <v>18</v>
      </c>
      <c r="Q253" s="68">
        <v>18.23</v>
      </c>
      <c r="R253" s="69" t="s">
        <v>3470</v>
      </c>
      <c r="S253" s="69" t="s">
        <v>3489</v>
      </c>
      <c r="T253" s="70" t="s">
        <v>3497</v>
      </c>
      <c r="U253" s="452"/>
      <c r="V253" s="453" t="str">
        <f>IF(VLOOKUP($A253,'GeneratingCapabilityList sorted'!$E$9:$O$801,8,FALSE)&lt;&gt;"",VLOOKUP($A253,'GeneratingCapabilityList sorted'!$E$9:$O$801,8,FALSE),"NoneListed")</f>
        <v>PETROLEUM COKE</v>
      </c>
      <c r="W253" s="454">
        <f>IF($AB253,$AB253,IF($AA253,$AA253,Scenarios!$B$43))</f>
        <v>33156</v>
      </c>
      <c r="X253" s="454"/>
      <c r="Y253" s="454"/>
      <c r="Z253" s="454"/>
      <c r="AA253" s="454">
        <f>IFERROR(VLOOKUP($A253,'GeneratingCapabilityList sorted'!$E$9:$O$801,11,FALSE),Scenarios!$B$43)</f>
        <v>33156</v>
      </c>
      <c r="AB253" s="453"/>
      <c r="AC253" s="453"/>
    </row>
    <row r="254" spans="1:29" x14ac:dyDescent="0.25">
      <c r="A254" s="65" t="s">
        <v>2024</v>
      </c>
      <c r="B254" s="65" t="s">
        <v>2025</v>
      </c>
      <c r="C254" s="66" t="s">
        <v>3468</v>
      </c>
      <c r="D254" s="66" t="s">
        <v>3382</v>
      </c>
      <c r="E254" s="67">
        <v>0</v>
      </c>
      <c r="F254" s="68">
        <v>16.62</v>
      </c>
      <c r="G254" s="68">
        <v>17.7</v>
      </c>
      <c r="H254" s="68">
        <v>18.11</v>
      </c>
      <c r="I254" s="68">
        <v>18.39</v>
      </c>
      <c r="J254" s="68">
        <v>13.46</v>
      </c>
      <c r="K254" s="68">
        <v>18.149999999999999</v>
      </c>
      <c r="L254" s="68">
        <v>18.05</v>
      </c>
      <c r="M254" s="68">
        <v>17.54</v>
      </c>
      <c r="N254" s="68">
        <v>18.100000000000001</v>
      </c>
      <c r="O254" s="68">
        <v>18.37</v>
      </c>
      <c r="P254" s="68">
        <v>18.350000000000001</v>
      </c>
      <c r="Q254" s="68">
        <v>18.32</v>
      </c>
      <c r="R254" s="69" t="s">
        <v>3470</v>
      </c>
      <c r="S254" s="69" t="s">
        <v>3489</v>
      </c>
      <c r="T254" s="70" t="s">
        <v>3497</v>
      </c>
      <c r="U254" s="452"/>
      <c r="V254" s="453" t="str">
        <f>IF(VLOOKUP($A254,'GeneratingCapabilityList sorted'!$E$9:$O$801,8,FALSE)&lt;&gt;"",VLOOKUP($A254,'GeneratingCapabilityList sorted'!$E$9:$O$801,8,FALSE),"NoneListed")</f>
        <v>PETROLEUM COKE</v>
      </c>
      <c r="W254" s="454">
        <f>IF($AB254,$AB254,IF($AA254,$AA254,Scenarios!$B$43))</f>
        <v>32949</v>
      </c>
      <c r="X254" s="454"/>
      <c r="Y254" s="454"/>
      <c r="Z254" s="454"/>
      <c r="AA254" s="454">
        <f>IFERROR(VLOOKUP($A254,'GeneratingCapabilityList sorted'!$E$9:$O$801,11,FALSE),Scenarios!$B$43)</f>
        <v>32949</v>
      </c>
      <c r="AB254" s="453"/>
      <c r="AC254" s="453"/>
    </row>
    <row r="255" spans="1:29" x14ac:dyDescent="0.25">
      <c r="A255" s="65" t="s">
        <v>2483</v>
      </c>
      <c r="B255" s="65" t="s">
        <v>3678</v>
      </c>
      <c r="C255" s="66" t="s">
        <v>3468</v>
      </c>
      <c r="D255" s="66" t="s">
        <v>3474</v>
      </c>
      <c r="E255" s="67">
        <v>84.4</v>
      </c>
      <c r="F255" s="68">
        <v>0</v>
      </c>
      <c r="G255" s="68">
        <v>0</v>
      </c>
      <c r="H255" s="68">
        <v>0</v>
      </c>
      <c r="I255" s="68">
        <v>0</v>
      </c>
      <c r="J255" s="68">
        <v>0</v>
      </c>
      <c r="K255" s="68">
        <v>0</v>
      </c>
      <c r="L255" s="68">
        <v>0</v>
      </c>
      <c r="M255" s="68">
        <v>0</v>
      </c>
      <c r="N255" s="68">
        <v>0</v>
      </c>
      <c r="O255" s="68">
        <v>0</v>
      </c>
      <c r="P255" s="68">
        <v>0</v>
      </c>
      <c r="Q255" s="68">
        <v>0</v>
      </c>
      <c r="R255" s="69" t="s">
        <v>3470</v>
      </c>
      <c r="S255" s="69" t="s">
        <v>3471</v>
      </c>
      <c r="T255" s="70" t="s">
        <v>3472</v>
      </c>
      <c r="U255" s="452"/>
      <c r="V255" s="453" t="str">
        <f>IF(VLOOKUP($A255,'GeneratingCapabilityList sorted'!$E$9:$O$801,8,FALSE)&lt;&gt;"",VLOOKUP($A255,'GeneratingCapabilityList sorted'!$E$9:$O$801,8,FALSE),"NoneListed")</f>
        <v>NATURAL GAS</v>
      </c>
      <c r="W255" s="454">
        <f>IF($AB255,$AB255,IF($AA255,$AA255,Scenarios!$B$43))</f>
        <v>37130</v>
      </c>
      <c r="X255" s="454"/>
      <c r="Y255" s="454"/>
      <c r="Z255" s="454"/>
      <c r="AA255" s="454">
        <f>IFERROR(VLOOKUP($A255,'GeneratingCapabilityList sorted'!$E$9:$O$801,11,FALSE),Scenarios!$B$43)</f>
        <v>37130</v>
      </c>
      <c r="AB255" s="453"/>
      <c r="AC255" s="453"/>
    </row>
    <row r="256" spans="1:29" x14ac:dyDescent="0.25">
      <c r="A256" s="65" t="s">
        <v>660</v>
      </c>
      <c r="B256" s="65" t="s">
        <v>3679</v>
      </c>
      <c r="C256" s="66" t="s">
        <v>3468</v>
      </c>
      <c r="D256" s="66" t="s">
        <v>3469</v>
      </c>
      <c r="E256" s="67">
        <v>80</v>
      </c>
      <c r="F256" s="68">
        <v>0</v>
      </c>
      <c r="G256" s="68">
        <v>0</v>
      </c>
      <c r="H256" s="68">
        <v>0</v>
      </c>
      <c r="I256" s="68">
        <v>0</v>
      </c>
      <c r="J256" s="68">
        <v>0</v>
      </c>
      <c r="K256" s="68">
        <v>0</v>
      </c>
      <c r="L256" s="68">
        <v>0</v>
      </c>
      <c r="M256" s="68">
        <v>0</v>
      </c>
      <c r="N256" s="68">
        <v>0</v>
      </c>
      <c r="O256" s="68">
        <v>0</v>
      </c>
      <c r="P256" s="68">
        <v>0</v>
      </c>
      <c r="Q256" s="68">
        <v>0</v>
      </c>
      <c r="R256" s="69" t="s">
        <v>3470</v>
      </c>
      <c r="S256" s="69" t="s">
        <v>3471</v>
      </c>
      <c r="T256" s="70" t="s">
        <v>3472</v>
      </c>
      <c r="U256" s="452"/>
      <c r="V256" s="453" t="str">
        <f>IF(VLOOKUP($A256,'GeneratingCapabilityList sorted'!$E$9:$O$801,8,FALSE)&lt;&gt;"",VLOOKUP($A256,'GeneratingCapabilityList sorted'!$E$9:$O$801,8,FALSE),"NoneListed")</f>
        <v>GEOTHERMAL</v>
      </c>
      <c r="W256" s="454">
        <f>IF($AB256,$AB256,IF($AA256,$AA256,Scenarios!$B$43))</f>
        <v>25934</v>
      </c>
      <c r="X256" s="454"/>
      <c r="Y256" s="454"/>
      <c r="Z256" s="454"/>
      <c r="AA256" s="454">
        <f>IFERROR(VLOOKUP($A256,'GeneratingCapabilityList sorted'!$E$9:$O$801,11,FALSE),Scenarios!$B$43)</f>
        <v>25934</v>
      </c>
      <c r="AB256" s="453"/>
      <c r="AC256" s="453"/>
    </row>
    <row r="257" spans="1:29" x14ac:dyDescent="0.25">
      <c r="A257" s="65" t="s">
        <v>677</v>
      </c>
      <c r="B257" s="65" t="s">
        <v>3680</v>
      </c>
      <c r="C257" s="66" t="s">
        <v>3468</v>
      </c>
      <c r="D257" s="66" t="s">
        <v>3469</v>
      </c>
      <c r="E257" s="67">
        <v>76</v>
      </c>
      <c r="F257" s="68">
        <v>0</v>
      </c>
      <c r="G257" s="68">
        <v>0</v>
      </c>
      <c r="H257" s="68">
        <v>0</v>
      </c>
      <c r="I257" s="68">
        <v>0</v>
      </c>
      <c r="J257" s="68">
        <v>0</v>
      </c>
      <c r="K257" s="68">
        <v>0</v>
      </c>
      <c r="L257" s="68">
        <v>0</v>
      </c>
      <c r="M257" s="68">
        <v>0</v>
      </c>
      <c r="N257" s="68">
        <v>0</v>
      </c>
      <c r="O257" s="68">
        <v>0</v>
      </c>
      <c r="P257" s="68">
        <v>0</v>
      </c>
      <c r="Q257" s="68">
        <v>0</v>
      </c>
      <c r="R257" s="69" t="s">
        <v>3470</v>
      </c>
      <c r="S257" s="69" t="s">
        <v>3471</v>
      </c>
      <c r="T257" s="70" t="s">
        <v>3472</v>
      </c>
      <c r="U257" s="452"/>
      <c r="V257" s="453" t="str">
        <f>IF(VLOOKUP($A257,'GeneratingCapabilityList sorted'!$E$9:$O$801,8,FALSE)&lt;&gt;"",VLOOKUP($A257,'GeneratingCapabilityList sorted'!$E$9:$O$801,8,FALSE),"NoneListed")</f>
        <v>GEOTHERMAL</v>
      </c>
      <c r="W257" s="454">
        <f>IF($AB257,$AB257,IF($AA257,$AA257,Scenarios!$B$43))</f>
        <v>26299</v>
      </c>
      <c r="X257" s="454"/>
      <c r="Y257" s="454"/>
      <c r="Z257" s="454"/>
      <c r="AA257" s="454">
        <f>IFERROR(VLOOKUP($A257,'GeneratingCapabilityList sorted'!$E$9:$O$801,11,FALSE),Scenarios!$B$43)</f>
        <v>26299</v>
      </c>
      <c r="AB257" s="453"/>
      <c r="AC257" s="453"/>
    </row>
    <row r="258" spans="1:29" x14ac:dyDescent="0.25">
      <c r="A258" s="65" t="s">
        <v>1795</v>
      </c>
      <c r="B258" s="65" t="s">
        <v>3681</v>
      </c>
      <c r="C258" s="66" t="s">
        <v>3468</v>
      </c>
      <c r="D258" s="66" t="s">
        <v>3469</v>
      </c>
      <c r="E258" s="67">
        <v>0</v>
      </c>
      <c r="F258" s="68">
        <v>1.33</v>
      </c>
      <c r="G258" s="68">
        <v>2.35</v>
      </c>
      <c r="H258" s="68">
        <v>2.33</v>
      </c>
      <c r="I258" s="68">
        <v>1.68</v>
      </c>
      <c r="J258" s="68">
        <v>0.88</v>
      </c>
      <c r="K258" s="68">
        <v>1.68</v>
      </c>
      <c r="L258" s="68">
        <v>1.76</v>
      </c>
      <c r="M258" s="68">
        <v>1.68</v>
      </c>
      <c r="N258" s="68">
        <v>0.94</v>
      </c>
      <c r="O258" s="68">
        <v>1.42</v>
      </c>
      <c r="P258" s="68">
        <v>1.44</v>
      </c>
      <c r="Q258" s="68">
        <v>1.43</v>
      </c>
      <c r="R258" s="69" t="s">
        <v>3470</v>
      </c>
      <c r="S258" s="69" t="s">
        <v>3489</v>
      </c>
      <c r="T258" s="70" t="s">
        <v>3484</v>
      </c>
      <c r="U258" s="452"/>
      <c r="V258" s="453" t="str">
        <f>IF(VLOOKUP($A258,'GeneratingCapabilityList sorted'!$E$9:$O$801,8,FALSE)&lt;&gt;"",VLOOKUP($A258,'GeneratingCapabilityList sorted'!$E$9:$O$801,8,FALSE),"NoneListed")</f>
        <v>WATER</v>
      </c>
      <c r="W258" s="454">
        <f>IF($AB258,$AB258,IF($AA258,$AA258,Scenarios!$B$43))</f>
        <v>32499</v>
      </c>
      <c r="X258" s="454"/>
      <c r="Y258" s="454"/>
      <c r="Z258" s="454"/>
      <c r="AA258" s="454">
        <f>IFERROR(VLOOKUP($A258,'GeneratingCapabilityList sorted'!$E$9:$O$801,11,FALSE),Scenarios!$B$43)</f>
        <v>32499</v>
      </c>
      <c r="AB258" s="453"/>
      <c r="AC258" s="453"/>
    </row>
    <row r="259" spans="1:29" x14ac:dyDescent="0.25">
      <c r="A259" s="65" t="s">
        <v>427</v>
      </c>
      <c r="B259" s="65" t="s">
        <v>3682</v>
      </c>
      <c r="C259" s="66" t="s">
        <v>3468</v>
      </c>
      <c r="D259" s="66" t="s">
        <v>3474</v>
      </c>
      <c r="E259" s="67">
        <v>0</v>
      </c>
      <c r="F259" s="68">
        <v>136.31</v>
      </c>
      <c r="G259" s="68">
        <v>136.05000000000001</v>
      </c>
      <c r="H259" s="68">
        <v>136.38999999999999</v>
      </c>
      <c r="I259" s="68">
        <v>136.44</v>
      </c>
      <c r="J259" s="68">
        <v>136.88</v>
      </c>
      <c r="K259" s="68">
        <v>139.81</v>
      </c>
      <c r="L259" s="68">
        <v>138.59</v>
      </c>
      <c r="M259" s="68">
        <v>136.30000000000001</v>
      </c>
      <c r="N259" s="68">
        <v>138.81</v>
      </c>
      <c r="O259" s="68">
        <v>142.9</v>
      </c>
      <c r="P259" s="68">
        <v>140.74</v>
      </c>
      <c r="Q259" s="68">
        <v>136.54</v>
      </c>
      <c r="R259" s="69" t="s">
        <v>3470</v>
      </c>
      <c r="S259" s="69" t="s">
        <v>3489</v>
      </c>
      <c r="T259" s="70" t="s">
        <v>3484</v>
      </c>
      <c r="U259" s="452"/>
      <c r="V259" s="453" t="str">
        <f>IF(VLOOKUP($A259,'GeneratingCapabilityList sorted'!$E$9:$O$801,8,FALSE)&lt;&gt;"",VLOOKUP($A259,'GeneratingCapabilityList sorted'!$E$9:$O$801,8,FALSE),"NoneListed")</f>
        <v>WATER</v>
      </c>
      <c r="W259" s="454">
        <f>IF($AB259,$AB259,IF($AA259,$AA259,Scenarios!$B$43))</f>
        <v>21186</v>
      </c>
      <c r="X259" s="454"/>
      <c r="Y259" s="454"/>
      <c r="Z259" s="454"/>
      <c r="AA259" s="454">
        <f>IFERROR(VLOOKUP($A259,'GeneratingCapabilityList sorted'!$E$9:$O$801,11,FALSE),Scenarios!$B$43)</f>
        <v>21186</v>
      </c>
      <c r="AB259" s="453"/>
      <c r="AC259" s="453"/>
    </row>
    <row r="260" spans="1:29" x14ac:dyDescent="0.25">
      <c r="A260" s="65" t="s">
        <v>164</v>
      </c>
      <c r="B260" s="65" t="s">
        <v>3683</v>
      </c>
      <c r="C260" s="66" t="s">
        <v>3468</v>
      </c>
      <c r="D260" s="66" t="s">
        <v>3510</v>
      </c>
      <c r="E260" s="67">
        <v>0</v>
      </c>
      <c r="F260" s="68">
        <v>2.89</v>
      </c>
      <c r="G260" s="68">
        <v>4.72</v>
      </c>
      <c r="H260" s="68">
        <v>7.03</v>
      </c>
      <c r="I260" s="68">
        <v>6.85</v>
      </c>
      <c r="J260" s="68">
        <v>7.64</v>
      </c>
      <c r="K260" s="68">
        <v>7.56</v>
      </c>
      <c r="L260" s="68">
        <v>6.11</v>
      </c>
      <c r="M260" s="68">
        <v>7.01</v>
      </c>
      <c r="N260" s="68">
        <v>7.55</v>
      </c>
      <c r="O260" s="68">
        <v>3.48</v>
      </c>
      <c r="P260" s="68">
        <v>2.93</v>
      </c>
      <c r="Q260" s="68">
        <v>5.41</v>
      </c>
      <c r="R260" s="69" t="s">
        <v>3470</v>
      </c>
      <c r="S260" s="69" t="s">
        <v>3489</v>
      </c>
      <c r="T260" s="70" t="s">
        <v>3502</v>
      </c>
      <c r="U260" s="452"/>
      <c r="V260" s="453" t="str">
        <f>IF(VLOOKUP($A260,'GeneratingCapabilityList sorted'!$E$9:$O$801,8,FALSE)&lt;&gt;"",VLOOKUP($A260,'GeneratingCapabilityList sorted'!$E$9:$O$801,8,FALSE),"NoneListed")</f>
        <v>WATER</v>
      </c>
      <c r="W260" s="454">
        <f>IF($AB260,$AB260,IF($AA260,$AA260,Scenarios!$B$43))</f>
        <v>5845</v>
      </c>
      <c r="X260" s="454"/>
      <c r="Y260" s="454"/>
      <c r="Z260" s="454"/>
      <c r="AA260" s="454">
        <f>IFERROR(VLOOKUP($A260,'GeneratingCapabilityList sorted'!$E$9:$O$801,11,FALSE),Scenarios!$B$43)</f>
        <v>5845</v>
      </c>
      <c r="AB260" s="453"/>
      <c r="AC260" s="453"/>
    </row>
    <row r="261" spans="1:29" x14ac:dyDescent="0.25">
      <c r="A261" s="65" t="s">
        <v>2415</v>
      </c>
      <c r="B261" s="65" t="s">
        <v>3684</v>
      </c>
      <c r="C261" s="66" t="s">
        <v>3477</v>
      </c>
      <c r="D261" s="66" t="s">
        <v>3387</v>
      </c>
      <c r="E261" s="67">
        <v>100</v>
      </c>
      <c r="F261" s="68">
        <v>0</v>
      </c>
      <c r="G261" s="68">
        <v>0</v>
      </c>
      <c r="H261" s="68">
        <v>0</v>
      </c>
      <c r="I261" s="68">
        <v>0</v>
      </c>
      <c r="J261" s="68">
        <v>0</v>
      </c>
      <c r="K261" s="68">
        <v>0</v>
      </c>
      <c r="L261" s="68">
        <v>0</v>
      </c>
      <c r="M261" s="68">
        <v>0</v>
      </c>
      <c r="N261" s="68">
        <v>0</v>
      </c>
      <c r="O261" s="68">
        <v>0</v>
      </c>
      <c r="P261" s="68">
        <v>0</v>
      </c>
      <c r="Q261" s="68">
        <v>0</v>
      </c>
      <c r="R261" s="69" t="s">
        <v>3470</v>
      </c>
      <c r="S261" s="69" t="s">
        <v>3471</v>
      </c>
      <c r="T261" s="70" t="s">
        <v>3472</v>
      </c>
      <c r="U261" s="452"/>
      <c r="V261" s="453" t="str">
        <f>IF(VLOOKUP($A261,'GeneratingCapabilityList sorted'!$E$9:$O$801,8,FALSE)&lt;&gt;"",VLOOKUP($A261,'GeneratingCapabilityList sorted'!$E$9:$O$801,8,FALSE),"NoneListed")</f>
        <v>NATURAL GAS</v>
      </c>
      <c r="W261" s="454">
        <f>IF($AB261,$AB261,IF($AA261,$AA261,Scenarios!$B$43))</f>
        <v>37056</v>
      </c>
      <c r="X261" s="454"/>
      <c r="Y261" s="454"/>
      <c r="Z261" s="454"/>
      <c r="AA261" s="454">
        <f>IFERROR(VLOOKUP($A261,'GeneratingCapabilityList sorted'!$E$9:$O$801,11,FALSE),Scenarios!$B$43)</f>
        <v>37056</v>
      </c>
      <c r="AB261" s="453"/>
      <c r="AC261" s="453"/>
    </row>
    <row r="262" spans="1:29" x14ac:dyDescent="0.25">
      <c r="A262" s="65" t="s">
        <v>205</v>
      </c>
      <c r="B262" s="65" t="s">
        <v>3685</v>
      </c>
      <c r="C262" s="66" t="s">
        <v>3468</v>
      </c>
      <c r="D262" s="66" t="s">
        <v>3488</v>
      </c>
      <c r="E262" s="67">
        <v>0</v>
      </c>
      <c r="F262" s="68">
        <v>4.3</v>
      </c>
      <c r="G262" s="68">
        <v>4.22</v>
      </c>
      <c r="H262" s="68">
        <v>4.04</v>
      </c>
      <c r="I262" s="68">
        <v>3.12</v>
      </c>
      <c r="J262" s="68">
        <v>3.26</v>
      </c>
      <c r="K262" s="68">
        <v>3.56</v>
      </c>
      <c r="L262" s="68">
        <v>3.02</v>
      </c>
      <c r="M262" s="68">
        <v>2.85</v>
      </c>
      <c r="N262" s="68">
        <v>2.7</v>
      </c>
      <c r="O262" s="68">
        <v>3.14</v>
      </c>
      <c r="P262" s="68">
        <v>4.09</v>
      </c>
      <c r="Q262" s="68">
        <v>4.08</v>
      </c>
      <c r="R262" s="69" t="s">
        <v>3470</v>
      </c>
      <c r="S262" s="69" t="s">
        <v>3489</v>
      </c>
      <c r="T262" s="70" t="s">
        <v>3502</v>
      </c>
      <c r="U262" s="452"/>
      <c r="V262" s="453" t="str">
        <f>IF(VLOOKUP($A262,'GeneratingCapabilityList sorted'!$E$9:$O$801,8,FALSE)&lt;&gt;"",VLOOKUP($A262,'GeneratingCapabilityList sorted'!$E$9:$O$801,8,FALSE),"NoneListed")</f>
        <v>WATER</v>
      </c>
      <c r="W262" s="454">
        <f>IF($AB262,$AB262,IF($AA262,$AA262,Scenarios!$B$43))</f>
        <v>7672</v>
      </c>
      <c r="X262" s="454"/>
      <c r="Y262" s="454"/>
      <c r="Z262" s="454"/>
      <c r="AA262" s="454">
        <f>IFERROR(VLOOKUP($A262,'GeneratingCapabilityList sorted'!$E$9:$O$801,11,FALSE),Scenarios!$B$43)</f>
        <v>7672</v>
      </c>
      <c r="AB262" s="453"/>
      <c r="AC262" s="453"/>
    </row>
    <row r="263" spans="1:29" x14ac:dyDescent="0.25">
      <c r="A263" s="65" t="s">
        <v>208</v>
      </c>
      <c r="B263" s="65" t="s">
        <v>3686</v>
      </c>
      <c r="C263" s="66" t="s">
        <v>3468</v>
      </c>
      <c r="D263" s="66" t="s">
        <v>3488</v>
      </c>
      <c r="E263" s="67">
        <v>0</v>
      </c>
      <c r="F263" s="68">
        <v>5.66</v>
      </c>
      <c r="G263" s="68">
        <v>5.58</v>
      </c>
      <c r="H263" s="68">
        <v>5.42</v>
      </c>
      <c r="I263" s="68">
        <v>4.5599999999999996</v>
      </c>
      <c r="J263" s="68">
        <v>4.24</v>
      </c>
      <c r="K263" s="68">
        <v>4.97</v>
      </c>
      <c r="L263" s="68">
        <v>4.07</v>
      </c>
      <c r="M263" s="68">
        <v>4.1900000000000004</v>
      </c>
      <c r="N263" s="68">
        <v>3.83</v>
      </c>
      <c r="O263" s="68">
        <v>4.3</v>
      </c>
      <c r="P263" s="68">
        <v>5.4</v>
      </c>
      <c r="Q263" s="68">
        <v>5.15</v>
      </c>
      <c r="R263" s="69" t="s">
        <v>3470</v>
      </c>
      <c r="S263" s="69" t="s">
        <v>3489</v>
      </c>
      <c r="T263" s="70" t="s">
        <v>3502</v>
      </c>
      <c r="U263" s="452"/>
      <c r="V263" s="453" t="str">
        <f>IF(VLOOKUP($A263,'GeneratingCapabilityList sorted'!$E$9:$O$801,8,FALSE)&lt;&gt;"",VLOOKUP($A263,'GeneratingCapabilityList sorted'!$E$9:$O$801,8,FALSE),"NoneListed")</f>
        <v>WATER</v>
      </c>
      <c r="W263" s="454">
        <f>IF($AB263,$AB263,IF($AA263,$AA263,Scenarios!$B$43))</f>
        <v>7672</v>
      </c>
      <c r="X263" s="454"/>
      <c r="Y263" s="454"/>
      <c r="Z263" s="454"/>
      <c r="AA263" s="454">
        <f>IFERROR(VLOOKUP($A263,'GeneratingCapabilityList sorted'!$E$9:$O$801,11,FALSE),Scenarios!$B$43)</f>
        <v>7672</v>
      </c>
      <c r="AB263" s="453"/>
      <c r="AC263" s="453"/>
    </row>
    <row r="264" spans="1:29" x14ac:dyDescent="0.25">
      <c r="A264" s="65" t="s">
        <v>1884</v>
      </c>
      <c r="B264" s="65" t="s">
        <v>1885</v>
      </c>
      <c r="C264" s="66" t="s">
        <v>3477</v>
      </c>
      <c r="D264" s="82" t="s">
        <v>3387</v>
      </c>
      <c r="E264" s="67"/>
      <c r="F264" s="68">
        <v>0.84</v>
      </c>
      <c r="G264" s="68">
        <v>0.85</v>
      </c>
      <c r="H264" s="68">
        <v>0.86</v>
      </c>
      <c r="I264" s="68">
        <v>0.88</v>
      </c>
      <c r="J264" s="68">
        <v>0.84</v>
      </c>
      <c r="K264" s="68">
        <v>0.77</v>
      </c>
      <c r="L264" s="68">
        <v>0.73</v>
      </c>
      <c r="M264" s="68">
        <v>0.72</v>
      </c>
      <c r="N264" s="68">
        <v>0.74</v>
      </c>
      <c r="O264" s="68">
        <v>0.79</v>
      </c>
      <c r="P264" s="68">
        <v>0.8</v>
      </c>
      <c r="Q264" s="68">
        <v>0.79</v>
      </c>
      <c r="R264" s="69" t="s">
        <v>3470</v>
      </c>
      <c r="S264" s="69" t="s">
        <v>3489</v>
      </c>
      <c r="T264" s="70" t="s">
        <v>3497</v>
      </c>
      <c r="U264" s="452"/>
      <c r="V264" s="453" t="str">
        <f>IF(VLOOKUP($A264,'GeneratingCapabilityList sorted'!$E$9:$O$801,8,FALSE)&lt;&gt;"",VLOOKUP($A264,'GeneratingCapabilityList sorted'!$E$9:$O$801,8,FALSE),"NoneListed")</f>
        <v>WATER</v>
      </c>
      <c r="W264" s="454">
        <f>IF($AB264,$AB264,IF($AA264,$AA264,Scenarios!$B$43))</f>
        <v>32674</v>
      </c>
      <c r="X264" s="454"/>
      <c r="Y264" s="454"/>
      <c r="Z264" s="454"/>
      <c r="AA264" s="454">
        <f>IFERROR(VLOOKUP($A264,'GeneratingCapabilityList sorted'!$E$9:$O$801,11,FALSE),Scenarios!$B$43)</f>
        <v>32674</v>
      </c>
      <c r="AB264" s="453"/>
      <c r="AC264" s="453"/>
    </row>
    <row r="265" spans="1:29" x14ac:dyDescent="0.25">
      <c r="A265" s="65" t="s">
        <v>1888</v>
      </c>
      <c r="B265" s="65" t="s">
        <v>3687</v>
      </c>
      <c r="C265" s="66" t="s">
        <v>3468</v>
      </c>
      <c r="D265" s="66" t="s">
        <v>3488</v>
      </c>
      <c r="E265" s="67">
        <v>0</v>
      </c>
      <c r="F265" s="68">
        <v>2.06</v>
      </c>
      <c r="G265" s="68">
        <v>2.08</v>
      </c>
      <c r="H265" s="68">
        <v>2.08</v>
      </c>
      <c r="I265" s="68">
        <v>2.02</v>
      </c>
      <c r="J265" s="68">
        <v>1.94</v>
      </c>
      <c r="K265" s="68">
        <v>1.91</v>
      </c>
      <c r="L265" s="68">
        <v>1.89</v>
      </c>
      <c r="M265" s="68">
        <v>1.87</v>
      </c>
      <c r="N265" s="68">
        <v>1.87</v>
      </c>
      <c r="O265" s="68">
        <v>1.88</v>
      </c>
      <c r="P265" s="68">
        <v>1.9</v>
      </c>
      <c r="Q265" s="68">
        <v>1.9</v>
      </c>
      <c r="R265" s="69" t="s">
        <v>3470</v>
      </c>
      <c r="S265" s="69" t="s">
        <v>3489</v>
      </c>
      <c r="T265" s="70" t="s">
        <v>3502</v>
      </c>
      <c r="U265" s="452"/>
      <c r="V265" s="453" t="str">
        <f>IF(VLOOKUP($A265,'GeneratingCapabilityList sorted'!$E$9:$O$801,8,FALSE)&lt;&gt;"",VLOOKUP($A265,'GeneratingCapabilityList sorted'!$E$9:$O$801,8,FALSE),"NoneListed")</f>
        <v>WATER</v>
      </c>
      <c r="W265" s="454">
        <f>IF($AB265,$AB265,IF($AA265,$AA265,Scenarios!$B$43))</f>
        <v>32674</v>
      </c>
      <c r="X265" s="454"/>
      <c r="Y265" s="454"/>
      <c r="Z265" s="454"/>
      <c r="AA265" s="454">
        <f>IFERROR(VLOOKUP($A265,'GeneratingCapabilityList sorted'!$E$9:$O$801,11,FALSE),Scenarios!$B$43)</f>
        <v>32674</v>
      </c>
      <c r="AB265" s="453"/>
      <c r="AC265" s="453"/>
    </row>
    <row r="266" spans="1:29" x14ac:dyDescent="0.25">
      <c r="A266" s="88" t="s">
        <v>3006</v>
      </c>
      <c r="B266" s="88" t="s">
        <v>3007</v>
      </c>
      <c r="C266" s="66" t="s">
        <v>3468</v>
      </c>
      <c r="D266" s="66" t="s">
        <v>3488</v>
      </c>
      <c r="E266" s="89"/>
      <c r="F266" s="68">
        <v>6.9</v>
      </c>
      <c r="G266" s="68">
        <v>9.6199999999999992</v>
      </c>
      <c r="H266" s="68">
        <v>22.63</v>
      </c>
      <c r="I266" s="68">
        <v>22.53</v>
      </c>
      <c r="J266" s="68">
        <v>30.07</v>
      </c>
      <c r="K266" s="68">
        <v>34.6</v>
      </c>
      <c r="L266" s="68">
        <v>26.21</v>
      </c>
      <c r="M266" s="68">
        <v>16.36</v>
      </c>
      <c r="N266" s="68">
        <v>9.09</v>
      </c>
      <c r="O266" s="68">
        <v>7.55</v>
      </c>
      <c r="P266" s="68">
        <v>4.88</v>
      </c>
      <c r="Q266" s="68">
        <v>4.6399999999999997</v>
      </c>
      <c r="R266" s="69" t="s">
        <v>3470</v>
      </c>
      <c r="S266" s="69" t="s">
        <v>3471</v>
      </c>
      <c r="T266" s="70" t="s">
        <v>3425</v>
      </c>
      <c r="U266" s="452"/>
      <c r="V266" s="453" t="str">
        <f>IF(VLOOKUP($A266,'GeneratingCapabilityList sorted'!$E$9:$O$801,8,FALSE)&lt;&gt;"",VLOOKUP($A266,'GeneratingCapabilityList sorted'!$E$9:$O$801,8,FALSE),"NoneListed")</f>
        <v>WIND</v>
      </c>
      <c r="W266" s="454">
        <f>IF($AB266,$AB266,IF($AA266,$AA266,Scenarios!$B$43))</f>
        <v>40501</v>
      </c>
      <c r="X266" s="454"/>
      <c r="Y266" s="454"/>
      <c r="Z266" s="454"/>
      <c r="AA266" s="454">
        <f>IFERROR(VLOOKUP($A266,'GeneratingCapabilityList sorted'!$E$9:$O$801,11,FALSE),Scenarios!$B$43)</f>
        <v>40501</v>
      </c>
      <c r="AB266" s="453"/>
      <c r="AC266" s="453"/>
    </row>
    <row r="267" spans="1:29" x14ac:dyDescent="0.25">
      <c r="A267" s="65" t="s">
        <v>1864</v>
      </c>
      <c r="B267" s="65" t="s">
        <v>3688</v>
      </c>
      <c r="C267" s="66" t="s">
        <v>3468</v>
      </c>
      <c r="D267" s="66" t="s">
        <v>3510</v>
      </c>
      <c r="E267" s="67">
        <v>0</v>
      </c>
      <c r="F267" s="68">
        <v>0</v>
      </c>
      <c r="G267" s="68">
        <v>0.12</v>
      </c>
      <c r="H267" s="68">
        <v>0.64</v>
      </c>
      <c r="I267" s="68">
        <v>3.2</v>
      </c>
      <c r="J267" s="68">
        <v>9.2799999999999994</v>
      </c>
      <c r="K267" s="68">
        <v>5</v>
      </c>
      <c r="L267" s="68">
        <v>0.51</v>
      </c>
      <c r="M267" s="68">
        <v>0</v>
      </c>
      <c r="N267" s="68">
        <v>0</v>
      </c>
      <c r="O267" s="68">
        <v>0</v>
      </c>
      <c r="P267" s="68">
        <v>0</v>
      </c>
      <c r="Q267" s="68">
        <v>0.5</v>
      </c>
      <c r="R267" s="69" t="s">
        <v>3470</v>
      </c>
      <c r="S267" s="69" t="s">
        <v>3489</v>
      </c>
      <c r="T267" s="70" t="s">
        <v>3502</v>
      </c>
      <c r="U267" s="452"/>
      <c r="V267" s="453" t="str">
        <f>IF(VLOOKUP($A267,'GeneratingCapabilityList sorted'!$E$9:$O$801,8,FALSE)&lt;&gt;"",VLOOKUP($A267,'GeneratingCapabilityList sorted'!$E$9:$O$801,8,FALSE),"NoneListed")</f>
        <v>WATER</v>
      </c>
      <c r="W267" s="454">
        <f>IF($AB267,$AB267,IF($AA267,$AA267,Scenarios!$B$43))</f>
        <v>32609</v>
      </c>
      <c r="X267" s="454"/>
      <c r="Y267" s="454"/>
      <c r="Z267" s="454"/>
      <c r="AA267" s="454">
        <f>IFERROR(VLOOKUP($A267,'GeneratingCapabilityList sorted'!$E$9:$O$801,11,FALSE),Scenarios!$B$43)</f>
        <v>32609</v>
      </c>
      <c r="AB267" s="453"/>
      <c r="AC267" s="453"/>
    </row>
    <row r="268" spans="1:29" x14ac:dyDescent="0.25">
      <c r="A268" s="65" t="s">
        <v>1011</v>
      </c>
      <c r="B268" s="65" t="s">
        <v>3689</v>
      </c>
      <c r="C268" s="66" t="s">
        <v>3468</v>
      </c>
      <c r="D268" s="66" t="s">
        <v>3474</v>
      </c>
      <c r="E268" s="67">
        <v>0</v>
      </c>
      <c r="F268" s="68">
        <v>404</v>
      </c>
      <c r="G268" s="68">
        <v>404</v>
      </c>
      <c r="H268" s="68">
        <v>404</v>
      </c>
      <c r="I268" s="68">
        <v>404</v>
      </c>
      <c r="J268" s="68">
        <v>404</v>
      </c>
      <c r="K268" s="68">
        <v>404</v>
      </c>
      <c r="L268" s="68">
        <v>404</v>
      </c>
      <c r="M268" s="68">
        <v>404</v>
      </c>
      <c r="N268" s="68">
        <v>404</v>
      </c>
      <c r="O268" s="68">
        <v>404</v>
      </c>
      <c r="P268" s="68">
        <v>404</v>
      </c>
      <c r="Q268" s="68">
        <v>404</v>
      </c>
      <c r="R268" s="69" t="s">
        <v>3470</v>
      </c>
      <c r="S268" s="69" t="s">
        <v>3489</v>
      </c>
      <c r="T268" s="70" t="s">
        <v>3484</v>
      </c>
      <c r="U268" s="452"/>
      <c r="V268" s="453" t="str">
        <f>IF(VLOOKUP($A268,'GeneratingCapabilityList sorted'!$E$9:$O$801,8,FALSE)&lt;&gt;"",VLOOKUP($A268,'GeneratingCapabilityList sorted'!$E$9:$O$801,8,FALSE),"NoneListed")</f>
        <v>WATER</v>
      </c>
      <c r="W268" s="454">
        <f>IF($AB268,$AB268,IF($AA268,$AA268,Scenarios!$B$43))</f>
        <v>30682</v>
      </c>
      <c r="X268" s="454"/>
      <c r="Y268" s="454"/>
      <c r="Z268" s="454"/>
      <c r="AA268" s="454">
        <f>IFERROR(VLOOKUP($A268,'GeneratingCapabilityList sorted'!$E$9:$O$801,11,FALSE),Scenarios!$B$43)</f>
        <v>30682</v>
      </c>
      <c r="AB268" s="453"/>
      <c r="AC268" s="453"/>
    </row>
    <row r="269" spans="1:29" x14ac:dyDescent="0.25">
      <c r="A269" s="65" t="s">
        <v>1013</v>
      </c>
      <c r="B269" s="65" t="s">
        <v>3690</v>
      </c>
      <c r="C269" s="66" t="s">
        <v>3468</v>
      </c>
      <c r="D269" s="66" t="s">
        <v>3474</v>
      </c>
      <c r="E269" s="67">
        <v>0</v>
      </c>
      <c r="F269" s="68">
        <v>404</v>
      </c>
      <c r="G269" s="68">
        <v>404</v>
      </c>
      <c r="H269" s="68">
        <v>404</v>
      </c>
      <c r="I269" s="68">
        <v>404</v>
      </c>
      <c r="J269" s="68">
        <v>404</v>
      </c>
      <c r="K269" s="68">
        <v>404</v>
      </c>
      <c r="L269" s="68">
        <v>404</v>
      </c>
      <c r="M269" s="68">
        <v>404</v>
      </c>
      <c r="N269" s="68">
        <v>404</v>
      </c>
      <c r="O269" s="68">
        <v>404</v>
      </c>
      <c r="P269" s="68">
        <v>404</v>
      </c>
      <c r="Q269" s="68">
        <v>404</v>
      </c>
      <c r="R269" s="69" t="s">
        <v>3470</v>
      </c>
      <c r="S269" s="69" t="s">
        <v>3489</v>
      </c>
      <c r="T269" s="70" t="s">
        <v>3484</v>
      </c>
      <c r="U269" s="452"/>
      <c r="V269" s="453" t="str">
        <f>IF(VLOOKUP($A269,'GeneratingCapabilityList sorted'!$E$9:$O$801,8,FALSE)&lt;&gt;"",VLOOKUP($A269,'GeneratingCapabilityList sorted'!$E$9:$O$801,8,FALSE),"NoneListed")</f>
        <v>WATER</v>
      </c>
      <c r="W269" s="454">
        <f>IF($AB269,$AB269,IF($AA269,$AA269,Scenarios!$B$43))</f>
        <v>30682</v>
      </c>
      <c r="X269" s="454"/>
      <c r="Y269" s="454"/>
      <c r="Z269" s="454"/>
      <c r="AA269" s="454">
        <f>IFERROR(VLOOKUP($A269,'GeneratingCapabilityList sorted'!$E$9:$O$801,11,FALSE),Scenarios!$B$43)</f>
        <v>30682</v>
      </c>
      <c r="AB269" s="453"/>
      <c r="AC269" s="453"/>
    </row>
    <row r="270" spans="1:29" x14ac:dyDescent="0.25">
      <c r="A270" s="65" t="s">
        <v>1015</v>
      </c>
      <c r="B270" s="65" t="s">
        <v>3691</v>
      </c>
      <c r="C270" s="66" t="s">
        <v>3468</v>
      </c>
      <c r="D270" s="66" t="s">
        <v>3474</v>
      </c>
      <c r="E270" s="67">
        <v>0</v>
      </c>
      <c r="F270" s="68">
        <v>404</v>
      </c>
      <c r="G270" s="68">
        <v>404</v>
      </c>
      <c r="H270" s="68">
        <v>404</v>
      </c>
      <c r="I270" s="68">
        <v>404</v>
      </c>
      <c r="J270" s="68">
        <v>404</v>
      </c>
      <c r="K270" s="68">
        <v>404</v>
      </c>
      <c r="L270" s="68">
        <v>404</v>
      </c>
      <c r="M270" s="68">
        <v>404</v>
      </c>
      <c r="N270" s="68">
        <v>404</v>
      </c>
      <c r="O270" s="68">
        <v>404</v>
      </c>
      <c r="P270" s="68">
        <v>404</v>
      </c>
      <c r="Q270" s="68">
        <v>404</v>
      </c>
      <c r="R270" s="69" t="s">
        <v>3470</v>
      </c>
      <c r="S270" s="69" t="s">
        <v>3489</v>
      </c>
      <c r="T270" s="70" t="s">
        <v>3484</v>
      </c>
      <c r="U270" s="452"/>
      <c r="V270" s="453" t="str">
        <f>IF(VLOOKUP($A270,'GeneratingCapabilityList sorted'!$E$9:$O$801,8,FALSE)&lt;&gt;"",VLOOKUP($A270,'GeneratingCapabilityList sorted'!$E$9:$O$801,8,FALSE),"NoneListed")</f>
        <v>WATER</v>
      </c>
      <c r="W270" s="454">
        <f>IF($AB270,$AB270,IF($AA270,$AA270,Scenarios!$B$43))</f>
        <v>30682</v>
      </c>
      <c r="X270" s="454"/>
      <c r="Y270" s="454"/>
      <c r="Z270" s="454"/>
      <c r="AA270" s="454">
        <f>IFERROR(VLOOKUP($A270,'GeneratingCapabilityList sorted'!$E$9:$O$801,11,FALSE),Scenarios!$B$43)</f>
        <v>30682</v>
      </c>
      <c r="AB270" s="453"/>
      <c r="AC270" s="453"/>
    </row>
    <row r="271" spans="1:29" x14ac:dyDescent="0.25">
      <c r="A271" s="65" t="s">
        <v>2566</v>
      </c>
      <c r="B271" s="65" t="s">
        <v>3692</v>
      </c>
      <c r="C271" s="66" t="s">
        <v>3468</v>
      </c>
      <c r="D271" s="66" t="s">
        <v>3474</v>
      </c>
      <c r="E271" s="67">
        <v>45.33</v>
      </c>
      <c r="F271" s="68">
        <v>0</v>
      </c>
      <c r="G271" s="68">
        <v>0</v>
      </c>
      <c r="H271" s="68">
        <v>0</v>
      </c>
      <c r="I271" s="68">
        <v>0</v>
      </c>
      <c r="J271" s="68">
        <v>0</v>
      </c>
      <c r="K271" s="68">
        <v>0</v>
      </c>
      <c r="L271" s="68">
        <v>0</v>
      </c>
      <c r="M271" s="68">
        <v>0</v>
      </c>
      <c r="N271" s="68">
        <v>0</v>
      </c>
      <c r="O271" s="68">
        <v>0</v>
      </c>
      <c r="P271" s="68">
        <v>0</v>
      </c>
      <c r="Q271" s="68">
        <v>0</v>
      </c>
      <c r="R271" s="69" t="s">
        <v>3470</v>
      </c>
      <c r="S271" s="69" t="s">
        <v>3471</v>
      </c>
      <c r="T271" s="70" t="s">
        <v>3472</v>
      </c>
      <c r="U271" s="452"/>
      <c r="V271" s="453" t="str">
        <f>IF(VLOOKUP($A271,'GeneratingCapabilityList sorted'!$E$9:$O$801,8,FALSE)&lt;&gt;"",VLOOKUP($A271,'GeneratingCapabilityList sorted'!$E$9:$O$801,8,FALSE),"NoneListed")</f>
        <v>NATURAL GAS</v>
      </c>
      <c r="W271" s="454">
        <f>IF($AB271,$AB271,IF($AA271,$AA271,Scenarios!$B$43))</f>
        <v>37438</v>
      </c>
      <c r="X271" s="454"/>
      <c r="Y271" s="454"/>
      <c r="Z271" s="454"/>
      <c r="AA271" s="454">
        <f>IFERROR(VLOOKUP($A271,'GeneratingCapabilityList sorted'!$E$9:$O$801,11,FALSE),Scenarios!$B$43)</f>
        <v>37438</v>
      </c>
      <c r="AB271" s="453"/>
      <c r="AC271" s="453"/>
    </row>
    <row r="272" spans="1:29" x14ac:dyDescent="0.25">
      <c r="A272" s="65" t="s">
        <v>2568</v>
      </c>
      <c r="B272" s="65" t="s">
        <v>3693</v>
      </c>
      <c r="C272" s="66" t="s">
        <v>3468</v>
      </c>
      <c r="D272" s="66" t="s">
        <v>3474</v>
      </c>
      <c r="E272" s="67">
        <v>45.23</v>
      </c>
      <c r="F272" s="68">
        <v>0</v>
      </c>
      <c r="G272" s="68">
        <v>0</v>
      </c>
      <c r="H272" s="68">
        <v>0</v>
      </c>
      <c r="I272" s="68">
        <v>0</v>
      </c>
      <c r="J272" s="68">
        <v>0</v>
      </c>
      <c r="K272" s="68">
        <v>0</v>
      </c>
      <c r="L272" s="68">
        <v>0</v>
      </c>
      <c r="M272" s="68">
        <v>0</v>
      </c>
      <c r="N272" s="68">
        <v>0</v>
      </c>
      <c r="O272" s="68">
        <v>0</v>
      </c>
      <c r="P272" s="68">
        <v>0</v>
      </c>
      <c r="Q272" s="68">
        <v>0</v>
      </c>
      <c r="R272" s="69" t="s">
        <v>3470</v>
      </c>
      <c r="S272" s="69" t="s">
        <v>3471</v>
      </c>
      <c r="T272" s="70" t="s">
        <v>3472</v>
      </c>
      <c r="U272" s="452"/>
      <c r="V272" s="453" t="str">
        <f>IF(VLOOKUP($A272,'GeneratingCapabilityList sorted'!$E$9:$O$801,8,FALSE)&lt;&gt;"",VLOOKUP($A272,'GeneratingCapabilityList sorted'!$E$9:$O$801,8,FALSE),"NoneListed")</f>
        <v>NATURAL GAS</v>
      </c>
      <c r="W272" s="454">
        <f>IF($AB272,$AB272,IF($AA272,$AA272,Scenarios!$B$43))</f>
        <v>37438</v>
      </c>
      <c r="X272" s="454"/>
      <c r="Y272" s="454"/>
      <c r="Z272" s="454"/>
      <c r="AA272" s="454">
        <f>IFERROR(VLOOKUP($A272,'GeneratingCapabilityList sorted'!$E$9:$O$801,11,FALSE),Scenarios!$B$43)</f>
        <v>37438</v>
      </c>
      <c r="AB272" s="453"/>
      <c r="AC272" s="453"/>
    </row>
    <row r="273" spans="1:29" x14ac:dyDescent="0.25">
      <c r="A273" s="65" t="s">
        <v>1063</v>
      </c>
      <c r="B273" s="65" t="s">
        <v>1064</v>
      </c>
      <c r="C273" s="66" t="s">
        <v>3468</v>
      </c>
      <c r="D273" s="66" t="s">
        <v>3382</v>
      </c>
      <c r="E273" s="67">
        <v>0</v>
      </c>
      <c r="F273" s="68">
        <v>2.17</v>
      </c>
      <c r="G273" s="68">
        <v>2.11</v>
      </c>
      <c r="H273" s="68">
        <v>2.15</v>
      </c>
      <c r="I273" s="68">
        <v>1.99</v>
      </c>
      <c r="J273" s="68">
        <v>1.95</v>
      </c>
      <c r="K273" s="68">
        <v>1.98</v>
      </c>
      <c r="L273" s="68">
        <v>1.8</v>
      </c>
      <c r="M273" s="68">
        <v>1.98</v>
      </c>
      <c r="N273" s="68">
        <v>1.94</v>
      </c>
      <c r="O273" s="68">
        <v>1.78</v>
      </c>
      <c r="P273" s="68">
        <v>1.98</v>
      </c>
      <c r="Q273" s="68">
        <v>2.15</v>
      </c>
      <c r="R273" s="69" t="s">
        <v>3470</v>
      </c>
      <c r="S273" s="69" t="s">
        <v>3489</v>
      </c>
      <c r="T273" s="70" t="s">
        <v>3497</v>
      </c>
      <c r="U273" s="452"/>
      <c r="V273" s="453" t="str">
        <f>IF(VLOOKUP($A273,'GeneratingCapabilityList sorted'!$E$9:$O$801,8,FALSE)&lt;&gt;"",VLOOKUP($A273,'GeneratingCapabilityList sorted'!$E$9:$O$801,8,FALSE),"NoneListed")</f>
        <v>LANDFILL GAS</v>
      </c>
      <c r="W273" s="454">
        <f>IF($AB273,$AB273,IF($AA273,$AA273,Scenarios!$B$43))</f>
        <v>30693</v>
      </c>
      <c r="X273" s="454"/>
      <c r="Y273" s="454"/>
      <c r="Z273" s="454"/>
      <c r="AA273" s="454">
        <f>IFERROR(VLOOKUP($A273,'GeneratingCapabilityList sorted'!$E$9:$O$801,11,FALSE),Scenarios!$B$43)</f>
        <v>30693</v>
      </c>
      <c r="AB273" s="453"/>
      <c r="AC273" s="453"/>
    </row>
    <row r="274" spans="1:29" x14ac:dyDescent="0.25">
      <c r="A274" s="65" t="s">
        <v>2641</v>
      </c>
      <c r="B274" s="65" t="s">
        <v>3694</v>
      </c>
      <c r="C274" s="66" t="s">
        <v>3477</v>
      </c>
      <c r="D274" s="66" t="s">
        <v>3488</v>
      </c>
      <c r="E274" s="67">
        <v>746</v>
      </c>
      <c r="F274" s="68">
        <v>0</v>
      </c>
      <c r="G274" s="68">
        <v>0</v>
      </c>
      <c r="H274" s="68">
        <v>0</v>
      </c>
      <c r="I274" s="68">
        <v>0</v>
      </c>
      <c r="J274" s="68">
        <v>0</v>
      </c>
      <c r="K274" s="68">
        <v>0</v>
      </c>
      <c r="L274" s="68">
        <v>0</v>
      </c>
      <c r="M274" s="68">
        <v>0</v>
      </c>
      <c r="N274" s="68">
        <v>0</v>
      </c>
      <c r="O274" s="68">
        <v>0</v>
      </c>
      <c r="P274" s="68">
        <v>0</v>
      </c>
      <c r="Q274" s="68">
        <v>0</v>
      </c>
      <c r="R274" s="69" t="s">
        <v>3470</v>
      </c>
      <c r="S274" s="69" t="s">
        <v>3471</v>
      </c>
      <c r="T274" s="70" t="s">
        <v>3472</v>
      </c>
      <c r="U274" s="452"/>
      <c r="V274" s="453" t="str">
        <f>IF(VLOOKUP($A274,'GeneratingCapabilityList sorted'!$E$9:$O$801,8,FALSE)&lt;&gt;"",VLOOKUP($A274,'GeneratingCapabilityList sorted'!$E$9:$O$801,8,FALSE),"NoneListed")</f>
        <v>NATURAL GAS</v>
      </c>
      <c r="W274" s="454">
        <f>IF($AB274,$AB274,IF($AA274,$AA274,Scenarios!$B$43))</f>
        <v>37732</v>
      </c>
      <c r="X274" s="454"/>
      <c r="Y274" s="454"/>
      <c r="Z274" s="454"/>
      <c r="AA274" s="454">
        <f>IFERROR(VLOOKUP($A274,'GeneratingCapabilityList sorted'!$E$9:$O$801,11,FALSE),Scenarios!$B$43)</f>
        <v>37732</v>
      </c>
      <c r="AB274" s="453"/>
      <c r="AC274" s="453"/>
    </row>
    <row r="275" spans="1:29" x14ac:dyDescent="0.25">
      <c r="A275" s="65" t="s">
        <v>3695</v>
      </c>
      <c r="B275" s="65" t="s">
        <v>3695</v>
      </c>
      <c r="C275" s="66" t="s">
        <v>3468</v>
      </c>
      <c r="D275" s="66" t="s">
        <v>3510</v>
      </c>
      <c r="E275" s="67">
        <v>0</v>
      </c>
      <c r="F275" s="68">
        <v>0.45</v>
      </c>
      <c r="G275" s="68">
        <v>1.04</v>
      </c>
      <c r="H275" s="68">
        <v>1.2</v>
      </c>
      <c r="I275" s="68">
        <v>1.1399999999999999</v>
      </c>
      <c r="J275" s="68">
        <v>0.77</v>
      </c>
      <c r="K275" s="68">
        <v>0.42</v>
      </c>
      <c r="L275" s="68">
        <v>0.11</v>
      </c>
      <c r="M275" s="68">
        <v>0.11</v>
      </c>
      <c r="N275" s="68">
        <v>0.09</v>
      </c>
      <c r="O275" s="68">
        <v>0.1</v>
      </c>
      <c r="P275" s="68">
        <v>0.38</v>
      </c>
      <c r="Q275" s="68">
        <v>0.3</v>
      </c>
      <c r="R275" s="69" t="s">
        <v>3470</v>
      </c>
      <c r="S275" s="69" t="s">
        <v>3489</v>
      </c>
      <c r="T275" s="70" t="s">
        <v>3502</v>
      </c>
      <c r="U275" s="452"/>
      <c r="V275" s="453" t="e">
        <f>IF(VLOOKUP($A275,'GeneratingCapabilityList sorted'!$E$9:$O$801,8,FALSE)&lt;&gt;"",VLOOKUP($A275,'GeneratingCapabilityList sorted'!$E$9:$O$801,8,FALSE),"NoneListed")</f>
        <v>#N/A</v>
      </c>
      <c r="W275" s="454">
        <f>IF($AB275,$AB275,IF($AA275,$AA275,Scenarios!$B$43))</f>
        <v>30803</v>
      </c>
      <c r="X275" s="454"/>
      <c r="Y275" s="454"/>
      <c r="Z275" s="454"/>
      <c r="AA275" s="454">
        <f>IFERROR(VLOOKUP($A275,'GeneratingCapabilityList sorted'!$E$9:$O$801,11,FALSE),Scenarios!$B$43)</f>
        <v>29221</v>
      </c>
      <c r="AB275" s="454">
        <v>30803</v>
      </c>
      <c r="AC275" s="453" t="s">
        <v>4694</v>
      </c>
    </row>
    <row r="276" spans="1:29" x14ac:dyDescent="0.25">
      <c r="A276" s="65" t="s">
        <v>811</v>
      </c>
      <c r="B276" s="65" t="s">
        <v>3696</v>
      </c>
      <c r="C276" s="66" t="s">
        <v>3477</v>
      </c>
      <c r="D276" s="66" t="s">
        <v>3387</v>
      </c>
      <c r="E276" s="67">
        <v>0</v>
      </c>
      <c r="F276" s="68">
        <v>25.85</v>
      </c>
      <c r="G276" s="68">
        <v>23.47</v>
      </c>
      <c r="H276" s="68">
        <v>27.46</v>
      </c>
      <c r="I276" s="68">
        <v>27.92</v>
      </c>
      <c r="J276" s="68">
        <v>28.76</v>
      </c>
      <c r="K276" s="68">
        <v>27.95</v>
      </c>
      <c r="L276" s="68">
        <v>27.59</v>
      </c>
      <c r="M276" s="68">
        <v>21.46</v>
      </c>
      <c r="N276" s="68">
        <v>6.59</v>
      </c>
      <c r="O276" s="68">
        <v>19.41</v>
      </c>
      <c r="P276" s="68">
        <v>26.87</v>
      </c>
      <c r="Q276" s="68">
        <v>23.35</v>
      </c>
      <c r="R276" s="69" t="s">
        <v>3470</v>
      </c>
      <c r="S276" s="69" t="s">
        <v>3489</v>
      </c>
      <c r="T276" s="70" t="s">
        <v>3497</v>
      </c>
      <c r="U276" s="452"/>
      <c r="V276" s="453" t="str">
        <f>IF(VLOOKUP($A276,'GeneratingCapabilityList sorted'!$E$9:$O$801,8,FALSE)&lt;&gt;"",VLOOKUP($A276,'GeneratingCapabilityList sorted'!$E$9:$O$801,8,FALSE),"NoneListed")</f>
        <v>HEAT RECOVERY</v>
      </c>
      <c r="W276" s="454">
        <f>IF($AB276,$AB276,IF($AA276,$AA276,Scenarios!$B$43))</f>
        <v>29952</v>
      </c>
      <c r="X276" s="454"/>
      <c r="Y276" s="454"/>
      <c r="Z276" s="454"/>
      <c r="AA276" s="454">
        <f>IFERROR(VLOOKUP($A276,'GeneratingCapabilityList sorted'!$E$9:$O$801,11,FALSE),Scenarios!$B$43)</f>
        <v>29952</v>
      </c>
      <c r="AB276" s="453"/>
      <c r="AC276" s="453"/>
    </row>
    <row r="277" spans="1:29" x14ac:dyDescent="0.25">
      <c r="A277" s="65" t="s">
        <v>2883</v>
      </c>
      <c r="B277" s="65" t="s">
        <v>2883</v>
      </c>
      <c r="C277" s="66" t="s">
        <v>3477</v>
      </c>
      <c r="D277" s="66" t="s">
        <v>3387</v>
      </c>
      <c r="E277" s="67">
        <v>65</v>
      </c>
      <c r="F277" s="68">
        <v>0</v>
      </c>
      <c r="G277" s="68">
        <v>0</v>
      </c>
      <c r="H277" s="68">
        <v>0</v>
      </c>
      <c r="I277" s="68">
        <v>0</v>
      </c>
      <c r="J277" s="68">
        <v>0</v>
      </c>
      <c r="K277" s="68">
        <v>0</v>
      </c>
      <c r="L277" s="68">
        <v>0</v>
      </c>
      <c r="M277" s="68">
        <v>0</v>
      </c>
      <c r="N277" s="68">
        <v>0</v>
      </c>
      <c r="O277" s="68">
        <v>0</v>
      </c>
      <c r="P277" s="68">
        <v>0</v>
      </c>
      <c r="Q277" s="68">
        <v>0</v>
      </c>
      <c r="R277" s="69" t="s">
        <v>3470</v>
      </c>
      <c r="S277" s="69" t="s">
        <v>3471</v>
      </c>
      <c r="T277" s="70" t="s">
        <v>3472</v>
      </c>
      <c r="U277" s="452"/>
      <c r="V277" s="453" t="str">
        <f>IF(VLOOKUP($A277,'GeneratingCapabilityList sorted'!$E$9:$O$801,8,FALSE)&lt;&gt;"",VLOOKUP($A277,'GeneratingCapabilityList sorted'!$E$9:$O$801,8,FALSE),"NoneListed")</f>
        <v>NATURAL GAS</v>
      </c>
      <c r="W277" s="454">
        <f>IF($AB277,$AB277,IF($AA277,$AA277,Scenarios!$B$43))</f>
        <v>39295</v>
      </c>
      <c r="X277" s="454"/>
      <c r="Y277" s="454"/>
      <c r="Z277" s="454"/>
      <c r="AA277" s="454">
        <f>IFERROR(VLOOKUP($A277,'GeneratingCapabilityList sorted'!$E$9:$O$801,11,FALSE),Scenarios!$B$43)</f>
        <v>39295</v>
      </c>
      <c r="AB277" s="453"/>
      <c r="AC277" s="453"/>
    </row>
    <row r="278" spans="1:29" x14ac:dyDescent="0.25">
      <c r="A278" s="65" t="s">
        <v>2886</v>
      </c>
      <c r="B278" s="65" t="s">
        <v>2886</v>
      </c>
      <c r="C278" s="66" t="s">
        <v>3477</v>
      </c>
      <c r="D278" s="66" t="s">
        <v>3387</v>
      </c>
      <c r="E278" s="67">
        <v>65</v>
      </c>
      <c r="F278" s="68">
        <v>0</v>
      </c>
      <c r="G278" s="68">
        <v>0</v>
      </c>
      <c r="H278" s="68">
        <v>0</v>
      </c>
      <c r="I278" s="68">
        <v>0</v>
      </c>
      <c r="J278" s="68">
        <v>0</v>
      </c>
      <c r="K278" s="68">
        <v>0</v>
      </c>
      <c r="L278" s="68">
        <v>0</v>
      </c>
      <c r="M278" s="68">
        <v>0</v>
      </c>
      <c r="N278" s="68">
        <v>0</v>
      </c>
      <c r="O278" s="68">
        <v>0</v>
      </c>
      <c r="P278" s="68">
        <v>0</v>
      </c>
      <c r="Q278" s="68">
        <v>0</v>
      </c>
      <c r="R278" s="69" t="s">
        <v>3470</v>
      </c>
      <c r="S278" s="69" t="s">
        <v>3471</v>
      </c>
      <c r="T278" s="70" t="s">
        <v>3472</v>
      </c>
      <c r="U278" s="452"/>
      <c r="V278" s="453" t="str">
        <f>IF(VLOOKUP($A278,'GeneratingCapabilityList sorted'!$E$9:$O$801,8,FALSE)&lt;&gt;"",VLOOKUP($A278,'GeneratingCapabilityList sorted'!$E$9:$O$801,8,FALSE),"NoneListed")</f>
        <v>NATURAL GAS</v>
      </c>
      <c r="W278" s="454">
        <f>IF($AB278,$AB278,IF($AA278,$AA278,Scenarios!$B$43))</f>
        <v>39295</v>
      </c>
      <c r="X278" s="454"/>
      <c r="Y278" s="454"/>
      <c r="Z278" s="454"/>
      <c r="AA278" s="454">
        <f>IFERROR(VLOOKUP($A278,'GeneratingCapabilityList sorted'!$E$9:$O$801,11,FALSE),Scenarios!$B$43)</f>
        <v>39295</v>
      </c>
      <c r="AB278" s="453"/>
      <c r="AC278" s="453"/>
    </row>
    <row r="279" spans="1:29" x14ac:dyDescent="0.25">
      <c r="A279" s="65" t="s">
        <v>2888</v>
      </c>
      <c r="B279" s="65" t="s">
        <v>2888</v>
      </c>
      <c r="C279" s="66" t="s">
        <v>3477</v>
      </c>
      <c r="D279" s="66" t="s">
        <v>3387</v>
      </c>
      <c r="E279" s="67">
        <v>65</v>
      </c>
      <c r="F279" s="68">
        <v>0</v>
      </c>
      <c r="G279" s="68">
        <v>0</v>
      </c>
      <c r="H279" s="68">
        <v>0</v>
      </c>
      <c r="I279" s="68">
        <v>0</v>
      </c>
      <c r="J279" s="68">
        <v>0</v>
      </c>
      <c r="K279" s="68">
        <v>0</v>
      </c>
      <c r="L279" s="68">
        <v>0</v>
      </c>
      <c r="M279" s="68">
        <v>0</v>
      </c>
      <c r="N279" s="68">
        <v>0</v>
      </c>
      <c r="O279" s="68">
        <v>0</v>
      </c>
      <c r="P279" s="68">
        <v>0</v>
      </c>
      <c r="Q279" s="68">
        <v>0</v>
      </c>
      <c r="R279" s="69" t="s">
        <v>3470</v>
      </c>
      <c r="S279" s="69" t="s">
        <v>3471</v>
      </c>
      <c r="T279" s="70" t="s">
        <v>3472</v>
      </c>
      <c r="U279" s="452"/>
      <c r="V279" s="453" t="str">
        <f>IF(VLOOKUP($A279,'GeneratingCapabilityList sorted'!$E$9:$O$801,8,FALSE)&lt;&gt;"",VLOOKUP($A279,'GeneratingCapabilityList sorted'!$E$9:$O$801,8,FALSE),"NoneListed")</f>
        <v>NATURAL GAS</v>
      </c>
      <c r="W279" s="454">
        <f>IF($AB279,$AB279,IF($AA279,$AA279,Scenarios!$B$43))</f>
        <v>39295</v>
      </c>
      <c r="X279" s="454"/>
      <c r="Y279" s="454"/>
      <c r="Z279" s="454"/>
      <c r="AA279" s="454">
        <f>IFERROR(VLOOKUP($A279,'GeneratingCapabilityList sorted'!$E$9:$O$801,11,FALSE),Scenarios!$B$43)</f>
        <v>39295</v>
      </c>
      <c r="AB279" s="453"/>
      <c r="AC279" s="453"/>
    </row>
    <row r="280" spans="1:29" x14ac:dyDescent="0.25">
      <c r="A280" s="65" t="s">
        <v>2890</v>
      </c>
      <c r="B280" s="65" t="s">
        <v>2890</v>
      </c>
      <c r="C280" s="66" t="s">
        <v>3477</v>
      </c>
      <c r="D280" s="66" t="s">
        <v>3387</v>
      </c>
      <c r="E280" s="67">
        <v>65</v>
      </c>
      <c r="F280" s="68">
        <v>0</v>
      </c>
      <c r="G280" s="68">
        <v>0</v>
      </c>
      <c r="H280" s="68">
        <v>0</v>
      </c>
      <c r="I280" s="68">
        <v>0</v>
      </c>
      <c r="J280" s="68">
        <v>0</v>
      </c>
      <c r="K280" s="68">
        <v>0</v>
      </c>
      <c r="L280" s="68">
        <v>0</v>
      </c>
      <c r="M280" s="68">
        <v>0</v>
      </c>
      <c r="N280" s="68">
        <v>0</v>
      </c>
      <c r="O280" s="68">
        <v>0</v>
      </c>
      <c r="P280" s="68">
        <v>0</v>
      </c>
      <c r="Q280" s="68">
        <v>0</v>
      </c>
      <c r="R280" s="69" t="s">
        <v>3470</v>
      </c>
      <c r="S280" s="69" t="s">
        <v>3471</v>
      </c>
      <c r="T280" s="70" t="s">
        <v>3472</v>
      </c>
      <c r="U280" s="452"/>
      <c r="V280" s="453" t="str">
        <f>IF(VLOOKUP($A280,'GeneratingCapabilityList sorted'!$E$9:$O$801,8,FALSE)&lt;&gt;"",VLOOKUP($A280,'GeneratingCapabilityList sorted'!$E$9:$O$801,8,FALSE),"NoneListed")</f>
        <v>NATURAL GAS</v>
      </c>
      <c r="W280" s="454">
        <f>IF($AB280,$AB280,IF($AA280,$AA280,Scenarios!$B$43))</f>
        <v>39295</v>
      </c>
      <c r="X280" s="454"/>
      <c r="Y280" s="454"/>
      <c r="Z280" s="454"/>
      <c r="AA280" s="454">
        <f>IFERROR(VLOOKUP($A280,'GeneratingCapabilityList sorted'!$E$9:$O$801,11,FALSE),Scenarios!$B$43)</f>
        <v>39295</v>
      </c>
      <c r="AB280" s="453"/>
      <c r="AC280" s="453"/>
    </row>
    <row r="281" spans="1:29" x14ac:dyDescent="0.25">
      <c r="A281" s="65" t="s">
        <v>1669</v>
      </c>
      <c r="B281" s="65" t="s">
        <v>1670</v>
      </c>
      <c r="C281" s="66" t="s">
        <v>3477</v>
      </c>
      <c r="D281" s="66" t="s">
        <v>3387</v>
      </c>
      <c r="E281" s="67">
        <v>0</v>
      </c>
      <c r="F281" s="68">
        <v>25.83</v>
      </c>
      <c r="G281" s="68">
        <v>25.38</v>
      </c>
      <c r="H281" s="68">
        <v>24.93</v>
      </c>
      <c r="I281" s="68">
        <v>26.33</v>
      </c>
      <c r="J281" s="68">
        <v>25.02</v>
      </c>
      <c r="K281" s="68">
        <v>27.44</v>
      </c>
      <c r="L281" s="68">
        <v>28.81</v>
      </c>
      <c r="M281" s="68">
        <v>28.38</v>
      </c>
      <c r="N281" s="68">
        <v>27.02</v>
      </c>
      <c r="O281" s="68">
        <v>25.34</v>
      </c>
      <c r="P281" s="68">
        <v>25.02</v>
      </c>
      <c r="Q281" s="68">
        <v>24.26</v>
      </c>
      <c r="R281" s="69" t="s">
        <v>3470</v>
      </c>
      <c r="S281" s="69" t="s">
        <v>3489</v>
      </c>
      <c r="T281" s="70" t="s">
        <v>3497</v>
      </c>
      <c r="U281" s="452"/>
      <c r="V281" s="453" t="str">
        <f>IF(VLOOKUP($A281,'GeneratingCapabilityList sorted'!$E$9:$O$801,8,FALSE)&lt;&gt;"",VLOOKUP($A281,'GeneratingCapabilityList sorted'!$E$9:$O$801,8,FALSE),"NoneListed")</f>
        <v>LANDFILL GAS</v>
      </c>
      <c r="W281" s="454">
        <f>IF($AB281,$AB281,IF($AA281,$AA281,Scenarios!$B$43))</f>
        <v>32143</v>
      </c>
      <c r="X281" s="454"/>
      <c r="Y281" s="454"/>
      <c r="Z281" s="454"/>
      <c r="AA281" s="454">
        <f>IFERROR(VLOOKUP($A281,'GeneratingCapabilityList sorted'!$E$9:$O$801,11,FALSE),Scenarios!$B$43)</f>
        <v>32143</v>
      </c>
      <c r="AB281" s="453"/>
      <c r="AC281" s="453"/>
    </row>
    <row r="282" spans="1:29" x14ac:dyDescent="0.25">
      <c r="A282" s="65" t="s">
        <v>1285</v>
      </c>
      <c r="B282" s="65" t="s">
        <v>3697</v>
      </c>
      <c r="C282" s="66" t="s">
        <v>3468</v>
      </c>
      <c r="D282" s="66" t="s">
        <v>3469</v>
      </c>
      <c r="E282" s="67">
        <v>0</v>
      </c>
      <c r="F282" s="68">
        <v>0.79</v>
      </c>
      <c r="G282" s="68">
        <v>0.85</v>
      </c>
      <c r="H282" s="68">
        <v>0.82</v>
      </c>
      <c r="I282" s="68">
        <v>0.79</v>
      </c>
      <c r="J282" s="68">
        <v>0.76</v>
      </c>
      <c r="K282" s="68">
        <v>0.94</v>
      </c>
      <c r="L282" s="68">
        <v>0.95</v>
      </c>
      <c r="M282" s="68">
        <v>0.92</v>
      </c>
      <c r="N282" s="68">
        <v>0.85</v>
      </c>
      <c r="O282" s="68">
        <v>0.77</v>
      </c>
      <c r="P282" s="68">
        <v>0.75</v>
      </c>
      <c r="Q282" s="68">
        <v>0.73</v>
      </c>
      <c r="R282" s="69" t="s">
        <v>3470</v>
      </c>
      <c r="S282" s="69" t="s">
        <v>3489</v>
      </c>
      <c r="T282" s="70" t="s">
        <v>3497</v>
      </c>
      <c r="U282" s="452"/>
      <c r="V282" s="453" t="str">
        <f>IF(VLOOKUP($A282,'GeneratingCapabilityList sorted'!$E$9:$O$801,8,FALSE)&lt;&gt;"",VLOOKUP($A282,'GeneratingCapabilityList sorted'!$E$9:$O$801,8,FALSE),"NoneListed")</f>
        <v>LANDFILL GAS</v>
      </c>
      <c r="W282" s="454">
        <f>IF($AB282,$AB282,IF($AA282,$AA282,Scenarios!$B$43))</f>
        <v>31408</v>
      </c>
      <c r="X282" s="454"/>
      <c r="Y282" s="454"/>
      <c r="Z282" s="454"/>
      <c r="AA282" s="454">
        <f>IFERROR(VLOOKUP($A282,'GeneratingCapabilityList sorted'!$E$9:$O$801,11,FALSE),Scenarios!$B$43)</f>
        <v>31408</v>
      </c>
      <c r="AB282" s="453"/>
      <c r="AC282" s="453"/>
    </row>
    <row r="283" spans="1:29" x14ac:dyDescent="0.25">
      <c r="A283" s="65" t="s">
        <v>199</v>
      </c>
      <c r="B283" s="65" t="s">
        <v>3698</v>
      </c>
      <c r="C283" s="66" t="s">
        <v>3468</v>
      </c>
      <c r="D283" s="66" t="s">
        <v>3488</v>
      </c>
      <c r="E283" s="67">
        <v>0</v>
      </c>
      <c r="F283" s="68">
        <v>0.73</v>
      </c>
      <c r="G283" s="68">
        <v>0.95</v>
      </c>
      <c r="H283" s="68">
        <v>1.01</v>
      </c>
      <c r="I283" s="68">
        <v>2.1</v>
      </c>
      <c r="J283" s="68">
        <v>1.06</v>
      </c>
      <c r="K283" s="68">
        <v>1.08</v>
      </c>
      <c r="L283" s="68">
        <v>4.9000000000000004</v>
      </c>
      <c r="M283" s="68">
        <v>4.9000000000000004</v>
      </c>
      <c r="N283" s="68">
        <v>0.54</v>
      </c>
      <c r="O283" s="68">
        <v>0.67</v>
      </c>
      <c r="P283" s="68">
        <v>0.73</v>
      </c>
      <c r="Q283" s="68">
        <v>0.7</v>
      </c>
      <c r="R283" s="69" t="s">
        <v>3470</v>
      </c>
      <c r="S283" s="69" t="s">
        <v>3489</v>
      </c>
      <c r="T283" s="70" t="s">
        <v>3484</v>
      </c>
      <c r="U283" s="452"/>
      <c r="V283" s="453" t="str">
        <f>IF(VLOOKUP($A283,'GeneratingCapabilityList sorted'!$E$9:$O$801,8,FALSE)&lt;&gt;"",VLOOKUP($A283,'GeneratingCapabilityList sorted'!$E$9:$O$801,8,FALSE),"NoneListed")</f>
        <v>WATER</v>
      </c>
      <c r="W283" s="454">
        <f>IF($AB283,$AB283,IF($AA283,$AA283,Scenarios!$B$43))</f>
        <v>7672</v>
      </c>
      <c r="X283" s="454"/>
      <c r="Y283" s="454"/>
      <c r="Z283" s="454"/>
      <c r="AA283" s="454">
        <f>IFERROR(VLOOKUP($A283,'GeneratingCapabilityList sorted'!$E$9:$O$801,11,FALSE),Scenarios!$B$43)</f>
        <v>7672</v>
      </c>
      <c r="AB283" s="453"/>
      <c r="AC283" s="453"/>
    </row>
    <row r="284" spans="1:29" x14ac:dyDescent="0.25">
      <c r="A284" s="65" t="s">
        <v>3211</v>
      </c>
      <c r="B284" s="65" t="s">
        <v>3699</v>
      </c>
      <c r="C284" s="66" t="s">
        <v>3477</v>
      </c>
      <c r="D284" s="66" t="s">
        <v>3387</v>
      </c>
      <c r="E284" s="67">
        <v>225.75</v>
      </c>
      <c r="F284" s="68">
        <v>0</v>
      </c>
      <c r="G284" s="68">
        <v>0</v>
      </c>
      <c r="H284" s="68">
        <v>0</v>
      </c>
      <c r="I284" s="68">
        <v>0</v>
      </c>
      <c r="J284" s="68">
        <v>0</v>
      </c>
      <c r="K284" s="68">
        <v>0</v>
      </c>
      <c r="L284" s="68">
        <v>0</v>
      </c>
      <c r="M284" s="68">
        <v>0</v>
      </c>
      <c r="N284" s="68">
        <v>0</v>
      </c>
      <c r="O284" s="68">
        <v>0</v>
      </c>
      <c r="P284" s="68">
        <v>0</v>
      </c>
      <c r="Q284" s="68">
        <v>0</v>
      </c>
      <c r="R284" s="69" t="s">
        <v>3470</v>
      </c>
      <c r="S284" s="69" t="s">
        <v>3471</v>
      </c>
      <c r="T284" s="70" t="s">
        <v>3472</v>
      </c>
      <c r="U284" s="452" t="s">
        <v>29</v>
      </c>
      <c r="V284" s="453" t="str">
        <f>IF(VLOOKUP($A284,'GeneratingCapabilityList sorted'!$E$9:$O$801,8,FALSE)&lt;&gt;"",VLOOKUP($A284,'GeneratingCapabilityList sorted'!$E$9:$O$801,8,FALSE),"NoneListed")</f>
        <v>NATURAL GAS</v>
      </c>
      <c r="W284" s="454">
        <f>IF($AB284,$AB284,IF($AA284,$AA284,Scenarios!$B$43))</f>
        <v>21186</v>
      </c>
      <c r="X284" s="454">
        <f>OTC!G23</f>
        <v>44196</v>
      </c>
      <c r="Y284" s="454">
        <f>OTC!H23</f>
        <v>44196</v>
      </c>
      <c r="Z284" s="454"/>
      <c r="AA284" s="454">
        <f>IFERROR(VLOOKUP($A284,'GeneratingCapabilityList sorted'!$E$9:$O$801,11,FALSE),Scenarios!$B$43)</f>
        <v>0</v>
      </c>
      <c r="AB284" s="454">
        <v>21186</v>
      </c>
      <c r="AC284" s="453" t="s">
        <v>4698</v>
      </c>
    </row>
    <row r="285" spans="1:29" x14ac:dyDescent="0.25">
      <c r="A285" s="65" t="s">
        <v>3213</v>
      </c>
      <c r="B285" s="65" t="s">
        <v>3700</v>
      </c>
      <c r="C285" s="66" t="s">
        <v>3477</v>
      </c>
      <c r="D285" s="66" t="s">
        <v>3387</v>
      </c>
      <c r="E285" s="67">
        <v>225.8</v>
      </c>
      <c r="F285" s="68">
        <v>0</v>
      </c>
      <c r="G285" s="68">
        <v>0</v>
      </c>
      <c r="H285" s="68">
        <v>0</v>
      </c>
      <c r="I285" s="68">
        <v>0</v>
      </c>
      <c r="J285" s="68">
        <v>0</v>
      </c>
      <c r="K285" s="68">
        <v>0</v>
      </c>
      <c r="L285" s="68">
        <v>0</v>
      </c>
      <c r="M285" s="68">
        <v>0</v>
      </c>
      <c r="N285" s="68">
        <v>0</v>
      </c>
      <c r="O285" s="68">
        <v>0</v>
      </c>
      <c r="P285" s="68">
        <v>0</v>
      </c>
      <c r="Q285" s="68">
        <v>0</v>
      </c>
      <c r="R285" s="69" t="s">
        <v>3470</v>
      </c>
      <c r="S285" s="69" t="s">
        <v>3471</v>
      </c>
      <c r="T285" s="70" t="s">
        <v>3472</v>
      </c>
      <c r="U285" s="452" t="s">
        <v>29</v>
      </c>
      <c r="V285" s="453" t="str">
        <f>IF(VLOOKUP($A285,'GeneratingCapabilityList sorted'!$E$9:$O$801,8,FALSE)&lt;&gt;"",VLOOKUP($A285,'GeneratingCapabilityList sorted'!$E$9:$O$801,8,FALSE),"NoneListed")</f>
        <v>NATURAL GAS</v>
      </c>
      <c r="W285" s="454">
        <f>IF($AB285,$AB285,IF($AA285,$AA285,Scenarios!$B$43))</f>
        <v>21186</v>
      </c>
      <c r="X285" s="454">
        <f>OTC!G24</f>
        <v>44196</v>
      </c>
      <c r="Y285" s="454">
        <f>OTC!H24</f>
        <v>44196</v>
      </c>
      <c r="Z285" s="454"/>
      <c r="AA285" s="454">
        <f>IFERROR(VLOOKUP($A285,'GeneratingCapabilityList sorted'!$E$9:$O$801,11,FALSE),Scenarios!$B$43)</f>
        <v>0</v>
      </c>
      <c r="AB285" s="454">
        <v>21186</v>
      </c>
      <c r="AC285" s="453" t="s">
        <v>4698</v>
      </c>
    </row>
    <row r="286" spans="1:29" x14ac:dyDescent="0.25">
      <c r="A286" s="65" t="s">
        <v>2589</v>
      </c>
      <c r="B286" s="65" t="s">
        <v>3701</v>
      </c>
      <c r="C286" s="66" t="s">
        <v>3477</v>
      </c>
      <c r="D286" s="66" t="s">
        <v>3387</v>
      </c>
      <c r="E286" s="67">
        <v>225</v>
      </c>
      <c r="F286" s="68">
        <v>0</v>
      </c>
      <c r="G286" s="68">
        <v>0</v>
      </c>
      <c r="H286" s="68">
        <v>0</v>
      </c>
      <c r="I286" s="68">
        <v>0</v>
      </c>
      <c r="J286" s="68">
        <v>0</v>
      </c>
      <c r="K286" s="68">
        <v>0</v>
      </c>
      <c r="L286" s="68">
        <v>0</v>
      </c>
      <c r="M286" s="68">
        <v>0</v>
      </c>
      <c r="N286" s="68">
        <v>0</v>
      </c>
      <c r="O286" s="68">
        <v>0</v>
      </c>
      <c r="P286" s="68">
        <v>0</v>
      </c>
      <c r="Q286" s="68">
        <v>0</v>
      </c>
      <c r="R286" s="69" t="s">
        <v>3470</v>
      </c>
      <c r="S286" s="69" t="s">
        <v>3471</v>
      </c>
      <c r="T286" s="70" t="s">
        <v>3472</v>
      </c>
      <c r="U286" s="452" t="s">
        <v>29</v>
      </c>
      <c r="V286" s="453" t="str">
        <f>IF(VLOOKUP($A286,'GeneratingCapabilityList sorted'!$E$9:$O$801,8,FALSE)&lt;&gt;"",VLOOKUP($A286,'GeneratingCapabilityList sorted'!$E$9:$O$801,8,FALSE),"NoneListed")</f>
        <v>NATURAL GAS</v>
      </c>
      <c r="W286" s="454">
        <f>IF($AB286,$AB286,IF($AA286,$AA286,Scenarios!$B$43))</f>
        <v>37468</v>
      </c>
      <c r="X286" s="454">
        <f>OTC!G25</f>
        <v>41274</v>
      </c>
      <c r="Y286" s="454">
        <f>OTC!H25</f>
        <v>41274</v>
      </c>
      <c r="Z286" s="454"/>
      <c r="AA286" s="454">
        <f>IFERROR(VLOOKUP($A286,'GeneratingCapabilityList sorted'!$E$9:$O$801,11,FALSE),Scenarios!$B$43)</f>
        <v>37468</v>
      </c>
      <c r="AB286" s="453"/>
      <c r="AC286" s="453"/>
    </row>
    <row r="287" spans="1:29" x14ac:dyDescent="0.25">
      <c r="A287" s="65" t="s">
        <v>2703</v>
      </c>
      <c r="B287" s="65" t="s">
        <v>3702</v>
      </c>
      <c r="C287" s="66" t="s">
        <v>3477</v>
      </c>
      <c r="D287" s="66" t="s">
        <v>3387</v>
      </c>
      <c r="E287" s="67">
        <v>227</v>
      </c>
      <c r="F287" s="68">
        <v>0</v>
      </c>
      <c r="G287" s="68">
        <v>0</v>
      </c>
      <c r="H287" s="68">
        <v>0</v>
      </c>
      <c r="I287" s="68">
        <v>0</v>
      </c>
      <c r="J287" s="68">
        <v>0</v>
      </c>
      <c r="K287" s="68">
        <v>0</v>
      </c>
      <c r="L287" s="68">
        <v>0</v>
      </c>
      <c r="M287" s="68">
        <v>0</v>
      </c>
      <c r="N287" s="68">
        <v>0</v>
      </c>
      <c r="O287" s="68">
        <v>0</v>
      </c>
      <c r="P287" s="68">
        <v>0</v>
      </c>
      <c r="Q287" s="68">
        <v>0</v>
      </c>
      <c r="R287" s="69" t="s">
        <v>3470</v>
      </c>
      <c r="S287" s="69" t="s">
        <v>3471</v>
      </c>
      <c r="T287" s="70" t="s">
        <v>3472</v>
      </c>
      <c r="U287" s="452" t="s">
        <v>29</v>
      </c>
      <c r="V287" s="453" t="str">
        <f>IF(VLOOKUP($A287,'GeneratingCapabilityList sorted'!$E$9:$O$801,8,FALSE)&lt;&gt;"",VLOOKUP($A287,'GeneratingCapabilityList sorted'!$E$9:$O$801,8,FALSE),"NoneListed")</f>
        <v>NATURAL GAS</v>
      </c>
      <c r="W287" s="454">
        <f>IF($AB287,$AB287,IF($AA287,$AA287,Scenarios!$B$43))</f>
        <v>37840</v>
      </c>
      <c r="X287" s="454">
        <f>OTC!G26</f>
        <v>41274</v>
      </c>
      <c r="Y287" s="454">
        <f>OTC!H26</f>
        <v>41274</v>
      </c>
      <c r="Z287" s="454"/>
      <c r="AA287" s="454">
        <f>IFERROR(VLOOKUP($A287,'GeneratingCapabilityList sorted'!$E$9:$O$801,11,FALSE),Scenarios!$B$43)</f>
        <v>37840</v>
      </c>
      <c r="AB287" s="453"/>
      <c r="AC287" s="453"/>
    </row>
    <row r="288" spans="1:29" x14ac:dyDescent="0.25">
      <c r="A288" s="65" t="s">
        <v>1088</v>
      </c>
      <c r="B288" s="65" t="s">
        <v>3703</v>
      </c>
      <c r="C288" s="66" t="s">
        <v>3477</v>
      </c>
      <c r="D288" s="66" t="s">
        <v>3488</v>
      </c>
      <c r="E288" s="67">
        <v>0</v>
      </c>
      <c r="F288" s="68">
        <v>24.47</v>
      </c>
      <c r="G288" s="68">
        <v>25.9</v>
      </c>
      <c r="H288" s="68">
        <v>24.37</v>
      </c>
      <c r="I288" s="68">
        <v>23.6</v>
      </c>
      <c r="J288" s="68">
        <v>22.99</v>
      </c>
      <c r="K288" s="68">
        <v>21.85</v>
      </c>
      <c r="L288" s="68">
        <v>18.43</v>
      </c>
      <c r="M288" s="68">
        <v>19.28</v>
      </c>
      <c r="N288" s="68">
        <v>19.329999999999998</v>
      </c>
      <c r="O288" s="68">
        <v>13.68</v>
      </c>
      <c r="P288" s="68">
        <v>17.18</v>
      </c>
      <c r="Q288" s="68">
        <v>25.46</v>
      </c>
      <c r="R288" s="69" t="s">
        <v>3470</v>
      </c>
      <c r="S288" s="69" t="s">
        <v>3489</v>
      </c>
      <c r="T288" s="70" t="s">
        <v>3497</v>
      </c>
      <c r="U288" s="452"/>
      <c r="V288" s="453" t="str">
        <f>IF(VLOOKUP($A288,'GeneratingCapabilityList sorted'!$E$9:$O$801,8,FALSE)&lt;&gt;"",VLOOKUP($A288,'GeneratingCapabilityList sorted'!$E$9:$O$801,8,FALSE),"NoneListed")</f>
        <v>NATURAL GAS</v>
      </c>
      <c r="W288" s="454">
        <f>IF($AB288,$AB288,IF($AA288,$AA288,Scenarios!$B$43))</f>
        <v>30834</v>
      </c>
      <c r="X288" s="454"/>
      <c r="Y288" s="454"/>
      <c r="Z288" s="454"/>
      <c r="AA288" s="454">
        <f>IFERROR(VLOOKUP($A288,'GeneratingCapabilityList sorted'!$E$9:$O$801,11,FALSE),Scenarios!$B$43)</f>
        <v>30834</v>
      </c>
      <c r="AB288" s="453"/>
      <c r="AC288" s="453"/>
    </row>
    <row r="289" spans="1:29" x14ac:dyDescent="0.25">
      <c r="A289" s="65" t="s">
        <v>2054</v>
      </c>
      <c r="B289" s="65" t="s">
        <v>3704</v>
      </c>
      <c r="C289" s="66" t="s">
        <v>3477</v>
      </c>
      <c r="D289" s="66" t="s">
        <v>3488</v>
      </c>
      <c r="E289" s="67">
        <v>0</v>
      </c>
      <c r="F289" s="68">
        <v>47.22</v>
      </c>
      <c r="G289" s="68">
        <v>47.84</v>
      </c>
      <c r="H289" s="68">
        <v>47.77</v>
      </c>
      <c r="I289" s="68">
        <v>33.29</v>
      </c>
      <c r="J289" s="68">
        <v>40.86</v>
      </c>
      <c r="K289" s="68">
        <v>51.44</v>
      </c>
      <c r="L289" s="68">
        <v>50.39</v>
      </c>
      <c r="M289" s="68">
        <v>48.78</v>
      </c>
      <c r="N289" s="68">
        <v>50.79</v>
      </c>
      <c r="O289" s="68">
        <v>45.83</v>
      </c>
      <c r="P289" s="68">
        <v>34.549999999999997</v>
      </c>
      <c r="Q289" s="68">
        <v>34.72</v>
      </c>
      <c r="R289" s="69" t="s">
        <v>3470</v>
      </c>
      <c r="S289" s="69" t="s">
        <v>3489</v>
      </c>
      <c r="T289" s="70" t="s">
        <v>3497</v>
      </c>
      <c r="U289" s="452"/>
      <c r="V289" s="453" t="str">
        <f>IF(VLOOKUP($A289,'GeneratingCapabilityList sorted'!$E$9:$O$801,8,FALSE)&lt;&gt;"",VLOOKUP($A289,'GeneratingCapabilityList sorted'!$E$9:$O$801,8,FALSE),"NoneListed")</f>
        <v>NATURAL GAS</v>
      </c>
      <c r="W289" s="454">
        <f>IF($AB289,$AB289,IF($AA289,$AA289,Scenarios!$B$43))</f>
        <v>33037</v>
      </c>
      <c r="X289" s="454"/>
      <c r="Y289" s="454"/>
      <c r="Z289" s="454"/>
      <c r="AA289" s="454">
        <f>IFERROR(VLOOKUP($A289,'GeneratingCapabilityList sorted'!$E$9:$O$801,11,FALSE),Scenarios!$B$43)</f>
        <v>33037</v>
      </c>
      <c r="AB289" s="453"/>
      <c r="AC289" s="453"/>
    </row>
    <row r="290" spans="1:29" x14ac:dyDescent="0.25">
      <c r="A290" s="65" t="s">
        <v>3001</v>
      </c>
      <c r="B290" s="65" t="s">
        <v>3002</v>
      </c>
      <c r="C290" s="66" t="s">
        <v>3468</v>
      </c>
      <c r="D290" s="66" t="s">
        <v>3520</v>
      </c>
      <c r="E290" s="67">
        <v>65.08</v>
      </c>
      <c r="F290" s="68"/>
      <c r="G290" s="68"/>
      <c r="H290" s="68"/>
      <c r="I290" s="68"/>
      <c r="J290" s="68"/>
      <c r="K290" s="68"/>
      <c r="L290" s="68"/>
      <c r="M290" s="68"/>
      <c r="N290" s="68"/>
      <c r="O290" s="68"/>
      <c r="P290" s="68"/>
      <c r="Q290" s="68"/>
      <c r="R290" s="69" t="s">
        <v>3470</v>
      </c>
      <c r="S290" s="69" t="s">
        <v>3489</v>
      </c>
      <c r="T290" s="70" t="s">
        <v>3472</v>
      </c>
      <c r="U290" s="452"/>
      <c r="V290" s="453" t="str">
        <f>IF(VLOOKUP($A290,'GeneratingCapabilityList sorted'!$E$9:$O$801,8,FALSE)&lt;&gt;"",VLOOKUP($A290,'GeneratingCapabilityList sorted'!$E$9:$O$801,8,FALSE),"NoneListed")</f>
        <v>NATURAL GAS</v>
      </c>
      <c r="W290" s="454">
        <f>IF($AB290,$AB290,IF($AA290,$AA290,Scenarios!$B$43))</f>
        <v>40450</v>
      </c>
      <c r="X290" s="454"/>
      <c r="Y290" s="454"/>
      <c r="Z290" s="454"/>
      <c r="AA290" s="454">
        <f>IFERROR(VLOOKUP($A290,'GeneratingCapabilityList sorted'!$E$9:$O$801,11,FALSE),Scenarios!$B$43)</f>
        <v>40450</v>
      </c>
      <c r="AB290" s="453"/>
      <c r="AC290" s="453"/>
    </row>
    <row r="291" spans="1:29" x14ac:dyDescent="0.25">
      <c r="A291" s="65" t="s">
        <v>2997</v>
      </c>
      <c r="B291" s="65" t="s">
        <v>2998</v>
      </c>
      <c r="C291" s="66" t="s">
        <v>3468</v>
      </c>
      <c r="D291" s="66" t="s">
        <v>3520</v>
      </c>
      <c r="E291" s="67">
        <v>48.81</v>
      </c>
      <c r="F291" s="68"/>
      <c r="G291" s="68"/>
      <c r="H291" s="68"/>
      <c r="I291" s="68"/>
      <c r="J291" s="68"/>
      <c r="K291" s="68"/>
      <c r="L291" s="68"/>
      <c r="M291" s="68"/>
      <c r="N291" s="68"/>
      <c r="O291" s="68"/>
      <c r="P291" s="68"/>
      <c r="Q291" s="68"/>
      <c r="R291" s="69" t="s">
        <v>3470</v>
      </c>
      <c r="S291" s="69" t="s">
        <v>3489</v>
      </c>
      <c r="T291" s="70" t="s">
        <v>3472</v>
      </c>
      <c r="U291" s="452"/>
      <c r="V291" s="453" t="str">
        <f>IF(VLOOKUP($A291,'GeneratingCapabilityList sorted'!$E$9:$O$801,8,FALSE)&lt;&gt;"",VLOOKUP($A291,'GeneratingCapabilityList sorted'!$E$9:$O$801,8,FALSE),"NoneListed")</f>
        <v>NATURAL GAS</v>
      </c>
      <c r="W291" s="454">
        <f>IF($AB291,$AB291,IF($AA291,$AA291,Scenarios!$B$43))</f>
        <v>40450</v>
      </c>
      <c r="X291" s="454"/>
      <c r="Y291" s="454"/>
      <c r="Z291" s="454"/>
      <c r="AA291" s="454">
        <f>IFERROR(VLOOKUP($A291,'GeneratingCapabilityList sorted'!$E$9:$O$801,11,FALSE),Scenarios!$B$43)</f>
        <v>40450</v>
      </c>
      <c r="AB291" s="453"/>
      <c r="AC291" s="453"/>
    </row>
    <row r="292" spans="1:29" x14ac:dyDescent="0.25">
      <c r="A292" s="65" t="s">
        <v>2999</v>
      </c>
      <c r="B292" s="65" t="s">
        <v>3000</v>
      </c>
      <c r="C292" s="66" t="s">
        <v>3468</v>
      </c>
      <c r="D292" s="66" t="s">
        <v>3520</v>
      </c>
      <c r="E292" s="67">
        <v>48.81</v>
      </c>
      <c r="F292" s="68"/>
      <c r="G292" s="68"/>
      <c r="H292" s="68"/>
      <c r="I292" s="68"/>
      <c r="J292" s="68"/>
      <c r="K292" s="68"/>
      <c r="L292" s="68"/>
      <c r="M292" s="68"/>
      <c r="N292" s="68"/>
      <c r="O292" s="68"/>
      <c r="P292" s="68"/>
      <c r="Q292" s="68"/>
      <c r="R292" s="69" t="s">
        <v>3470</v>
      </c>
      <c r="S292" s="69" t="s">
        <v>3489</v>
      </c>
      <c r="T292" s="70" t="s">
        <v>3472</v>
      </c>
      <c r="U292" s="452"/>
      <c r="V292" s="453" t="str">
        <f>IF(VLOOKUP($A292,'GeneratingCapabilityList sorted'!$E$9:$O$801,8,FALSE)&lt;&gt;"",VLOOKUP($A292,'GeneratingCapabilityList sorted'!$E$9:$O$801,8,FALSE),"NoneListed")</f>
        <v>NATURAL GAS</v>
      </c>
      <c r="W292" s="454">
        <f>IF($AB292,$AB292,IF($AA292,$AA292,Scenarios!$B$43))</f>
        <v>40450</v>
      </c>
      <c r="X292" s="454"/>
      <c r="Y292" s="454"/>
      <c r="Z292" s="454"/>
      <c r="AA292" s="454">
        <f>IFERROR(VLOOKUP($A292,'GeneratingCapabilityList sorted'!$E$9:$O$801,11,FALSE),Scenarios!$B$43)</f>
        <v>40450</v>
      </c>
      <c r="AB292" s="453"/>
      <c r="AC292" s="453"/>
    </row>
    <row r="293" spans="1:29" x14ac:dyDescent="0.25">
      <c r="A293" s="65" t="s">
        <v>3273</v>
      </c>
      <c r="B293" s="65" t="s">
        <v>3705</v>
      </c>
      <c r="C293" s="66" t="s">
        <v>3468</v>
      </c>
      <c r="D293" s="66" t="s">
        <v>3520</v>
      </c>
      <c r="E293" s="67">
        <v>0</v>
      </c>
      <c r="F293" s="68">
        <v>0</v>
      </c>
      <c r="G293" s="68">
        <v>0</v>
      </c>
      <c r="H293" s="68">
        <v>0</v>
      </c>
      <c r="I293" s="68">
        <v>0</v>
      </c>
      <c r="J293" s="68">
        <v>0</v>
      </c>
      <c r="K293" s="68">
        <v>0</v>
      </c>
      <c r="L293" s="68">
        <v>0</v>
      </c>
      <c r="M293" s="68">
        <v>0</v>
      </c>
      <c r="N293" s="68">
        <v>0</v>
      </c>
      <c r="O293" s="68">
        <v>0</v>
      </c>
      <c r="P293" s="68">
        <v>0</v>
      </c>
      <c r="Q293" s="68">
        <v>0</v>
      </c>
      <c r="R293" s="69" t="s">
        <v>3470</v>
      </c>
      <c r="S293" s="69" t="s">
        <v>3489</v>
      </c>
      <c r="T293" s="70" t="s">
        <v>3502</v>
      </c>
      <c r="U293" s="452"/>
      <c r="V293" s="453" t="str">
        <f>IF(VLOOKUP($A293,'GeneratingCapabilityList sorted'!$E$9:$O$801,8,FALSE)&lt;&gt;"",VLOOKUP($A293,'GeneratingCapabilityList sorted'!$E$9:$O$801,8,FALSE),"NoneListed")</f>
        <v>WATER</v>
      </c>
      <c r="W293" s="454">
        <f>IF($AB293,$AB293,IF($AA293,$AA293,Scenarios!$B$43))</f>
        <v>30655</v>
      </c>
      <c r="X293" s="454"/>
      <c r="Y293" s="454"/>
      <c r="Z293" s="454"/>
      <c r="AA293" s="454">
        <f>IFERROR(VLOOKUP($A293,'GeneratingCapabilityList sorted'!$E$9:$O$801,11,FALSE),Scenarios!$B$43)</f>
        <v>0</v>
      </c>
      <c r="AB293" s="454">
        <v>30655</v>
      </c>
      <c r="AC293" s="453" t="s">
        <v>4731</v>
      </c>
    </row>
    <row r="294" spans="1:29" x14ac:dyDescent="0.25">
      <c r="A294" s="72" t="s">
        <v>602</v>
      </c>
      <c r="B294" s="72" t="s">
        <v>3706</v>
      </c>
      <c r="C294" s="73" t="s">
        <v>3468</v>
      </c>
      <c r="D294" s="73" t="s">
        <v>3488</v>
      </c>
      <c r="E294" s="74">
        <v>0</v>
      </c>
      <c r="F294" s="75">
        <v>567.79999999999995</v>
      </c>
      <c r="G294" s="75">
        <v>487</v>
      </c>
      <c r="H294" s="75">
        <v>761</v>
      </c>
      <c r="I294" s="75">
        <v>776</v>
      </c>
      <c r="J294" s="75">
        <v>761</v>
      </c>
      <c r="K294" s="75">
        <v>922</v>
      </c>
      <c r="L294" s="75">
        <v>922</v>
      </c>
      <c r="M294" s="75">
        <v>888</v>
      </c>
      <c r="N294" s="75">
        <v>844</v>
      </c>
      <c r="O294" s="75">
        <v>712</v>
      </c>
      <c r="P294" s="75">
        <v>628</v>
      </c>
      <c r="Q294" s="75">
        <v>653.83333333333337</v>
      </c>
      <c r="R294" s="69" t="s">
        <v>3470</v>
      </c>
      <c r="S294" s="76" t="s">
        <v>560</v>
      </c>
      <c r="T294" s="70" t="s">
        <v>3484</v>
      </c>
      <c r="U294" s="452"/>
      <c r="V294" s="453" t="str">
        <f>IF(VLOOKUP($A294,'GeneratingCapabilityList sorted'!$E$9:$O$801,8,FALSE)&lt;&gt;"",VLOOKUP($A294,'GeneratingCapabilityList sorted'!$E$9:$O$801,8,FALSE),"NoneListed")</f>
        <v>WATER</v>
      </c>
      <c r="W294" s="454">
        <f>IF($AB294,$AB294,IF($AA294,$AA294,Scenarios!$B$43))</f>
        <v>24838</v>
      </c>
      <c r="X294" s="454"/>
      <c r="Y294" s="454"/>
      <c r="Z294" s="454"/>
      <c r="AA294" s="454">
        <f>IFERROR(VLOOKUP($A294,'GeneratingCapabilityList sorted'!$E$9:$O$801,11,FALSE),Scenarios!$B$43)</f>
        <v>24838</v>
      </c>
      <c r="AB294" s="453"/>
      <c r="AC294" s="453"/>
    </row>
    <row r="295" spans="1:29" x14ac:dyDescent="0.25">
      <c r="A295" s="65" t="s">
        <v>1195</v>
      </c>
      <c r="B295" s="65" t="s">
        <v>3707</v>
      </c>
      <c r="C295" s="66" t="s">
        <v>3468</v>
      </c>
      <c r="D295" s="66" t="s">
        <v>3469</v>
      </c>
      <c r="E295" s="67">
        <v>0</v>
      </c>
      <c r="F295" s="68">
        <v>0</v>
      </c>
      <c r="G295" s="68">
        <v>0.01</v>
      </c>
      <c r="H295" s="68">
        <v>0.02</v>
      </c>
      <c r="I295" s="68">
        <v>0.02</v>
      </c>
      <c r="J295" s="68">
        <v>0</v>
      </c>
      <c r="K295" s="68">
        <v>0.01</v>
      </c>
      <c r="L295" s="68">
        <v>0</v>
      </c>
      <c r="M295" s="68">
        <v>0</v>
      </c>
      <c r="N295" s="68">
        <v>0</v>
      </c>
      <c r="O295" s="68">
        <v>0.01</v>
      </c>
      <c r="P295" s="68">
        <v>0.01</v>
      </c>
      <c r="Q295" s="68">
        <v>0</v>
      </c>
      <c r="R295" s="69" t="s">
        <v>3470</v>
      </c>
      <c r="S295" s="69" t="s">
        <v>3489</v>
      </c>
      <c r="T295" s="70" t="s">
        <v>3497</v>
      </c>
      <c r="U295" s="452"/>
      <c r="V295" s="453" t="str">
        <f>IF(VLOOKUP($A295,'GeneratingCapabilityList sorted'!$E$9:$O$801,8,FALSE)&lt;&gt;"",VLOOKUP($A295,'GeneratingCapabilityList sorted'!$E$9:$O$801,8,FALSE),"NoneListed")</f>
        <v>WIND</v>
      </c>
      <c r="W295" s="454">
        <f>IF($AB295,$AB295,IF($AA295,$AA295,Scenarios!$B$43))</f>
        <v>31048</v>
      </c>
      <c r="X295" s="454"/>
      <c r="Y295" s="454"/>
      <c r="Z295" s="454"/>
      <c r="AA295" s="454">
        <f>IFERROR(VLOOKUP($A295,'GeneratingCapabilityList sorted'!$E$9:$O$801,11,FALSE),Scenarios!$B$43)</f>
        <v>31048</v>
      </c>
      <c r="AB295" s="453"/>
      <c r="AC295" s="453"/>
    </row>
    <row r="296" spans="1:29" x14ac:dyDescent="0.25">
      <c r="A296" s="65" t="s">
        <v>2503</v>
      </c>
      <c r="B296" s="65" t="s">
        <v>3708</v>
      </c>
      <c r="C296" s="66" t="s">
        <v>3477</v>
      </c>
      <c r="D296" s="66" t="s">
        <v>3387</v>
      </c>
      <c r="E296" s="67">
        <v>42</v>
      </c>
      <c r="F296" s="68">
        <v>0</v>
      </c>
      <c r="G296" s="68">
        <v>0</v>
      </c>
      <c r="H296" s="68">
        <v>0</v>
      </c>
      <c r="I296" s="68">
        <v>0</v>
      </c>
      <c r="J296" s="68">
        <v>0</v>
      </c>
      <c r="K296" s="68">
        <v>0</v>
      </c>
      <c r="L296" s="68">
        <v>0</v>
      </c>
      <c r="M296" s="68">
        <v>0</v>
      </c>
      <c r="N296" s="68">
        <v>0</v>
      </c>
      <c r="O296" s="68">
        <v>0</v>
      </c>
      <c r="P296" s="68">
        <v>0</v>
      </c>
      <c r="Q296" s="68">
        <v>0</v>
      </c>
      <c r="R296" s="69" t="s">
        <v>3470</v>
      </c>
      <c r="S296" s="69" t="s">
        <v>3471</v>
      </c>
      <c r="T296" s="70" t="s">
        <v>3472</v>
      </c>
      <c r="U296" s="452"/>
      <c r="V296" s="453" t="str">
        <f>IF(VLOOKUP($A296,'GeneratingCapabilityList sorted'!$E$9:$O$801,8,FALSE)&lt;&gt;"",VLOOKUP($A296,'GeneratingCapabilityList sorted'!$E$9:$O$801,8,FALSE),"NoneListed")</f>
        <v>NATURAL GAS</v>
      </c>
      <c r="W296" s="454">
        <f>IF($AB296,$AB296,IF($AA296,$AA296,Scenarios!$B$43))</f>
        <v>37153</v>
      </c>
      <c r="X296" s="454"/>
      <c r="Y296" s="454"/>
      <c r="Z296" s="454"/>
      <c r="AA296" s="454">
        <f>IFERROR(VLOOKUP($A296,'GeneratingCapabilityList sorted'!$E$9:$O$801,11,FALSE),Scenarios!$B$43)</f>
        <v>37153</v>
      </c>
      <c r="AB296" s="453"/>
      <c r="AC296" s="453"/>
    </row>
    <row r="297" spans="1:29" x14ac:dyDescent="0.25">
      <c r="A297" s="65" t="s">
        <v>2505</v>
      </c>
      <c r="B297" s="65" t="s">
        <v>3709</v>
      </c>
      <c r="C297" s="66" t="s">
        <v>3477</v>
      </c>
      <c r="D297" s="66" t="s">
        <v>3387</v>
      </c>
      <c r="E297" s="67">
        <v>42</v>
      </c>
      <c r="F297" s="68">
        <v>0</v>
      </c>
      <c r="G297" s="68">
        <v>0</v>
      </c>
      <c r="H297" s="68">
        <v>0</v>
      </c>
      <c r="I297" s="68">
        <v>0</v>
      </c>
      <c r="J297" s="68">
        <v>0</v>
      </c>
      <c r="K297" s="68">
        <v>0</v>
      </c>
      <c r="L297" s="68">
        <v>0</v>
      </c>
      <c r="M297" s="68">
        <v>0</v>
      </c>
      <c r="N297" s="68">
        <v>0</v>
      </c>
      <c r="O297" s="68">
        <v>0</v>
      </c>
      <c r="P297" s="68">
        <v>0</v>
      </c>
      <c r="Q297" s="68">
        <v>0</v>
      </c>
      <c r="R297" s="69" t="s">
        <v>3470</v>
      </c>
      <c r="S297" s="69" t="s">
        <v>3471</v>
      </c>
      <c r="T297" s="70" t="s">
        <v>3472</v>
      </c>
      <c r="U297" s="452"/>
      <c r="V297" s="453" t="str">
        <f>IF(VLOOKUP($A297,'GeneratingCapabilityList sorted'!$E$9:$O$801,8,FALSE)&lt;&gt;"",VLOOKUP($A297,'GeneratingCapabilityList sorted'!$E$9:$O$801,8,FALSE),"NoneListed")</f>
        <v>NATURAL GAS</v>
      </c>
      <c r="W297" s="454">
        <f>IF($AB297,$AB297,IF($AA297,$AA297,Scenarios!$B$43))</f>
        <v>37153</v>
      </c>
      <c r="X297" s="454"/>
      <c r="Y297" s="454"/>
      <c r="Z297" s="454"/>
      <c r="AA297" s="454">
        <f>IFERROR(VLOOKUP($A297,'GeneratingCapabilityList sorted'!$E$9:$O$801,11,FALSE),Scenarios!$B$43)</f>
        <v>37153</v>
      </c>
      <c r="AB297" s="453"/>
      <c r="AC297" s="453"/>
    </row>
    <row r="298" spans="1:29" x14ac:dyDescent="0.25">
      <c r="A298" s="65" t="s">
        <v>2507</v>
      </c>
      <c r="B298" s="65" t="s">
        <v>3710</v>
      </c>
      <c r="C298" s="66" t="s">
        <v>3477</v>
      </c>
      <c r="D298" s="66" t="s">
        <v>3387</v>
      </c>
      <c r="E298" s="67">
        <v>42</v>
      </c>
      <c r="F298" s="68">
        <v>0</v>
      </c>
      <c r="G298" s="68">
        <v>0</v>
      </c>
      <c r="H298" s="68">
        <v>0</v>
      </c>
      <c r="I298" s="68">
        <v>0</v>
      </c>
      <c r="J298" s="68">
        <v>0</v>
      </c>
      <c r="K298" s="68">
        <v>0</v>
      </c>
      <c r="L298" s="68">
        <v>0</v>
      </c>
      <c r="M298" s="68">
        <v>0</v>
      </c>
      <c r="N298" s="68">
        <v>0</v>
      </c>
      <c r="O298" s="68">
        <v>0</v>
      </c>
      <c r="P298" s="68">
        <v>0</v>
      </c>
      <c r="Q298" s="68">
        <v>0</v>
      </c>
      <c r="R298" s="69" t="s">
        <v>3470</v>
      </c>
      <c r="S298" s="69" t="s">
        <v>3471</v>
      </c>
      <c r="T298" s="70" t="s">
        <v>3472</v>
      </c>
      <c r="U298" s="452"/>
      <c r="V298" s="453" t="str">
        <f>IF(VLOOKUP($A298,'GeneratingCapabilityList sorted'!$E$9:$O$801,8,FALSE)&lt;&gt;"",VLOOKUP($A298,'GeneratingCapabilityList sorted'!$E$9:$O$801,8,FALSE),"NoneListed")</f>
        <v>NATURAL GAS</v>
      </c>
      <c r="W298" s="454">
        <f>IF($AB298,$AB298,IF($AA298,$AA298,Scenarios!$B$43))</f>
        <v>37153</v>
      </c>
      <c r="X298" s="454"/>
      <c r="Y298" s="454"/>
      <c r="Z298" s="454"/>
      <c r="AA298" s="454">
        <f>IFERROR(VLOOKUP($A298,'GeneratingCapabilityList sorted'!$E$9:$O$801,11,FALSE),Scenarios!$B$43)</f>
        <v>37153</v>
      </c>
      <c r="AB298" s="453"/>
      <c r="AC298" s="453"/>
    </row>
    <row r="299" spans="1:29" x14ac:dyDescent="0.25">
      <c r="A299" s="65" t="s">
        <v>984</v>
      </c>
      <c r="B299" s="65" t="s">
        <v>985</v>
      </c>
      <c r="C299" s="66" t="s">
        <v>3468</v>
      </c>
      <c r="D299" s="66" t="s">
        <v>3469</v>
      </c>
      <c r="E299" s="67">
        <v>0</v>
      </c>
      <c r="F299" s="68">
        <v>0</v>
      </c>
      <c r="G299" s="68">
        <v>0</v>
      </c>
      <c r="H299" s="68">
        <v>0.09</v>
      </c>
      <c r="I299" s="68">
        <v>0.55000000000000004</v>
      </c>
      <c r="J299" s="68">
        <v>0.76</v>
      </c>
      <c r="K299" s="68">
        <v>1.1200000000000001</v>
      </c>
      <c r="L299" s="68">
        <v>0.78</v>
      </c>
      <c r="M299" s="68">
        <v>0.54</v>
      </c>
      <c r="N299" s="68">
        <v>0.18</v>
      </c>
      <c r="O299" s="68">
        <v>0</v>
      </c>
      <c r="P299" s="68">
        <v>0</v>
      </c>
      <c r="Q299" s="68">
        <v>0</v>
      </c>
      <c r="R299" s="69" t="s">
        <v>3470</v>
      </c>
      <c r="S299" s="69" t="s">
        <v>3489</v>
      </c>
      <c r="T299" s="70" t="s">
        <v>3502</v>
      </c>
      <c r="U299" s="452"/>
      <c r="V299" s="453" t="str">
        <f>IF(VLOOKUP($A299,'GeneratingCapabilityList sorted'!$E$9:$O$801,8,FALSE)&lt;&gt;"",VLOOKUP($A299,'GeneratingCapabilityList sorted'!$E$9:$O$801,8,FALSE),"NoneListed")</f>
        <v>WATER</v>
      </c>
      <c r="W299" s="454">
        <f>IF($AB299,$AB299,IF($AA299,$AA299,Scenarios!$B$43))</f>
        <v>30574</v>
      </c>
      <c r="X299" s="454"/>
      <c r="Y299" s="454"/>
      <c r="Z299" s="454"/>
      <c r="AA299" s="454">
        <f>IFERROR(VLOOKUP($A299,'GeneratingCapabilityList sorted'!$E$9:$O$801,11,FALSE),Scenarios!$B$43)</f>
        <v>30574</v>
      </c>
      <c r="AB299" s="453"/>
      <c r="AC299" s="453"/>
    </row>
    <row r="300" spans="1:29" x14ac:dyDescent="0.25">
      <c r="A300" s="65" t="s">
        <v>2942</v>
      </c>
      <c r="B300" s="65" t="s">
        <v>2943</v>
      </c>
      <c r="C300" s="66" t="s">
        <v>3477</v>
      </c>
      <c r="D300" s="66" t="s">
        <v>3387</v>
      </c>
      <c r="E300" s="67">
        <v>0</v>
      </c>
      <c r="F300" s="68">
        <v>365</v>
      </c>
      <c r="G300" s="68">
        <v>365</v>
      </c>
      <c r="H300" s="68">
        <v>365</v>
      </c>
      <c r="I300" s="68">
        <v>360</v>
      </c>
      <c r="J300" s="68">
        <v>350</v>
      </c>
      <c r="K300" s="68">
        <v>340</v>
      </c>
      <c r="L300" s="68">
        <v>335</v>
      </c>
      <c r="M300" s="68">
        <v>335</v>
      </c>
      <c r="N300" s="68">
        <v>340</v>
      </c>
      <c r="O300" s="68">
        <v>350</v>
      </c>
      <c r="P300" s="68">
        <v>360</v>
      </c>
      <c r="Q300" s="68">
        <v>365</v>
      </c>
      <c r="R300" s="69" t="s">
        <v>3470</v>
      </c>
      <c r="S300" s="69" t="s">
        <v>3471</v>
      </c>
      <c r="T300" s="70" t="s">
        <v>3472</v>
      </c>
      <c r="U300" s="452"/>
      <c r="V300" s="453" t="str">
        <f>IF(VLOOKUP($A300,'GeneratingCapabilityList sorted'!$E$9:$O$801,8,FALSE)&lt;&gt;"",VLOOKUP($A300,'GeneratingCapabilityList sorted'!$E$9:$O$801,8,FALSE),"NoneListed")</f>
        <v>NATURAL GAS</v>
      </c>
      <c r="W300" s="454">
        <f>IF($AB300,$AB300,IF($AA300,$AA300,Scenarios!$B$43))</f>
        <v>39993</v>
      </c>
      <c r="X300" s="454"/>
      <c r="Y300" s="454"/>
      <c r="Z300" s="454"/>
      <c r="AA300" s="454">
        <f>IFERROR(VLOOKUP($A300,'GeneratingCapabilityList sorted'!$E$9:$O$801,11,FALSE),Scenarios!$B$43)</f>
        <v>39993</v>
      </c>
      <c r="AB300" s="453"/>
      <c r="AC300" s="453"/>
    </row>
    <row r="301" spans="1:29" x14ac:dyDescent="0.25">
      <c r="A301" s="65" t="s">
        <v>2971</v>
      </c>
      <c r="B301" s="65" t="s">
        <v>3711</v>
      </c>
      <c r="C301" s="66" t="s">
        <v>3477</v>
      </c>
      <c r="D301" s="66" t="s">
        <v>3387</v>
      </c>
      <c r="E301" s="67">
        <v>0</v>
      </c>
      <c r="F301" s="68">
        <v>365</v>
      </c>
      <c r="G301" s="68">
        <v>365</v>
      </c>
      <c r="H301" s="68">
        <v>365</v>
      </c>
      <c r="I301" s="68">
        <v>360</v>
      </c>
      <c r="J301" s="68">
        <v>350</v>
      </c>
      <c r="K301" s="68">
        <v>340</v>
      </c>
      <c r="L301" s="68">
        <v>335</v>
      </c>
      <c r="M301" s="68">
        <v>335</v>
      </c>
      <c r="N301" s="68">
        <v>340</v>
      </c>
      <c r="O301" s="68">
        <v>350</v>
      </c>
      <c r="P301" s="68">
        <v>360</v>
      </c>
      <c r="Q301" s="68">
        <v>365</v>
      </c>
      <c r="R301" s="69" t="s">
        <v>3470</v>
      </c>
      <c r="S301" s="69" t="s">
        <v>3471</v>
      </c>
      <c r="T301" s="70" t="s">
        <v>3472</v>
      </c>
      <c r="U301" s="452"/>
      <c r="V301" s="453" t="str">
        <f>IF(VLOOKUP($A301,'GeneratingCapabilityList sorted'!$E$9:$O$801,8,FALSE)&lt;&gt;"",VLOOKUP($A301,'GeneratingCapabilityList sorted'!$E$9:$O$801,8,FALSE),"NoneListed")</f>
        <v>NATURAL GAS</v>
      </c>
      <c r="W301" s="454">
        <f>IF($AB301,$AB301,IF($AA301,$AA301,Scenarios!$B$43))</f>
        <v>40337</v>
      </c>
      <c r="X301" s="454"/>
      <c r="Y301" s="454"/>
      <c r="Z301" s="454"/>
      <c r="AA301" s="454">
        <f>IFERROR(VLOOKUP($A301,'GeneratingCapabilityList sorted'!$E$9:$O$801,11,FALSE),Scenarios!$B$43)</f>
        <v>40337</v>
      </c>
      <c r="AB301" s="453"/>
      <c r="AC301" s="453"/>
    </row>
    <row r="302" spans="1:29" x14ac:dyDescent="0.25">
      <c r="A302" s="65" t="s">
        <v>759</v>
      </c>
      <c r="B302" s="65" t="s">
        <v>3712</v>
      </c>
      <c r="C302" s="66" t="s">
        <v>3468</v>
      </c>
      <c r="D302" s="66" t="s">
        <v>3488</v>
      </c>
      <c r="E302" s="67">
        <v>0</v>
      </c>
      <c r="F302" s="68">
        <v>4.2699999999999996</v>
      </c>
      <c r="G302" s="68">
        <v>5.2</v>
      </c>
      <c r="H302" s="68">
        <v>6.01</v>
      </c>
      <c r="I302" s="68">
        <v>6.09</v>
      </c>
      <c r="J302" s="68">
        <v>5.83</v>
      </c>
      <c r="K302" s="68">
        <v>5.98</v>
      </c>
      <c r="L302" s="68">
        <v>4.3499999999999996</v>
      </c>
      <c r="M302" s="68">
        <v>3.09</v>
      </c>
      <c r="N302" s="68">
        <v>2.83</v>
      </c>
      <c r="O302" s="68">
        <v>3.21</v>
      </c>
      <c r="P302" s="68">
        <v>3.47</v>
      </c>
      <c r="Q302" s="68">
        <v>3.85</v>
      </c>
      <c r="R302" s="69" t="s">
        <v>3470</v>
      </c>
      <c r="S302" s="69" t="s">
        <v>3489</v>
      </c>
      <c r="T302" s="70" t="s">
        <v>3502</v>
      </c>
      <c r="U302" s="452"/>
      <c r="V302" s="453" t="str">
        <f>IF(VLOOKUP($A302,'GeneratingCapabilityList sorted'!$E$9:$O$801,8,FALSE)&lt;&gt;"",VLOOKUP($A302,'GeneratingCapabilityList sorted'!$E$9:$O$801,8,FALSE),"NoneListed")</f>
        <v>WATER</v>
      </c>
      <c r="W302" s="454">
        <f>IF($AB302,$AB302,IF($AA302,$AA302,Scenarios!$B$43))</f>
        <v>28856</v>
      </c>
      <c r="X302" s="454"/>
      <c r="Y302" s="454"/>
      <c r="Z302" s="454"/>
      <c r="AA302" s="454">
        <f>IFERROR(VLOOKUP($A302,'GeneratingCapabilityList sorted'!$E$9:$O$801,11,FALSE),Scenarios!$B$43)</f>
        <v>28856</v>
      </c>
      <c r="AB302" s="453"/>
      <c r="AC302" s="453"/>
    </row>
    <row r="303" spans="1:29" x14ac:dyDescent="0.25">
      <c r="A303" s="65" t="s">
        <v>1736</v>
      </c>
      <c r="B303" s="65" t="s">
        <v>3713</v>
      </c>
      <c r="C303" s="66" t="s">
        <v>3468</v>
      </c>
      <c r="D303" s="66" t="s">
        <v>3474</v>
      </c>
      <c r="E303" s="67">
        <v>0</v>
      </c>
      <c r="F303" s="68">
        <v>0.08</v>
      </c>
      <c r="G303" s="68">
        <v>0.4</v>
      </c>
      <c r="H303" s="68">
        <v>0.91</v>
      </c>
      <c r="I303" s="68">
        <v>0.82</v>
      </c>
      <c r="J303" s="68">
        <v>3.19</v>
      </c>
      <c r="K303" s="68">
        <v>2.65</v>
      </c>
      <c r="L303" s="68">
        <v>3.16</v>
      </c>
      <c r="M303" s="68">
        <v>2.5</v>
      </c>
      <c r="N303" s="68">
        <v>0.32</v>
      </c>
      <c r="O303" s="68">
        <v>0.38</v>
      </c>
      <c r="P303" s="68">
        <v>0.28000000000000003</v>
      </c>
      <c r="Q303" s="68">
        <v>0.2</v>
      </c>
      <c r="R303" s="69" t="s">
        <v>3470</v>
      </c>
      <c r="S303" s="69" t="s">
        <v>3489</v>
      </c>
      <c r="T303" s="70" t="s">
        <v>3425</v>
      </c>
      <c r="U303" s="452"/>
      <c r="V303" s="453" t="str">
        <f>IF(VLOOKUP($A303,'GeneratingCapabilityList sorted'!$E$9:$O$801,8,FALSE)&lt;&gt;"",VLOOKUP($A303,'GeneratingCapabilityList sorted'!$E$9:$O$801,8,FALSE),"NoneListed")</f>
        <v>WIND</v>
      </c>
      <c r="W303" s="454">
        <f>IF($AB303,$AB303,IF($AA303,$AA303,Scenarios!$B$43))</f>
        <v>32308</v>
      </c>
      <c r="X303" s="454"/>
      <c r="Y303" s="454"/>
      <c r="Z303" s="454"/>
      <c r="AA303" s="454">
        <f>IFERROR(VLOOKUP($A303,'GeneratingCapabilityList sorted'!$E$9:$O$801,11,FALSE),Scenarios!$B$43)</f>
        <v>32308</v>
      </c>
      <c r="AB303" s="453"/>
      <c r="AC303" s="453"/>
    </row>
    <row r="304" spans="1:29" x14ac:dyDescent="0.25">
      <c r="A304" s="65" t="s">
        <v>1522</v>
      </c>
      <c r="B304" s="65" t="s">
        <v>3714</v>
      </c>
      <c r="C304" s="66" t="s">
        <v>3468</v>
      </c>
      <c r="D304" s="66" t="s">
        <v>3488</v>
      </c>
      <c r="E304" s="67">
        <v>0</v>
      </c>
      <c r="F304" s="68">
        <v>0</v>
      </c>
      <c r="G304" s="68">
        <v>0</v>
      </c>
      <c r="H304" s="68">
        <v>0</v>
      </c>
      <c r="I304" s="68">
        <v>0</v>
      </c>
      <c r="J304" s="68">
        <v>0</v>
      </c>
      <c r="K304" s="68">
        <v>0</v>
      </c>
      <c r="L304" s="68">
        <v>0</v>
      </c>
      <c r="M304" s="68">
        <v>0</v>
      </c>
      <c r="N304" s="68">
        <v>0</v>
      </c>
      <c r="O304" s="68">
        <v>0</v>
      </c>
      <c r="P304" s="68">
        <v>0</v>
      </c>
      <c r="Q304" s="68">
        <v>0</v>
      </c>
      <c r="R304" s="69" t="s">
        <v>3470</v>
      </c>
      <c r="S304" s="69" t="s">
        <v>3489</v>
      </c>
      <c r="T304" s="70" t="s">
        <v>3497</v>
      </c>
      <c r="U304" s="452"/>
      <c r="V304" s="453" t="str">
        <f>IF(VLOOKUP($A304,'GeneratingCapabilityList sorted'!$E$9:$O$801,8,FALSE)&lt;&gt;"",VLOOKUP($A304,'GeneratingCapabilityList sorted'!$E$9:$O$801,8,FALSE),"NoneListed")</f>
        <v>COAL</v>
      </c>
      <c r="W304" s="454">
        <f>IF($AB304,$AB304,IF($AA304,$AA304,Scenarios!$B$43))</f>
        <v>31778</v>
      </c>
      <c r="X304" s="454"/>
      <c r="Y304" s="454"/>
      <c r="Z304" s="454"/>
      <c r="AA304" s="454">
        <f>IFERROR(VLOOKUP($A304,'GeneratingCapabilityList sorted'!$E$9:$O$801,11,FALSE),Scenarios!$B$43)</f>
        <v>31778</v>
      </c>
      <c r="AB304" s="453"/>
      <c r="AC304" s="453"/>
    </row>
    <row r="305" spans="1:29" x14ac:dyDescent="0.25">
      <c r="A305" s="65" t="s">
        <v>3298</v>
      </c>
      <c r="B305" s="65" t="s">
        <v>3715</v>
      </c>
      <c r="C305" s="66" t="s">
        <v>3477</v>
      </c>
      <c r="D305" s="66" t="s">
        <v>3387</v>
      </c>
      <c r="E305" s="67">
        <v>0</v>
      </c>
      <c r="F305" s="68">
        <v>0</v>
      </c>
      <c r="G305" s="68">
        <v>0.02</v>
      </c>
      <c r="H305" s="68">
        <v>0.04</v>
      </c>
      <c r="I305" s="68">
        <v>0.03</v>
      </c>
      <c r="J305" s="68">
        <v>0</v>
      </c>
      <c r="K305" s="68">
        <v>0</v>
      </c>
      <c r="L305" s="68">
        <v>0</v>
      </c>
      <c r="M305" s="68">
        <v>0</v>
      </c>
      <c r="N305" s="68">
        <v>0</v>
      </c>
      <c r="O305" s="68">
        <v>0</v>
      </c>
      <c r="P305" s="68">
        <v>0</v>
      </c>
      <c r="Q305" s="68">
        <v>0</v>
      </c>
      <c r="R305" s="69" t="s">
        <v>3470</v>
      </c>
      <c r="S305" s="69" t="s">
        <v>3489</v>
      </c>
      <c r="T305" s="70" t="s">
        <v>3497</v>
      </c>
      <c r="U305" s="452"/>
      <c r="V305" s="453" t="str">
        <f>IF(VLOOKUP($A305,'GeneratingCapabilityList sorted'!$E$9:$O$801,8,FALSE)&lt;&gt;"",VLOOKUP($A305,'GeneratingCapabilityList sorted'!$E$9:$O$801,8,FALSE),"NoneListed")</f>
        <v>VARIOUS</v>
      </c>
      <c r="W305" s="454">
        <f>IF($AB305,$AB305,IF($AA305,$AA305,Scenarios!$B$43))</f>
        <v>29221</v>
      </c>
      <c r="X305" s="454"/>
      <c r="Y305" s="454"/>
      <c r="Z305" s="454"/>
      <c r="AA305" s="454">
        <f>IFERROR(VLOOKUP($A305,'GeneratingCapabilityList sorted'!$E$9:$O$801,11,FALSE),Scenarios!$B$43)</f>
        <v>0</v>
      </c>
      <c r="AB305" s="453"/>
      <c r="AC305" s="453"/>
    </row>
    <row r="306" spans="1:29" x14ac:dyDescent="0.25">
      <c r="A306" s="65" t="s">
        <v>2115</v>
      </c>
      <c r="B306" s="65" t="s">
        <v>2116</v>
      </c>
      <c r="C306" s="66" t="s">
        <v>3468</v>
      </c>
      <c r="D306" s="66" t="s">
        <v>3474</v>
      </c>
      <c r="E306" s="67">
        <v>0</v>
      </c>
      <c r="F306" s="68">
        <v>0</v>
      </c>
      <c r="G306" s="68">
        <v>0</v>
      </c>
      <c r="H306" s="68">
        <v>0</v>
      </c>
      <c r="I306" s="68">
        <v>0</v>
      </c>
      <c r="J306" s="68">
        <v>0.92</v>
      </c>
      <c r="K306" s="68">
        <v>1.75</v>
      </c>
      <c r="L306" s="68">
        <v>1.41</v>
      </c>
      <c r="M306" s="68">
        <v>1.7</v>
      </c>
      <c r="N306" s="68">
        <v>1.61</v>
      </c>
      <c r="O306" s="68">
        <v>0</v>
      </c>
      <c r="P306" s="68">
        <v>0</v>
      </c>
      <c r="Q306" s="68">
        <v>0</v>
      </c>
      <c r="R306" s="69" t="s">
        <v>3470</v>
      </c>
      <c r="S306" s="69" t="s">
        <v>3489</v>
      </c>
      <c r="T306" s="70" t="s">
        <v>3497</v>
      </c>
      <c r="U306" s="452"/>
      <c r="V306" s="453" t="str">
        <f>IF(VLOOKUP($A306,'GeneratingCapabilityList sorted'!$E$9:$O$801,8,FALSE)&lt;&gt;"",VLOOKUP($A306,'GeneratingCapabilityList sorted'!$E$9:$O$801,8,FALSE),"NoneListed")</f>
        <v>NATURAL GAS</v>
      </c>
      <c r="W306" s="454">
        <f>IF($AB306,$AB306,IF($AA306,$AA306,Scenarios!$B$43))</f>
        <v>33347</v>
      </c>
      <c r="X306" s="454"/>
      <c r="Y306" s="454"/>
      <c r="Z306" s="454"/>
      <c r="AA306" s="454">
        <f>IFERROR(VLOOKUP($A306,'GeneratingCapabilityList sorted'!$E$9:$O$801,11,FALSE),Scenarios!$B$43)</f>
        <v>33347</v>
      </c>
      <c r="AB306" s="453"/>
      <c r="AC306" s="453"/>
    </row>
    <row r="307" spans="1:29" x14ac:dyDescent="0.25">
      <c r="A307" s="65" t="s">
        <v>1359</v>
      </c>
      <c r="B307" s="65" t="s">
        <v>3716</v>
      </c>
      <c r="C307" s="66" t="s">
        <v>3468</v>
      </c>
      <c r="D307" s="66" t="s">
        <v>3488</v>
      </c>
      <c r="E307" s="67">
        <v>0</v>
      </c>
      <c r="F307" s="68">
        <v>0.09</v>
      </c>
      <c r="G307" s="68">
        <v>0.22</v>
      </c>
      <c r="H307" s="68">
        <v>0.77</v>
      </c>
      <c r="I307" s="68">
        <v>0.53</v>
      </c>
      <c r="J307" s="68">
        <v>0.99</v>
      </c>
      <c r="K307" s="68">
        <v>2.08</v>
      </c>
      <c r="L307" s="68">
        <v>0.45</v>
      </c>
      <c r="M307" s="68">
        <v>0.61</v>
      </c>
      <c r="N307" s="68">
        <v>0.2</v>
      </c>
      <c r="O307" s="68">
        <v>0.21</v>
      </c>
      <c r="P307" s="68">
        <v>0.1</v>
      </c>
      <c r="Q307" s="68">
        <v>0.05</v>
      </c>
      <c r="R307" s="69" t="s">
        <v>3470</v>
      </c>
      <c r="S307" s="69" t="s">
        <v>3489</v>
      </c>
      <c r="T307" s="70" t="s">
        <v>3425</v>
      </c>
      <c r="U307" s="452"/>
      <c r="V307" s="453" t="str">
        <f>IF(VLOOKUP($A307,'GeneratingCapabilityList sorted'!$E$9:$O$801,8,FALSE)&lt;&gt;"",VLOOKUP($A307,'GeneratingCapabilityList sorted'!$E$9:$O$801,8,FALSE),"NoneListed")</f>
        <v>WIND</v>
      </c>
      <c r="W307" s="454">
        <f>IF($AB307,$AB307,IF($AA307,$AA307,Scenarios!$B$43))</f>
        <v>31416</v>
      </c>
      <c r="X307" s="454"/>
      <c r="Y307" s="454"/>
      <c r="Z307" s="454"/>
      <c r="AA307" s="454">
        <f>IFERROR(VLOOKUP($A307,'GeneratingCapabilityList sorted'!$E$9:$O$801,11,FALSE),Scenarios!$B$43)</f>
        <v>31416</v>
      </c>
      <c r="AB307" s="453"/>
      <c r="AC307" s="453"/>
    </row>
    <row r="308" spans="1:29" x14ac:dyDescent="0.25">
      <c r="A308" s="65" t="s">
        <v>2044</v>
      </c>
      <c r="B308" s="65" t="s">
        <v>2045</v>
      </c>
      <c r="C308" s="66" t="s">
        <v>3468</v>
      </c>
      <c r="D308" s="66" t="s">
        <v>3488</v>
      </c>
      <c r="E308" s="67">
        <v>0</v>
      </c>
      <c r="F308" s="68">
        <v>0.17</v>
      </c>
      <c r="G308" s="68">
        <v>0</v>
      </c>
      <c r="H308" s="68">
        <v>0</v>
      </c>
      <c r="I308" s="68">
        <v>0</v>
      </c>
      <c r="J308" s="68">
        <v>1.07</v>
      </c>
      <c r="K308" s="68">
        <v>1.23</v>
      </c>
      <c r="L308" s="68">
        <v>1.19</v>
      </c>
      <c r="M308" s="68">
        <v>1.1100000000000001</v>
      </c>
      <c r="N308" s="68">
        <v>1.0900000000000001</v>
      </c>
      <c r="O308" s="68">
        <v>0</v>
      </c>
      <c r="P308" s="68">
        <v>0</v>
      </c>
      <c r="Q308" s="68">
        <v>0</v>
      </c>
      <c r="R308" s="69" t="s">
        <v>3470</v>
      </c>
      <c r="S308" s="69" t="s">
        <v>3489</v>
      </c>
      <c r="T308" s="70" t="s">
        <v>3497</v>
      </c>
      <c r="U308" s="452"/>
      <c r="V308" s="453" t="str">
        <f>IF(VLOOKUP($A308,'GeneratingCapabilityList sorted'!$E$9:$O$801,8,FALSE)&lt;&gt;"",VLOOKUP($A308,'GeneratingCapabilityList sorted'!$E$9:$O$801,8,FALSE),"NoneListed")</f>
        <v>NATURAL GAS</v>
      </c>
      <c r="W308" s="454">
        <f>IF($AB308,$AB308,IF($AA308,$AA308,Scenarios!$B$43))</f>
        <v>32976</v>
      </c>
      <c r="X308" s="454"/>
      <c r="Y308" s="454"/>
      <c r="Z308" s="454"/>
      <c r="AA308" s="454">
        <f>IFERROR(VLOOKUP($A308,'GeneratingCapabilityList sorted'!$E$9:$O$801,11,FALSE),Scenarios!$B$43)</f>
        <v>32976</v>
      </c>
      <c r="AB308" s="453"/>
      <c r="AC308" s="453"/>
    </row>
    <row r="309" spans="1:29" x14ac:dyDescent="0.25">
      <c r="A309" s="65" t="s">
        <v>1838</v>
      </c>
      <c r="B309" s="65" t="s">
        <v>3717</v>
      </c>
      <c r="C309" s="66" t="s">
        <v>3468</v>
      </c>
      <c r="D309" s="66" t="s">
        <v>3510</v>
      </c>
      <c r="E309" s="67">
        <v>0</v>
      </c>
      <c r="F309" s="68">
        <v>0.26</v>
      </c>
      <c r="G309" s="68">
        <v>0.28000000000000003</v>
      </c>
      <c r="H309" s="68">
        <v>0.2</v>
      </c>
      <c r="I309" s="68">
        <v>0.13</v>
      </c>
      <c r="J309" s="68">
        <v>0.16</v>
      </c>
      <c r="K309" s="68">
        <v>0</v>
      </c>
      <c r="L309" s="68">
        <v>0</v>
      </c>
      <c r="M309" s="68">
        <v>0</v>
      </c>
      <c r="N309" s="68">
        <v>0</v>
      </c>
      <c r="O309" s="68">
        <v>0.02</v>
      </c>
      <c r="P309" s="68">
        <v>0.04</v>
      </c>
      <c r="Q309" s="68">
        <v>0.23</v>
      </c>
      <c r="R309" s="69" t="s">
        <v>3470</v>
      </c>
      <c r="S309" s="69" t="s">
        <v>3489</v>
      </c>
      <c r="T309" s="70" t="s">
        <v>3502</v>
      </c>
      <c r="U309" s="452"/>
      <c r="V309" s="453" t="str">
        <f>IF(VLOOKUP($A309,'GeneratingCapabilityList sorted'!$E$9:$O$801,8,FALSE)&lt;&gt;"",VLOOKUP($A309,'GeneratingCapabilityList sorted'!$E$9:$O$801,8,FALSE),"NoneListed")</f>
        <v>WATER</v>
      </c>
      <c r="W309" s="454">
        <f>IF($AB309,$AB309,IF($AA309,$AA309,Scenarios!$B$43))</f>
        <v>32552</v>
      </c>
      <c r="X309" s="454"/>
      <c r="Y309" s="454"/>
      <c r="Z309" s="454"/>
      <c r="AA309" s="454">
        <f>IFERROR(VLOOKUP($A309,'GeneratingCapabilityList sorted'!$E$9:$O$801,11,FALSE),Scenarios!$B$43)</f>
        <v>32552</v>
      </c>
      <c r="AB309" s="453"/>
      <c r="AC309" s="453"/>
    </row>
    <row r="310" spans="1:29" x14ac:dyDescent="0.25">
      <c r="A310" s="65" t="s">
        <v>683</v>
      </c>
      <c r="B310" s="65" t="s">
        <v>3718</v>
      </c>
      <c r="C310" s="66" t="s">
        <v>3477</v>
      </c>
      <c r="D310" s="66" t="s">
        <v>3385</v>
      </c>
      <c r="E310" s="67">
        <v>16</v>
      </c>
      <c r="F310" s="68">
        <v>0</v>
      </c>
      <c r="G310" s="68">
        <v>0</v>
      </c>
      <c r="H310" s="68">
        <v>0</v>
      </c>
      <c r="I310" s="68">
        <v>0</v>
      </c>
      <c r="J310" s="68">
        <v>0</v>
      </c>
      <c r="K310" s="68">
        <v>0</v>
      </c>
      <c r="L310" s="68">
        <v>0</v>
      </c>
      <c r="M310" s="68">
        <v>0</v>
      </c>
      <c r="N310" s="68">
        <v>0</v>
      </c>
      <c r="O310" s="68">
        <v>0</v>
      </c>
      <c r="P310" s="68">
        <v>0</v>
      </c>
      <c r="Q310" s="68">
        <v>0</v>
      </c>
      <c r="R310" s="69" t="s">
        <v>3470</v>
      </c>
      <c r="S310" s="69" t="s">
        <v>3471</v>
      </c>
      <c r="T310" s="70" t="s">
        <v>3472</v>
      </c>
      <c r="U310" s="452"/>
      <c r="V310" s="453" t="str">
        <f>IF(VLOOKUP($A310,'GeneratingCapabilityList sorted'!$E$9:$O$801,8,FALSE)&lt;&gt;"",VLOOKUP($A310,'GeneratingCapabilityList sorted'!$E$9:$O$801,8,FALSE),"NoneListed")</f>
        <v>NATURAL GAS</v>
      </c>
      <c r="W310" s="454">
        <f>IF($AB310,$AB310,IF($AA310,$AA310,Scenarios!$B$43))</f>
        <v>26299</v>
      </c>
      <c r="X310" s="454"/>
      <c r="Y310" s="454"/>
      <c r="Z310" s="454"/>
      <c r="AA310" s="454">
        <f>IFERROR(VLOOKUP($A310,'GeneratingCapabilityList sorted'!$E$9:$O$801,11,FALSE),Scenarios!$B$43)</f>
        <v>26299</v>
      </c>
      <c r="AB310" s="453"/>
      <c r="AC310" s="453"/>
    </row>
    <row r="311" spans="1:29" x14ac:dyDescent="0.25">
      <c r="A311" s="65" t="s">
        <v>633</v>
      </c>
      <c r="B311" s="65" t="s">
        <v>3719</v>
      </c>
      <c r="C311" s="66" t="s">
        <v>3477</v>
      </c>
      <c r="D311" s="66" t="s">
        <v>3385</v>
      </c>
      <c r="E311" s="67">
        <v>59</v>
      </c>
      <c r="F311" s="68">
        <v>0</v>
      </c>
      <c r="G311" s="68">
        <v>0</v>
      </c>
      <c r="H311" s="68">
        <v>0</v>
      </c>
      <c r="I311" s="68">
        <v>0</v>
      </c>
      <c r="J311" s="68">
        <v>0</v>
      </c>
      <c r="K311" s="68">
        <v>0</v>
      </c>
      <c r="L311" s="68">
        <v>0</v>
      </c>
      <c r="M311" s="68">
        <v>0</v>
      </c>
      <c r="N311" s="68">
        <v>0</v>
      </c>
      <c r="O311" s="68">
        <v>0</v>
      </c>
      <c r="P311" s="68">
        <v>0</v>
      </c>
      <c r="Q311" s="68">
        <v>0</v>
      </c>
      <c r="R311" s="69" t="s">
        <v>3470</v>
      </c>
      <c r="S311" s="69" t="s">
        <v>3471</v>
      </c>
      <c r="T311" s="70" t="s">
        <v>3472</v>
      </c>
      <c r="U311" s="452"/>
      <c r="V311" s="453" t="str">
        <f>IF(VLOOKUP($A311,'GeneratingCapabilityList sorted'!$E$9:$O$801,8,FALSE)&lt;&gt;"",VLOOKUP($A311,'GeneratingCapabilityList sorted'!$E$9:$O$801,8,FALSE),"NoneListed")</f>
        <v>NATURAL GAS</v>
      </c>
      <c r="W311" s="454">
        <f>IF($AB311,$AB311,IF($AA311,$AA311,Scenarios!$B$43))</f>
        <v>25204</v>
      </c>
      <c r="X311" s="454"/>
      <c r="Y311" s="454"/>
      <c r="Z311" s="454"/>
      <c r="AA311" s="454">
        <f>IFERROR(VLOOKUP($A311,'GeneratingCapabilityList sorted'!$E$9:$O$801,11,FALSE),Scenarios!$B$43)</f>
        <v>25204</v>
      </c>
      <c r="AB311" s="453"/>
      <c r="AC311" s="453"/>
    </row>
    <row r="312" spans="1:29" x14ac:dyDescent="0.25">
      <c r="A312" s="65" t="s">
        <v>643</v>
      </c>
      <c r="B312" s="65" t="s">
        <v>3720</v>
      </c>
      <c r="C312" s="66" t="s">
        <v>3477</v>
      </c>
      <c r="D312" s="66" t="s">
        <v>3385</v>
      </c>
      <c r="E312" s="67">
        <v>61</v>
      </c>
      <c r="F312" s="68">
        <v>0</v>
      </c>
      <c r="G312" s="68">
        <v>0</v>
      </c>
      <c r="H312" s="68">
        <v>0</v>
      </c>
      <c r="I312" s="68">
        <v>0</v>
      </c>
      <c r="J312" s="68">
        <v>0</v>
      </c>
      <c r="K312" s="68">
        <v>0</v>
      </c>
      <c r="L312" s="68">
        <v>0</v>
      </c>
      <c r="M312" s="68">
        <v>0</v>
      </c>
      <c r="N312" s="68">
        <v>0</v>
      </c>
      <c r="O312" s="68">
        <v>0</v>
      </c>
      <c r="P312" s="68">
        <v>0</v>
      </c>
      <c r="Q312" s="68">
        <v>0</v>
      </c>
      <c r="R312" s="69" t="s">
        <v>3470</v>
      </c>
      <c r="S312" s="69" t="s">
        <v>3471</v>
      </c>
      <c r="T312" s="70" t="s">
        <v>3472</v>
      </c>
      <c r="U312" s="452"/>
      <c r="V312" s="453" t="str">
        <f>IF(VLOOKUP($A312,'GeneratingCapabilityList sorted'!$E$9:$O$801,8,FALSE)&lt;&gt;"",VLOOKUP($A312,'GeneratingCapabilityList sorted'!$E$9:$O$801,8,FALSE),"NoneListed")</f>
        <v>NATURAL GAS</v>
      </c>
      <c r="W312" s="454">
        <f>IF($AB312,$AB312,IF($AA312,$AA312,Scenarios!$B$43))</f>
        <v>25204</v>
      </c>
      <c r="X312" s="454"/>
      <c r="Y312" s="454"/>
      <c r="Z312" s="454"/>
      <c r="AA312" s="454">
        <f>IFERROR(VLOOKUP($A312,'GeneratingCapabilityList sorted'!$E$9:$O$801,11,FALSE),Scenarios!$B$43)</f>
        <v>25204</v>
      </c>
      <c r="AB312" s="453"/>
      <c r="AC312" s="453"/>
    </row>
    <row r="313" spans="1:29" x14ac:dyDescent="0.25">
      <c r="A313" s="65" t="s">
        <v>1956</v>
      </c>
      <c r="B313" s="65" t="s">
        <v>1957</v>
      </c>
      <c r="C313" s="66" t="s">
        <v>3468</v>
      </c>
      <c r="D313" s="66" t="s">
        <v>3520</v>
      </c>
      <c r="E313" s="67">
        <v>0</v>
      </c>
      <c r="F313" s="68">
        <v>1.69</v>
      </c>
      <c r="G313" s="68">
        <v>3.18</v>
      </c>
      <c r="H313" s="68">
        <v>2.4300000000000002</v>
      </c>
      <c r="I313" s="68">
        <v>1.44</v>
      </c>
      <c r="J313" s="68">
        <v>0.85</v>
      </c>
      <c r="K313" s="68">
        <v>0.17</v>
      </c>
      <c r="L313" s="68">
        <v>0</v>
      </c>
      <c r="M313" s="68">
        <v>0</v>
      </c>
      <c r="N313" s="68">
        <v>0</v>
      </c>
      <c r="O313" s="68">
        <v>0.11</v>
      </c>
      <c r="P313" s="68">
        <v>0.4</v>
      </c>
      <c r="Q313" s="68">
        <v>1.96</v>
      </c>
      <c r="R313" s="69" t="s">
        <v>3470</v>
      </c>
      <c r="S313" s="69" t="s">
        <v>3489</v>
      </c>
      <c r="T313" s="70" t="s">
        <v>3502</v>
      </c>
      <c r="U313" s="452"/>
      <c r="V313" s="453" t="str">
        <f>IF(VLOOKUP($A313,'GeneratingCapabilityList sorted'!$E$9:$O$801,8,FALSE)&lt;&gt;"",VLOOKUP($A313,'GeneratingCapabilityList sorted'!$E$9:$O$801,8,FALSE),"NoneListed")</f>
        <v>WATER</v>
      </c>
      <c r="W313" s="454">
        <f>IF($AB313,$AB313,IF($AA313,$AA313,Scenarios!$B$43))</f>
        <v>32869</v>
      </c>
      <c r="X313" s="454"/>
      <c r="Y313" s="454"/>
      <c r="Z313" s="454"/>
      <c r="AA313" s="454">
        <f>IFERROR(VLOOKUP($A313,'GeneratingCapabilityList sorted'!$E$9:$O$801,11,FALSE),Scenarios!$B$43)</f>
        <v>32869</v>
      </c>
      <c r="AB313" s="453"/>
      <c r="AC313" s="453"/>
    </row>
    <row r="314" spans="1:29" x14ac:dyDescent="0.25">
      <c r="A314" s="65" t="s">
        <v>481</v>
      </c>
      <c r="B314" s="65" t="s">
        <v>3721</v>
      </c>
      <c r="C314" s="66" t="s">
        <v>3468</v>
      </c>
      <c r="D314" s="66" t="s">
        <v>3510</v>
      </c>
      <c r="E314" s="67">
        <v>0</v>
      </c>
      <c r="F314" s="68">
        <v>10</v>
      </c>
      <c r="G314" s="68">
        <v>10</v>
      </c>
      <c r="H314" s="68">
        <v>10</v>
      </c>
      <c r="I314" s="68">
        <v>10</v>
      </c>
      <c r="J314" s="68">
        <v>10</v>
      </c>
      <c r="K314" s="68">
        <v>10</v>
      </c>
      <c r="L314" s="68">
        <v>10</v>
      </c>
      <c r="M314" s="68">
        <v>10</v>
      </c>
      <c r="N314" s="68">
        <v>10</v>
      </c>
      <c r="O314" s="68">
        <v>10</v>
      </c>
      <c r="P314" s="68">
        <v>10</v>
      </c>
      <c r="Q314" s="68">
        <v>10</v>
      </c>
      <c r="R314" s="69" t="s">
        <v>3470</v>
      </c>
      <c r="S314" s="69" t="s">
        <v>3489</v>
      </c>
      <c r="T314" s="70" t="s">
        <v>3484</v>
      </c>
      <c r="U314" s="452"/>
      <c r="V314" s="453" t="str">
        <f>IF(VLOOKUP($A314,'GeneratingCapabilityList sorted'!$E$9:$O$801,8,FALSE)&lt;&gt;"",VLOOKUP($A314,'GeneratingCapabilityList sorted'!$E$9:$O$801,8,FALSE),"NoneListed")</f>
        <v>WATER</v>
      </c>
      <c r="W314" s="454">
        <f>IF($AB314,$AB314,IF($AA314,$AA314,Scenarios!$B$43))</f>
        <v>23012</v>
      </c>
      <c r="X314" s="454"/>
      <c r="Y314" s="454"/>
      <c r="Z314" s="454"/>
      <c r="AA314" s="454">
        <f>IFERROR(VLOOKUP($A314,'GeneratingCapabilityList sorted'!$E$9:$O$801,11,FALSE),Scenarios!$B$43)</f>
        <v>23012</v>
      </c>
      <c r="AB314" s="453"/>
      <c r="AC314" s="453"/>
    </row>
    <row r="315" spans="1:29" x14ac:dyDescent="0.25">
      <c r="A315" s="65" t="s">
        <v>182</v>
      </c>
      <c r="B315" s="65" t="s">
        <v>3722</v>
      </c>
      <c r="C315" s="66" t="s">
        <v>3468</v>
      </c>
      <c r="D315" s="66" t="s">
        <v>3474</v>
      </c>
      <c r="E315" s="67">
        <v>0</v>
      </c>
      <c r="F315" s="68">
        <v>13</v>
      </c>
      <c r="G315" s="68">
        <v>13</v>
      </c>
      <c r="H315" s="68">
        <v>13</v>
      </c>
      <c r="I315" s="68">
        <v>13</v>
      </c>
      <c r="J315" s="68">
        <v>13</v>
      </c>
      <c r="K315" s="68">
        <v>13</v>
      </c>
      <c r="L315" s="68">
        <v>13</v>
      </c>
      <c r="M315" s="68">
        <v>13</v>
      </c>
      <c r="N315" s="68">
        <v>13</v>
      </c>
      <c r="O315" s="68">
        <v>13</v>
      </c>
      <c r="P315" s="68">
        <v>13</v>
      </c>
      <c r="Q315" s="68">
        <v>13</v>
      </c>
      <c r="R315" s="69" t="s">
        <v>3470</v>
      </c>
      <c r="S315" s="69" t="s">
        <v>3489</v>
      </c>
      <c r="T315" s="70" t="s">
        <v>3484</v>
      </c>
      <c r="U315" s="452"/>
      <c r="V315" s="453" t="str">
        <f>IF(VLOOKUP($A315,'GeneratingCapabilityList sorted'!$E$9:$O$801,8,FALSE)&lt;&gt;"",VLOOKUP($A315,'GeneratingCapabilityList sorted'!$E$9:$O$801,8,FALSE),"NoneListed")</f>
        <v>WATER</v>
      </c>
      <c r="W315" s="454">
        <f>IF($AB315,$AB315,IF($AA315,$AA315,Scenarios!$B$43))</f>
        <v>7306</v>
      </c>
      <c r="X315" s="454"/>
      <c r="Y315" s="454"/>
      <c r="Z315" s="454"/>
      <c r="AA315" s="454">
        <f>IFERROR(VLOOKUP($A315,'GeneratingCapabilityList sorted'!$E$9:$O$801,11,FALSE),Scenarios!$B$43)</f>
        <v>7306</v>
      </c>
      <c r="AB315" s="453"/>
      <c r="AC315" s="453"/>
    </row>
    <row r="316" spans="1:29" x14ac:dyDescent="0.25">
      <c r="A316" s="65" t="s">
        <v>184</v>
      </c>
      <c r="B316" s="65" t="s">
        <v>3723</v>
      </c>
      <c r="C316" s="66" t="s">
        <v>3468</v>
      </c>
      <c r="D316" s="66" t="s">
        <v>3474</v>
      </c>
      <c r="E316" s="67">
        <v>0</v>
      </c>
      <c r="F316" s="68">
        <v>8.5</v>
      </c>
      <c r="G316" s="68">
        <v>8.5</v>
      </c>
      <c r="H316" s="68">
        <v>8.5</v>
      </c>
      <c r="I316" s="68">
        <v>8.5</v>
      </c>
      <c r="J316" s="68">
        <v>8.5</v>
      </c>
      <c r="K316" s="68">
        <v>8.5</v>
      </c>
      <c r="L316" s="68">
        <v>8.5</v>
      </c>
      <c r="M316" s="68">
        <v>8.5</v>
      </c>
      <c r="N316" s="68">
        <v>8.5</v>
      </c>
      <c r="O316" s="68">
        <v>8.5</v>
      </c>
      <c r="P316" s="68">
        <v>8.5</v>
      </c>
      <c r="Q316" s="68">
        <v>8.5</v>
      </c>
      <c r="R316" s="69" t="s">
        <v>3470</v>
      </c>
      <c r="S316" s="69" t="s">
        <v>3489</v>
      </c>
      <c r="T316" s="70" t="s">
        <v>3484</v>
      </c>
      <c r="U316" s="452"/>
      <c r="V316" s="453" t="str">
        <f>IF(VLOOKUP($A316,'GeneratingCapabilityList sorted'!$E$9:$O$801,8,FALSE)&lt;&gt;"",VLOOKUP($A316,'GeneratingCapabilityList sorted'!$E$9:$O$801,8,FALSE),"NoneListed")</f>
        <v>WATER</v>
      </c>
      <c r="W316" s="454">
        <f>IF($AB316,$AB316,IF($AA316,$AA316,Scenarios!$B$43))</f>
        <v>7306</v>
      </c>
      <c r="X316" s="454"/>
      <c r="Y316" s="454"/>
      <c r="Z316" s="454"/>
      <c r="AA316" s="454">
        <f>IFERROR(VLOOKUP($A316,'GeneratingCapabilityList sorted'!$E$9:$O$801,11,FALSE),Scenarios!$B$43)</f>
        <v>7306</v>
      </c>
      <c r="AB316" s="453"/>
      <c r="AC316" s="453"/>
    </row>
    <row r="317" spans="1:29" x14ac:dyDescent="0.25">
      <c r="A317" s="65" t="s">
        <v>186</v>
      </c>
      <c r="B317" s="65" t="s">
        <v>3724</v>
      </c>
      <c r="C317" s="66" t="s">
        <v>3468</v>
      </c>
      <c r="D317" s="66" t="s">
        <v>3474</v>
      </c>
      <c r="E317" s="67">
        <v>0</v>
      </c>
      <c r="F317" s="68">
        <v>12.8</v>
      </c>
      <c r="G317" s="68">
        <v>12.8</v>
      </c>
      <c r="H317" s="68">
        <v>12.8</v>
      </c>
      <c r="I317" s="68">
        <v>12.8</v>
      </c>
      <c r="J317" s="68">
        <v>12.8</v>
      </c>
      <c r="K317" s="68">
        <v>12.8</v>
      </c>
      <c r="L317" s="68">
        <v>12.8</v>
      </c>
      <c r="M317" s="68">
        <v>12.8</v>
      </c>
      <c r="N317" s="68">
        <v>12.8</v>
      </c>
      <c r="O317" s="68">
        <v>12.8</v>
      </c>
      <c r="P317" s="68">
        <v>12.8</v>
      </c>
      <c r="Q317" s="68">
        <v>12.8</v>
      </c>
      <c r="R317" s="69" t="s">
        <v>3470</v>
      </c>
      <c r="S317" s="69" t="s">
        <v>3489</v>
      </c>
      <c r="T317" s="70" t="s">
        <v>3484</v>
      </c>
      <c r="U317" s="452"/>
      <c r="V317" s="453" t="str">
        <f>IF(VLOOKUP($A317,'GeneratingCapabilityList sorted'!$E$9:$O$801,8,FALSE)&lt;&gt;"",VLOOKUP($A317,'GeneratingCapabilityList sorted'!$E$9:$O$801,8,FALSE),"NoneListed")</f>
        <v>WATER</v>
      </c>
      <c r="W317" s="454">
        <f>IF($AB317,$AB317,IF($AA317,$AA317,Scenarios!$B$43))</f>
        <v>7306</v>
      </c>
      <c r="X317" s="454"/>
      <c r="Y317" s="454"/>
      <c r="Z317" s="454"/>
      <c r="AA317" s="454">
        <f>IFERROR(VLOOKUP($A317,'GeneratingCapabilityList sorted'!$E$9:$O$801,11,FALSE),Scenarios!$B$43)</f>
        <v>7306</v>
      </c>
      <c r="AB317" s="453"/>
      <c r="AC317" s="453"/>
    </row>
    <row r="318" spans="1:29" x14ac:dyDescent="0.25">
      <c r="A318" s="65" t="s">
        <v>884</v>
      </c>
      <c r="B318" s="65" t="s">
        <v>3725</v>
      </c>
      <c r="C318" s="66" t="s">
        <v>3468</v>
      </c>
      <c r="D318" s="66" t="s">
        <v>3474</v>
      </c>
      <c r="E318" s="67">
        <v>0</v>
      </c>
      <c r="F318" s="68">
        <v>153.9</v>
      </c>
      <c r="G318" s="68">
        <v>153.9</v>
      </c>
      <c r="H318" s="68">
        <v>153.9</v>
      </c>
      <c r="I318" s="68">
        <v>153.9</v>
      </c>
      <c r="J318" s="68">
        <v>153.9</v>
      </c>
      <c r="K318" s="68">
        <v>153.9</v>
      </c>
      <c r="L318" s="68">
        <v>153.9</v>
      </c>
      <c r="M318" s="68">
        <v>153.9</v>
      </c>
      <c r="N318" s="68">
        <v>153.9</v>
      </c>
      <c r="O318" s="68">
        <v>153.9</v>
      </c>
      <c r="P318" s="68">
        <v>153.9</v>
      </c>
      <c r="Q318" s="68">
        <v>153.9</v>
      </c>
      <c r="R318" s="69" t="s">
        <v>3470</v>
      </c>
      <c r="S318" s="69" t="s">
        <v>3489</v>
      </c>
      <c r="T318" s="70" t="s">
        <v>3484</v>
      </c>
      <c r="U318" s="452"/>
      <c r="V318" s="453" t="str">
        <f>IF(VLOOKUP($A318,'GeneratingCapabilityList sorted'!$E$9:$O$801,8,FALSE)&lt;&gt;"",VLOOKUP($A318,'GeneratingCapabilityList sorted'!$E$9:$O$801,8,FALSE),"NoneListed")</f>
        <v>WATER</v>
      </c>
      <c r="W318" s="454">
        <f>IF($AB318,$AB318,IF($AA318,$AA318,Scenarios!$B$43))</f>
        <v>30317</v>
      </c>
      <c r="X318" s="454"/>
      <c r="Y318" s="454"/>
      <c r="Z318" s="454"/>
      <c r="AA318" s="454">
        <f>IFERROR(VLOOKUP($A318,'GeneratingCapabilityList sorted'!$E$9:$O$801,11,FALSE),Scenarios!$B$43)</f>
        <v>30317</v>
      </c>
      <c r="AB318" s="453"/>
      <c r="AC318" s="453"/>
    </row>
    <row r="319" spans="1:29" x14ac:dyDescent="0.25">
      <c r="A319" s="65" t="s">
        <v>1824</v>
      </c>
      <c r="B319" s="65" t="s">
        <v>1825</v>
      </c>
      <c r="C319" s="66" t="s">
        <v>3468</v>
      </c>
      <c r="D319" s="66" t="s">
        <v>3505</v>
      </c>
      <c r="E319" s="67">
        <v>0</v>
      </c>
      <c r="F319" s="68">
        <v>31.31</v>
      </c>
      <c r="G319" s="68">
        <v>32.049999999999997</v>
      </c>
      <c r="H319" s="68">
        <v>30.4</v>
      </c>
      <c r="I319" s="68">
        <v>31.45</v>
      </c>
      <c r="J319" s="68">
        <v>15.76</v>
      </c>
      <c r="K319" s="68">
        <v>25.27</v>
      </c>
      <c r="L319" s="68">
        <v>39.46</v>
      </c>
      <c r="M319" s="68">
        <v>37.700000000000003</v>
      </c>
      <c r="N319" s="68">
        <v>28.7</v>
      </c>
      <c r="O319" s="68">
        <v>36.21</v>
      </c>
      <c r="P319" s="68">
        <v>19.54</v>
      </c>
      <c r="Q319" s="68">
        <v>14.88</v>
      </c>
      <c r="R319" s="69" t="s">
        <v>3470</v>
      </c>
      <c r="S319" s="69" t="s">
        <v>3489</v>
      </c>
      <c r="T319" s="70" t="s">
        <v>3497</v>
      </c>
      <c r="U319" s="452"/>
      <c r="V319" s="453" t="str">
        <f>IF(VLOOKUP($A319,'GeneratingCapabilityList sorted'!$E$9:$O$801,8,FALSE)&lt;&gt;"",VLOOKUP($A319,'GeneratingCapabilityList sorted'!$E$9:$O$801,8,FALSE),"NoneListed")</f>
        <v>NATURAL GAS</v>
      </c>
      <c r="W319" s="454">
        <f>IF($AB319,$AB319,IF($AA319,$AA319,Scenarios!$B$43))</f>
        <v>32515</v>
      </c>
      <c r="X319" s="454"/>
      <c r="Y319" s="454"/>
      <c r="Z319" s="454"/>
      <c r="AA319" s="454">
        <f>IFERROR(VLOOKUP($A319,'GeneratingCapabilityList sorted'!$E$9:$O$801,11,FALSE),Scenarios!$B$43)</f>
        <v>32515</v>
      </c>
      <c r="AB319" s="453"/>
      <c r="AC319" s="453"/>
    </row>
    <row r="320" spans="1:29" x14ac:dyDescent="0.25">
      <c r="A320" s="65" t="s">
        <v>1143</v>
      </c>
      <c r="B320" s="65" t="s">
        <v>3726</v>
      </c>
      <c r="C320" s="66" t="s">
        <v>3468</v>
      </c>
      <c r="D320" s="66" t="s">
        <v>3505</v>
      </c>
      <c r="E320" s="67">
        <v>0</v>
      </c>
      <c r="F320" s="68">
        <v>1.32</v>
      </c>
      <c r="G320" s="68">
        <v>0.91</v>
      </c>
      <c r="H320" s="68">
        <v>0.41</v>
      </c>
      <c r="I320" s="68">
        <v>0.37</v>
      </c>
      <c r="J320" s="68">
        <v>0.33</v>
      </c>
      <c r="K320" s="68">
        <v>0.59</v>
      </c>
      <c r="L320" s="68">
        <v>1.1299999999999999</v>
      </c>
      <c r="M320" s="68">
        <v>1.08</v>
      </c>
      <c r="N320" s="68">
        <v>1.66</v>
      </c>
      <c r="O320" s="68">
        <v>1.79</v>
      </c>
      <c r="P320" s="68">
        <v>1.5</v>
      </c>
      <c r="Q320" s="68">
        <v>1.51</v>
      </c>
      <c r="R320" s="69" t="s">
        <v>3470</v>
      </c>
      <c r="S320" s="69" t="s">
        <v>3489</v>
      </c>
      <c r="T320" s="70" t="s">
        <v>3497</v>
      </c>
      <c r="U320" s="452"/>
      <c r="V320" s="453" t="str">
        <f>IF(VLOOKUP($A320,'GeneratingCapabilityList sorted'!$E$9:$O$801,8,FALSE)&lt;&gt;"",VLOOKUP($A320,'GeneratingCapabilityList sorted'!$E$9:$O$801,8,FALSE),"NoneListed")</f>
        <v>NATURAL GAS</v>
      </c>
      <c r="W320" s="454">
        <f>IF($AB320,$AB320,IF($AA320,$AA320,Scenarios!$B$43))</f>
        <v>31048</v>
      </c>
      <c r="X320" s="454"/>
      <c r="Y320" s="454"/>
      <c r="Z320" s="454"/>
      <c r="AA320" s="454">
        <f>IFERROR(VLOOKUP($A320,'GeneratingCapabilityList sorted'!$E$9:$O$801,11,FALSE),Scenarios!$B$43)</f>
        <v>31048</v>
      </c>
      <c r="AB320" s="453"/>
      <c r="AC320" s="453"/>
    </row>
    <row r="321" spans="1:29" x14ac:dyDescent="0.25">
      <c r="A321" s="65" t="s">
        <v>90</v>
      </c>
      <c r="B321" s="65" t="s">
        <v>3727</v>
      </c>
      <c r="C321" s="66" t="s">
        <v>3477</v>
      </c>
      <c r="D321" s="66" t="s">
        <v>3388</v>
      </c>
      <c r="E321" s="67">
        <v>0</v>
      </c>
      <c r="F321" s="68">
        <v>1.93</v>
      </c>
      <c r="G321" s="68">
        <v>3.25</v>
      </c>
      <c r="H321" s="68">
        <v>3.28</v>
      </c>
      <c r="I321" s="68">
        <v>3.39</v>
      </c>
      <c r="J321" s="68">
        <v>3.42</v>
      </c>
      <c r="K321" s="68">
        <v>8.14</v>
      </c>
      <c r="L321" s="68">
        <v>10.48</v>
      </c>
      <c r="M321" s="68">
        <v>9.0299999999999994</v>
      </c>
      <c r="N321" s="68">
        <v>7.35</v>
      </c>
      <c r="O321" s="68">
        <v>6.4</v>
      </c>
      <c r="P321" s="68">
        <v>5.29</v>
      </c>
      <c r="Q321" s="68">
        <v>3.4</v>
      </c>
      <c r="R321" s="69" t="s">
        <v>3470</v>
      </c>
      <c r="S321" s="69" t="s">
        <v>3489</v>
      </c>
      <c r="T321" s="70" t="s">
        <v>3512</v>
      </c>
      <c r="U321" s="452"/>
      <c r="V321" s="453" t="str">
        <f>IF(VLOOKUP($A321,'GeneratingCapabilityList sorted'!$E$9:$O$801,8,FALSE)&lt;&gt;"",VLOOKUP($A321,'GeneratingCapabilityList sorted'!$E$9:$O$801,8,FALSE),"NoneListed")</f>
        <v>WATER</v>
      </c>
      <c r="W321" s="454">
        <f>IF($AB321,$AB321,IF($AA321,$AA321,Scenarios!$B$43))</f>
        <v>2558</v>
      </c>
      <c r="X321" s="454"/>
      <c r="Y321" s="454"/>
      <c r="Z321" s="454"/>
      <c r="AA321" s="454">
        <f>IFERROR(VLOOKUP($A321,'GeneratingCapabilityList sorted'!$E$9:$O$801,11,FALSE),Scenarios!$B$43)</f>
        <v>2558</v>
      </c>
      <c r="AB321" s="453"/>
      <c r="AC321" s="453"/>
    </row>
    <row r="322" spans="1:29" x14ac:dyDescent="0.25">
      <c r="A322" s="65" t="s">
        <v>71</v>
      </c>
      <c r="B322" s="65" t="s">
        <v>3728</v>
      </c>
      <c r="C322" s="66" t="s">
        <v>3468</v>
      </c>
      <c r="D322" s="66" t="s">
        <v>3488</v>
      </c>
      <c r="E322" s="67">
        <v>0</v>
      </c>
      <c r="F322" s="68">
        <v>1.1299999999999999</v>
      </c>
      <c r="G322" s="68">
        <v>1.39</v>
      </c>
      <c r="H322" s="68">
        <v>1.59</v>
      </c>
      <c r="I322" s="68">
        <v>2.59</v>
      </c>
      <c r="J322" s="68">
        <v>2.97</v>
      </c>
      <c r="K322" s="68">
        <v>2.21</v>
      </c>
      <c r="L322" s="68">
        <v>1.37</v>
      </c>
      <c r="M322" s="68">
        <v>1.08</v>
      </c>
      <c r="N322" s="68">
        <v>1.08</v>
      </c>
      <c r="O322" s="68">
        <v>1.1000000000000001</v>
      </c>
      <c r="P322" s="68">
        <v>1.1100000000000001</v>
      </c>
      <c r="Q322" s="68">
        <v>1.31</v>
      </c>
      <c r="R322" s="69" t="s">
        <v>3470</v>
      </c>
      <c r="S322" s="69" t="s">
        <v>3489</v>
      </c>
      <c r="T322" s="70" t="s">
        <v>3502</v>
      </c>
      <c r="U322" s="452"/>
      <c r="V322" s="453" t="str">
        <f>IF(VLOOKUP($A322,'GeneratingCapabilityList sorted'!$E$9:$O$801,8,FALSE)&lt;&gt;"",VLOOKUP($A322,'GeneratingCapabilityList sorted'!$E$9:$O$801,8,FALSE),"NoneListed")</f>
        <v>WATER</v>
      </c>
      <c r="W322" s="454">
        <f>IF($AB322,$AB322,IF($AA322,$AA322,Scenarios!$B$43))</f>
        <v>1462</v>
      </c>
      <c r="X322" s="454"/>
      <c r="Y322" s="454"/>
      <c r="Z322" s="454"/>
      <c r="AA322" s="454">
        <f>IFERROR(VLOOKUP($A322,'GeneratingCapabilityList sorted'!$E$9:$O$801,11,FALSE),Scenarios!$B$43)</f>
        <v>1462</v>
      </c>
      <c r="AB322" s="453"/>
      <c r="AC322" s="453"/>
    </row>
    <row r="323" spans="1:29" x14ac:dyDescent="0.25">
      <c r="A323" s="65" t="s">
        <v>2077</v>
      </c>
      <c r="B323" s="65" t="s">
        <v>2078</v>
      </c>
      <c r="C323" s="66" t="s">
        <v>3468</v>
      </c>
      <c r="D323" s="66" t="s">
        <v>3474</v>
      </c>
      <c r="E323" s="67">
        <v>0</v>
      </c>
      <c r="F323" s="68">
        <v>17.690000000000001</v>
      </c>
      <c r="G323" s="68">
        <v>17.91</v>
      </c>
      <c r="H323" s="68">
        <v>19.329999999999998</v>
      </c>
      <c r="I323" s="68">
        <v>10.85</v>
      </c>
      <c r="J323" s="68">
        <v>20.76</v>
      </c>
      <c r="K323" s="68">
        <v>25.44</v>
      </c>
      <c r="L323" s="68">
        <v>24.83</v>
      </c>
      <c r="M323" s="68">
        <v>22.97</v>
      </c>
      <c r="N323" s="68">
        <v>19.239999999999998</v>
      </c>
      <c r="O323" s="68">
        <v>16.690000000000001</v>
      </c>
      <c r="P323" s="68">
        <v>19.14</v>
      </c>
      <c r="Q323" s="68">
        <v>15.85</v>
      </c>
      <c r="R323" s="69" t="s">
        <v>3470</v>
      </c>
      <c r="S323" s="69" t="s">
        <v>3489</v>
      </c>
      <c r="T323" s="70" t="s">
        <v>3497</v>
      </c>
      <c r="U323" s="452"/>
      <c r="V323" s="453" t="str">
        <f>IF(VLOOKUP($A323,'GeneratingCapabilityList sorted'!$E$9:$O$801,8,FALSE)&lt;&gt;"",VLOOKUP($A323,'GeneratingCapabilityList sorted'!$E$9:$O$801,8,FALSE),"NoneListed")</f>
        <v>NATURAL GAS</v>
      </c>
      <c r="W323" s="454">
        <f>IF($AB323,$AB323,IF($AA323,$AA323,Scenarios!$B$43))</f>
        <v>33212</v>
      </c>
      <c r="X323" s="454"/>
      <c r="Y323" s="454"/>
      <c r="Z323" s="454"/>
      <c r="AA323" s="454">
        <f>IFERROR(VLOOKUP($A323,'GeneratingCapabilityList sorted'!$E$9:$O$801,11,FALSE),Scenarios!$B$43)</f>
        <v>33212</v>
      </c>
      <c r="AB323" s="453"/>
      <c r="AC323" s="453"/>
    </row>
    <row r="324" spans="1:29" x14ac:dyDescent="0.25">
      <c r="A324" s="65" t="s">
        <v>469</v>
      </c>
      <c r="B324" s="65" t="s">
        <v>3729</v>
      </c>
      <c r="C324" s="66" t="s">
        <v>3468</v>
      </c>
      <c r="D324" s="66" t="s">
        <v>3474</v>
      </c>
      <c r="E324" s="67">
        <v>0</v>
      </c>
      <c r="F324" s="68">
        <v>51.2</v>
      </c>
      <c r="G324" s="68">
        <v>51.2</v>
      </c>
      <c r="H324" s="68">
        <v>51.2</v>
      </c>
      <c r="I324" s="68">
        <v>51.2</v>
      </c>
      <c r="J324" s="68">
        <v>51.2</v>
      </c>
      <c r="K324" s="68">
        <v>51.2</v>
      </c>
      <c r="L324" s="68">
        <v>51.2</v>
      </c>
      <c r="M324" s="68">
        <v>51.2</v>
      </c>
      <c r="N324" s="68">
        <v>51.2</v>
      </c>
      <c r="O324" s="68">
        <v>51.2</v>
      </c>
      <c r="P324" s="68">
        <v>51.2</v>
      </c>
      <c r="Q324" s="68">
        <v>51.2</v>
      </c>
      <c r="R324" s="69" t="s">
        <v>3470</v>
      </c>
      <c r="S324" s="69" t="s">
        <v>3489</v>
      </c>
      <c r="T324" s="70" t="s">
        <v>3484</v>
      </c>
      <c r="U324" s="452"/>
      <c r="V324" s="453" t="str">
        <f>IF(VLOOKUP($A324,'GeneratingCapabilityList sorted'!$E$9:$O$801,8,FALSE)&lt;&gt;"",VLOOKUP($A324,'GeneratingCapabilityList sorted'!$E$9:$O$801,8,FALSE),"NoneListed")</f>
        <v>WATER</v>
      </c>
      <c r="W324" s="454">
        <f>IF($AB324,$AB324,IF($AA324,$AA324,Scenarios!$B$43))</f>
        <v>22647</v>
      </c>
      <c r="X324" s="454"/>
      <c r="Y324" s="454"/>
      <c r="Z324" s="454"/>
      <c r="AA324" s="454">
        <f>IFERROR(VLOOKUP($A324,'GeneratingCapabilityList sorted'!$E$9:$O$801,11,FALSE),Scenarios!$B$43)</f>
        <v>22647</v>
      </c>
      <c r="AB324" s="453"/>
      <c r="AC324" s="453"/>
    </row>
    <row r="325" spans="1:29" x14ac:dyDescent="0.25">
      <c r="A325" s="65" t="s">
        <v>2948</v>
      </c>
      <c r="B325" s="65" t="s">
        <v>3730</v>
      </c>
      <c r="C325" s="66" t="s">
        <v>3468</v>
      </c>
      <c r="D325" s="66" t="s">
        <v>3382</v>
      </c>
      <c r="E325" s="67">
        <v>3.21</v>
      </c>
      <c r="F325" s="68">
        <v>0</v>
      </c>
      <c r="G325" s="68">
        <v>0</v>
      </c>
      <c r="H325" s="68">
        <v>0</v>
      </c>
      <c r="I325" s="68">
        <v>0</v>
      </c>
      <c r="J325" s="68">
        <v>0</v>
      </c>
      <c r="K325" s="68">
        <v>0</v>
      </c>
      <c r="L325" s="68">
        <v>0</v>
      </c>
      <c r="M325" s="68">
        <v>0</v>
      </c>
      <c r="N325" s="68">
        <v>0</v>
      </c>
      <c r="O325" s="68">
        <v>0</v>
      </c>
      <c r="P325" s="68">
        <v>0</v>
      </c>
      <c r="Q325" s="68">
        <v>0</v>
      </c>
      <c r="R325" s="69" t="s">
        <v>3470</v>
      </c>
      <c r="S325" s="69" t="s">
        <v>879</v>
      </c>
      <c r="T325" s="70" t="s">
        <v>3497</v>
      </c>
      <c r="U325" s="452"/>
      <c r="V325" s="453" t="str">
        <f>IF(VLOOKUP($A325,'GeneratingCapabilityList sorted'!$E$9:$O$801,8,FALSE)&lt;&gt;"",VLOOKUP($A325,'GeneratingCapabilityList sorted'!$E$9:$O$801,8,FALSE),"NoneListed")</f>
        <v>LANDFILL GAS</v>
      </c>
      <c r="W325" s="454">
        <f>IF($AB325,$AB325,IF($AA325,$AA325,Scenarios!$B$43))</f>
        <v>40026</v>
      </c>
      <c r="X325" s="454"/>
      <c r="Y325" s="454"/>
      <c r="Z325" s="454"/>
      <c r="AA325" s="454">
        <f>IFERROR(VLOOKUP($A325,'GeneratingCapabilityList sorted'!$E$9:$O$801,11,FALSE),Scenarios!$B$43)</f>
        <v>40026</v>
      </c>
      <c r="AB325" s="453"/>
      <c r="AC325" s="453"/>
    </row>
    <row r="326" spans="1:29" x14ac:dyDescent="0.25">
      <c r="A326" s="65" t="s">
        <v>2522</v>
      </c>
      <c r="B326" s="65" t="s">
        <v>3731</v>
      </c>
      <c r="C326" s="66" t="s">
        <v>3468</v>
      </c>
      <c r="D326" s="66" t="s">
        <v>3488</v>
      </c>
      <c r="E326" s="67">
        <v>0</v>
      </c>
      <c r="F326" s="68">
        <v>44.6</v>
      </c>
      <c r="G326" s="68">
        <v>44.6</v>
      </c>
      <c r="H326" s="68">
        <v>44.6</v>
      </c>
      <c r="I326" s="68">
        <v>44.6</v>
      </c>
      <c r="J326" s="68">
        <v>44.6</v>
      </c>
      <c r="K326" s="68">
        <v>44.6</v>
      </c>
      <c r="L326" s="68">
        <v>44.6</v>
      </c>
      <c r="M326" s="68">
        <v>44.6</v>
      </c>
      <c r="N326" s="68">
        <v>44.6</v>
      </c>
      <c r="O326" s="68">
        <v>44.6</v>
      </c>
      <c r="P326" s="68">
        <v>44.6</v>
      </c>
      <c r="Q326" s="68">
        <v>44.6</v>
      </c>
      <c r="R326" s="69" t="s">
        <v>3470</v>
      </c>
      <c r="S326" s="69" t="s">
        <v>3471</v>
      </c>
      <c r="T326" s="70" t="s">
        <v>3472</v>
      </c>
      <c r="U326" s="452"/>
      <c r="V326" s="453" t="str">
        <f>IF(VLOOKUP($A326,'GeneratingCapabilityList sorted'!$E$9:$O$801,8,FALSE)&lt;&gt;"",VLOOKUP($A326,'GeneratingCapabilityList sorted'!$E$9:$O$801,8,FALSE),"NoneListed")</f>
        <v>NATURAL GAS</v>
      </c>
      <c r="W326" s="454">
        <f>IF($AB326,$AB326,IF($AA326,$AA326,Scenarios!$B$43))</f>
        <v>37270</v>
      </c>
      <c r="X326" s="454"/>
      <c r="Y326" s="454"/>
      <c r="Z326" s="454"/>
      <c r="AA326" s="454">
        <f>IFERROR(VLOOKUP($A326,'GeneratingCapabilityList sorted'!$E$9:$O$801,11,FALSE),Scenarios!$B$43)</f>
        <v>37270</v>
      </c>
      <c r="AB326" s="453"/>
      <c r="AC326" s="453"/>
    </row>
    <row r="327" spans="1:29" x14ac:dyDescent="0.25">
      <c r="A327" s="65" t="s">
        <v>1344</v>
      </c>
      <c r="B327" s="65" t="s">
        <v>1345</v>
      </c>
      <c r="C327" s="66" t="s">
        <v>3477</v>
      </c>
      <c r="D327" s="66" t="s">
        <v>3488</v>
      </c>
      <c r="E327" s="67">
        <v>0</v>
      </c>
      <c r="F327" s="68">
        <v>0.76</v>
      </c>
      <c r="G327" s="68">
        <v>13.47</v>
      </c>
      <c r="H327" s="68">
        <v>27.7</v>
      </c>
      <c r="I327" s="68">
        <v>123.37</v>
      </c>
      <c r="J327" s="68">
        <v>143.69</v>
      </c>
      <c r="K327" s="68">
        <v>176.12</v>
      </c>
      <c r="L327" s="68">
        <v>175</v>
      </c>
      <c r="M327" s="68">
        <v>175.22</v>
      </c>
      <c r="N327" s="68">
        <v>157.25</v>
      </c>
      <c r="O327" s="68">
        <v>68.94</v>
      </c>
      <c r="P327" s="68">
        <v>8.58</v>
      </c>
      <c r="Q327" s="68">
        <v>5.56</v>
      </c>
      <c r="R327" s="69" t="s">
        <v>3470</v>
      </c>
      <c r="S327" s="69" t="s">
        <v>3489</v>
      </c>
      <c r="T327" s="70" t="s">
        <v>3522</v>
      </c>
      <c r="U327" s="452"/>
      <c r="V327" s="453" t="str">
        <f>IF(VLOOKUP($A327,'GeneratingCapabilityList sorted'!$E$9:$O$801,8,FALSE)&lt;&gt;"",VLOOKUP($A327,'GeneratingCapabilityList sorted'!$E$9:$O$801,8,FALSE),"NoneListed")</f>
        <v>SUN</v>
      </c>
      <c r="W327" s="454">
        <f>IF($AB327,$AB327,IF($AA327,$AA327,Scenarios!$B$43))</f>
        <v>31413</v>
      </c>
      <c r="X327" s="454"/>
      <c r="Y327" s="454"/>
      <c r="Z327" s="454"/>
      <c r="AA327" s="454">
        <f>IFERROR(VLOOKUP($A327,'GeneratingCapabilityList sorted'!$E$9:$O$801,11,FALSE),Scenarios!$B$43)</f>
        <v>31413</v>
      </c>
      <c r="AB327" s="453"/>
      <c r="AC327" s="453"/>
    </row>
    <row r="328" spans="1:29" x14ac:dyDescent="0.25">
      <c r="A328" s="65" t="s">
        <v>1346</v>
      </c>
      <c r="B328" s="65" t="s">
        <v>1347</v>
      </c>
      <c r="C328" s="66" t="s">
        <v>3477</v>
      </c>
      <c r="D328" s="66" t="s">
        <v>3488</v>
      </c>
      <c r="E328" s="67">
        <v>0</v>
      </c>
      <c r="F328" s="68">
        <v>0.61</v>
      </c>
      <c r="G328" s="68">
        <v>15.68</v>
      </c>
      <c r="H328" s="68">
        <v>25.07</v>
      </c>
      <c r="I328" s="68">
        <v>112.64</v>
      </c>
      <c r="J328" s="68">
        <v>146.12</v>
      </c>
      <c r="K328" s="68">
        <v>177.41</v>
      </c>
      <c r="L328" s="68">
        <v>171.42</v>
      </c>
      <c r="M328" s="68">
        <v>163.47999999999999</v>
      </c>
      <c r="N328" s="68">
        <v>148.47</v>
      </c>
      <c r="O328" s="68">
        <v>92.33</v>
      </c>
      <c r="P328" s="68">
        <v>14.92</v>
      </c>
      <c r="Q328" s="68">
        <v>3.77</v>
      </c>
      <c r="R328" s="69" t="s">
        <v>3470</v>
      </c>
      <c r="S328" s="69" t="s">
        <v>3489</v>
      </c>
      <c r="T328" s="70" t="s">
        <v>3522</v>
      </c>
      <c r="U328" s="452"/>
      <c r="V328" s="453" t="str">
        <f>IF(VLOOKUP($A328,'GeneratingCapabilityList sorted'!$E$9:$O$801,8,FALSE)&lt;&gt;"",VLOOKUP($A328,'GeneratingCapabilityList sorted'!$E$9:$O$801,8,FALSE),"NoneListed")</f>
        <v>SUN</v>
      </c>
      <c r="W328" s="454">
        <f>IF($AB328,$AB328,IF($AA328,$AA328,Scenarios!$B$43))</f>
        <v>31413</v>
      </c>
      <c r="X328" s="454"/>
      <c r="Y328" s="454"/>
      <c r="Z328" s="454"/>
      <c r="AA328" s="454">
        <f>IFERROR(VLOOKUP($A328,'GeneratingCapabilityList sorted'!$E$9:$O$801,11,FALSE),Scenarios!$B$43)</f>
        <v>31413</v>
      </c>
      <c r="AB328" s="453"/>
      <c r="AC328" s="453"/>
    </row>
    <row r="329" spans="1:29" x14ac:dyDescent="0.25">
      <c r="A329" s="65" t="s">
        <v>210</v>
      </c>
      <c r="B329" s="65" t="s">
        <v>211</v>
      </c>
      <c r="C329" s="66" t="s">
        <v>3468</v>
      </c>
      <c r="D329" s="66" t="s">
        <v>3505</v>
      </c>
      <c r="E329" s="67">
        <v>0</v>
      </c>
      <c r="F329" s="68">
        <v>0.1</v>
      </c>
      <c r="G329" s="68">
        <v>3.04</v>
      </c>
      <c r="H329" s="68">
        <v>4.84</v>
      </c>
      <c r="I329" s="68">
        <v>8.9499999999999993</v>
      </c>
      <c r="J329" s="68">
        <v>3.96</v>
      </c>
      <c r="K329" s="68">
        <v>5.49</v>
      </c>
      <c r="L329" s="68">
        <v>6.22</v>
      </c>
      <c r="M329" s="68">
        <v>7.5</v>
      </c>
      <c r="N329" s="68">
        <v>5.04</v>
      </c>
      <c r="O329" s="68">
        <v>2.2200000000000002</v>
      </c>
      <c r="P329" s="68">
        <v>2.52</v>
      </c>
      <c r="Q329" s="68">
        <v>1.1399999999999999</v>
      </c>
      <c r="R329" s="69" t="s">
        <v>3470</v>
      </c>
      <c r="S329" s="69" t="s">
        <v>3489</v>
      </c>
      <c r="T329" s="70" t="s">
        <v>3502</v>
      </c>
      <c r="U329" s="452"/>
      <c r="V329" s="453" t="str">
        <f>IF(VLOOKUP($A329,'GeneratingCapabilityList sorted'!$E$9:$O$801,8,FALSE)&lt;&gt;"",VLOOKUP($A329,'GeneratingCapabilityList sorted'!$E$9:$O$801,8,FALSE),"NoneListed")</f>
        <v>WATER</v>
      </c>
      <c r="W329" s="454">
        <f>IF($AB329,$AB329,IF($AA329,$AA329,Scenarios!$B$43))</f>
        <v>7672</v>
      </c>
      <c r="X329" s="454"/>
      <c r="Y329" s="454"/>
      <c r="Z329" s="454"/>
      <c r="AA329" s="454">
        <f>IFERROR(VLOOKUP($A329,'GeneratingCapabilityList sorted'!$E$9:$O$801,11,FALSE),Scenarios!$B$43)</f>
        <v>7672</v>
      </c>
      <c r="AB329" s="453"/>
      <c r="AC329" s="453"/>
    </row>
    <row r="330" spans="1:29" x14ac:dyDescent="0.25">
      <c r="A330" s="65" t="s">
        <v>816</v>
      </c>
      <c r="B330" s="72" t="s">
        <v>817</v>
      </c>
      <c r="C330" s="66" t="s">
        <v>3477</v>
      </c>
      <c r="D330" s="66" t="s">
        <v>3387</v>
      </c>
      <c r="E330" s="67">
        <v>0</v>
      </c>
      <c r="F330" s="68">
        <v>0</v>
      </c>
      <c r="G330" s="68">
        <v>0</v>
      </c>
      <c r="H330" s="68">
        <v>0</v>
      </c>
      <c r="I330" s="68">
        <v>0</v>
      </c>
      <c r="J330" s="68">
        <v>0</v>
      </c>
      <c r="K330" s="68">
        <v>0.53</v>
      </c>
      <c r="L330" s="68">
        <v>3.13</v>
      </c>
      <c r="M330" s="68">
        <v>4.45</v>
      </c>
      <c r="N330" s="68">
        <v>4.0999999999999996</v>
      </c>
      <c r="O330" s="68">
        <v>0.3</v>
      </c>
      <c r="P330" s="68">
        <v>0</v>
      </c>
      <c r="Q330" s="68">
        <v>0</v>
      </c>
      <c r="R330" s="69" t="s">
        <v>3470</v>
      </c>
      <c r="S330" s="69" t="s">
        <v>3489</v>
      </c>
      <c r="T330" s="70" t="s">
        <v>3502</v>
      </c>
      <c r="U330" s="452"/>
      <c r="V330" s="453" t="str">
        <f>IF(VLOOKUP($A330,'GeneratingCapabilityList sorted'!$E$9:$O$801,8,FALSE)&lt;&gt;"",VLOOKUP($A330,'GeneratingCapabilityList sorted'!$E$9:$O$801,8,FALSE),"NoneListed")</f>
        <v>WATER</v>
      </c>
      <c r="W330" s="454">
        <f>IF($AB330,$AB330,IF($AA330,$AA330,Scenarios!$B$43))</f>
        <v>29952</v>
      </c>
      <c r="X330" s="454"/>
      <c r="Y330" s="454"/>
      <c r="Z330" s="454"/>
      <c r="AA330" s="454">
        <f>IFERROR(VLOOKUP($A330,'GeneratingCapabilityList sorted'!$E$9:$O$801,11,FALSE),Scenarios!$B$43)</f>
        <v>29952</v>
      </c>
      <c r="AB330" s="453"/>
      <c r="AC330" s="453"/>
    </row>
    <row r="331" spans="1:29" x14ac:dyDescent="0.25">
      <c r="A331" s="90" t="s">
        <v>3065</v>
      </c>
      <c r="B331" s="77" t="s">
        <v>3732</v>
      </c>
      <c r="C331" s="66" t="s">
        <v>3477</v>
      </c>
      <c r="D331" s="66" t="s">
        <v>3385</v>
      </c>
      <c r="E331" s="67">
        <v>20</v>
      </c>
      <c r="F331" s="71"/>
      <c r="G331" s="68"/>
      <c r="H331" s="68"/>
      <c r="I331" s="68"/>
      <c r="J331" s="68"/>
      <c r="K331" s="68"/>
      <c r="L331" s="68"/>
      <c r="M331" s="68"/>
      <c r="N331" s="68"/>
      <c r="O331" s="68"/>
      <c r="P331" s="68"/>
      <c r="Q331" s="68"/>
      <c r="R331" s="69" t="s">
        <v>3470</v>
      </c>
      <c r="S331" s="69" t="s">
        <v>3471</v>
      </c>
      <c r="T331" s="70" t="s">
        <v>3472</v>
      </c>
      <c r="U331" s="452"/>
      <c r="V331" s="453" t="str">
        <f>IF(VLOOKUP($A331,'GeneratingCapabilityList sorted'!$E$9:$O$801,8,FALSE)&lt;&gt;"",VLOOKUP($A331,'GeneratingCapabilityList sorted'!$E$9:$O$801,8,FALSE),"NoneListed")</f>
        <v>WATER</v>
      </c>
      <c r="W331" s="454">
        <f>IF($AB331,$AB331,IF($AA331,$AA331,Scenarios!$B$43))</f>
        <v>40794</v>
      </c>
      <c r="X331" s="454"/>
      <c r="Y331" s="454"/>
      <c r="Z331" s="454"/>
      <c r="AA331" s="454">
        <f>IFERROR(VLOOKUP($A331,'GeneratingCapabilityList sorted'!$E$9:$O$801,11,FALSE),Scenarios!$B$43)</f>
        <v>40794</v>
      </c>
      <c r="AB331" s="453"/>
      <c r="AC331" s="453"/>
    </row>
    <row r="332" spans="1:29" x14ac:dyDescent="0.25">
      <c r="A332" s="65" t="s">
        <v>1681</v>
      </c>
      <c r="B332" s="65" t="s">
        <v>3733</v>
      </c>
      <c r="C332" s="66" t="s">
        <v>3477</v>
      </c>
      <c r="D332" s="66" t="s">
        <v>3387</v>
      </c>
      <c r="E332" s="67">
        <v>0</v>
      </c>
      <c r="F332" s="68">
        <v>2.54</v>
      </c>
      <c r="G332" s="68">
        <v>2.57</v>
      </c>
      <c r="H332" s="68">
        <v>2.69</v>
      </c>
      <c r="I332" s="68">
        <v>2.62</v>
      </c>
      <c r="J332" s="68">
        <v>2.56</v>
      </c>
      <c r="K332" s="68">
        <v>2.58</v>
      </c>
      <c r="L332" s="68">
        <v>2.61</v>
      </c>
      <c r="M332" s="68">
        <v>2.5499999999999998</v>
      </c>
      <c r="N332" s="68">
        <v>2.56</v>
      </c>
      <c r="O332" s="68">
        <v>2.0299999999999998</v>
      </c>
      <c r="P332" s="68">
        <v>2.44</v>
      </c>
      <c r="Q332" s="68">
        <v>2.34</v>
      </c>
      <c r="R332" s="69" t="s">
        <v>3470</v>
      </c>
      <c r="S332" s="69" t="s">
        <v>3489</v>
      </c>
      <c r="T332" s="70" t="s">
        <v>3497</v>
      </c>
      <c r="U332" s="452"/>
      <c r="V332" s="453" t="str">
        <f>IF(VLOOKUP($A332,'GeneratingCapabilityList sorted'!$E$9:$O$801,8,FALSE)&lt;&gt;"",VLOOKUP($A332,'GeneratingCapabilityList sorted'!$E$9:$O$801,8,FALSE),"NoneListed")</f>
        <v>LANDFILL GAS</v>
      </c>
      <c r="W332" s="454">
        <f>IF($AB332,$AB332,IF($AA332,$AA332,Scenarios!$B$43))</f>
        <v>32143</v>
      </c>
      <c r="X332" s="454"/>
      <c r="Y332" s="454"/>
      <c r="Z332" s="454"/>
      <c r="AA332" s="454">
        <f>IFERROR(VLOOKUP($A332,'GeneratingCapabilityList sorted'!$E$9:$O$801,11,FALSE),Scenarios!$B$43)</f>
        <v>32143</v>
      </c>
      <c r="AB332" s="453"/>
      <c r="AC332" s="453"/>
    </row>
    <row r="333" spans="1:29" x14ac:dyDescent="0.25">
      <c r="A333" s="65" t="s">
        <v>2170</v>
      </c>
      <c r="B333" s="65" t="s">
        <v>3734</v>
      </c>
      <c r="C333" s="66" t="s">
        <v>3477</v>
      </c>
      <c r="D333" s="66" t="s">
        <v>3387</v>
      </c>
      <c r="E333" s="67">
        <v>0</v>
      </c>
      <c r="F333" s="68">
        <v>10.06</v>
      </c>
      <c r="G333" s="68">
        <v>9.94</v>
      </c>
      <c r="H333" s="68">
        <v>8.92</v>
      </c>
      <c r="I333" s="68">
        <v>4.4400000000000004</v>
      </c>
      <c r="J333" s="68">
        <v>8.08</v>
      </c>
      <c r="K333" s="68">
        <v>10.67</v>
      </c>
      <c r="L333" s="68">
        <v>9.84</v>
      </c>
      <c r="M333" s="68">
        <v>10.6</v>
      </c>
      <c r="N333" s="68">
        <v>10.039999999999999</v>
      </c>
      <c r="O333" s="68">
        <v>9.34</v>
      </c>
      <c r="P333" s="68">
        <v>9.9600000000000009</v>
      </c>
      <c r="Q333" s="68">
        <v>9.07</v>
      </c>
      <c r="R333" s="69" t="s">
        <v>3470</v>
      </c>
      <c r="S333" s="69" t="s">
        <v>3489</v>
      </c>
      <c r="T333" s="70" t="s">
        <v>3497</v>
      </c>
      <c r="U333" s="452"/>
      <c r="V333" s="453" t="str">
        <f>IF(VLOOKUP($A333,'GeneratingCapabilityList sorted'!$E$9:$O$801,8,FALSE)&lt;&gt;"",VLOOKUP($A333,'GeneratingCapabilityList sorted'!$E$9:$O$801,8,FALSE),"NoneListed")</f>
        <v>LANDFILL GAS</v>
      </c>
      <c r="W333" s="454">
        <f>IF($AB333,$AB333,IF($AA333,$AA333,Scenarios!$B$43))</f>
        <v>33970</v>
      </c>
      <c r="X333" s="454"/>
      <c r="Y333" s="454"/>
      <c r="Z333" s="454"/>
      <c r="AA333" s="454">
        <f>IFERROR(VLOOKUP($A333,'GeneratingCapabilityList sorted'!$E$9:$O$801,11,FALSE),Scenarios!$B$43)</f>
        <v>33970</v>
      </c>
      <c r="AB333" s="453"/>
      <c r="AC333" s="453"/>
    </row>
    <row r="334" spans="1:29" x14ac:dyDescent="0.25">
      <c r="A334" s="65" t="s">
        <v>2139</v>
      </c>
      <c r="B334" s="65" t="s">
        <v>3735</v>
      </c>
      <c r="C334" s="66" t="s">
        <v>3468</v>
      </c>
      <c r="D334" s="66" t="s">
        <v>3520</v>
      </c>
      <c r="E334" s="67">
        <v>20</v>
      </c>
      <c r="F334" s="68">
        <v>0</v>
      </c>
      <c r="G334" s="68">
        <v>0</v>
      </c>
      <c r="H334" s="68">
        <v>0</v>
      </c>
      <c r="I334" s="68">
        <v>0</v>
      </c>
      <c r="J334" s="68">
        <v>0</v>
      </c>
      <c r="K334" s="68">
        <v>0</v>
      </c>
      <c r="L334" s="68">
        <v>0</v>
      </c>
      <c r="M334" s="68">
        <v>0</v>
      </c>
      <c r="N334" s="68">
        <v>0</v>
      </c>
      <c r="O334" s="68">
        <v>0</v>
      </c>
      <c r="P334" s="68">
        <v>0</v>
      </c>
      <c r="Q334" s="68">
        <v>0</v>
      </c>
      <c r="R334" s="69" t="s">
        <v>3470</v>
      </c>
      <c r="S334" s="69" t="s">
        <v>3489</v>
      </c>
      <c r="T334" s="70" t="s">
        <v>3472</v>
      </c>
      <c r="U334" s="452"/>
      <c r="V334" s="453" t="str">
        <f>IF(VLOOKUP($A334,'GeneratingCapabilityList sorted'!$E$9:$O$801,8,FALSE)&lt;&gt;"",VLOOKUP($A334,'GeneratingCapabilityList sorted'!$E$9:$O$801,8,FALSE),"NoneListed")</f>
        <v>BLACK LIQUOR</v>
      </c>
      <c r="W334" s="454">
        <f>IF($AB334,$AB334,IF($AA334,$AA334,Scenarios!$B$43))</f>
        <v>33604</v>
      </c>
      <c r="X334" s="454"/>
      <c r="Y334" s="454"/>
      <c r="Z334" s="454"/>
      <c r="AA334" s="454">
        <f>IFERROR(VLOOKUP($A334,'GeneratingCapabilityList sorted'!$E$9:$O$801,11,FALSE),Scenarios!$B$43)</f>
        <v>33604</v>
      </c>
      <c r="AB334" s="453"/>
      <c r="AC334" s="453"/>
    </row>
    <row r="335" spans="1:29" x14ac:dyDescent="0.25">
      <c r="A335" s="65" t="s">
        <v>2616</v>
      </c>
      <c r="B335" s="65" t="s">
        <v>3736</v>
      </c>
      <c r="C335" s="66" t="s">
        <v>3468</v>
      </c>
      <c r="D335" s="66" t="s">
        <v>3488</v>
      </c>
      <c r="E335" s="67">
        <v>259.8</v>
      </c>
      <c r="F335" s="68">
        <v>0</v>
      </c>
      <c r="G335" s="68">
        <v>0</v>
      </c>
      <c r="H335" s="68">
        <v>0</v>
      </c>
      <c r="I335" s="68">
        <v>0</v>
      </c>
      <c r="J335" s="68">
        <v>0</v>
      </c>
      <c r="K335" s="68">
        <v>0</v>
      </c>
      <c r="L335" s="68">
        <v>0</v>
      </c>
      <c r="M335" s="68">
        <v>0</v>
      </c>
      <c r="N335" s="68">
        <v>0</v>
      </c>
      <c r="O335" s="68">
        <v>0</v>
      </c>
      <c r="P335" s="68">
        <v>0</v>
      </c>
      <c r="Q335" s="68">
        <v>0</v>
      </c>
      <c r="R335" s="69" t="s">
        <v>3470</v>
      </c>
      <c r="S335" s="69" t="s">
        <v>3471</v>
      </c>
      <c r="T335" s="70" t="s">
        <v>3472</v>
      </c>
      <c r="U335" s="452"/>
      <c r="V335" s="453" t="str">
        <f>IF(VLOOKUP($A335,'GeneratingCapabilityList sorted'!$E$9:$O$801,8,FALSE)&lt;&gt;"",VLOOKUP($A335,'GeneratingCapabilityList sorted'!$E$9:$O$801,8,FALSE),"NoneListed")</f>
        <v>NATURAL GAS</v>
      </c>
      <c r="W335" s="454">
        <f>IF($AB335,$AB335,IF($AA335,$AA335,Scenarios!$B$43))</f>
        <v>37631</v>
      </c>
      <c r="X335" s="454"/>
      <c r="Y335" s="454"/>
      <c r="Z335" s="454"/>
      <c r="AA335" s="454">
        <f>IFERROR(VLOOKUP($A335,'GeneratingCapabilityList sorted'!$E$9:$O$801,11,FALSE),Scenarios!$B$43)</f>
        <v>37631</v>
      </c>
      <c r="AB335" s="453"/>
      <c r="AC335" s="453"/>
    </row>
    <row r="336" spans="1:29" x14ac:dyDescent="0.25">
      <c r="A336" s="65" t="s">
        <v>2621</v>
      </c>
      <c r="B336" s="65" t="s">
        <v>3737</v>
      </c>
      <c r="C336" s="66" t="s">
        <v>3468</v>
      </c>
      <c r="D336" s="66" t="s">
        <v>3488</v>
      </c>
      <c r="E336" s="67">
        <v>260.2</v>
      </c>
      <c r="F336" s="68">
        <v>0</v>
      </c>
      <c r="G336" s="68">
        <v>0</v>
      </c>
      <c r="H336" s="68">
        <v>0</v>
      </c>
      <c r="I336" s="68">
        <v>0</v>
      </c>
      <c r="J336" s="68">
        <v>0</v>
      </c>
      <c r="K336" s="68">
        <v>0</v>
      </c>
      <c r="L336" s="68">
        <v>0</v>
      </c>
      <c r="M336" s="68">
        <v>0</v>
      </c>
      <c r="N336" s="68">
        <v>0</v>
      </c>
      <c r="O336" s="68">
        <v>0</v>
      </c>
      <c r="P336" s="68">
        <v>0</v>
      </c>
      <c r="Q336" s="68">
        <v>0</v>
      </c>
      <c r="R336" s="69" t="s">
        <v>3470</v>
      </c>
      <c r="S336" s="69" t="s">
        <v>3471</v>
      </c>
      <c r="T336" s="70" t="s">
        <v>3472</v>
      </c>
      <c r="U336" s="452"/>
      <c r="V336" s="453" t="str">
        <f>IF(VLOOKUP($A336,'GeneratingCapabilityList sorted'!$E$9:$O$801,8,FALSE)&lt;&gt;"",VLOOKUP($A336,'GeneratingCapabilityList sorted'!$E$9:$O$801,8,FALSE),"NoneListed")</f>
        <v>NATURAL GAS</v>
      </c>
      <c r="W336" s="454">
        <f>IF($AB336,$AB336,IF($AA336,$AA336,Scenarios!$B$43))</f>
        <v>37685</v>
      </c>
      <c r="X336" s="454"/>
      <c r="Y336" s="454"/>
      <c r="Z336" s="454"/>
      <c r="AA336" s="454">
        <f>IFERROR(VLOOKUP($A336,'GeneratingCapabilityList sorted'!$E$9:$O$801,11,FALSE),Scenarios!$B$43)</f>
        <v>37685</v>
      </c>
      <c r="AB336" s="453"/>
      <c r="AC336" s="453"/>
    </row>
    <row r="337" spans="1:29" x14ac:dyDescent="0.25">
      <c r="A337" s="65" t="s">
        <v>2619</v>
      </c>
      <c r="B337" s="65" t="s">
        <v>3738</v>
      </c>
      <c r="C337" s="66" t="s">
        <v>3468</v>
      </c>
      <c r="D337" s="66" t="s">
        <v>3488</v>
      </c>
      <c r="E337" s="67">
        <v>256.14999999999998</v>
      </c>
      <c r="F337" s="68">
        <v>0</v>
      </c>
      <c r="G337" s="68">
        <v>0</v>
      </c>
      <c r="H337" s="68">
        <v>0</v>
      </c>
      <c r="I337" s="68">
        <v>0</v>
      </c>
      <c r="J337" s="68">
        <v>0</v>
      </c>
      <c r="K337" s="68">
        <v>0</v>
      </c>
      <c r="L337" s="68">
        <v>0</v>
      </c>
      <c r="M337" s="68">
        <v>0</v>
      </c>
      <c r="N337" s="68">
        <v>0</v>
      </c>
      <c r="O337" s="68">
        <v>0</v>
      </c>
      <c r="P337" s="68">
        <v>0</v>
      </c>
      <c r="Q337" s="68">
        <v>0</v>
      </c>
      <c r="R337" s="69" t="s">
        <v>3470</v>
      </c>
      <c r="S337" s="69" t="s">
        <v>3471</v>
      </c>
      <c r="T337" s="70" t="s">
        <v>3472</v>
      </c>
      <c r="U337" s="452"/>
      <c r="V337" s="453" t="str">
        <f>IF(VLOOKUP($A337,'GeneratingCapabilityList sorted'!$E$9:$O$801,8,FALSE)&lt;&gt;"",VLOOKUP($A337,'GeneratingCapabilityList sorted'!$E$9:$O$801,8,FALSE),"NoneListed")</f>
        <v>NATURAL GAS</v>
      </c>
      <c r="W337" s="454">
        <f>IF($AB337,$AB337,IF($AA337,$AA337,Scenarios!$B$43))</f>
        <v>37634</v>
      </c>
      <c r="X337" s="454"/>
      <c r="Y337" s="454"/>
      <c r="Z337" s="454"/>
      <c r="AA337" s="454">
        <f>IFERROR(VLOOKUP($A337,'GeneratingCapabilityList sorted'!$E$9:$O$801,11,FALSE),Scenarios!$B$43)</f>
        <v>37634</v>
      </c>
      <c r="AB337" s="453"/>
      <c r="AC337" s="453"/>
    </row>
    <row r="338" spans="1:29" x14ac:dyDescent="0.25">
      <c r="A338" s="65" t="s">
        <v>2623</v>
      </c>
      <c r="B338" s="65" t="s">
        <v>3739</v>
      </c>
      <c r="C338" s="66" t="s">
        <v>3468</v>
      </c>
      <c r="D338" s="66" t="s">
        <v>3488</v>
      </c>
      <c r="E338" s="67">
        <v>259.54000000000002</v>
      </c>
      <c r="F338" s="68">
        <v>0</v>
      </c>
      <c r="G338" s="68">
        <v>0</v>
      </c>
      <c r="H338" s="68">
        <v>0</v>
      </c>
      <c r="I338" s="68">
        <v>0</v>
      </c>
      <c r="J338" s="68">
        <v>0</v>
      </c>
      <c r="K338" s="68">
        <v>0</v>
      </c>
      <c r="L338" s="68">
        <v>0</v>
      </c>
      <c r="M338" s="68">
        <v>0</v>
      </c>
      <c r="N338" s="68">
        <v>0</v>
      </c>
      <c r="O338" s="68">
        <v>0</v>
      </c>
      <c r="P338" s="68">
        <v>0</v>
      </c>
      <c r="Q338" s="68">
        <v>0</v>
      </c>
      <c r="R338" s="69" t="s">
        <v>3470</v>
      </c>
      <c r="S338" s="69" t="s">
        <v>3471</v>
      </c>
      <c r="T338" s="70" t="s">
        <v>3472</v>
      </c>
      <c r="U338" s="452"/>
      <c r="V338" s="453" t="str">
        <f>IF(VLOOKUP($A338,'GeneratingCapabilityList sorted'!$E$9:$O$801,8,FALSE)&lt;&gt;"",VLOOKUP($A338,'GeneratingCapabilityList sorted'!$E$9:$O$801,8,FALSE),"NoneListed")</f>
        <v>NATURAL GAS</v>
      </c>
      <c r="W338" s="454">
        <f>IF($AB338,$AB338,IF($AA338,$AA338,Scenarios!$B$43))</f>
        <v>37685</v>
      </c>
      <c r="X338" s="454"/>
      <c r="Y338" s="454"/>
      <c r="Z338" s="454"/>
      <c r="AA338" s="454">
        <f>IFERROR(VLOOKUP($A338,'GeneratingCapabilityList sorted'!$E$9:$O$801,11,FALSE),Scenarios!$B$43)</f>
        <v>37685</v>
      </c>
      <c r="AB338" s="453"/>
      <c r="AC338" s="453"/>
    </row>
    <row r="339" spans="1:29" x14ac:dyDescent="0.25">
      <c r="A339" s="65" t="s">
        <v>2491</v>
      </c>
      <c r="B339" s="65" t="s">
        <v>3740</v>
      </c>
      <c r="C339" s="66" t="s">
        <v>3477</v>
      </c>
      <c r="D339" s="66" t="s">
        <v>3385</v>
      </c>
      <c r="E339" s="67">
        <v>46</v>
      </c>
      <c r="F339" s="68">
        <v>0</v>
      </c>
      <c r="G339" s="68">
        <v>0</v>
      </c>
      <c r="H339" s="68">
        <v>0</v>
      </c>
      <c r="I339" s="68">
        <v>0</v>
      </c>
      <c r="J339" s="68">
        <v>0</v>
      </c>
      <c r="K339" s="68">
        <v>0</v>
      </c>
      <c r="L339" s="68">
        <v>0</v>
      </c>
      <c r="M339" s="68">
        <v>0</v>
      </c>
      <c r="N339" s="68">
        <v>0</v>
      </c>
      <c r="O339" s="68">
        <v>0</v>
      </c>
      <c r="P339" s="68">
        <v>0</v>
      </c>
      <c r="Q339" s="68">
        <v>0</v>
      </c>
      <c r="R339" s="69" t="s">
        <v>3470</v>
      </c>
      <c r="S339" s="69" t="s">
        <v>3471</v>
      </c>
      <c r="T339" s="70" t="s">
        <v>3472</v>
      </c>
      <c r="U339" s="452"/>
      <c r="V339" s="453" t="str">
        <f>IF(VLOOKUP($A339,'GeneratingCapabilityList sorted'!$E$9:$O$801,8,FALSE)&lt;&gt;"",VLOOKUP($A339,'GeneratingCapabilityList sorted'!$E$9:$O$801,8,FALSE),"NoneListed")</f>
        <v>NATURAL GAS</v>
      </c>
      <c r="W339" s="454">
        <f>IF($AB339,$AB339,IF($AA339,$AA339,Scenarios!$B$43))</f>
        <v>37147</v>
      </c>
      <c r="X339" s="454"/>
      <c r="Y339" s="454"/>
      <c r="Z339" s="454"/>
      <c r="AA339" s="454">
        <f>IFERROR(VLOOKUP($A339,'GeneratingCapabilityList sorted'!$E$9:$O$801,11,FALSE),Scenarios!$B$43)</f>
        <v>37147</v>
      </c>
      <c r="AB339" s="453"/>
      <c r="AC339" s="453"/>
    </row>
    <row r="340" spans="1:29" x14ac:dyDescent="0.25">
      <c r="A340" s="65" t="s">
        <v>2494</v>
      </c>
      <c r="B340" s="65" t="s">
        <v>3741</v>
      </c>
      <c r="C340" s="66" t="s">
        <v>3477</v>
      </c>
      <c r="D340" s="66" t="s">
        <v>3385</v>
      </c>
      <c r="E340" s="67">
        <v>46</v>
      </c>
      <c r="F340" s="68">
        <v>0</v>
      </c>
      <c r="G340" s="68">
        <v>0</v>
      </c>
      <c r="H340" s="68">
        <v>0</v>
      </c>
      <c r="I340" s="68">
        <v>0</v>
      </c>
      <c r="J340" s="68">
        <v>0</v>
      </c>
      <c r="K340" s="68">
        <v>0</v>
      </c>
      <c r="L340" s="68">
        <v>0</v>
      </c>
      <c r="M340" s="68">
        <v>0</v>
      </c>
      <c r="N340" s="68">
        <v>0</v>
      </c>
      <c r="O340" s="68">
        <v>0</v>
      </c>
      <c r="P340" s="68">
        <v>0</v>
      </c>
      <c r="Q340" s="68">
        <v>0</v>
      </c>
      <c r="R340" s="69" t="s">
        <v>3470</v>
      </c>
      <c r="S340" s="69" t="s">
        <v>3471</v>
      </c>
      <c r="T340" s="70" t="s">
        <v>3472</v>
      </c>
      <c r="U340" s="452"/>
      <c r="V340" s="453" t="str">
        <f>IF(VLOOKUP($A340,'GeneratingCapabilityList sorted'!$E$9:$O$801,8,FALSE)&lt;&gt;"",VLOOKUP($A340,'GeneratingCapabilityList sorted'!$E$9:$O$801,8,FALSE),"NoneListed")</f>
        <v>NATURAL GAS</v>
      </c>
      <c r="W340" s="454">
        <f>IF($AB340,$AB340,IF($AA340,$AA340,Scenarios!$B$43))</f>
        <v>37147</v>
      </c>
      <c r="X340" s="454"/>
      <c r="Y340" s="454"/>
      <c r="Z340" s="454"/>
      <c r="AA340" s="454">
        <f>IFERROR(VLOOKUP($A340,'GeneratingCapabilityList sorted'!$E$9:$O$801,11,FALSE),Scenarios!$B$43)</f>
        <v>37147</v>
      </c>
      <c r="AB340" s="453"/>
      <c r="AC340" s="453"/>
    </row>
    <row r="341" spans="1:29" x14ac:dyDescent="0.25">
      <c r="A341" s="65" t="s">
        <v>2678</v>
      </c>
      <c r="B341" s="65" t="s">
        <v>3742</v>
      </c>
      <c r="C341" s="66" t="s">
        <v>3477</v>
      </c>
      <c r="D341" s="66" t="s">
        <v>3488</v>
      </c>
      <c r="E341" s="67">
        <v>165</v>
      </c>
      <c r="F341" s="68">
        <v>0</v>
      </c>
      <c r="G341" s="68">
        <v>0</v>
      </c>
      <c r="H341" s="68">
        <v>0</v>
      </c>
      <c r="I341" s="68">
        <v>0</v>
      </c>
      <c r="J341" s="68">
        <v>0</v>
      </c>
      <c r="K341" s="68">
        <v>0</v>
      </c>
      <c r="L341" s="68">
        <v>0</v>
      </c>
      <c r="M341" s="68">
        <v>0</v>
      </c>
      <c r="N341" s="68">
        <v>0</v>
      </c>
      <c r="O341" s="68">
        <v>0</v>
      </c>
      <c r="P341" s="68">
        <v>0</v>
      </c>
      <c r="Q341" s="68">
        <v>0</v>
      </c>
      <c r="R341" s="69" t="s">
        <v>3470</v>
      </c>
      <c r="S341" s="69" t="s">
        <v>3471</v>
      </c>
      <c r="T341" s="70" t="s">
        <v>3472</v>
      </c>
      <c r="U341" s="452"/>
      <c r="V341" s="453" t="str">
        <f>IF(VLOOKUP($A341,'GeneratingCapabilityList sorted'!$E$9:$O$801,8,FALSE)&lt;&gt;"",VLOOKUP($A341,'GeneratingCapabilityList sorted'!$E$9:$O$801,8,FALSE),"NoneListed")</f>
        <v>NATURAL GAS</v>
      </c>
      <c r="W341" s="454">
        <f>IF($AB341,$AB341,IF($AA341,$AA341,Scenarios!$B$43))</f>
        <v>37822</v>
      </c>
      <c r="X341" s="454"/>
      <c r="Y341" s="454"/>
      <c r="Z341" s="454"/>
      <c r="AA341" s="454">
        <f>IFERROR(VLOOKUP($A341,'GeneratingCapabilityList sorted'!$E$9:$O$801,11,FALSE),Scenarios!$B$43)</f>
        <v>37822</v>
      </c>
      <c r="AB341" s="453"/>
      <c r="AC341" s="453"/>
    </row>
    <row r="342" spans="1:29" x14ac:dyDescent="0.25">
      <c r="A342" s="65" t="s">
        <v>2681</v>
      </c>
      <c r="B342" s="65" t="s">
        <v>3743</v>
      </c>
      <c r="C342" s="66" t="s">
        <v>3477</v>
      </c>
      <c r="D342" s="66" t="s">
        <v>3488</v>
      </c>
      <c r="E342" s="67">
        <v>322</v>
      </c>
      <c r="F342" s="68">
        <v>0</v>
      </c>
      <c r="G342" s="68">
        <v>0</v>
      </c>
      <c r="H342" s="68">
        <v>0</v>
      </c>
      <c r="I342" s="68">
        <v>0</v>
      </c>
      <c r="J342" s="68">
        <v>0</v>
      </c>
      <c r="K342" s="68">
        <v>0</v>
      </c>
      <c r="L342" s="68">
        <v>0</v>
      </c>
      <c r="M342" s="68">
        <v>0</v>
      </c>
      <c r="N342" s="68">
        <v>0</v>
      </c>
      <c r="O342" s="68">
        <v>0</v>
      </c>
      <c r="P342" s="68">
        <v>0</v>
      </c>
      <c r="Q342" s="68">
        <v>0</v>
      </c>
      <c r="R342" s="69" t="s">
        <v>3470</v>
      </c>
      <c r="S342" s="69" t="s">
        <v>3471</v>
      </c>
      <c r="T342" s="70" t="s">
        <v>3472</v>
      </c>
      <c r="U342" s="452"/>
      <c r="V342" s="453" t="str">
        <f>IF(VLOOKUP($A342,'GeneratingCapabilityList sorted'!$E$9:$O$801,8,FALSE)&lt;&gt;"",VLOOKUP($A342,'GeneratingCapabilityList sorted'!$E$9:$O$801,8,FALSE),"NoneListed")</f>
        <v>NATURAL GAS</v>
      </c>
      <c r="W342" s="454">
        <f>IF($AB342,$AB342,IF($AA342,$AA342,Scenarios!$B$43))</f>
        <v>37824</v>
      </c>
      <c r="X342" s="454"/>
      <c r="Y342" s="454"/>
      <c r="Z342" s="454"/>
      <c r="AA342" s="454">
        <f>IFERROR(VLOOKUP($A342,'GeneratingCapabilityList sorted'!$E$9:$O$801,11,FALSE),Scenarios!$B$43)</f>
        <v>37824</v>
      </c>
      <c r="AB342" s="453"/>
      <c r="AC342" s="453"/>
    </row>
    <row r="343" spans="1:29" x14ac:dyDescent="0.25">
      <c r="A343" s="65" t="s">
        <v>2810</v>
      </c>
      <c r="B343" s="65" t="s">
        <v>2811</v>
      </c>
      <c r="C343" s="66" t="s">
        <v>3468</v>
      </c>
      <c r="D343" s="66" t="s">
        <v>3488</v>
      </c>
      <c r="E343" s="67">
        <v>0</v>
      </c>
      <c r="F343" s="68">
        <v>23.54</v>
      </c>
      <c r="G343" s="68">
        <v>25</v>
      </c>
      <c r="H343" s="68">
        <v>22.71</v>
      </c>
      <c r="I343" s="68">
        <v>15.71</v>
      </c>
      <c r="J343" s="68">
        <v>24.84</v>
      </c>
      <c r="K343" s="68">
        <v>26.47</v>
      </c>
      <c r="L343" s="68">
        <v>21.8</v>
      </c>
      <c r="M343" s="68">
        <v>21.93</v>
      </c>
      <c r="N343" s="68">
        <v>18.62</v>
      </c>
      <c r="O343" s="68">
        <v>14.93</v>
      </c>
      <c r="P343" s="68">
        <v>20.21</v>
      </c>
      <c r="Q343" s="68">
        <v>22.26</v>
      </c>
      <c r="R343" s="69" t="s">
        <v>3470</v>
      </c>
      <c r="S343" s="69" t="s">
        <v>3489</v>
      </c>
      <c r="T343" s="70" t="s">
        <v>3497</v>
      </c>
      <c r="U343" s="452"/>
      <c r="V343" s="453" t="str">
        <f>IF(VLOOKUP($A343,'GeneratingCapabilityList sorted'!$E$9:$O$801,8,FALSE)&lt;&gt;"",VLOOKUP($A343,'GeneratingCapabilityList sorted'!$E$9:$O$801,8,FALSE),"NoneListed")</f>
        <v>COAL</v>
      </c>
      <c r="W343" s="454">
        <f>IF($AB343,$AB343,IF($AA343,$AA343,Scenarios!$B$43))</f>
        <v>38687</v>
      </c>
      <c r="X343" s="454"/>
      <c r="Y343" s="454"/>
      <c r="Z343" s="454"/>
      <c r="AA343" s="454">
        <f>IFERROR(VLOOKUP($A343,'GeneratingCapabilityList sorted'!$E$9:$O$801,11,FALSE),Scenarios!$B$43)</f>
        <v>38687</v>
      </c>
      <c r="AB343" s="453"/>
      <c r="AC343" s="453"/>
    </row>
    <row r="344" spans="1:29" x14ac:dyDescent="0.25">
      <c r="A344" s="65" t="s">
        <v>2290</v>
      </c>
      <c r="B344" s="65" t="s">
        <v>3744</v>
      </c>
      <c r="C344" s="66" t="s">
        <v>3468</v>
      </c>
      <c r="D344" s="66" t="s">
        <v>3382</v>
      </c>
      <c r="E344" s="67">
        <v>0</v>
      </c>
      <c r="F344" s="68">
        <v>0.14000000000000001</v>
      </c>
      <c r="G344" s="68">
        <v>0.16</v>
      </c>
      <c r="H344" s="68">
        <v>0.14000000000000001</v>
      </c>
      <c r="I344" s="68">
        <v>0.11</v>
      </c>
      <c r="J344" s="68">
        <v>0.15</v>
      </c>
      <c r="K344" s="68">
        <v>0.16</v>
      </c>
      <c r="L344" s="68">
        <v>0.17</v>
      </c>
      <c r="M344" s="68">
        <v>0.16</v>
      </c>
      <c r="N344" s="68">
        <v>0.2</v>
      </c>
      <c r="O344" s="68">
        <v>0.17</v>
      </c>
      <c r="P344" s="68">
        <v>0.15</v>
      </c>
      <c r="Q344" s="68">
        <v>0.15</v>
      </c>
      <c r="R344" s="69" t="s">
        <v>3470</v>
      </c>
      <c r="S344" s="69" t="s">
        <v>3489</v>
      </c>
      <c r="T344" s="70" t="s">
        <v>3497</v>
      </c>
      <c r="U344" s="452"/>
      <c r="V344" s="453" t="str">
        <f>IF(VLOOKUP($A344,'GeneratingCapabilityList sorted'!$E$9:$O$801,8,FALSE)&lt;&gt;"",VLOOKUP($A344,'GeneratingCapabilityList sorted'!$E$9:$O$801,8,FALSE),"NoneListed")</f>
        <v>LANDFILL GAS</v>
      </c>
      <c r="W344" s="454">
        <f>IF($AB344,$AB344,IF($AA344,$AA344,Scenarios!$B$43))</f>
        <v>36161</v>
      </c>
      <c r="X344" s="454"/>
      <c r="Y344" s="454"/>
      <c r="Z344" s="454"/>
      <c r="AA344" s="454">
        <f>IFERROR(VLOOKUP($A344,'GeneratingCapabilityList sorted'!$E$9:$O$801,11,FALSE),Scenarios!$B$43)</f>
        <v>36161</v>
      </c>
      <c r="AB344" s="453"/>
      <c r="AC344" s="453"/>
    </row>
    <row r="345" spans="1:29" x14ac:dyDescent="0.25">
      <c r="A345" s="65" t="s">
        <v>2756</v>
      </c>
      <c r="B345" s="65" t="s">
        <v>3745</v>
      </c>
      <c r="C345" s="66" t="s">
        <v>3477</v>
      </c>
      <c r="D345" s="66" t="s">
        <v>3388</v>
      </c>
      <c r="E345" s="67">
        <v>0</v>
      </c>
      <c r="F345" s="68">
        <v>750.66</v>
      </c>
      <c r="G345" s="68">
        <v>750.66</v>
      </c>
      <c r="H345" s="68">
        <v>740</v>
      </c>
      <c r="I345" s="68">
        <v>725</v>
      </c>
      <c r="J345" s="68">
        <v>715</v>
      </c>
      <c r="K345" s="68">
        <v>715</v>
      </c>
      <c r="L345" s="68">
        <v>715</v>
      </c>
      <c r="M345" s="68">
        <v>715</v>
      </c>
      <c r="N345" s="68">
        <v>715</v>
      </c>
      <c r="O345" s="68">
        <v>720</v>
      </c>
      <c r="P345" s="68">
        <v>735</v>
      </c>
      <c r="Q345" s="68">
        <v>750.66</v>
      </c>
      <c r="R345" s="69" t="s">
        <v>3470</v>
      </c>
      <c r="S345" s="69" t="s">
        <v>3471</v>
      </c>
      <c r="T345" s="70" t="s">
        <v>3472</v>
      </c>
      <c r="U345" s="452"/>
      <c r="V345" s="453" t="str">
        <f>IF(VLOOKUP($A345,'GeneratingCapabilityList sorted'!$E$9:$O$801,8,FALSE)&lt;&gt;"",VLOOKUP($A345,'GeneratingCapabilityList sorted'!$E$9:$O$801,8,FALSE),"NoneListed")</f>
        <v>NATURAL GAS</v>
      </c>
      <c r="W345" s="454">
        <f>IF($AB345,$AB345,IF($AA345,$AA345,Scenarios!$B$43))</f>
        <v>38476</v>
      </c>
      <c r="X345" s="454"/>
      <c r="Y345" s="454"/>
      <c r="Z345" s="454"/>
      <c r="AA345" s="454">
        <f>IFERROR(VLOOKUP($A345,'GeneratingCapabilityList sorted'!$E$9:$O$801,11,FALSE),Scenarios!$B$43)</f>
        <v>38476</v>
      </c>
      <c r="AB345" s="453"/>
      <c r="AC345" s="453"/>
    </row>
    <row r="346" spans="1:29" x14ac:dyDescent="0.25">
      <c r="A346" s="65" t="s">
        <v>2625</v>
      </c>
      <c r="B346" s="65" t="s">
        <v>3746</v>
      </c>
      <c r="C346" s="66" t="s">
        <v>3468</v>
      </c>
      <c r="D346" s="66" t="s">
        <v>3382</v>
      </c>
      <c r="E346" s="67">
        <v>0</v>
      </c>
      <c r="F346" s="68">
        <v>188</v>
      </c>
      <c r="G346" s="68">
        <v>188</v>
      </c>
      <c r="H346" s="68">
        <v>188</v>
      </c>
      <c r="I346" s="68">
        <v>188</v>
      </c>
      <c r="J346" s="68">
        <v>188</v>
      </c>
      <c r="K346" s="68">
        <v>188</v>
      </c>
      <c r="L346" s="68">
        <v>187</v>
      </c>
      <c r="M346" s="68">
        <v>186</v>
      </c>
      <c r="N346" s="68">
        <v>187</v>
      </c>
      <c r="O346" s="68">
        <v>188</v>
      </c>
      <c r="P346" s="68">
        <v>188</v>
      </c>
      <c r="Q346" s="68">
        <v>188</v>
      </c>
      <c r="R346" s="69" t="s">
        <v>3470</v>
      </c>
      <c r="S346" s="69" t="s">
        <v>3471</v>
      </c>
      <c r="T346" s="70" t="s">
        <v>3472</v>
      </c>
      <c r="U346" s="452"/>
      <c r="V346" s="453" t="str">
        <f>IF(VLOOKUP($A346,'GeneratingCapabilityList sorted'!$E$9:$O$801,8,FALSE)&lt;&gt;"",VLOOKUP($A346,'GeneratingCapabilityList sorted'!$E$9:$O$801,8,FALSE),"NoneListed")</f>
        <v>NATURAL GAS</v>
      </c>
      <c r="W346" s="454">
        <f>IF($AB346,$AB346,IF($AA346,$AA346,Scenarios!$B$43))</f>
        <v>37687</v>
      </c>
      <c r="X346" s="454"/>
      <c r="Y346" s="454"/>
      <c r="Z346" s="454"/>
      <c r="AA346" s="454">
        <f>IFERROR(VLOOKUP($A346,'GeneratingCapabilityList sorted'!$E$9:$O$801,11,FALSE),Scenarios!$B$43)</f>
        <v>37687</v>
      </c>
      <c r="AB346" s="453"/>
      <c r="AC346" s="453"/>
    </row>
    <row r="347" spans="1:29" x14ac:dyDescent="0.25">
      <c r="A347" s="65" t="s">
        <v>1060</v>
      </c>
      <c r="B347" s="65" t="s">
        <v>1061</v>
      </c>
      <c r="C347" s="66" t="s">
        <v>3468</v>
      </c>
      <c r="D347" s="66" t="s">
        <v>3488</v>
      </c>
      <c r="E347" s="67">
        <v>0</v>
      </c>
      <c r="F347" s="68">
        <v>0</v>
      </c>
      <c r="G347" s="68">
        <v>0</v>
      </c>
      <c r="H347" s="68">
        <v>0</v>
      </c>
      <c r="I347" s="68">
        <v>0</v>
      </c>
      <c r="J347" s="68">
        <v>0</v>
      </c>
      <c r="K347" s="68">
        <v>0</v>
      </c>
      <c r="L347" s="68">
        <v>0</v>
      </c>
      <c r="M347" s="68">
        <v>0</v>
      </c>
      <c r="N347" s="68">
        <v>0</v>
      </c>
      <c r="O347" s="68">
        <v>0</v>
      </c>
      <c r="P347" s="68">
        <v>0</v>
      </c>
      <c r="Q347" s="68">
        <v>0</v>
      </c>
      <c r="R347" s="69" t="s">
        <v>3470</v>
      </c>
      <c r="S347" s="69" t="s">
        <v>3489</v>
      </c>
      <c r="T347" s="70" t="s">
        <v>3502</v>
      </c>
      <c r="U347" s="452"/>
      <c r="V347" s="453" t="str">
        <f>IF(VLOOKUP($A347,'GeneratingCapabilityList sorted'!$E$9:$O$801,8,FALSE)&lt;&gt;"",VLOOKUP($A347,'GeneratingCapabilityList sorted'!$E$9:$O$801,8,FALSE),"NoneListed")</f>
        <v>WATER</v>
      </c>
      <c r="W347" s="454">
        <f>IF($AB347,$AB347,IF($AA347,$AA347,Scenarios!$B$43))</f>
        <v>30692</v>
      </c>
      <c r="X347" s="454"/>
      <c r="Y347" s="454"/>
      <c r="Z347" s="454"/>
      <c r="AA347" s="454">
        <f>IFERROR(VLOOKUP($A347,'GeneratingCapabilityList sorted'!$E$9:$O$801,11,FALSE),Scenarios!$B$43)</f>
        <v>30692</v>
      </c>
      <c r="AB347" s="453"/>
      <c r="AC347" s="453"/>
    </row>
    <row r="348" spans="1:29" x14ac:dyDescent="0.25">
      <c r="A348" s="65" t="s">
        <v>1220</v>
      </c>
      <c r="B348" s="65" t="s">
        <v>1221</v>
      </c>
      <c r="C348" s="66" t="s">
        <v>3468</v>
      </c>
      <c r="D348" s="66" t="s">
        <v>3382</v>
      </c>
      <c r="E348" s="67">
        <v>0</v>
      </c>
      <c r="F348" s="68">
        <v>0</v>
      </c>
      <c r="G348" s="68">
        <v>0.36</v>
      </c>
      <c r="H348" s="68">
        <v>1.93</v>
      </c>
      <c r="I348" s="68">
        <v>1.01</v>
      </c>
      <c r="J348" s="68">
        <v>1.96</v>
      </c>
      <c r="K348" s="68">
        <v>2.62</v>
      </c>
      <c r="L348" s="68">
        <v>3.62</v>
      </c>
      <c r="M348" s="68">
        <v>1.72</v>
      </c>
      <c r="N348" s="68">
        <v>0.41</v>
      </c>
      <c r="O348" s="68">
        <v>0.42</v>
      </c>
      <c r="P348" s="68">
        <v>0.04</v>
      </c>
      <c r="Q348" s="68">
        <v>0</v>
      </c>
      <c r="R348" s="69" t="s">
        <v>3470</v>
      </c>
      <c r="S348" s="69" t="s">
        <v>3489</v>
      </c>
      <c r="T348" s="70" t="s">
        <v>3425</v>
      </c>
      <c r="U348" s="452"/>
      <c r="V348" s="453" t="str">
        <f>IF(VLOOKUP($A348,'GeneratingCapabilityList sorted'!$E$9:$O$801,8,FALSE)&lt;&gt;"",VLOOKUP($A348,'GeneratingCapabilityList sorted'!$E$9:$O$801,8,FALSE),"NoneListed")</f>
        <v>WIND</v>
      </c>
      <c r="W348" s="454">
        <f>IF($AB348,$AB348,IF($AA348,$AA348,Scenarios!$B$43))</f>
        <v>31139</v>
      </c>
      <c r="X348" s="454"/>
      <c r="Y348" s="454"/>
      <c r="Z348" s="454"/>
      <c r="AA348" s="454">
        <f>IFERROR(VLOOKUP($A348,'GeneratingCapabilityList sorted'!$E$9:$O$801,11,FALSE),Scenarios!$B$43)</f>
        <v>31139</v>
      </c>
      <c r="AB348" s="453"/>
      <c r="AC348" s="453"/>
    </row>
    <row r="349" spans="1:29" x14ac:dyDescent="0.25">
      <c r="A349" s="65" t="s">
        <v>1943</v>
      </c>
      <c r="B349" s="65" t="s">
        <v>1944</v>
      </c>
      <c r="C349" s="66" t="s">
        <v>3477</v>
      </c>
      <c r="D349" s="66" t="s">
        <v>3387</v>
      </c>
      <c r="E349" s="67">
        <v>0</v>
      </c>
      <c r="F349" s="68">
        <v>49.17</v>
      </c>
      <c r="G349" s="68">
        <v>51.11</v>
      </c>
      <c r="H349" s="68">
        <v>43.43</v>
      </c>
      <c r="I349" s="68">
        <v>46.22</v>
      </c>
      <c r="J349" s="68">
        <v>42.59</v>
      </c>
      <c r="K349" s="68">
        <v>48.56</v>
      </c>
      <c r="L349" s="68">
        <v>41.3</v>
      </c>
      <c r="M349" s="68">
        <v>46.55</v>
      </c>
      <c r="N349" s="68">
        <v>46.71</v>
      </c>
      <c r="O349" s="68">
        <v>40.47</v>
      </c>
      <c r="P349" s="68">
        <v>28.37</v>
      </c>
      <c r="Q349" s="68">
        <v>41.03</v>
      </c>
      <c r="R349" s="69" t="s">
        <v>3470</v>
      </c>
      <c r="S349" s="69" t="s">
        <v>3489</v>
      </c>
      <c r="T349" s="70" t="s">
        <v>3497</v>
      </c>
      <c r="U349" s="452"/>
      <c r="V349" s="453" t="str">
        <f>IF(VLOOKUP($A349,'GeneratingCapabilityList sorted'!$E$9:$O$801,8,FALSE)&lt;&gt;"",VLOOKUP($A349,'GeneratingCapabilityList sorted'!$E$9:$O$801,8,FALSE),"NoneListed")</f>
        <v>NATURAL GAS</v>
      </c>
      <c r="W349" s="454">
        <f>IF($AB349,$AB349,IF($AA349,$AA349,Scenarios!$B$43))</f>
        <v>32864</v>
      </c>
      <c r="X349" s="454"/>
      <c r="Y349" s="454"/>
      <c r="Z349" s="454"/>
      <c r="AA349" s="454">
        <f>IFERROR(VLOOKUP($A349,'GeneratingCapabilityList sorted'!$E$9:$O$801,11,FALSE),Scenarios!$B$43)</f>
        <v>32864</v>
      </c>
      <c r="AB349" s="453"/>
      <c r="AC349" s="453"/>
    </row>
    <row r="350" spans="1:29" x14ac:dyDescent="0.25">
      <c r="A350" s="65" t="s">
        <v>714</v>
      </c>
      <c r="B350" s="65" t="s">
        <v>3747</v>
      </c>
      <c r="C350" s="66" t="s">
        <v>3477</v>
      </c>
      <c r="D350" s="66" t="s">
        <v>3387</v>
      </c>
      <c r="E350" s="67">
        <v>0</v>
      </c>
      <c r="F350" s="68">
        <v>0.67</v>
      </c>
      <c r="G350" s="68">
        <v>0.52</v>
      </c>
      <c r="H350" s="68">
        <v>0.56999999999999995</v>
      </c>
      <c r="I350" s="68">
        <v>0.67</v>
      </c>
      <c r="J350" s="68">
        <v>0.94</v>
      </c>
      <c r="K350" s="68">
        <v>0.94</v>
      </c>
      <c r="L350" s="68">
        <v>0.79</v>
      </c>
      <c r="M350" s="68">
        <v>1.1000000000000001</v>
      </c>
      <c r="N350" s="68">
        <v>1.1000000000000001</v>
      </c>
      <c r="O350" s="68">
        <v>1.02</v>
      </c>
      <c r="P350" s="68">
        <v>0.99</v>
      </c>
      <c r="Q350" s="68">
        <v>0.82</v>
      </c>
      <c r="R350" s="69" t="s">
        <v>3470</v>
      </c>
      <c r="S350" s="69" t="s">
        <v>3489</v>
      </c>
      <c r="T350" s="70" t="s">
        <v>3497</v>
      </c>
      <c r="U350" s="452"/>
      <c r="V350" s="453" t="str">
        <f>IF(VLOOKUP($A350,'GeneratingCapabilityList sorted'!$E$9:$O$801,8,FALSE)&lt;&gt;"",VLOOKUP($A350,'GeneratingCapabilityList sorted'!$E$9:$O$801,8,FALSE),"NoneListed")</f>
        <v>NATURAL GAS</v>
      </c>
      <c r="W350" s="454">
        <f>IF($AB350,$AB350,IF($AA350,$AA350,Scenarios!$B$43))</f>
        <v>27760</v>
      </c>
      <c r="X350" s="454"/>
      <c r="Y350" s="454"/>
      <c r="Z350" s="454"/>
      <c r="AA350" s="454">
        <f>IFERROR(VLOOKUP($A350,'GeneratingCapabilityList sorted'!$E$9:$O$801,11,FALSE),Scenarios!$B$43)</f>
        <v>27760</v>
      </c>
      <c r="AB350" s="453"/>
      <c r="AC350" s="453"/>
    </row>
    <row r="351" spans="1:29" x14ac:dyDescent="0.25">
      <c r="A351" s="65" t="s">
        <v>2108</v>
      </c>
      <c r="B351" s="65" t="s">
        <v>2109</v>
      </c>
      <c r="C351" s="66" t="s">
        <v>3468</v>
      </c>
      <c r="D351" s="66" t="s">
        <v>3505</v>
      </c>
      <c r="E351" s="67">
        <v>0</v>
      </c>
      <c r="F351" s="68">
        <v>47.37</v>
      </c>
      <c r="G351" s="68">
        <v>47.27</v>
      </c>
      <c r="H351" s="68">
        <v>47.27</v>
      </c>
      <c r="I351" s="68">
        <v>47.41</v>
      </c>
      <c r="J351" s="68">
        <v>33.619999999999997</v>
      </c>
      <c r="K351" s="68">
        <v>45.41</v>
      </c>
      <c r="L351" s="68">
        <v>45.05</v>
      </c>
      <c r="M351" s="68">
        <v>44.27</v>
      </c>
      <c r="N351" s="68">
        <v>41.86</v>
      </c>
      <c r="O351" s="68">
        <v>38.89</v>
      </c>
      <c r="P351" s="68">
        <v>47.73</v>
      </c>
      <c r="Q351" s="68">
        <v>45.31</v>
      </c>
      <c r="R351" s="69" t="s">
        <v>3470</v>
      </c>
      <c r="S351" s="69" t="s">
        <v>3489</v>
      </c>
      <c r="T351" s="70" t="s">
        <v>3497</v>
      </c>
      <c r="U351" s="452"/>
      <c r="V351" s="453" t="str">
        <f>IF(VLOOKUP($A351,'GeneratingCapabilityList sorted'!$E$9:$O$801,8,FALSE)&lt;&gt;"",VLOOKUP($A351,'GeneratingCapabilityList sorted'!$E$9:$O$801,8,FALSE),"NoneListed")</f>
        <v>NATURAL GAS</v>
      </c>
      <c r="W351" s="454">
        <f>IF($AB351,$AB351,IF($AA351,$AA351,Scenarios!$B$43))</f>
        <v>33313</v>
      </c>
      <c r="X351" s="454"/>
      <c r="Y351" s="454"/>
      <c r="Z351" s="454"/>
      <c r="AA351" s="454">
        <f>IFERROR(VLOOKUP($A351,'GeneratingCapabilityList sorted'!$E$9:$O$801,11,FALSE),Scenarios!$B$43)</f>
        <v>33313</v>
      </c>
      <c r="AB351" s="453"/>
      <c r="AC351" s="453"/>
    </row>
    <row r="352" spans="1:29" x14ac:dyDescent="0.25">
      <c r="A352" s="65" t="s">
        <v>2613</v>
      </c>
      <c r="B352" s="65" t="s">
        <v>3748</v>
      </c>
      <c r="C352" s="66" t="s">
        <v>3468</v>
      </c>
      <c r="D352" s="66" t="s">
        <v>3382</v>
      </c>
      <c r="E352" s="67">
        <v>0</v>
      </c>
      <c r="F352" s="68">
        <v>48</v>
      </c>
      <c r="G352" s="68">
        <v>48</v>
      </c>
      <c r="H352" s="68">
        <v>48</v>
      </c>
      <c r="I352" s="68">
        <v>48</v>
      </c>
      <c r="J352" s="68">
        <v>47</v>
      </c>
      <c r="K352" s="68">
        <v>47</v>
      </c>
      <c r="L352" s="68">
        <v>47</v>
      </c>
      <c r="M352" s="68">
        <v>47</v>
      </c>
      <c r="N352" s="68">
        <v>47</v>
      </c>
      <c r="O352" s="68">
        <v>48</v>
      </c>
      <c r="P352" s="68">
        <v>48</v>
      </c>
      <c r="Q352" s="68">
        <v>48</v>
      </c>
      <c r="R352" s="69" t="s">
        <v>3470</v>
      </c>
      <c r="S352" s="69" t="s">
        <v>3471</v>
      </c>
      <c r="T352" s="70" t="s">
        <v>3472</v>
      </c>
      <c r="U352" s="452"/>
      <c r="V352" s="453" t="str">
        <f>IF(VLOOKUP($A352,'GeneratingCapabilityList sorted'!$E$9:$O$801,8,FALSE)&lt;&gt;"",VLOOKUP($A352,'GeneratingCapabilityList sorted'!$E$9:$O$801,8,FALSE),"NoneListed")</f>
        <v>NATURAL GAS</v>
      </c>
      <c r="W352" s="454">
        <f>IF($AB352,$AB352,IF($AA352,$AA352,Scenarios!$B$43))</f>
        <v>37627</v>
      </c>
      <c r="X352" s="454"/>
      <c r="Y352" s="454"/>
      <c r="Z352" s="454"/>
      <c r="AA352" s="454">
        <f>IFERROR(VLOOKUP($A352,'GeneratingCapabilityList sorted'!$E$9:$O$801,11,FALSE),Scenarios!$B$43)</f>
        <v>37627</v>
      </c>
      <c r="AB352" s="453"/>
      <c r="AC352" s="453"/>
    </row>
    <row r="353" spans="1:29" x14ac:dyDescent="0.25">
      <c r="A353" s="65" t="s">
        <v>2607</v>
      </c>
      <c r="B353" s="65" t="s">
        <v>3749</v>
      </c>
      <c r="C353" s="66" t="s">
        <v>3468</v>
      </c>
      <c r="D353" s="66" t="s">
        <v>3382</v>
      </c>
      <c r="E353" s="67">
        <v>0</v>
      </c>
      <c r="F353" s="68">
        <v>48</v>
      </c>
      <c r="G353" s="68">
        <v>48</v>
      </c>
      <c r="H353" s="68">
        <v>48</v>
      </c>
      <c r="I353" s="68">
        <v>48</v>
      </c>
      <c r="J353" s="68">
        <v>47</v>
      </c>
      <c r="K353" s="68">
        <v>47</v>
      </c>
      <c r="L353" s="68">
        <v>46</v>
      </c>
      <c r="M353" s="68">
        <v>46</v>
      </c>
      <c r="N353" s="68">
        <v>46</v>
      </c>
      <c r="O353" s="68">
        <v>48</v>
      </c>
      <c r="P353" s="68">
        <v>48</v>
      </c>
      <c r="Q353" s="68">
        <v>48</v>
      </c>
      <c r="R353" s="69" t="s">
        <v>3470</v>
      </c>
      <c r="S353" s="69" t="s">
        <v>3471</v>
      </c>
      <c r="T353" s="70" t="s">
        <v>3472</v>
      </c>
      <c r="U353" s="452"/>
      <c r="V353" s="453" t="str">
        <f>IF(VLOOKUP($A353,'GeneratingCapabilityList sorted'!$E$9:$O$801,8,FALSE)&lt;&gt;"",VLOOKUP($A353,'GeneratingCapabilityList sorted'!$E$9:$O$801,8,FALSE),"NoneListed")</f>
        <v>NATURAL GAS</v>
      </c>
      <c r="W353" s="454">
        <f>IF($AB353,$AB353,IF($AA353,$AA353,Scenarios!$B$43))</f>
        <v>37627</v>
      </c>
      <c r="X353" s="454"/>
      <c r="Y353" s="454"/>
      <c r="Z353" s="454"/>
      <c r="AA353" s="454">
        <f>IFERROR(VLOOKUP($A353,'GeneratingCapabilityList sorted'!$E$9:$O$801,11,FALSE),Scenarios!$B$43)</f>
        <v>37627</v>
      </c>
      <c r="AB353" s="453"/>
      <c r="AC353" s="453"/>
    </row>
    <row r="354" spans="1:29" x14ac:dyDescent="0.25">
      <c r="A354" s="65" t="s">
        <v>2610</v>
      </c>
      <c r="B354" s="65" t="s">
        <v>3750</v>
      </c>
      <c r="C354" s="66" t="s">
        <v>3468</v>
      </c>
      <c r="D354" s="66" t="s">
        <v>3382</v>
      </c>
      <c r="E354" s="67">
        <v>0</v>
      </c>
      <c r="F354" s="68">
        <v>48</v>
      </c>
      <c r="G354" s="68">
        <v>48</v>
      </c>
      <c r="H354" s="68">
        <v>48</v>
      </c>
      <c r="I354" s="68">
        <v>48</v>
      </c>
      <c r="J354" s="68">
        <v>47</v>
      </c>
      <c r="K354" s="68">
        <v>47</v>
      </c>
      <c r="L354" s="68">
        <v>47</v>
      </c>
      <c r="M354" s="68">
        <v>47</v>
      </c>
      <c r="N354" s="68">
        <v>47</v>
      </c>
      <c r="O354" s="68">
        <v>48</v>
      </c>
      <c r="P354" s="68">
        <v>48</v>
      </c>
      <c r="Q354" s="68">
        <v>48</v>
      </c>
      <c r="R354" s="69" t="s">
        <v>3470</v>
      </c>
      <c r="S354" s="69" t="s">
        <v>3471</v>
      </c>
      <c r="T354" s="70" t="s">
        <v>3472</v>
      </c>
      <c r="U354" s="452"/>
      <c r="V354" s="453" t="str">
        <f>IF(VLOOKUP($A354,'GeneratingCapabilityList sorted'!$E$9:$O$801,8,FALSE)&lt;&gt;"",VLOOKUP($A354,'GeneratingCapabilityList sorted'!$E$9:$O$801,8,FALSE),"NoneListed")</f>
        <v>NATURAL GAS</v>
      </c>
      <c r="W354" s="454">
        <f>IF($AB354,$AB354,IF($AA354,$AA354,Scenarios!$B$43))</f>
        <v>37627</v>
      </c>
      <c r="X354" s="454"/>
      <c r="Y354" s="454"/>
      <c r="Z354" s="454"/>
      <c r="AA354" s="454">
        <f>IFERROR(VLOOKUP($A354,'GeneratingCapabilityList sorted'!$E$9:$O$801,11,FALSE),Scenarios!$B$43)</f>
        <v>37627</v>
      </c>
      <c r="AB354" s="453"/>
      <c r="AC354" s="453"/>
    </row>
    <row r="355" spans="1:29" x14ac:dyDescent="0.25">
      <c r="A355" s="65" t="s">
        <v>2372</v>
      </c>
      <c r="B355" s="65" t="s">
        <v>3751</v>
      </c>
      <c r="C355" s="66" t="s">
        <v>3468</v>
      </c>
      <c r="D355" s="66" t="s">
        <v>3382</v>
      </c>
      <c r="E355" s="67">
        <v>0</v>
      </c>
      <c r="F355" s="68">
        <v>561.29</v>
      </c>
      <c r="G355" s="68">
        <v>561.29</v>
      </c>
      <c r="H355" s="68">
        <v>561.29</v>
      </c>
      <c r="I355" s="68">
        <v>561.29</v>
      </c>
      <c r="J355" s="68">
        <v>556</v>
      </c>
      <c r="K355" s="68">
        <v>556</v>
      </c>
      <c r="L355" s="68">
        <v>556</v>
      </c>
      <c r="M355" s="68">
        <v>556</v>
      </c>
      <c r="N355" s="68">
        <v>556</v>
      </c>
      <c r="O355" s="68">
        <v>561.29</v>
      </c>
      <c r="P355" s="68">
        <v>561.29</v>
      </c>
      <c r="Q355" s="68">
        <v>561.29</v>
      </c>
      <c r="R355" s="69" t="s">
        <v>3470</v>
      </c>
      <c r="S355" s="69" t="s">
        <v>3471</v>
      </c>
      <c r="T355" s="70" t="s">
        <v>3472</v>
      </c>
      <c r="U355" s="452"/>
      <c r="V355" s="453" t="str">
        <f>IF(VLOOKUP($A355,'GeneratingCapabilityList sorted'!$E$9:$O$801,8,FALSE)&lt;&gt;"",VLOOKUP($A355,'GeneratingCapabilityList sorted'!$E$9:$O$801,8,FALSE),"NoneListed")</f>
        <v>NATURAL GAS</v>
      </c>
      <c r="W355" s="454">
        <f>IF($AB355,$AB355,IF($AA355,$AA355,Scenarios!$B$43))</f>
        <v>37051</v>
      </c>
      <c r="X355" s="454"/>
      <c r="Y355" s="454"/>
      <c r="Z355" s="454"/>
      <c r="AA355" s="454">
        <f>IFERROR(VLOOKUP($A355,'GeneratingCapabilityList sorted'!$E$9:$O$801,11,FALSE),Scenarios!$B$43)</f>
        <v>37051</v>
      </c>
      <c r="AB355" s="453"/>
      <c r="AC355" s="453"/>
    </row>
    <row r="356" spans="1:29" x14ac:dyDescent="0.25">
      <c r="A356" s="65" t="s">
        <v>1312</v>
      </c>
      <c r="B356" s="65" t="s">
        <v>3752</v>
      </c>
      <c r="C356" s="66" t="s">
        <v>3468</v>
      </c>
      <c r="D356" s="66" t="s">
        <v>3508</v>
      </c>
      <c r="E356" s="67">
        <v>22.7</v>
      </c>
      <c r="F356" s="68">
        <v>0</v>
      </c>
      <c r="G356" s="68">
        <v>0</v>
      </c>
      <c r="H356" s="68">
        <v>0</v>
      </c>
      <c r="I356" s="68">
        <v>0</v>
      </c>
      <c r="J356" s="68">
        <v>0</v>
      </c>
      <c r="K356" s="68">
        <v>0</v>
      </c>
      <c r="L356" s="68">
        <v>0</v>
      </c>
      <c r="M356" s="68">
        <v>0</v>
      </c>
      <c r="N356" s="68">
        <v>0</v>
      </c>
      <c r="O356" s="68">
        <v>0</v>
      </c>
      <c r="P356" s="68">
        <v>0</v>
      </c>
      <c r="Q356" s="68">
        <v>0</v>
      </c>
      <c r="R356" s="69" t="s">
        <v>3470</v>
      </c>
      <c r="S356" s="69" t="s">
        <v>879</v>
      </c>
      <c r="T356" s="70" t="s">
        <v>3472</v>
      </c>
      <c r="U356" s="452"/>
      <c r="V356" s="453" t="str">
        <f>IF(VLOOKUP($A356,'GeneratingCapabilityList sorted'!$E$9:$O$801,8,FALSE)&lt;&gt;"",VLOOKUP($A356,'GeneratingCapabilityList sorted'!$E$9:$O$801,8,FALSE),"NoneListed")</f>
        <v>NATURAL GAS</v>
      </c>
      <c r="W356" s="454">
        <f>IF($AB356,$AB356,IF($AA356,$AA356,Scenarios!$B$43))</f>
        <v>31413</v>
      </c>
      <c r="X356" s="454"/>
      <c r="Y356" s="454"/>
      <c r="Z356" s="454"/>
      <c r="AA356" s="454">
        <f>IFERROR(VLOOKUP($A356,'GeneratingCapabilityList sorted'!$E$9:$O$801,11,FALSE),Scenarios!$B$43)</f>
        <v>31413</v>
      </c>
      <c r="AB356" s="453"/>
      <c r="AC356" s="453"/>
    </row>
    <row r="357" spans="1:29" x14ac:dyDescent="0.25">
      <c r="A357" s="65" t="s">
        <v>3310</v>
      </c>
      <c r="B357" s="65" t="s">
        <v>3310</v>
      </c>
      <c r="C357" s="66" t="s">
        <v>3468</v>
      </c>
      <c r="D357" s="66" t="s">
        <v>3488</v>
      </c>
      <c r="E357" s="67">
        <v>0</v>
      </c>
      <c r="F357" s="68">
        <v>1.0900000000000001</v>
      </c>
      <c r="G357" s="68">
        <v>1.58</v>
      </c>
      <c r="H357" s="68">
        <v>1.94</v>
      </c>
      <c r="I357" s="68">
        <v>1.31</v>
      </c>
      <c r="J357" s="68">
        <v>0.94</v>
      </c>
      <c r="K357" s="68">
        <v>0.56999999999999995</v>
      </c>
      <c r="L357" s="68">
        <v>0.25</v>
      </c>
      <c r="M357" s="68">
        <v>0.38</v>
      </c>
      <c r="N357" s="68">
        <v>0.42</v>
      </c>
      <c r="O357" s="68">
        <v>0.4</v>
      </c>
      <c r="P357" s="68">
        <v>0.49</v>
      </c>
      <c r="Q357" s="68">
        <v>0.88</v>
      </c>
      <c r="R357" s="69" t="s">
        <v>3470</v>
      </c>
      <c r="S357" s="69" t="s">
        <v>3489</v>
      </c>
      <c r="T357" s="70" t="s">
        <v>3502</v>
      </c>
      <c r="U357" s="452"/>
      <c r="V357" s="453" t="str">
        <f>IF(VLOOKUP($A357,'GeneratingCapabilityList sorted'!$E$9:$O$801,8,FALSE)&lt;&gt;"",VLOOKUP($A357,'GeneratingCapabilityList sorted'!$E$9:$O$801,8,FALSE),"NoneListed")</f>
        <v>WATER</v>
      </c>
      <c r="W357" s="454">
        <f>IF($AB357,$AB357,IF($AA357,$AA357,Scenarios!$B$43))</f>
        <v>30416</v>
      </c>
      <c r="X357" s="454"/>
      <c r="Y357" s="454"/>
      <c r="Z357" s="454"/>
      <c r="AA357" s="454">
        <f>IFERROR(VLOOKUP($A357,'GeneratingCapabilityList sorted'!$E$9:$O$801,11,FALSE),Scenarios!$B$43)</f>
        <v>0</v>
      </c>
      <c r="AB357" s="454">
        <v>30416</v>
      </c>
      <c r="AC357" s="453" t="s">
        <v>4731</v>
      </c>
    </row>
    <row r="358" spans="1:29" x14ac:dyDescent="0.25">
      <c r="A358" s="65" t="s">
        <v>2794</v>
      </c>
      <c r="B358" s="65" t="s">
        <v>3753</v>
      </c>
      <c r="C358" s="66" t="s">
        <v>3468</v>
      </c>
      <c r="D358" s="66" t="s">
        <v>3474</v>
      </c>
      <c r="E358" s="67">
        <v>96</v>
      </c>
      <c r="F358" s="68">
        <v>0</v>
      </c>
      <c r="G358" s="68">
        <v>0</v>
      </c>
      <c r="H358" s="68">
        <v>0</v>
      </c>
      <c r="I358" s="68">
        <v>0</v>
      </c>
      <c r="J358" s="68">
        <v>0</v>
      </c>
      <c r="K358" s="68">
        <v>0</v>
      </c>
      <c r="L358" s="68">
        <v>0</v>
      </c>
      <c r="M358" s="68">
        <v>0</v>
      </c>
      <c r="N358" s="68">
        <v>0</v>
      </c>
      <c r="O358" s="68">
        <v>0</v>
      </c>
      <c r="P358" s="68">
        <v>0</v>
      </c>
      <c r="Q358" s="68">
        <v>0</v>
      </c>
      <c r="R358" s="69" t="s">
        <v>3470</v>
      </c>
      <c r="S358" s="69" t="s">
        <v>3471</v>
      </c>
      <c r="T358" s="70" t="s">
        <v>3472</v>
      </c>
      <c r="U358" s="452"/>
      <c r="V358" s="453" t="str">
        <f>IF(VLOOKUP($A358,'GeneratingCapabilityList sorted'!$E$9:$O$801,8,FALSE)&lt;&gt;"",VLOOKUP($A358,'GeneratingCapabilityList sorted'!$E$9:$O$801,8,FALSE),"NoneListed")</f>
        <v>NATURAL GAS</v>
      </c>
      <c r="W358" s="454">
        <f>IF($AB358,$AB358,IF($AA358,$AA358,Scenarios!$B$43))</f>
        <v>38614</v>
      </c>
      <c r="X358" s="454"/>
      <c r="Y358" s="454"/>
      <c r="Z358" s="454"/>
      <c r="AA358" s="454">
        <f>IFERROR(VLOOKUP($A358,'GeneratingCapabilityList sorted'!$E$9:$O$801,11,FALSE),Scenarios!$B$43)</f>
        <v>38614</v>
      </c>
      <c r="AB358" s="453"/>
      <c r="AC358" s="453"/>
    </row>
    <row r="359" spans="1:29" x14ac:dyDescent="0.25">
      <c r="A359" s="65" t="s">
        <v>1786</v>
      </c>
      <c r="B359" s="65" t="s">
        <v>1787</v>
      </c>
      <c r="C359" s="66" t="s">
        <v>3468</v>
      </c>
      <c r="D359" s="66" t="s">
        <v>3488</v>
      </c>
      <c r="E359" s="67">
        <v>0</v>
      </c>
      <c r="F359" s="68">
        <v>8.17</v>
      </c>
      <c r="G359" s="68">
        <v>12.43</v>
      </c>
      <c r="H359" s="68">
        <v>17.93</v>
      </c>
      <c r="I359" s="68">
        <v>3.8</v>
      </c>
      <c r="J359" s="68">
        <v>16.100000000000001</v>
      </c>
      <c r="K359" s="68">
        <v>10.18</v>
      </c>
      <c r="L359" s="68">
        <v>7.48</v>
      </c>
      <c r="M359" s="68">
        <v>3.13</v>
      </c>
      <c r="N359" s="68">
        <v>2.86</v>
      </c>
      <c r="O359" s="68">
        <v>0.17</v>
      </c>
      <c r="P359" s="68">
        <v>2.4</v>
      </c>
      <c r="Q359" s="68">
        <v>8.16</v>
      </c>
      <c r="R359" s="69" t="s">
        <v>3470</v>
      </c>
      <c r="S359" s="69" t="s">
        <v>3489</v>
      </c>
      <c r="T359" s="70" t="s">
        <v>3502</v>
      </c>
      <c r="U359" s="452"/>
      <c r="V359" s="453" t="str">
        <f>IF(VLOOKUP($A359,'GeneratingCapabilityList sorted'!$E$9:$O$801,8,FALSE)&lt;&gt;"",VLOOKUP($A359,'GeneratingCapabilityList sorted'!$E$9:$O$801,8,FALSE),"NoneListed")</f>
        <v>WATER</v>
      </c>
      <c r="W359" s="454">
        <f>IF($AB359,$AB359,IF($AA359,$AA359,Scenarios!$B$43))</f>
        <v>32484</v>
      </c>
      <c r="X359" s="454"/>
      <c r="Y359" s="454"/>
      <c r="Z359" s="454"/>
      <c r="AA359" s="454">
        <f>IFERROR(VLOOKUP($A359,'GeneratingCapabilityList sorted'!$E$9:$O$801,11,FALSE),Scenarios!$B$43)</f>
        <v>32484</v>
      </c>
      <c r="AB359" s="453"/>
      <c r="AC359" s="453"/>
    </row>
    <row r="360" spans="1:29" x14ac:dyDescent="0.25">
      <c r="A360" s="65" t="s">
        <v>1133</v>
      </c>
      <c r="B360" s="65" t="s">
        <v>1134</v>
      </c>
      <c r="C360" s="66" t="s">
        <v>3468</v>
      </c>
      <c r="D360" s="66" t="s">
        <v>3382</v>
      </c>
      <c r="E360" s="67">
        <v>0</v>
      </c>
      <c r="F360" s="68">
        <v>0.01</v>
      </c>
      <c r="G360" s="68">
        <v>0</v>
      </c>
      <c r="H360" s="68">
        <v>0</v>
      </c>
      <c r="I360" s="68">
        <v>0</v>
      </c>
      <c r="J360" s="68">
        <v>0.01</v>
      </c>
      <c r="K360" s="68">
        <v>0</v>
      </c>
      <c r="L360" s="68">
        <v>0</v>
      </c>
      <c r="M360" s="68">
        <v>0</v>
      </c>
      <c r="N360" s="68">
        <v>0</v>
      </c>
      <c r="O360" s="68">
        <v>0</v>
      </c>
      <c r="P360" s="68">
        <v>0</v>
      </c>
      <c r="Q360" s="68">
        <v>0.03</v>
      </c>
      <c r="R360" s="69" t="s">
        <v>3470</v>
      </c>
      <c r="S360" s="69" t="s">
        <v>3489</v>
      </c>
      <c r="T360" s="70" t="s">
        <v>3497</v>
      </c>
      <c r="U360" s="452"/>
      <c r="V360" s="453" t="str">
        <f>IF(VLOOKUP($A360,'GeneratingCapabilityList sorted'!$E$9:$O$801,8,FALSE)&lt;&gt;"",VLOOKUP($A360,'GeneratingCapabilityList sorted'!$E$9:$O$801,8,FALSE),"NoneListed")</f>
        <v>NATURAL GAS</v>
      </c>
      <c r="W360" s="454">
        <f>IF($AB360,$AB360,IF($AA360,$AA360,Scenarios!$B$43))</f>
        <v>31034</v>
      </c>
      <c r="X360" s="454"/>
      <c r="Y360" s="454"/>
      <c r="Z360" s="454"/>
      <c r="AA360" s="454">
        <f>IFERROR(VLOOKUP($A360,'GeneratingCapabilityList sorted'!$E$9:$O$801,11,FALSE),Scenarios!$B$43)</f>
        <v>31034</v>
      </c>
      <c r="AB360" s="453"/>
      <c r="AC360" s="453"/>
    </row>
    <row r="361" spans="1:29" x14ac:dyDescent="0.25">
      <c r="A361" s="65" t="s">
        <v>3003</v>
      </c>
      <c r="B361" s="65" t="s">
        <v>3004</v>
      </c>
      <c r="C361" s="66" t="s">
        <v>3468</v>
      </c>
      <c r="D361" s="82" t="s">
        <v>3382</v>
      </c>
      <c r="E361" s="67"/>
      <c r="F361" s="68">
        <v>0.13</v>
      </c>
      <c r="G361" s="68">
        <v>0.21</v>
      </c>
      <c r="H361" s="68">
        <v>0.55000000000000004</v>
      </c>
      <c r="I361" s="68">
        <v>0.71</v>
      </c>
      <c r="J361" s="68">
        <v>1</v>
      </c>
      <c r="K361" s="68">
        <v>1.2</v>
      </c>
      <c r="L361" s="68">
        <v>1.05</v>
      </c>
      <c r="M361" s="68">
        <v>0.8</v>
      </c>
      <c r="N361" s="68">
        <v>0.94</v>
      </c>
      <c r="O361" s="68">
        <v>0.51</v>
      </c>
      <c r="P361" s="68">
        <v>0.08</v>
      </c>
      <c r="Q361" s="68">
        <v>0.06</v>
      </c>
      <c r="R361" s="69" t="s">
        <v>3470</v>
      </c>
      <c r="S361" s="69" t="s">
        <v>3489</v>
      </c>
      <c r="T361" s="70" t="s">
        <v>3497</v>
      </c>
      <c r="U361" s="452"/>
      <c r="V361" s="453" t="str">
        <f>IF(VLOOKUP($A361,'GeneratingCapabilityList sorted'!$E$9:$O$801,8,FALSE)&lt;&gt;"",VLOOKUP($A361,'GeneratingCapabilityList sorted'!$E$9:$O$801,8,FALSE),"NoneListed")</f>
        <v>SUN</v>
      </c>
      <c r="W361" s="454">
        <f>IF($AB361,$AB361,IF($AA361,$AA361,Scenarios!$B$43))</f>
        <v>40480</v>
      </c>
      <c r="X361" s="454"/>
      <c r="Y361" s="454"/>
      <c r="Z361" s="454"/>
      <c r="AA361" s="454">
        <f>IFERROR(VLOOKUP($A361,'GeneratingCapabilityList sorted'!$E$9:$O$801,11,FALSE),Scenarios!$B$43)</f>
        <v>40480</v>
      </c>
      <c r="AB361" s="453"/>
      <c r="AC361" s="453"/>
    </row>
    <row r="362" spans="1:29" x14ac:dyDescent="0.25">
      <c r="A362" s="65" t="s">
        <v>900</v>
      </c>
      <c r="B362" s="65" t="s">
        <v>3754</v>
      </c>
      <c r="C362" s="66" t="s">
        <v>3468</v>
      </c>
      <c r="D362" s="66" t="s">
        <v>3488</v>
      </c>
      <c r="E362" s="67">
        <v>0</v>
      </c>
      <c r="F362" s="68">
        <v>1.52</v>
      </c>
      <c r="G362" s="68">
        <v>1.29</v>
      </c>
      <c r="H362" s="68">
        <v>1.57</v>
      </c>
      <c r="I362" s="68">
        <v>2.23</v>
      </c>
      <c r="J362" s="68">
        <v>2.14</v>
      </c>
      <c r="K362" s="68">
        <v>1.77</v>
      </c>
      <c r="L362" s="68">
        <v>1.6</v>
      </c>
      <c r="M362" s="68">
        <v>1.22</v>
      </c>
      <c r="N362" s="68">
        <v>1.35</v>
      </c>
      <c r="O362" s="68">
        <v>0.74</v>
      </c>
      <c r="P362" s="68">
        <v>0.46</v>
      </c>
      <c r="Q362" s="68">
        <v>0.93</v>
      </c>
      <c r="R362" s="69" t="s">
        <v>3470</v>
      </c>
      <c r="S362" s="69" t="s">
        <v>3489</v>
      </c>
      <c r="T362" s="70" t="s">
        <v>3497</v>
      </c>
      <c r="U362" s="452"/>
      <c r="V362" s="453" t="str">
        <f>IF(VLOOKUP($A362,'GeneratingCapabilityList sorted'!$E$9:$O$801,8,FALSE)&lt;&gt;"",VLOOKUP($A362,'GeneratingCapabilityList sorted'!$E$9:$O$801,8,FALSE),"NoneListed")</f>
        <v>WOOD WASTE</v>
      </c>
      <c r="W362" s="454">
        <f>IF($AB362,$AB362,IF($AA362,$AA362,Scenarios!$B$43))</f>
        <v>30317</v>
      </c>
      <c r="X362" s="454"/>
      <c r="Y362" s="454"/>
      <c r="Z362" s="454"/>
      <c r="AA362" s="454">
        <f>IFERROR(VLOOKUP($A362,'GeneratingCapabilityList sorted'!$E$9:$O$801,11,FALSE),Scenarios!$B$43)</f>
        <v>30317</v>
      </c>
      <c r="AB362" s="453"/>
      <c r="AC362" s="453"/>
    </row>
    <row r="363" spans="1:29" x14ac:dyDescent="0.25">
      <c r="A363" s="65" t="s">
        <v>1994</v>
      </c>
      <c r="B363" s="65" t="s">
        <v>3755</v>
      </c>
      <c r="C363" s="66" t="s">
        <v>3468</v>
      </c>
      <c r="D363" s="66" t="s">
        <v>3474</v>
      </c>
      <c r="E363" s="67">
        <v>0</v>
      </c>
      <c r="F363" s="68">
        <v>0.33</v>
      </c>
      <c r="G363" s="68">
        <v>0.46</v>
      </c>
      <c r="H363" s="68">
        <v>0.57999999999999996</v>
      </c>
      <c r="I363" s="68">
        <v>0.68</v>
      </c>
      <c r="J363" s="68">
        <v>0.56000000000000005</v>
      </c>
      <c r="K363" s="68">
        <v>0.6</v>
      </c>
      <c r="L363" s="68">
        <v>0.59</v>
      </c>
      <c r="M363" s="68">
        <v>0.64</v>
      </c>
      <c r="N363" s="68">
        <v>0.68</v>
      </c>
      <c r="O363" s="68">
        <v>0.6</v>
      </c>
      <c r="P363" s="68">
        <v>0.41</v>
      </c>
      <c r="Q363" s="68">
        <v>0.33</v>
      </c>
      <c r="R363" s="69" t="s">
        <v>3470</v>
      </c>
      <c r="S363" s="69" t="s">
        <v>3489</v>
      </c>
      <c r="T363" s="70" t="s">
        <v>3502</v>
      </c>
      <c r="U363" s="452"/>
      <c r="V363" s="453" t="str">
        <f>IF(VLOOKUP($A363,'GeneratingCapabilityList sorted'!$E$9:$O$801,8,FALSE)&lt;&gt;"",VLOOKUP($A363,'GeneratingCapabilityList sorted'!$E$9:$O$801,8,FALSE),"NoneListed")</f>
        <v>WATER</v>
      </c>
      <c r="W363" s="454">
        <f>IF($AB363,$AB363,IF($AA363,$AA363,Scenarios!$B$43))</f>
        <v>32874</v>
      </c>
      <c r="X363" s="454"/>
      <c r="Y363" s="454"/>
      <c r="Z363" s="454"/>
      <c r="AA363" s="454">
        <f>IFERROR(VLOOKUP($A363,'GeneratingCapabilityList sorted'!$E$9:$O$801,11,FALSE),Scenarios!$B$43)</f>
        <v>32874</v>
      </c>
      <c r="AB363" s="453"/>
      <c r="AC363" s="453"/>
    </row>
    <row r="364" spans="1:29" x14ac:dyDescent="0.25">
      <c r="A364" s="65" t="s">
        <v>2065</v>
      </c>
      <c r="B364" s="65" t="s">
        <v>3756</v>
      </c>
      <c r="C364" s="66" t="s">
        <v>3477</v>
      </c>
      <c r="D364" s="66" t="s">
        <v>3488</v>
      </c>
      <c r="E364" s="67">
        <v>0</v>
      </c>
      <c r="F364" s="68">
        <v>93.05</v>
      </c>
      <c r="G364" s="68">
        <v>94.57</v>
      </c>
      <c r="H364" s="68">
        <v>32.83</v>
      </c>
      <c r="I364" s="68">
        <v>94.26</v>
      </c>
      <c r="J364" s="68">
        <v>92.52</v>
      </c>
      <c r="K364" s="68">
        <v>97.51</v>
      </c>
      <c r="L364" s="68">
        <v>95.5</v>
      </c>
      <c r="M364" s="68">
        <v>102.73</v>
      </c>
      <c r="N364" s="68">
        <v>99.95</v>
      </c>
      <c r="O364" s="68">
        <v>85.73</v>
      </c>
      <c r="P364" s="68">
        <v>90.51</v>
      </c>
      <c r="Q364" s="68">
        <v>100.46</v>
      </c>
      <c r="R364" s="69" t="s">
        <v>3470</v>
      </c>
      <c r="S364" s="69" t="s">
        <v>3489</v>
      </c>
      <c r="T364" s="70" t="s">
        <v>3497</v>
      </c>
      <c r="U364" s="452"/>
      <c r="V364" s="453" t="str">
        <f>IF(VLOOKUP($A364,'GeneratingCapabilityList sorted'!$E$9:$O$801,8,FALSE)&lt;&gt;"",VLOOKUP($A364,'GeneratingCapabilityList sorted'!$E$9:$O$801,8,FALSE),"NoneListed")</f>
        <v>COAL</v>
      </c>
      <c r="W364" s="454">
        <f>IF($AB364,$AB364,IF($AA364,$AA364,Scenarios!$B$43))</f>
        <v>33136</v>
      </c>
      <c r="X364" s="454"/>
      <c r="Y364" s="454"/>
      <c r="Z364" s="454"/>
      <c r="AA364" s="454">
        <f>IFERROR(VLOOKUP($A364,'GeneratingCapabilityList sorted'!$E$9:$O$801,11,FALSE),Scenarios!$B$43)</f>
        <v>33136</v>
      </c>
      <c r="AB364" s="453"/>
      <c r="AC364" s="453"/>
    </row>
    <row r="365" spans="1:29" x14ac:dyDescent="0.25">
      <c r="A365" s="65" t="s">
        <v>549</v>
      </c>
      <c r="B365" s="65" t="s">
        <v>3757</v>
      </c>
      <c r="C365" s="66" t="s">
        <v>3468</v>
      </c>
      <c r="D365" s="66" t="s">
        <v>3474</v>
      </c>
      <c r="E365" s="67">
        <v>0</v>
      </c>
      <c r="F365" s="68">
        <v>-0.01</v>
      </c>
      <c r="G365" s="68">
        <v>-0.01</v>
      </c>
      <c r="H365" s="68">
        <v>0.87</v>
      </c>
      <c r="I365" s="68">
        <v>3.72</v>
      </c>
      <c r="J365" s="68">
        <v>6.01</v>
      </c>
      <c r="K365" s="68">
        <v>6.11</v>
      </c>
      <c r="L365" s="68">
        <v>6.42</v>
      </c>
      <c r="M365" s="68">
        <v>5.22</v>
      </c>
      <c r="N365" s="68">
        <v>3.87</v>
      </c>
      <c r="O365" s="68">
        <v>1.83</v>
      </c>
      <c r="P365" s="68">
        <v>-0.01</v>
      </c>
      <c r="Q365" s="68">
        <v>1.2</v>
      </c>
      <c r="R365" s="69" t="s">
        <v>3470</v>
      </c>
      <c r="S365" s="69" t="s">
        <v>3489</v>
      </c>
      <c r="T365" s="70" t="s">
        <v>3502</v>
      </c>
      <c r="U365" s="452"/>
      <c r="V365" s="453" t="str">
        <f>IF(VLOOKUP($A365,'GeneratingCapabilityList sorted'!$E$9:$O$801,8,FALSE)&lt;&gt;"",VLOOKUP($A365,'GeneratingCapabilityList sorted'!$E$9:$O$801,8,FALSE),"NoneListed")</f>
        <v>WATER</v>
      </c>
      <c r="W365" s="454">
        <f>IF($AB365,$AB365,IF($AA365,$AA365,Scenarios!$B$43))</f>
        <v>24473</v>
      </c>
      <c r="X365" s="454"/>
      <c r="Y365" s="454"/>
      <c r="Z365" s="454"/>
      <c r="AA365" s="454">
        <f>IFERROR(VLOOKUP($A365,'GeneratingCapabilityList sorted'!$E$9:$O$801,11,FALSE),Scenarios!$B$43)</f>
        <v>24473</v>
      </c>
      <c r="AB365" s="453"/>
      <c r="AC365" s="453"/>
    </row>
    <row r="366" spans="1:29" x14ac:dyDescent="0.25">
      <c r="A366" s="65" t="s">
        <v>535</v>
      </c>
      <c r="B366" s="65" t="s">
        <v>3758</v>
      </c>
      <c r="C366" s="66" t="s">
        <v>3468</v>
      </c>
      <c r="D366" s="66" t="s">
        <v>3510</v>
      </c>
      <c r="E366" s="67">
        <v>0</v>
      </c>
      <c r="F366" s="68">
        <v>204.57</v>
      </c>
      <c r="G366" s="68">
        <v>204.66</v>
      </c>
      <c r="H366" s="68">
        <v>206.91</v>
      </c>
      <c r="I366" s="68">
        <v>209.44</v>
      </c>
      <c r="J366" s="68">
        <v>212.55</v>
      </c>
      <c r="K366" s="68">
        <v>212.94</v>
      </c>
      <c r="L366" s="68">
        <v>210.97</v>
      </c>
      <c r="M366" s="68">
        <v>208.68</v>
      </c>
      <c r="N366" s="68">
        <v>206.55</v>
      </c>
      <c r="O366" s="68">
        <v>205.97</v>
      </c>
      <c r="P366" s="68">
        <v>203.1</v>
      </c>
      <c r="Q366" s="68">
        <v>201.8</v>
      </c>
      <c r="R366" s="69" t="s">
        <v>3470</v>
      </c>
      <c r="S366" s="69" t="s">
        <v>3489</v>
      </c>
      <c r="T366" s="70" t="s">
        <v>3484</v>
      </c>
      <c r="U366" s="452"/>
      <c r="V366" s="453" t="str">
        <f>IF(VLOOKUP($A366,'GeneratingCapabilityList sorted'!$E$9:$O$801,8,FALSE)&lt;&gt;"",VLOOKUP($A366,'GeneratingCapabilityList sorted'!$E$9:$O$801,8,FALSE),"NoneListed")</f>
        <v>WATER</v>
      </c>
      <c r="W366" s="454">
        <f>IF($AB366,$AB366,IF($AA366,$AA366,Scenarios!$B$43))</f>
        <v>24108</v>
      </c>
      <c r="X366" s="454"/>
      <c r="Y366" s="454"/>
      <c r="Z366" s="454"/>
      <c r="AA366" s="454">
        <f>IFERROR(VLOOKUP($A366,'GeneratingCapabilityList sorted'!$E$9:$O$801,11,FALSE),Scenarios!$B$43)</f>
        <v>24108</v>
      </c>
      <c r="AB366" s="453"/>
      <c r="AC366" s="453"/>
    </row>
    <row r="367" spans="1:29" x14ac:dyDescent="0.25">
      <c r="A367" s="65" t="s">
        <v>2968</v>
      </c>
      <c r="B367" s="65" t="s">
        <v>3759</v>
      </c>
      <c r="C367" s="66" t="s">
        <v>3468</v>
      </c>
      <c r="D367" s="82" t="s">
        <v>3488</v>
      </c>
      <c r="E367" s="67"/>
      <c r="F367" s="68">
        <v>0.22</v>
      </c>
      <c r="G367" s="68">
        <v>0.37</v>
      </c>
      <c r="H367" s="68">
        <v>0.96</v>
      </c>
      <c r="I367" s="68">
        <v>0.92</v>
      </c>
      <c r="J367" s="68">
        <v>2.08</v>
      </c>
      <c r="K367" s="68">
        <v>2.7</v>
      </c>
      <c r="L367" s="68">
        <v>2.5499999999999998</v>
      </c>
      <c r="M367" s="68">
        <v>2.36</v>
      </c>
      <c r="N367" s="68">
        <v>1.67</v>
      </c>
      <c r="O367" s="68">
        <v>0.95</v>
      </c>
      <c r="P367" s="68">
        <v>0.13</v>
      </c>
      <c r="Q367" s="68">
        <v>0.11</v>
      </c>
      <c r="R367" s="69" t="s">
        <v>3470</v>
      </c>
      <c r="S367" s="69" t="s">
        <v>3489</v>
      </c>
      <c r="T367" s="70" t="s">
        <v>3497</v>
      </c>
      <c r="U367" s="452"/>
      <c r="V367" s="453" t="str">
        <f>IF(VLOOKUP($A367,'GeneratingCapabilityList sorted'!$E$9:$O$801,8,FALSE)&lt;&gt;"",VLOOKUP($A367,'GeneratingCapabilityList sorted'!$E$9:$O$801,8,FALSE),"NoneListed")</f>
        <v>SUN</v>
      </c>
      <c r="W367" s="454">
        <f>IF($AB367,$AB367,IF($AA367,$AA367,Scenarios!$B$43))</f>
        <v>40298</v>
      </c>
      <c r="X367" s="454"/>
      <c r="Y367" s="454"/>
      <c r="Z367" s="454"/>
      <c r="AA367" s="454">
        <f>IFERROR(VLOOKUP($A367,'GeneratingCapabilityList sorted'!$E$9:$O$801,11,FALSE),Scenarios!$B$43)</f>
        <v>40298</v>
      </c>
      <c r="AB367" s="453"/>
      <c r="AC367" s="453"/>
    </row>
    <row r="368" spans="1:29" x14ac:dyDescent="0.25">
      <c r="A368" s="65" t="s">
        <v>1896</v>
      </c>
      <c r="B368" s="65" t="s">
        <v>1897</v>
      </c>
      <c r="C368" s="66" t="s">
        <v>3468</v>
      </c>
      <c r="D368" s="66" t="s">
        <v>3474</v>
      </c>
      <c r="E368" s="67">
        <v>0</v>
      </c>
      <c r="F368" s="68">
        <v>22.31</v>
      </c>
      <c r="G368" s="68">
        <v>21.4</v>
      </c>
      <c r="H368" s="68">
        <v>23.3</v>
      </c>
      <c r="I368" s="68">
        <v>22.33</v>
      </c>
      <c r="J368" s="68">
        <v>12.76</v>
      </c>
      <c r="K368" s="68">
        <v>22.07</v>
      </c>
      <c r="L368" s="68">
        <v>22.68</v>
      </c>
      <c r="M368" s="68">
        <v>20.67</v>
      </c>
      <c r="N368" s="68">
        <v>21.35</v>
      </c>
      <c r="O368" s="68">
        <v>19.28</v>
      </c>
      <c r="P368" s="68">
        <v>16.010000000000002</v>
      </c>
      <c r="Q368" s="68">
        <v>23.04</v>
      </c>
      <c r="R368" s="69" t="s">
        <v>3470</v>
      </c>
      <c r="S368" s="69" t="s">
        <v>3489</v>
      </c>
      <c r="T368" s="70" t="s">
        <v>3497</v>
      </c>
      <c r="U368" s="452"/>
      <c r="V368" s="453" t="str">
        <f>IF(VLOOKUP($A368,'GeneratingCapabilityList sorted'!$E$9:$O$801,8,FALSE)&lt;&gt;"",VLOOKUP($A368,'GeneratingCapabilityList sorted'!$E$9:$O$801,8,FALSE),"NoneListed")</f>
        <v>AGRICULTURAL WASTE</v>
      </c>
      <c r="W368" s="454">
        <f>IF($AB368,$AB368,IF($AA368,$AA368,Scenarios!$B$43))</f>
        <v>32688</v>
      </c>
      <c r="X368" s="454"/>
      <c r="Y368" s="454"/>
      <c r="Z368" s="454"/>
      <c r="AA368" s="454">
        <f>IFERROR(VLOOKUP($A368,'GeneratingCapabilityList sorted'!$E$9:$O$801,11,FALSE),Scenarios!$B$43)</f>
        <v>32688</v>
      </c>
      <c r="AB368" s="453"/>
      <c r="AC368" s="453"/>
    </row>
    <row r="369" spans="1:29" x14ac:dyDescent="0.25">
      <c r="A369" s="65" t="s">
        <v>288</v>
      </c>
      <c r="B369" s="65" t="s">
        <v>3760</v>
      </c>
      <c r="C369" s="66" t="s">
        <v>3468</v>
      </c>
      <c r="D369" s="66" t="s">
        <v>3474</v>
      </c>
      <c r="E369" s="67">
        <v>0</v>
      </c>
      <c r="F369" s="68">
        <v>0</v>
      </c>
      <c r="G369" s="68">
        <v>0</v>
      </c>
      <c r="H369" s="68">
        <v>0.33</v>
      </c>
      <c r="I369" s="68">
        <v>1.48</v>
      </c>
      <c r="J369" s="68">
        <v>2.63</v>
      </c>
      <c r="K369" s="68">
        <v>2.67</v>
      </c>
      <c r="L369" s="68">
        <v>2.79</v>
      </c>
      <c r="M369" s="68">
        <v>2.2999999999999998</v>
      </c>
      <c r="N369" s="68">
        <v>1.7</v>
      </c>
      <c r="O369" s="68">
        <v>0.8</v>
      </c>
      <c r="P369" s="68">
        <v>0</v>
      </c>
      <c r="Q369" s="68">
        <v>0</v>
      </c>
      <c r="R369" s="69" t="s">
        <v>3470</v>
      </c>
      <c r="S369" s="69" t="s">
        <v>3489</v>
      </c>
      <c r="T369" s="70" t="s">
        <v>3502</v>
      </c>
      <c r="U369" s="452"/>
      <c r="V369" s="453" t="str">
        <f>IF(VLOOKUP($A369,'GeneratingCapabilityList sorted'!$E$9:$O$801,8,FALSE)&lt;&gt;"",VLOOKUP($A369,'GeneratingCapabilityList sorted'!$E$9:$O$801,8,FALSE),"NoneListed")</f>
        <v>WATER</v>
      </c>
      <c r="W369" s="454">
        <f>IF($AB369,$AB369,IF($AA369,$AA369,Scenarios!$B$43))</f>
        <v>10959</v>
      </c>
      <c r="X369" s="454"/>
      <c r="Y369" s="454"/>
      <c r="Z369" s="454"/>
      <c r="AA369" s="454">
        <f>IFERROR(VLOOKUP($A369,'GeneratingCapabilityList sorted'!$E$9:$O$801,11,FALSE),Scenarios!$B$43)</f>
        <v>10959</v>
      </c>
      <c r="AB369" s="453"/>
      <c r="AC369" s="453"/>
    </row>
    <row r="370" spans="1:29" x14ac:dyDescent="0.25">
      <c r="A370" s="65" t="s">
        <v>3312</v>
      </c>
      <c r="B370" s="65" t="s">
        <v>3761</v>
      </c>
      <c r="C370" s="66" t="s">
        <v>3468</v>
      </c>
      <c r="D370" s="66" t="s">
        <v>3488</v>
      </c>
      <c r="E370" s="67">
        <v>0</v>
      </c>
      <c r="F370" s="68">
        <v>0</v>
      </c>
      <c r="G370" s="68">
        <v>0</v>
      </c>
      <c r="H370" s="68">
        <v>0</v>
      </c>
      <c r="I370" s="68">
        <v>0</v>
      </c>
      <c r="J370" s="68">
        <v>0</v>
      </c>
      <c r="K370" s="68">
        <v>0</v>
      </c>
      <c r="L370" s="68">
        <v>0</v>
      </c>
      <c r="M370" s="68">
        <v>0</v>
      </c>
      <c r="N370" s="68">
        <v>0</v>
      </c>
      <c r="O370" s="68">
        <v>0</v>
      </c>
      <c r="P370" s="68">
        <v>0</v>
      </c>
      <c r="Q370" s="68">
        <v>0</v>
      </c>
      <c r="R370" s="69" t="s">
        <v>3470</v>
      </c>
      <c r="S370" s="69" t="s">
        <v>3489</v>
      </c>
      <c r="T370" s="70" t="s">
        <v>3484</v>
      </c>
      <c r="U370" s="452"/>
      <c r="V370" s="453" t="str">
        <f>IF(VLOOKUP($A370,'GeneratingCapabilityList sorted'!$E$9:$O$801,8,FALSE)&lt;&gt;"",VLOOKUP($A370,'GeneratingCapabilityList sorted'!$E$9:$O$801,8,FALSE),"NoneListed")</f>
        <v>WATER</v>
      </c>
      <c r="W370" s="454">
        <f>IF($AB370,$AB370,IF($AA370,$AA370,Scenarios!$B$43))</f>
        <v>29221</v>
      </c>
      <c r="X370" s="454"/>
      <c r="Y370" s="454"/>
      <c r="Z370" s="454"/>
      <c r="AA370" s="454">
        <f>IFERROR(VLOOKUP($A370,'GeneratingCapabilityList sorted'!$E$9:$O$801,11,FALSE),Scenarios!$B$43)</f>
        <v>0</v>
      </c>
      <c r="AB370" s="453"/>
      <c r="AC370" s="453"/>
    </row>
    <row r="371" spans="1:29" x14ac:dyDescent="0.25">
      <c r="A371" s="65" t="s">
        <v>913</v>
      </c>
      <c r="B371" s="65" t="s">
        <v>3762</v>
      </c>
      <c r="C371" s="66" t="s">
        <v>3477</v>
      </c>
      <c r="D371" s="66" t="s">
        <v>3387</v>
      </c>
      <c r="E371" s="67">
        <v>0</v>
      </c>
      <c r="F371" s="68">
        <v>0.77</v>
      </c>
      <c r="G371" s="68">
        <v>0.78</v>
      </c>
      <c r="H371" s="68">
        <v>0.83</v>
      </c>
      <c r="I371" s="68">
        <v>0.85</v>
      </c>
      <c r="J371" s="68">
        <v>0.87</v>
      </c>
      <c r="K371" s="68">
        <v>0.86</v>
      </c>
      <c r="L371" s="68">
        <v>1.04</v>
      </c>
      <c r="M371" s="68">
        <v>1.06</v>
      </c>
      <c r="N371" s="68">
        <v>1</v>
      </c>
      <c r="O371" s="68">
        <v>1.03</v>
      </c>
      <c r="P371" s="68">
        <v>0.64</v>
      </c>
      <c r="Q371" s="68">
        <v>0.8</v>
      </c>
      <c r="R371" s="69" t="s">
        <v>3470</v>
      </c>
      <c r="S371" s="69" t="s">
        <v>3489</v>
      </c>
      <c r="T371" s="70" t="s">
        <v>3497</v>
      </c>
      <c r="U371" s="452"/>
      <c r="V371" s="453" t="str">
        <f>IF(VLOOKUP($A371,'GeneratingCapabilityList sorted'!$E$9:$O$801,8,FALSE)&lt;&gt;"",VLOOKUP($A371,'GeneratingCapabilityList sorted'!$E$9:$O$801,8,FALSE),"NoneListed")</f>
        <v>LANDFILL GAS</v>
      </c>
      <c r="W371" s="454">
        <f>IF($AB371,$AB371,IF($AA371,$AA371,Scenarios!$B$43))</f>
        <v>30317</v>
      </c>
      <c r="X371" s="454"/>
      <c r="Y371" s="454"/>
      <c r="Z371" s="454"/>
      <c r="AA371" s="454">
        <f>IFERROR(VLOOKUP($A371,'GeneratingCapabilityList sorted'!$E$9:$O$801,11,FALSE),Scenarios!$B$43)</f>
        <v>30317</v>
      </c>
      <c r="AB371" s="453"/>
      <c r="AC371" s="453"/>
    </row>
    <row r="372" spans="1:29" x14ac:dyDescent="0.25">
      <c r="A372" s="65" t="s">
        <v>3317</v>
      </c>
      <c r="B372" s="65" t="s">
        <v>3763</v>
      </c>
      <c r="C372" s="66" t="s">
        <v>3468</v>
      </c>
      <c r="D372" s="66" t="s">
        <v>3382</v>
      </c>
      <c r="E372" s="67">
        <v>0</v>
      </c>
      <c r="F372" s="68">
        <v>0</v>
      </c>
      <c r="G372" s="68">
        <v>0</v>
      </c>
      <c r="H372" s="68">
        <v>0</v>
      </c>
      <c r="I372" s="68">
        <v>0.03</v>
      </c>
      <c r="J372" s="68">
        <v>0</v>
      </c>
      <c r="K372" s="68">
        <v>0</v>
      </c>
      <c r="L372" s="68">
        <v>0.01</v>
      </c>
      <c r="M372" s="68">
        <v>0.08</v>
      </c>
      <c r="N372" s="68">
        <v>0.1</v>
      </c>
      <c r="O372" s="68">
        <v>0.12</v>
      </c>
      <c r="P372" s="68">
        <v>0.05</v>
      </c>
      <c r="Q372" s="68">
        <v>7.0000000000000007E-2</v>
      </c>
      <c r="R372" s="69" t="s">
        <v>3470</v>
      </c>
      <c r="S372" s="69" t="s">
        <v>3489</v>
      </c>
      <c r="T372" s="70" t="s">
        <v>3502</v>
      </c>
      <c r="U372" s="452"/>
      <c r="V372" s="453" t="str">
        <f>IF(VLOOKUP($A372,'GeneratingCapabilityList sorted'!$E$9:$O$801,8,FALSE)&lt;&gt;"",VLOOKUP($A372,'GeneratingCapabilityList sorted'!$E$9:$O$801,8,FALSE),"NoneListed")</f>
        <v>WATER</v>
      </c>
      <c r="W372" s="454">
        <f>IF($AB372,$AB372,IF($AA372,$AA372,Scenarios!$B$43))</f>
        <v>32478</v>
      </c>
      <c r="X372" s="454"/>
      <c r="Y372" s="454"/>
      <c r="Z372" s="454"/>
      <c r="AA372" s="454">
        <f>IFERROR(VLOOKUP($A372,'GeneratingCapabilityList sorted'!$E$9:$O$801,11,FALSE),Scenarios!$B$43)</f>
        <v>0</v>
      </c>
      <c r="AB372" s="454">
        <v>32478</v>
      </c>
      <c r="AC372" s="453" t="s">
        <v>4731</v>
      </c>
    </row>
    <row r="373" spans="1:29" x14ac:dyDescent="0.25">
      <c r="A373" s="65" t="s">
        <v>2769</v>
      </c>
      <c r="B373" s="65" t="s">
        <v>3764</v>
      </c>
      <c r="C373" s="66" t="s">
        <v>3468</v>
      </c>
      <c r="D373" s="66" t="s">
        <v>3382</v>
      </c>
      <c r="E373" s="67">
        <v>0</v>
      </c>
      <c r="F373" s="68">
        <v>593.16</v>
      </c>
      <c r="G373" s="68">
        <v>593.16</v>
      </c>
      <c r="H373" s="68">
        <v>593.16</v>
      </c>
      <c r="I373" s="68">
        <v>593.16</v>
      </c>
      <c r="J373" s="68">
        <v>585</v>
      </c>
      <c r="K373" s="68">
        <v>575</v>
      </c>
      <c r="L373" s="68">
        <v>570</v>
      </c>
      <c r="M373" s="68">
        <v>570</v>
      </c>
      <c r="N373" s="68">
        <v>580</v>
      </c>
      <c r="O373" s="68">
        <v>593.16</v>
      </c>
      <c r="P373" s="68">
        <v>593.16</v>
      </c>
      <c r="Q373" s="68">
        <v>593.16</v>
      </c>
      <c r="R373" s="69" t="s">
        <v>3470</v>
      </c>
      <c r="S373" s="69" t="s">
        <v>3471</v>
      </c>
      <c r="T373" s="70" t="s">
        <v>3472</v>
      </c>
      <c r="U373" s="452"/>
      <c r="V373" s="453" t="str">
        <f>IF(VLOOKUP($A373,'GeneratingCapabilityList sorted'!$E$9:$O$801,8,FALSE)&lt;&gt;"",VLOOKUP($A373,'GeneratingCapabilityList sorted'!$E$9:$O$801,8,FALSE),"NoneListed")</f>
        <v>NATURAL GAS</v>
      </c>
      <c r="W373" s="454">
        <f>IF($AB373,$AB373,IF($AA373,$AA373,Scenarios!$B$43))</f>
        <v>38499</v>
      </c>
      <c r="X373" s="454"/>
      <c r="Y373" s="454"/>
      <c r="Z373" s="454"/>
      <c r="AA373" s="454">
        <f>IFERROR(VLOOKUP($A373,'GeneratingCapabilityList sorted'!$E$9:$O$801,11,FALSE),Scenarios!$B$43)</f>
        <v>38499</v>
      </c>
      <c r="AB373" s="453"/>
      <c r="AC373" s="453"/>
    </row>
    <row r="374" spans="1:29" x14ac:dyDescent="0.25">
      <c r="A374" s="65" t="s">
        <v>1855</v>
      </c>
      <c r="B374" s="65" t="s">
        <v>1856</v>
      </c>
      <c r="C374" s="66" t="s">
        <v>3468</v>
      </c>
      <c r="D374" s="66" t="s">
        <v>3505</v>
      </c>
      <c r="E374" s="67">
        <v>0</v>
      </c>
      <c r="F374" s="68">
        <v>35.43</v>
      </c>
      <c r="G374" s="68">
        <v>36.159999999999997</v>
      </c>
      <c r="H374" s="68">
        <v>34.659999999999997</v>
      </c>
      <c r="I374" s="68">
        <v>31.2</v>
      </c>
      <c r="J374" s="68">
        <v>35.21</v>
      </c>
      <c r="K374" s="68">
        <v>33.56</v>
      </c>
      <c r="L374" s="68">
        <v>33.31</v>
      </c>
      <c r="M374" s="68">
        <v>32.82</v>
      </c>
      <c r="N374" s="68">
        <v>32.79</v>
      </c>
      <c r="O374" s="68">
        <v>34.08</v>
      </c>
      <c r="P374" s="68">
        <v>33.67</v>
      </c>
      <c r="Q374" s="68">
        <v>36.26</v>
      </c>
      <c r="R374" s="69" t="s">
        <v>3470</v>
      </c>
      <c r="S374" s="69" t="s">
        <v>3489</v>
      </c>
      <c r="T374" s="70" t="s">
        <v>3497</v>
      </c>
      <c r="U374" s="452"/>
      <c r="V374" s="453" t="str">
        <f>IF(VLOOKUP($A374,'GeneratingCapabilityList sorted'!$E$9:$O$801,8,FALSE)&lt;&gt;"",VLOOKUP($A374,'GeneratingCapabilityList sorted'!$E$9:$O$801,8,FALSE),"NoneListed")</f>
        <v>NATURAL GAS</v>
      </c>
      <c r="W374" s="454">
        <f>IF($AB374,$AB374,IF($AA374,$AA374,Scenarios!$B$43))</f>
        <v>32583</v>
      </c>
      <c r="X374" s="454"/>
      <c r="Y374" s="454"/>
      <c r="Z374" s="454"/>
      <c r="AA374" s="454">
        <f>IFERROR(VLOOKUP($A374,'GeneratingCapabilityList sorted'!$E$9:$O$801,11,FALSE),Scenarios!$B$43)</f>
        <v>32583</v>
      </c>
      <c r="AB374" s="453"/>
      <c r="AC374" s="453"/>
    </row>
    <row r="375" spans="1:29" x14ac:dyDescent="0.25">
      <c r="A375" s="65" t="s">
        <v>3319</v>
      </c>
      <c r="B375" s="65" t="s">
        <v>3765</v>
      </c>
      <c r="C375" s="66" t="s">
        <v>3468</v>
      </c>
      <c r="D375" s="66" t="s">
        <v>3505</v>
      </c>
      <c r="E375" s="67">
        <v>0</v>
      </c>
      <c r="F375" s="68">
        <v>0.02</v>
      </c>
      <c r="G375" s="68">
        <v>0.02</v>
      </c>
      <c r="H375" s="68">
        <v>0.03</v>
      </c>
      <c r="I375" s="68">
        <v>0.02</v>
      </c>
      <c r="J375" s="68">
        <v>0.03</v>
      </c>
      <c r="K375" s="68">
        <v>0.02</v>
      </c>
      <c r="L375" s="68">
        <v>0.02</v>
      </c>
      <c r="M375" s="68">
        <v>0.03</v>
      </c>
      <c r="N375" s="68">
        <v>0.02</v>
      </c>
      <c r="O375" s="68">
        <v>0.02</v>
      </c>
      <c r="P375" s="68">
        <v>0.02</v>
      </c>
      <c r="Q375" s="68">
        <v>0.02</v>
      </c>
      <c r="R375" s="69" t="s">
        <v>3470</v>
      </c>
      <c r="S375" s="69" t="s">
        <v>3489</v>
      </c>
      <c r="T375" s="70" t="s">
        <v>3497</v>
      </c>
      <c r="U375" s="452"/>
      <c r="V375" s="453" t="str">
        <f>IF(VLOOKUP($A375,'GeneratingCapabilityList sorted'!$E$9:$O$801,8,FALSE)&lt;&gt;"",VLOOKUP($A375,'GeneratingCapabilityList sorted'!$E$9:$O$801,8,FALSE),"NoneListed")</f>
        <v>LANDFILL GAS</v>
      </c>
      <c r="W375" s="454">
        <f>IF($AB375,$AB375,IF($AA375,$AA375,Scenarios!$B$43))</f>
        <v>33274</v>
      </c>
      <c r="X375" s="454"/>
      <c r="Y375" s="454"/>
      <c r="Z375" s="454"/>
      <c r="AA375" s="454">
        <f>IFERROR(VLOOKUP($A375,'GeneratingCapabilityList sorted'!$E$9:$O$801,11,FALSE),Scenarios!$B$43)</f>
        <v>0</v>
      </c>
      <c r="AB375" s="454">
        <v>33274</v>
      </c>
      <c r="AC375" s="453" t="s">
        <v>4731</v>
      </c>
    </row>
    <row r="376" spans="1:29" x14ac:dyDescent="0.25">
      <c r="A376" s="65" t="s">
        <v>3321</v>
      </c>
      <c r="B376" s="65" t="s">
        <v>3766</v>
      </c>
      <c r="C376" s="66" t="s">
        <v>3468</v>
      </c>
      <c r="D376" s="66" t="s">
        <v>3382</v>
      </c>
      <c r="E376" s="67">
        <v>0</v>
      </c>
      <c r="F376" s="68">
        <v>0</v>
      </c>
      <c r="G376" s="68">
        <v>0</v>
      </c>
      <c r="H376" s="68">
        <v>0</v>
      </c>
      <c r="I376" s="68">
        <v>0</v>
      </c>
      <c r="J376" s="68">
        <v>0</v>
      </c>
      <c r="K376" s="68">
        <v>0</v>
      </c>
      <c r="L376" s="68">
        <v>0</v>
      </c>
      <c r="M376" s="68">
        <v>0</v>
      </c>
      <c r="N376" s="68">
        <v>0</v>
      </c>
      <c r="O376" s="68">
        <v>0</v>
      </c>
      <c r="P376" s="68">
        <v>0</v>
      </c>
      <c r="Q376" s="68">
        <v>0</v>
      </c>
      <c r="R376" s="69" t="s">
        <v>3470</v>
      </c>
      <c r="S376" s="69" t="s">
        <v>3489</v>
      </c>
      <c r="T376" s="70" t="s">
        <v>3497</v>
      </c>
      <c r="U376" s="452"/>
      <c r="V376" s="453" t="str">
        <f>IF(VLOOKUP($A376,'GeneratingCapabilityList sorted'!$E$9:$O$801,8,FALSE)&lt;&gt;"",VLOOKUP($A376,'GeneratingCapabilityList sorted'!$E$9:$O$801,8,FALSE),"NoneListed")</f>
        <v>NATURAL GAS</v>
      </c>
      <c r="W376" s="454">
        <f>IF($AB376,$AB376,IF($AA376,$AA376,Scenarios!$B$43))</f>
        <v>29221</v>
      </c>
      <c r="X376" s="454"/>
      <c r="Y376" s="454"/>
      <c r="Z376" s="454"/>
      <c r="AA376" s="454">
        <f>IFERROR(VLOOKUP($A376,'GeneratingCapabilityList sorted'!$E$9:$O$801,11,FALSE),Scenarios!$B$43)</f>
        <v>0</v>
      </c>
      <c r="AB376" s="453"/>
      <c r="AC376" s="453"/>
    </row>
    <row r="377" spans="1:29" x14ac:dyDescent="0.25">
      <c r="A377" s="65" t="s">
        <v>1504</v>
      </c>
      <c r="B377" s="72" t="s">
        <v>1505</v>
      </c>
      <c r="C377" s="66" t="s">
        <v>3477</v>
      </c>
      <c r="D377" s="66" t="s">
        <v>3387</v>
      </c>
      <c r="E377" s="67">
        <v>0</v>
      </c>
      <c r="F377" s="68">
        <v>1.85</v>
      </c>
      <c r="G377" s="68">
        <v>1.83</v>
      </c>
      <c r="H377" s="68">
        <v>2.2400000000000002</v>
      </c>
      <c r="I377" s="68">
        <v>2.2000000000000002</v>
      </c>
      <c r="J377" s="68">
        <v>2.17</v>
      </c>
      <c r="K377" s="68">
        <v>2.27</v>
      </c>
      <c r="L377" s="68">
        <v>2.2200000000000002</v>
      </c>
      <c r="M377" s="68">
        <v>2.35</v>
      </c>
      <c r="N377" s="68">
        <v>2.25</v>
      </c>
      <c r="O377" s="68">
        <v>2.31</v>
      </c>
      <c r="P377" s="68">
        <v>2.33</v>
      </c>
      <c r="Q377" s="68">
        <v>2.0099999999999998</v>
      </c>
      <c r="R377" s="69" t="s">
        <v>3470</v>
      </c>
      <c r="S377" s="69" t="s">
        <v>3489</v>
      </c>
      <c r="T377" s="70" t="s">
        <v>3502</v>
      </c>
      <c r="U377" s="452"/>
      <c r="V377" s="453" t="str">
        <f>IF(VLOOKUP($A377,'GeneratingCapabilityList sorted'!$E$9:$O$801,8,FALSE)&lt;&gt;"",VLOOKUP($A377,'GeneratingCapabilityList sorted'!$E$9:$O$801,8,FALSE),"NoneListed")</f>
        <v>WATER</v>
      </c>
      <c r="W377" s="454">
        <f>IF($AB377,$AB377,IF($AA377,$AA377,Scenarios!$B$43))</f>
        <v>31778</v>
      </c>
      <c r="X377" s="454"/>
      <c r="Y377" s="454"/>
      <c r="Z377" s="454"/>
      <c r="AA377" s="454">
        <f>IFERROR(VLOOKUP($A377,'GeneratingCapabilityList sorted'!$E$9:$O$801,11,FALSE),Scenarios!$B$43)</f>
        <v>31778</v>
      </c>
      <c r="AB377" s="453"/>
      <c r="AC377" s="453"/>
    </row>
    <row r="378" spans="1:29" x14ac:dyDescent="0.25">
      <c r="A378" s="65" t="s">
        <v>1506</v>
      </c>
      <c r="B378" s="72" t="s">
        <v>3767</v>
      </c>
      <c r="C378" s="66" t="s">
        <v>3477</v>
      </c>
      <c r="D378" s="66" t="s">
        <v>3387</v>
      </c>
      <c r="E378" s="67">
        <v>0</v>
      </c>
      <c r="F378" s="68">
        <v>1.94</v>
      </c>
      <c r="G378" s="68">
        <v>1.69</v>
      </c>
      <c r="H378" s="68">
        <v>2.23</v>
      </c>
      <c r="I378" s="68">
        <v>2.16</v>
      </c>
      <c r="J378" s="68">
        <v>2.2400000000000002</v>
      </c>
      <c r="K378" s="68">
        <v>2.2799999999999998</v>
      </c>
      <c r="L378" s="68">
        <v>2.2000000000000002</v>
      </c>
      <c r="M378" s="68">
        <v>2.4900000000000002</v>
      </c>
      <c r="N378" s="68">
        <v>2.34</v>
      </c>
      <c r="O378" s="68">
        <v>2.36</v>
      </c>
      <c r="P378" s="68">
        <v>2.36</v>
      </c>
      <c r="Q378" s="68">
        <v>2.0499999999999998</v>
      </c>
      <c r="R378" s="69" t="s">
        <v>3470</v>
      </c>
      <c r="S378" s="69" t="s">
        <v>3489</v>
      </c>
      <c r="T378" s="70" t="s">
        <v>3502</v>
      </c>
      <c r="U378" s="452"/>
      <c r="V378" s="453" t="str">
        <f>IF(VLOOKUP($A378,'GeneratingCapabilityList sorted'!$E$9:$O$801,8,FALSE)&lt;&gt;"",VLOOKUP($A378,'GeneratingCapabilityList sorted'!$E$9:$O$801,8,FALSE),"NoneListed")</f>
        <v>WATER</v>
      </c>
      <c r="W378" s="454">
        <f>IF($AB378,$AB378,IF($AA378,$AA378,Scenarios!$B$43))</f>
        <v>31778</v>
      </c>
      <c r="X378" s="454"/>
      <c r="Y378" s="454"/>
      <c r="Z378" s="454"/>
      <c r="AA378" s="454">
        <f>IFERROR(VLOOKUP($A378,'GeneratingCapabilityList sorted'!$E$9:$O$801,11,FALSE),Scenarios!$B$43)</f>
        <v>31778</v>
      </c>
      <c r="AB378" s="453"/>
      <c r="AC378" s="453"/>
    </row>
    <row r="379" spans="1:29" x14ac:dyDescent="0.25">
      <c r="A379" s="65" t="s">
        <v>1724</v>
      </c>
      <c r="B379" s="65" t="s">
        <v>3768</v>
      </c>
      <c r="C379" s="66" t="s">
        <v>3477</v>
      </c>
      <c r="D379" s="66" t="s">
        <v>3387</v>
      </c>
      <c r="E379" s="67">
        <v>0</v>
      </c>
      <c r="F379" s="68">
        <v>32.520000000000003</v>
      </c>
      <c r="G379" s="68">
        <v>35.57</v>
      </c>
      <c r="H379" s="68">
        <v>34.840000000000003</v>
      </c>
      <c r="I379" s="68">
        <v>34.47</v>
      </c>
      <c r="J379" s="68">
        <v>21.64</v>
      </c>
      <c r="K379" s="68">
        <v>33.25</v>
      </c>
      <c r="L379" s="68">
        <v>32.99</v>
      </c>
      <c r="M379" s="68">
        <v>29.78</v>
      </c>
      <c r="N379" s="68">
        <v>32.4</v>
      </c>
      <c r="O379" s="68">
        <v>25.74</v>
      </c>
      <c r="P379" s="68">
        <v>34.96</v>
      </c>
      <c r="Q379" s="68">
        <v>36.950000000000003</v>
      </c>
      <c r="R379" s="69" t="s">
        <v>3470</v>
      </c>
      <c r="S379" s="69" t="s">
        <v>3489</v>
      </c>
      <c r="T379" s="70" t="s">
        <v>3497</v>
      </c>
      <c r="U379" s="452"/>
      <c r="V379" s="453" t="str">
        <f>IF(VLOOKUP($A379,'GeneratingCapabilityList sorted'!$E$9:$O$801,8,FALSE)&lt;&gt;"",VLOOKUP($A379,'GeneratingCapabilityList sorted'!$E$9:$O$801,8,FALSE),"NoneListed")</f>
        <v>NATURAL GAS</v>
      </c>
      <c r="W379" s="454">
        <f>IF($AB379,$AB379,IF($AA379,$AA379,Scenarios!$B$43))</f>
        <v>32284</v>
      </c>
      <c r="X379" s="454"/>
      <c r="Y379" s="454"/>
      <c r="Z379" s="454"/>
      <c r="AA379" s="454">
        <f>IFERROR(VLOOKUP($A379,'GeneratingCapabilityList sorted'!$E$9:$O$801,11,FALSE),Scenarios!$B$43)</f>
        <v>32284</v>
      </c>
      <c r="AB379" s="453"/>
      <c r="AC379" s="453"/>
    </row>
    <row r="380" spans="1:29" x14ac:dyDescent="0.25">
      <c r="A380" s="65" t="s">
        <v>2901</v>
      </c>
      <c r="B380" s="65" t="s">
        <v>2902</v>
      </c>
      <c r="C380" s="66" t="s">
        <v>3477</v>
      </c>
      <c r="D380" s="66" t="s">
        <v>3387</v>
      </c>
      <c r="E380" s="67">
        <v>43.18</v>
      </c>
      <c r="F380" s="68">
        <v>0</v>
      </c>
      <c r="G380" s="68">
        <v>0</v>
      </c>
      <c r="H380" s="68">
        <v>0</v>
      </c>
      <c r="I380" s="68">
        <v>0</v>
      </c>
      <c r="J380" s="68">
        <v>0</v>
      </c>
      <c r="K380" s="68">
        <v>0</v>
      </c>
      <c r="L380" s="68">
        <v>0</v>
      </c>
      <c r="M380" s="68">
        <v>0</v>
      </c>
      <c r="N380" s="68">
        <v>0</v>
      </c>
      <c r="O380" s="68">
        <v>0</v>
      </c>
      <c r="P380" s="68">
        <v>0</v>
      </c>
      <c r="Q380" s="68">
        <v>0</v>
      </c>
      <c r="R380" s="69" t="s">
        <v>3470</v>
      </c>
      <c r="S380" s="69" t="s">
        <v>3471</v>
      </c>
      <c r="T380" s="70" t="s">
        <v>3472</v>
      </c>
      <c r="U380" s="452"/>
      <c r="V380" s="453" t="str">
        <f>IF(VLOOKUP($A380,'GeneratingCapabilityList sorted'!$E$9:$O$801,8,FALSE)&lt;&gt;"",VLOOKUP($A380,'GeneratingCapabilityList sorted'!$E$9:$O$801,8,FALSE),"NoneListed")</f>
        <v>NATURAL GAS</v>
      </c>
      <c r="W380" s="454">
        <f>IF($AB380,$AB380,IF($AA380,$AA380,Scenarios!$B$43))</f>
        <v>39345</v>
      </c>
      <c r="X380" s="454"/>
      <c r="Y380" s="454"/>
      <c r="Z380" s="454"/>
      <c r="AA380" s="454">
        <f>IFERROR(VLOOKUP($A380,'GeneratingCapabilityList sorted'!$E$9:$O$801,11,FALSE),Scenarios!$B$43)</f>
        <v>39345</v>
      </c>
      <c r="AB380" s="453"/>
      <c r="AC380" s="453"/>
    </row>
    <row r="381" spans="1:29" x14ac:dyDescent="0.25">
      <c r="A381" s="72" t="s">
        <v>774</v>
      </c>
      <c r="B381" s="72" t="s">
        <v>3769</v>
      </c>
      <c r="C381" s="73" t="s">
        <v>3477</v>
      </c>
      <c r="D381" s="73" t="s">
        <v>3387</v>
      </c>
      <c r="E381" s="74">
        <v>0</v>
      </c>
      <c r="F381" s="75">
        <v>1.6</v>
      </c>
      <c r="G381" s="75">
        <v>2.2000000000000002</v>
      </c>
      <c r="H381" s="75">
        <v>3.8</v>
      </c>
      <c r="I381" s="75">
        <v>4.4000000000000004</v>
      </c>
      <c r="J381" s="75">
        <v>4</v>
      </c>
      <c r="K381" s="75">
        <v>4.2</v>
      </c>
      <c r="L381" s="75">
        <v>4.7</v>
      </c>
      <c r="M381" s="75">
        <v>4.5999999999999996</v>
      </c>
      <c r="N381" s="75">
        <v>4.4000000000000004</v>
      </c>
      <c r="O381" s="75">
        <v>3.2</v>
      </c>
      <c r="P381" s="75">
        <v>2.7</v>
      </c>
      <c r="Q381" s="75">
        <v>2.4</v>
      </c>
      <c r="R381" s="69" t="s">
        <v>3470</v>
      </c>
      <c r="S381" s="76" t="s">
        <v>560</v>
      </c>
      <c r="T381" s="70" t="s">
        <v>3484</v>
      </c>
      <c r="U381" s="452"/>
      <c r="V381" s="453" t="str">
        <f>IF(VLOOKUP($A381,'GeneratingCapabilityList sorted'!$E$9:$O$801,8,FALSE)&lt;&gt;"",VLOOKUP($A381,'GeneratingCapabilityList sorted'!$E$9:$O$801,8,FALSE),"NoneListed")</f>
        <v>WATER</v>
      </c>
      <c r="W381" s="454">
        <f>IF($AB381,$AB381,IF($AA381,$AA381,Scenarios!$B$43))</f>
        <v>29221</v>
      </c>
      <c r="X381" s="454"/>
      <c r="Y381" s="454"/>
      <c r="Z381" s="454"/>
      <c r="AA381" s="454">
        <f>IFERROR(VLOOKUP($A381,'GeneratingCapabilityList sorted'!$E$9:$O$801,11,FALSE),Scenarios!$B$43)</f>
        <v>29221</v>
      </c>
      <c r="AB381" s="453"/>
      <c r="AC381" s="453"/>
    </row>
    <row r="382" spans="1:29" x14ac:dyDescent="0.25">
      <c r="A382" s="65" t="s">
        <v>1526</v>
      </c>
      <c r="B382" s="65" t="s">
        <v>3770</v>
      </c>
      <c r="C382" s="66" t="s">
        <v>3468</v>
      </c>
      <c r="D382" s="66" t="s">
        <v>3382</v>
      </c>
      <c r="E382" s="67">
        <v>0</v>
      </c>
      <c r="F382" s="68">
        <v>0.46</v>
      </c>
      <c r="G382" s="68">
        <v>0.19</v>
      </c>
      <c r="H382" s="68">
        <v>0.41</v>
      </c>
      <c r="I382" s="68">
        <v>0.09</v>
      </c>
      <c r="J382" s="68">
        <v>0.15</v>
      </c>
      <c r="K382" s="68">
        <v>0.13</v>
      </c>
      <c r="L382" s="68">
        <v>0.22</v>
      </c>
      <c r="M382" s="68">
        <v>0.24</v>
      </c>
      <c r="N382" s="68">
        <v>0.08</v>
      </c>
      <c r="O382" s="68">
        <v>0.12</v>
      </c>
      <c r="P382" s="68">
        <v>0.32</v>
      </c>
      <c r="Q382" s="68">
        <v>0.87</v>
      </c>
      <c r="R382" s="69" t="s">
        <v>3470</v>
      </c>
      <c r="S382" s="69" t="s">
        <v>3489</v>
      </c>
      <c r="T382" s="70" t="s">
        <v>3497</v>
      </c>
      <c r="U382" s="452"/>
      <c r="V382" s="453" t="str">
        <f>IF(VLOOKUP($A382,'GeneratingCapabilityList sorted'!$E$9:$O$801,8,FALSE)&lt;&gt;"",VLOOKUP($A382,'GeneratingCapabilityList sorted'!$E$9:$O$801,8,FALSE),"NoneListed")</f>
        <v>NATURAL GAS</v>
      </c>
      <c r="W382" s="454">
        <f>IF($AB382,$AB382,IF($AA382,$AA382,Scenarios!$B$43))</f>
        <v>31778</v>
      </c>
      <c r="X382" s="454"/>
      <c r="Y382" s="454"/>
      <c r="Z382" s="454"/>
      <c r="AA382" s="454">
        <f>IFERROR(VLOOKUP($A382,'GeneratingCapabilityList sorted'!$E$9:$O$801,11,FALSE),Scenarios!$B$43)</f>
        <v>31778</v>
      </c>
      <c r="AB382" s="453"/>
      <c r="AC382" s="453"/>
    </row>
    <row r="383" spans="1:29" x14ac:dyDescent="0.25">
      <c r="A383" s="65" t="s">
        <v>2130</v>
      </c>
      <c r="B383" s="65" t="s">
        <v>2131</v>
      </c>
      <c r="C383" s="66" t="s">
        <v>3468</v>
      </c>
      <c r="D383" s="66" t="s">
        <v>3505</v>
      </c>
      <c r="E383" s="67">
        <v>0</v>
      </c>
      <c r="F383" s="68">
        <v>47.1</v>
      </c>
      <c r="G383" s="68">
        <v>46.51</v>
      </c>
      <c r="H383" s="68">
        <v>45.26</v>
      </c>
      <c r="I383" s="68">
        <v>43.11</v>
      </c>
      <c r="J383" s="68">
        <v>39.549999999999997</v>
      </c>
      <c r="K383" s="68">
        <v>45.08</v>
      </c>
      <c r="L383" s="68">
        <v>44.31</v>
      </c>
      <c r="M383" s="68">
        <v>40.01</v>
      </c>
      <c r="N383" s="68">
        <v>42.3</v>
      </c>
      <c r="O383" s="68">
        <v>39.659999999999997</v>
      </c>
      <c r="P383" s="68">
        <v>41.17</v>
      </c>
      <c r="Q383" s="68">
        <v>45.89</v>
      </c>
      <c r="R383" s="69" t="s">
        <v>3470</v>
      </c>
      <c r="S383" s="69" t="s">
        <v>3489</v>
      </c>
      <c r="T383" s="70" t="s">
        <v>3497</v>
      </c>
      <c r="U383" s="452"/>
      <c r="V383" s="453" t="str">
        <f>IF(VLOOKUP($A383,'GeneratingCapabilityList sorted'!$E$9:$O$801,8,FALSE)&lt;&gt;"",VLOOKUP($A383,'GeneratingCapabilityList sorted'!$E$9:$O$801,8,FALSE),"NoneListed")</f>
        <v>NATURAL GAS</v>
      </c>
      <c r="W383" s="454">
        <f>IF($AB383,$AB383,IF($AA383,$AA383,Scenarios!$B$43))</f>
        <v>33527</v>
      </c>
      <c r="X383" s="454"/>
      <c r="Y383" s="454"/>
      <c r="Z383" s="454"/>
      <c r="AA383" s="454">
        <f>IFERROR(VLOOKUP($A383,'GeneratingCapabilityList sorted'!$E$9:$O$801,11,FALSE),Scenarios!$B$43)</f>
        <v>33527</v>
      </c>
      <c r="AB383" s="453"/>
      <c r="AC383" s="453"/>
    </row>
    <row r="384" spans="1:29" x14ac:dyDescent="0.25">
      <c r="A384" s="65" t="s">
        <v>3325</v>
      </c>
      <c r="B384" s="65" t="s">
        <v>3325</v>
      </c>
      <c r="C384" s="66" t="s">
        <v>3468</v>
      </c>
      <c r="D384" s="66" t="s">
        <v>3382</v>
      </c>
      <c r="E384" s="67">
        <v>0</v>
      </c>
      <c r="F384" s="68">
        <v>0.01</v>
      </c>
      <c r="G384" s="68">
        <v>0.02</v>
      </c>
      <c r="H384" s="68">
        <v>0.02</v>
      </c>
      <c r="I384" s="68">
        <v>0.02</v>
      </c>
      <c r="J384" s="68">
        <v>0.02</v>
      </c>
      <c r="K384" s="68">
        <v>0.02</v>
      </c>
      <c r="L384" s="68">
        <v>0.02</v>
      </c>
      <c r="M384" s="68">
        <v>0.02</v>
      </c>
      <c r="N384" s="68">
        <v>0.02</v>
      </c>
      <c r="O384" s="68">
        <v>0.02</v>
      </c>
      <c r="P384" s="68">
        <v>0.02</v>
      </c>
      <c r="Q384" s="68">
        <v>0.01</v>
      </c>
      <c r="R384" s="69" t="s">
        <v>3470</v>
      </c>
      <c r="S384" s="69" t="s">
        <v>3489</v>
      </c>
      <c r="T384" s="70" t="s">
        <v>3497</v>
      </c>
      <c r="U384" s="452"/>
      <c r="V384" s="453" t="str">
        <f>IF(VLOOKUP($A384,'GeneratingCapabilityList sorted'!$E$9:$O$801,8,FALSE)&lt;&gt;"",VLOOKUP($A384,'GeneratingCapabilityList sorted'!$E$9:$O$801,8,FALSE),"NoneListed")</f>
        <v>COAL</v>
      </c>
      <c r="W384" s="454">
        <f>IF($AB384,$AB384,IF($AA384,$AA384,Scenarios!$B$43))</f>
        <v>31707</v>
      </c>
      <c r="X384" s="454"/>
      <c r="Y384" s="454"/>
      <c r="Z384" s="454"/>
      <c r="AA384" s="454">
        <f>IFERROR(VLOOKUP($A384,'GeneratingCapabilityList sorted'!$E$9:$O$801,11,FALSE),Scenarios!$B$43)</f>
        <v>0</v>
      </c>
      <c r="AB384" s="454">
        <v>31707</v>
      </c>
      <c r="AC384" s="453" t="s">
        <v>4731</v>
      </c>
    </row>
    <row r="385" spans="1:29" x14ac:dyDescent="0.25">
      <c r="A385" s="65" t="s">
        <v>443</v>
      </c>
      <c r="B385" s="65" t="s">
        <v>3771</v>
      </c>
      <c r="C385" s="66" t="s">
        <v>3477</v>
      </c>
      <c r="D385" s="66" t="s">
        <v>3388</v>
      </c>
      <c r="E385" s="67">
        <v>215</v>
      </c>
      <c r="F385" s="68">
        <v>0</v>
      </c>
      <c r="G385" s="68">
        <v>0</v>
      </c>
      <c r="H385" s="68">
        <v>0</v>
      </c>
      <c r="I385" s="68">
        <v>0</v>
      </c>
      <c r="J385" s="68">
        <v>0</v>
      </c>
      <c r="K385" s="68">
        <v>0</v>
      </c>
      <c r="L385" s="68">
        <v>0</v>
      </c>
      <c r="M385" s="68">
        <v>0</v>
      </c>
      <c r="N385" s="68">
        <v>0</v>
      </c>
      <c r="O385" s="68">
        <v>0</v>
      </c>
      <c r="P385" s="68">
        <v>0</v>
      </c>
      <c r="Q385" s="68">
        <v>0</v>
      </c>
      <c r="R385" s="69" t="s">
        <v>3470</v>
      </c>
      <c r="S385" s="69" t="s">
        <v>3471</v>
      </c>
      <c r="T385" s="70" t="s">
        <v>3472</v>
      </c>
      <c r="U385" s="452" t="s">
        <v>29</v>
      </c>
      <c r="V385" s="453" t="str">
        <f>IF(VLOOKUP($A385,'GeneratingCapabilityList sorted'!$E$9:$O$801,8,FALSE)&lt;&gt;"",VLOOKUP($A385,'GeneratingCapabilityList sorted'!$E$9:$O$801,8,FALSE),"NoneListed")</f>
        <v>NATURAL GAS</v>
      </c>
      <c r="W385" s="454">
        <f>IF($AB385,$AB385,IF($AA385,$AA385,Scenarios!$B$43))</f>
        <v>21551</v>
      </c>
      <c r="X385" s="454">
        <f>OTC!G27</f>
        <v>44196</v>
      </c>
      <c r="Y385" s="454">
        <f>OTC!H27</f>
        <v>44196</v>
      </c>
      <c r="Z385" s="454"/>
      <c r="AA385" s="454">
        <f>IFERROR(VLOOKUP($A385,'GeneratingCapabilityList sorted'!$E$9:$O$801,11,FALSE),Scenarios!$B$43)</f>
        <v>21551</v>
      </c>
      <c r="AB385" s="453"/>
      <c r="AC385" s="453"/>
    </row>
    <row r="386" spans="1:29" x14ac:dyDescent="0.25">
      <c r="A386" s="65" t="s">
        <v>446</v>
      </c>
      <c r="B386" s="65" t="s">
        <v>3772</v>
      </c>
      <c r="C386" s="66" t="s">
        <v>3477</v>
      </c>
      <c r="D386" s="66" t="s">
        <v>3388</v>
      </c>
      <c r="E386" s="67">
        <v>215.29</v>
      </c>
      <c r="F386" s="68">
        <v>0</v>
      </c>
      <c r="G386" s="68">
        <v>0</v>
      </c>
      <c r="H386" s="68">
        <v>0</v>
      </c>
      <c r="I386" s="68">
        <v>0</v>
      </c>
      <c r="J386" s="68">
        <v>0</v>
      </c>
      <c r="K386" s="68">
        <v>0</v>
      </c>
      <c r="L386" s="68">
        <v>0</v>
      </c>
      <c r="M386" s="68">
        <v>0</v>
      </c>
      <c r="N386" s="68">
        <v>0</v>
      </c>
      <c r="O386" s="68">
        <v>0</v>
      </c>
      <c r="P386" s="68">
        <v>0</v>
      </c>
      <c r="Q386" s="68">
        <v>0</v>
      </c>
      <c r="R386" s="69" t="s">
        <v>3470</v>
      </c>
      <c r="S386" s="69" t="s">
        <v>3471</v>
      </c>
      <c r="T386" s="70" t="s">
        <v>3472</v>
      </c>
      <c r="U386" s="452" t="s">
        <v>29</v>
      </c>
      <c r="V386" s="453" t="str">
        <f>IF(VLOOKUP($A386,'GeneratingCapabilityList sorted'!$E$9:$O$801,8,FALSE)&lt;&gt;"",VLOOKUP($A386,'GeneratingCapabilityList sorted'!$E$9:$O$801,8,FALSE),"NoneListed")</f>
        <v>NATURAL GAS</v>
      </c>
      <c r="W386" s="454">
        <f>IF($AB386,$AB386,IF($AA386,$AA386,Scenarios!$B$43))</f>
        <v>21551</v>
      </c>
      <c r="X386" s="454">
        <f>OTC!G28</f>
        <v>44196</v>
      </c>
      <c r="Y386" s="454">
        <f>OTC!H28</f>
        <v>44196</v>
      </c>
      <c r="Z386" s="454"/>
      <c r="AA386" s="454">
        <f>IFERROR(VLOOKUP($A386,'GeneratingCapabilityList sorted'!$E$9:$O$801,11,FALSE),Scenarios!$B$43)</f>
        <v>21551</v>
      </c>
      <c r="AB386" s="453"/>
      <c r="AC386" s="453"/>
    </row>
    <row r="387" spans="1:29" x14ac:dyDescent="0.25">
      <c r="A387" s="65" t="s">
        <v>3235</v>
      </c>
      <c r="B387" s="65" t="s">
        <v>3773</v>
      </c>
      <c r="C387" s="66" t="s">
        <v>3477</v>
      </c>
      <c r="D387" s="66" t="s">
        <v>3388</v>
      </c>
      <c r="E387" s="67">
        <v>130</v>
      </c>
      <c r="F387" s="68">
        <v>0</v>
      </c>
      <c r="G387" s="68">
        <v>0</v>
      </c>
      <c r="H387" s="68">
        <v>0</v>
      </c>
      <c r="I387" s="68">
        <v>0</v>
      </c>
      <c r="J387" s="68">
        <v>0</v>
      </c>
      <c r="K387" s="68">
        <v>0</v>
      </c>
      <c r="L387" s="68">
        <v>0</v>
      </c>
      <c r="M387" s="68">
        <v>0</v>
      </c>
      <c r="N387" s="68">
        <v>0</v>
      </c>
      <c r="O387" s="68">
        <v>0</v>
      </c>
      <c r="P387" s="68">
        <v>0</v>
      </c>
      <c r="Q387" s="68">
        <v>0</v>
      </c>
      <c r="R387" s="69" t="s">
        <v>3470</v>
      </c>
      <c r="S387" s="69" t="s">
        <v>3471</v>
      </c>
      <c r="T387" s="70" t="s">
        <v>3472</v>
      </c>
      <c r="U387" s="452" t="s">
        <v>29</v>
      </c>
      <c r="V387" s="453" t="str">
        <f>IF(VLOOKUP($A387,'GeneratingCapabilityList sorted'!$E$9:$O$801,8,FALSE)&lt;&gt;"",VLOOKUP($A387,'GeneratingCapabilityList sorted'!$E$9:$O$801,8,FALSE),"NoneListed")</f>
        <v>NATURAL GAS</v>
      </c>
      <c r="W387" s="454">
        <f>IF($AB387,$AB387,IF($AA387,$AA387,Scenarios!$B$43))</f>
        <v>25569</v>
      </c>
      <c r="X387" s="454">
        <f>OTC!G29</f>
        <v>44196</v>
      </c>
      <c r="Y387" s="454">
        <f>OTC!H29</f>
        <v>44196</v>
      </c>
      <c r="Z387" s="454"/>
      <c r="AA387" s="454">
        <f>IFERROR(VLOOKUP($A387,'GeneratingCapabilityList sorted'!$E$9:$O$801,11,FALSE),Scenarios!$B$43)</f>
        <v>0</v>
      </c>
      <c r="AB387" s="454">
        <v>25569</v>
      </c>
      <c r="AC387" s="453" t="s">
        <v>4699</v>
      </c>
    </row>
    <row r="388" spans="1:29" x14ac:dyDescent="0.25">
      <c r="A388" s="65" t="s">
        <v>1096</v>
      </c>
      <c r="B388" s="65" t="s">
        <v>1097</v>
      </c>
      <c r="C388" s="66" t="s">
        <v>3468</v>
      </c>
      <c r="D388" s="66" t="s">
        <v>3382</v>
      </c>
      <c r="E388" s="67">
        <v>0</v>
      </c>
      <c r="F388" s="68">
        <v>3.81</v>
      </c>
      <c r="G388" s="68">
        <v>3.76</v>
      </c>
      <c r="H388" s="68">
        <v>3.79</v>
      </c>
      <c r="I388" s="68">
        <v>3.75</v>
      </c>
      <c r="J388" s="68">
        <v>3.44</v>
      </c>
      <c r="K388" s="68">
        <v>3.86</v>
      </c>
      <c r="L388" s="68">
        <v>2.95</v>
      </c>
      <c r="M388" s="68">
        <v>2.87</v>
      </c>
      <c r="N388" s="68">
        <v>2.77</v>
      </c>
      <c r="O388" s="68">
        <v>2.85</v>
      </c>
      <c r="P388" s="68">
        <v>2.91</v>
      </c>
      <c r="Q388" s="68">
        <v>3.14</v>
      </c>
      <c r="R388" s="69" t="s">
        <v>3470</v>
      </c>
      <c r="S388" s="69" t="s">
        <v>3489</v>
      </c>
      <c r="T388" s="70" t="s">
        <v>3497</v>
      </c>
      <c r="U388" s="452"/>
      <c r="V388" s="453" t="str">
        <f>IF(VLOOKUP($A388,'GeneratingCapabilityList sorted'!$E$9:$O$801,8,FALSE)&lt;&gt;"",VLOOKUP($A388,'GeneratingCapabilityList sorted'!$E$9:$O$801,8,FALSE),"NoneListed")</f>
        <v>LANDFILL GAS</v>
      </c>
      <c r="W388" s="454">
        <f>IF($AB388,$AB388,IF($AA388,$AA388,Scenarios!$B$43))</f>
        <v>30897</v>
      </c>
      <c r="X388" s="454"/>
      <c r="Y388" s="454"/>
      <c r="Z388" s="454"/>
      <c r="AA388" s="454">
        <f>IFERROR(VLOOKUP($A388,'GeneratingCapabilityList sorted'!$E$9:$O$801,11,FALSE),Scenarios!$B$43)</f>
        <v>30897</v>
      </c>
      <c r="AB388" s="453"/>
      <c r="AC388" s="453"/>
    </row>
    <row r="389" spans="1:29" x14ac:dyDescent="0.25">
      <c r="A389" s="72" t="s">
        <v>2243</v>
      </c>
      <c r="B389" s="72" t="s">
        <v>3774</v>
      </c>
      <c r="C389" s="73" t="s">
        <v>3477</v>
      </c>
      <c r="D389" s="73" t="s">
        <v>3387</v>
      </c>
      <c r="E389" s="74">
        <v>0</v>
      </c>
      <c r="F389" s="75">
        <v>6</v>
      </c>
      <c r="G389" s="75">
        <v>3</v>
      </c>
      <c r="H389" s="75">
        <v>12</v>
      </c>
      <c r="I389" s="75">
        <v>13</v>
      </c>
      <c r="J389" s="75">
        <v>10</v>
      </c>
      <c r="K389" s="75">
        <v>12</v>
      </c>
      <c r="L389" s="75">
        <v>17</v>
      </c>
      <c r="M389" s="75">
        <v>18</v>
      </c>
      <c r="N389" s="75">
        <v>16</v>
      </c>
      <c r="O389" s="75">
        <v>16</v>
      </c>
      <c r="P389" s="75">
        <v>16</v>
      </c>
      <c r="Q389" s="75">
        <v>10</v>
      </c>
      <c r="R389" s="69" t="s">
        <v>3470</v>
      </c>
      <c r="S389" s="76" t="s">
        <v>560</v>
      </c>
      <c r="T389" s="70" t="s">
        <v>3484</v>
      </c>
      <c r="U389" s="452"/>
      <c r="V389" s="453" t="str">
        <f>IF(VLOOKUP($A389,'GeneratingCapabilityList sorted'!$E$9:$O$801,8,FALSE)&lt;&gt;"",VLOOKUP($A389,'GeneratingCapabilityList sorted'!$E$9:$O$801,8,FALSE),"NoneListed")</f>
        <v>WATER</v>
      </c>
      <c r="W389" s="454">
        <f>IF($AB389,$AB389,IF($AA389,$AA389,Scenarios!$B$43))</f>
        <v>35065</v>
      </c>
      <c r="X389" s="454"/>
      <c r="Y389" s="454"/>
      <c r="Z389" s="454"/>
      <c r="AA389" s="454">
        <f>IFERROR(VLOOKUP($A389,'GeneratingCapabilityList sorted'!$E$9:$O$801,11,FALSE),Scenarios!$B$43)</f>
        <v>35065</v>
      </c>
      <c r="AB389" s="453"/>
      <c r="AC389" s="453"/>
    </row>
    <row r="390" spans="1:29" x14ac:dyDescent="0.25">
      <c r="A390" s="65" t="s">
        <v>64</v>
      </c>
      <c r="B390" s="65" t="s">
        <v>3775</v>
      </c>
      <c r="C390" s="66" t="s">
        <v>3477</v>
      </c>
      <c r="D390" s="66" t="s">
        <v>3388</v>
      </c>
      <c r="E390" s="67">
        <v>0</v>
      </c>
      <c r="F390" s="68">
        <v>1.89</v>
      </c>
      <c r="G390" s="68">
        <v>2.27</v>
      </c>
      <c r="H390" s="68">
        <v>3.87</v>
      </c>
      <c r="I390" s="68">
        <v>7.41</v>
      </c>
      <c r="J390" s="68">
        <v>8.41</v>
      </c>
      <c r="K390" s="68">
        <v>8.51</v>
      </c>
      <c r="L390" s="68">
        <v>8.5399999999999991</v>
      </c>
      <c r="M390" s="68">
        <v>8.98</v>
      </c>
      <c r="N390" s="68">
        <v>8.9700000000000006</v>
      </c>
      <c r="O390" s="68">
        <v>4.55</v>
      </c>
      <c r="P390" s="68">
        <v>2.21</v>
      </c>
      <c r="Q390" s="68">
        <v>1.31</v>
      </c>
      <c r="R390" s="69" t="s">
        <v>3470</v>
      </c>
      <c r="S390" s="69" t="s">
        <v>3489</v>
      </c>
      <c r="T390" s="70" t="s">
        <v>3512</v>
      </c>
      <c r="U390" s="452"/>
      <c r="V390" s="453" t="str">
        <f>IF(VLOOKUP($A390,'GeneratingCapabilityList sorted'!$E$9:$O$801,8,FALSE)&lt;&gt;"",VLOOKUP($A390,'GeneratingCapabilityList sorted'!$E$9:$O$801,8,FALSE),"NoneListed")</f>
        <v>WATER</v>
      </c>
      <c r="W390" s="454">
        <f>IF($AB390,$AB390,IF($AA390,$AA390,Scenarios!$B$43))</f>
        <v>1462</v>
      </c>
      <c r="X390" s="454"/>
      <c r="Y390" s="454"/>
      <c r="Z390" s="454"/>
      <c r="AA390" s="454">
        <f>IFERROR(VLOOKUP($A390,'GeneratingCapabilityList sorted'!$E$9:$O$801,11,FALSE),Scenarios!$B$43)</f>
        <v>1462</v>
      </c>
      <c r="AB390" s="453"/>
      <c r="AC390" s="453"/>
    </row>
    <row r="391" spans="1:29" x14ac:dyDescent="0.25">
      <c r="A391" s="65" t="s">
        <v>695</v>
      </c>
      <c r="B391" s="65" t="s">
        <v>3776</v>
      </c>
      <c r="C391" s="66" t="s">
        <v>3468</v>
      </c>
      <c r="D391" s="66" t="s">
        <v>3469</v>
      </c>
      <c r="E391" s="67">
        <v>0</v>
      </c>
      <c r="F391" s="68">
        <v>0.64</v>
      </c>
      <c r="G391" s="68">
        <v>0.08</v>
      </c>
      <c r="H391" s="68">
        <v>0.89</v>
      </c>
      <c r="I391" s="68">
        <v>4.67</v>
      </c>
      <c r="J391" s="68">
        <v>7.47</v>
      </c>
      <c r="K391" s="68">
        <v>9.68</v>
      </c>
      <c r="L391" s="68">
        <v>10.43</v>
      </c>
      <c r="M391" s="68">
        <v>8.68</v>
      </c>
      <c r="N391" s="68">
        <v>6.05</v>
      </c>
      <c r="O391" s="68">
        <v>2.39</v>
      </c>
      <c r="P391" s="68">
        <v>0.86</v>
      </c>
      <c r="Q391" s="68">
        <v>1.18</v>
      </c>
      <c r="R391" s="69" t="s">
        <v>3470</v>
      </c>
      <c r="S391" s="69" t="s">
        <v>3489</v>
      </c>
      <c r="T391" s="70" t="s">
        <v>3502</v>
      </c>
      <c r="U391" s="452"/>
      <c r="V391" s="453" t="str">
        <f>IF(VLOOKUP($A391,'GeneratingCapabilityList sorted'!$E$9:$O$801,8,FALSE)&lt;&gt;"",VLOOKUP($A391,'GeneratingCapabilityList sorted'!$E$9:$O$801,8,FALSE),"NoneListed")</f>
        <v>WATER</v>
      </c>
      <c r="W391" s="454">
        <f>IF($AB391,$AB391,IF($AA391,$AA391,Scenarios!$B$43))</f>
        <v>27030</v>
      </c>
      <c r="X391" s="454"/>
      <c r="Y391" s="454"/>
      <c r="Z391" s="454"/>
      <c r="AA391" s="454">
        <f>IFERROR(VLOOKUP($A391,'GeneratingCapabilityList sorted'!$E$9:$O$801,11,FALSE),Scenarios!$B$43)</f>
        <v>27030</v>
      </c>
      <c r="AB391" s="453"/>
      <c r="AC391" s="453"/>
    </row>
    <row r="392" spans="1:29" x14ac:dyDescent="0.25">
      <c r="A392" s="65" t="s">
        <v>2991</v>
      </c>
      <c r="B392" s="65" t="s">
        <v>2992</v>
      </c>
      <c r="C392" s="66" t="s">
        <v>3477</v>
      </c>
      <c r="D392" s="66" t="s">
        <v>3388</v>
      </c>
      <c r="E392" s="67">
        <v>6.96</v>
      </c>
      <c r="F392" s="68"/>
      <c r="G392" s="68"/>
      <c r="H392" s="68"/>
      <c r="I392" s="68"/>
      <c r="J392" s="68"/>
      <c r="K392" s="68"/>
      <c r="L392" s="68"/>
      <c r="M392" s="68"/>
      <c r="N392" s="68"/>
      <c r="O392" s="68"/>
      <c r="P392" s="68"/>
      <c r="Q392" s="68"/>
      <c r="R392" s="69" t="s">
        <v>3470</v>
      </c>
      <c r="S392" s="69" t="s">
        <v>3471</v>
      </c>
      <c r="T392" s="70" t="s">
        <v>3472</v>
      </c>
      <c r="U392" s="452"/>
      <c r="V392" s="453" t="str">
        <f>IF(VLOOKUP($A392,'GeneratingCapabilityList sorted'!$E$9:$O$801,8,FALSE)&lt;&gt;"",VLOOKUP($A392,'GeneratingCapabilityList sorted'!$E$9:$O$801,8,FALSE),"NoneListed")</f>
        <v>LANDFILL GAS</v>
      </c>
      <c r="W392" s="454">
        <f>IF($AB392,$AB392,IF($AA392,$AA392,Scenarios!$B$43))</f>
        <v>40441</v>
      </c>
      <c r="X392" s="454"/>
      <c r="Y392" s="454"/>
      <c r="Z392" s="454"/>
      <c r="AA392" s="454">
        <f>IFERROR(VLOOKUP($A392,'GeneratingCapabilityList sorted'!$E$9:$O$801,11,FALSE),Scenarios!$B$43)</f>
        <v>40441</v>
      </c>
      <c r="AB392" s="453"/>
      <c r="AC392" s="453"/>
    </row>
    <row r="393" spans="1:29" x14ac:dyDescent="0.25">
      <c r="A393" s="65" t="s">
        <v>716</v>
      </c>
      <c r="B393" s="65" t="s">
        <v>3777</v>
      </c>
      <c r="C393" s="66" t="s">
        <v>3477</v>
      </c>
      <c r="D393" s="66" t="s">
        <v>3388</v>
      </c>
      <c r="E393" s="67">
        <v>0</v>
      </c>
      <c r="F393" s="68">
        <v>26.29</v>
      </c>
      <c r="G393" s="68">
        <v>26.85</v>
      </c>
      <c r="H393" s="68">
        <v>26.31</v>
      </c>
      <c r="I393" s="68">
        <v>25.86</v>
      </c>
      <c r="J393" s="68">
        <v>23.29</v>
      </c>
      <c r="K393" s="68">
        <v>27.14</v>
      </c>
      <c r="L393" s="68">
        <v>26.39</v>
      </c>
      <c r="M393" s="68">
        <v>26.44</v>
      </c>
      <c r="N393" s="68">
        <v>27.1</v>
      </c>
      <c r="O393" s="68">
        <v>21.49</v>
      </c>
      <c r="P393" s="68">
        <v>25.44</v>
      </c>
      <c r="Q393" s="68">
        <v>25.34</v>
      </c>
      <c r="R393" s="69" t="s">
        <v>3470</v>
      </c>
      <c r="S393" s="69" t="s">
        <v>3489</v>
      </c>
      <c r="T393" s="70" t="s">
        <v>3497</v>
      </c>
      <c r="U393" s="452"/>
      <c r="V393" s="453" t="str">
        <f>IF(VLOOKUP($A393,'GeneratingCapabilityList sorted'!$E$9:$O$801,8,FALSE)&lt;&gt;"",VLOOKUP($A393,'GeneratingCapabilityList sorted'!$E$9:$O$801,8,FALSE),"NoneListed")</f>
        <v>NATURAL GAS</v>
      </c>
      <c r="W393" s="454">
        <f>IF($AB393,$AB393,IF($AA393,$AA393,Scenarios!$B$43))</f>
        <v>27760</v>
      </c>
      <c r="X393" s="454"/>
      <c r="Y393" s="454"/>
      <c r="Z393" s="454"/>
      <c r="AA393" s="454">
        <f>IFERROR(VLOOKUP($A393,'GeneratingCapabilityList sorted'!$E$9:$O$801,11,FALSE),Scenarios!$B$43)</f>
        <v>27760</v>
      </c>
      <c r="AB393" s="453"/>
      <c r="AC393" s="453"/>
    </row>
    <row r="394" spans="1:29" x14ac:dyDescent="0.25">
      <c r="A394" s="65" t="s">
        <v>2723</v>
      </c>
      <c r="B394" s="65" t="s">
        <v>3778</v>
      </c>
      <c r="C394" s="66" t="s">
        <v>3477</v>
      </c>
      <c r="D394" s="66" t="s">
        <v>3388</v>
      </c>
      <c r="E394" s="67">
        <v>0</v>
      </c>
      <c r="F394" s="68">
        <v>1.43</v>
      </c>
      <c r="G394" s="68">
        <v>1.55</v>
      </c>
      <c r="H394" s="68">
        <v>1.33</v>
      </c>
      <c r="I394" s="68">
        <v>1.1599999999999999</v>
      </c>
      <c r="J394" s="68">
        <v>1.6</v>
      </c>
      <c r="K394" s="68">
        <v>1.3</v>
      </c>
      <c r="L394" s="68">
        <v>1.27</v>
      </c>
      <c r="M394" s="68">
        <v>1.24</v>
      </c>
      <c r="N394" s="68">
        <v>1.06</v>
      </c>
      <c r="O394" s="68">
        <v>1.53</v>
      </c>
      <c r="P394" s="68">
        <v>1.8</v>
      </c>
      <c r="Q394" s="68">
        <v>1.66</v>
      </c>
      <c r="R394" s="69" t="s">
        <v>3470</v>
      </c>
      <c r="S394" s="69" t="s">
        <v>3489</v>
      </c>
      <c r="T394" s="70" t="s">
        <v>3497</v>
      </c>
      <c r="U394" s="452"/>
      <c r="V394" s="453" t="str">
        <f>IF(VLOOKUP($A394,'GeneratingCapabilityList sorted'!$E$9:$O$801,8,FALSE)&lt;&gt;"",VLOOKUP($A394,'GeneratingCapabilityList sorted'!$E$9:$O$801,8,FALSE),"NoneListed")</f>
        <v>LANDFILL GAS</v>
      </c>
      <c r="W394" s="454">
        <f>IF($AB394,$AB394,IF($AA394,$AA394,Scenarios!$B$43))</f>
        <v>38109</v>
      </c>
      <c r="X394" s="454"/>
      <c r="Y394" s="454"/>
      <c r="Z394" s="454"/>
      <c r="AA394" s="454">
        <f>IFERROR(VLOOKUP($A394,'GeneratingCapabilityList sorted'!$E$9:$O$801,11,FALSE),Scenarios!$B$43)</f>
        <v>38109</v>
      </c>
      <c r="AB394" s="453"/>
      <c r="AC394" s="453"/>
    </row>
    <row r="395" spans="1:29" x14ac:dyDescent="0.25">
      <c r="A395" s="65" t="s">
        <v>471</v>
      </c>
      <c r="B395" s="65" t="s">
        <v>3779</v>
      </c>
      <c r="C395" s="66" t="s">
        <v>3468</v>
      </c>
      <c r="D395" s="66" t="s">
        <v>3488</v>
      </c>
      <c r="E395" s="67">
        <v>325</v>
      </c>
      <c r="F395" s="68">
        <v>0</v>
      </c>
      <c r="G395" s="68">
        <v>0</v>
      </c>
      <c r="H395" s="68">
        <v>0</v>
      </c>
      <c r="I395" s="68">
        <v>0</v>
      </c>
      <c r="J395" s="68">
        <v>0</v>
      </c>
      <c r="K395" s="68">
        <v>0</v>
      </c>
      <c r="L395" s="68">
        <v>0</v>
      </c>
      <c r="M395" s="68">
        <v>0</v>
      </c>
      <c r="N395" s="68">
        <v>0</v>
      </c>
      <c r="O395" s="68">
        <v>0</v>
      </c>
      <c r="P395" s="68">
        <v>0</v>
      </c>
      <c r="Q395" s="68">
        <v>0</v>
      </c>
      <c r="R395" s="69" t="s">
        <v>3470</v>
      </c>
      <c r="S395" s="69" t="s">
        <v>3471</v>
      </c>
      <c r="T395" s="70" t="s">
        <v>3472</v>
      </c>
      <c r="U395" s="452" t="s">
        <v>29</v>
      </c>
      <c r="V395" s="453" t="str">
        <f>IF(VLOOKUP($A395,'GeneratingCapabilityList sorted'!$E$9:$O$801,8,FALSE)&lt;&gt;"",VLOOKUP($A395,'GeneratingCapabilityList sorted'!$E$9:$O$801,8,FALSE),"NoneListed")</f>
        <v>NATURAL GAS</v>
      </c>
      <c r="W395" s="454">
        <f>IF($AB395,$AB395,IF($AA395,$AA395,Scenarios!$B$43))</f>
        <v>22981</v>
      </c>
      <c r="X395" s="454">
        <f>OTC!G30</f>
        <v>42369</v>
      </c>
      <c r="Y395" s="454">
        <f>OTC!H30</f>
        <v>42369</v>
      </c>
      <c r="Z395" s="454"/>
      <c r="AA395" s="454">
        <f>IFERROR(VLOOKUP($A395,'GeneratingCapabilityList sorted'!$E$9:$O$801,11,FALSE),Scenarios!$B$43)</f>
        <v>22981</v>
      </c>
      <c r="AB395" s="453"/>
      <c r="AC395" s="453"/>
    </row>
    <row r="396" spans="1:29" x14ac:dyDescent="0.25">
      <c r="A396" s="65" t="s">
        <v>483</v>
      </c>
      <c r="B396" s="65" t="s">
        <v>3780</v>
      </c>
      <c r="C396" s="66" t="s">
        <v>3468</v>
      </c>
      <c r="D396" s="66" t="s">
        <v>3488</v>
      </c>
      <c r="E396" s="67">
        <v>325</v>
      </c>
      <c r="F396" s="68">
        <v>0</v>
      </c>
      <c r="G396" s="68">
        <v>0</v>
      </c>
      <c r="H396" s="68">
        <v>0</v>
      </c>
      <c r="I396" s="68">
        <v>0</v>
      </c>
      <c r="J396" s="68">
        <v>0</v>
      </c>
      <c r="K396" s="68">
        <v>0</v>
      </c>
      <c r="L396" s="68">
        <v>0</v>
      </c>
      <c r="M396" s="68">
        <v>0</v>
      </c>
      <c r="N396" s="68">
        <v>0</v>
      </c>
      <c r="O396" s="68">
        <v>0</v>
      </c>
      <c r="P396" s="68">
        <v>0</v>
      </c>
      <c r="Q396" s="68">
        <v>0</v>
      </c>
      <c r="R396" s="69" t="s">
        <v>3470</v>
      </c>
      <c r="S396" s="69" t="s">
        <v>3471</v>
      </c>
      <c r="T396" s="70" t="s">
        <v>3472</v>
      </c>
      <c r="U396" s="452" t="s">
        <v>29</v>
      </c>
      <c r="V396" s="453" t="str">
        <f>IF(VLOOKUP($A396,'GeneratingCapabilityList sorted'!$E$9:$O$801,8,FALSE)&lt;&gt;"",VLOOKUP($A396,'GeneratingCapabilityList sorted'!$E$9:$O$801,8,FALSE),"NoneListed")</f>
        <v>NATURAL GAS</v>
      </c>
      <c r="W396" s="454">
        <f>IF($AB396,$AB396,IF($AA396,$AA396,Scenarios!$B$43))</f>
        <v>23012</v>
      </c>
      <c r="X396" s="454">
        <f>OTC!G31</f>
        <v>42369</v>
      </c>
      <c r="Y396" s="454">
        <f>OTC!H31</f>
        <v>42369</v>
      </c>
      <c r="Z396" s="454"/>
      <c r="AA396" s="454">
        <f>IFERROR(VLOOKUP($A396,'GeneratingCapabilityList sorted'!$E$9:$O$801,11,FALSE),Scenarios!$B$43)</f>
        <v>23012</v>
      </c>
      <c r="AB396" s="453"/>
      <c r="AC396" s="453"/>
    </row>
    <row r="397" spans="1:29" x14ac:dyDescent="0.25">
      <c r="A397" s="65" t="s">
        <v>1200</v>
      </c>
      <c r="B397" s="65" t="s">
        <v>3781</v>
      </c>
      <c r="C397" s="66" t="s">
        <v>3468</v>
      </c>
      <c r="D397" s="66" t="s">
        <v>3488</v>
      </c>
      <c r="E397" s="67">
        <v>0</v>
      </c>
      <c r="F397" s="68">
        <v>0.06</v>
      </c>
      <c r="G397" s="68">
        <v>0.04</v>
      </c>
      <c r="H397" s="68">
        <v>0.05</v>
      </c>
      <c r="I397" s="68">
        <v>0.06</v>
      </c>
      <c r="J397" s="68">
        <v>0.03</v>
      </c>
      <c r="K397" s="68">
        <v>0.02</v>
      </c>
      <c r="L397" s="68">
        <v>0.02</v>
      </c>
      <c r="M397" s="68">
        <v>0.01</v>
      </c>
      <c r="N397" s="68">
        <v>0.01</v>
      </c>
      <c r="O397" s="68">
        <v>0.03</v>
      </c>
      <c r="P397" s="68">
        <v>0.03</v>
      </c>
      <c r="Q397" s="68">
        <v>0.02</v>
      </c>
      <c r="R397" s="69" t="s">
        <v>3470</v>
      </c>
      <c r="S397" s="69" t="s">
        <v>3489</v>
      </c>
      <c r="T397" s="70" t="s">
        <v>3497</v>
      </c>
      <c r="U397" s="452"/>
      <c r="V397" s="453" t="str">
        <f>IF(VLOOKUP($A397,'GeneratingCapabilityList sorted'!$E$9:$O$801,8,FALSE)&lt;&gt;"",VLOOKUP($A397,'GeneratingCapabilityList sorted'!$E$9:$O$801,8,FALSE),"NoneListed")</f>
        <v>WASTE GAS</v>
      </c>
      <c r="W397" s="454">
        <f>IF($AB397,$AB397,IF($AA397,$AA397,Scenarios!$B$43))</f>
        <v>31048</v>
      </c>
      <c r="X397" s="454"/>
      <c r="Y397" s="454"/>
      <c r="Z397" s="454"/>
      <c r="AA397" s="454">
        <f>IFERROR(VLOOKUP($A397,'GeneratingCapabilityList sorted'!$E$9:$O$801,11,FALSE),Scenarios!$B$43)</f>
        <v>31048</v>
      </c>
      <c r="AB397" s="453"/>
      <c r="AC397" s="453"/>
    </row>
    <row r="398" spans="1:29" x14ac:dyDescent="0.25">
      <c r="A398" s="65" t="s">
        <v>2570</v>
      </c>
      <c r="B398" s="65" t="s">
        <v>3782</v>
      </c>
      <c r="C398" s="66" t="s">
        <v>3468</v>
      </c>
      <c r="D398" s="66" t="s">
        <v>3488</v>
      </c>
      <c r="E398" s="67">
        <v>510</v>
      </c>
      <c r="F398" s="68">
        <v>0</v>
      </c>
      <c r="G398" s="68">
        <v>0</v>
      </c>
      <c r="H398" s="68">
        <v>0</v>
      </c>
      <c r="I398" s="68">
        <v>0</v>
      </c>
      <c r="J398" s="68">
        <v>0</v>
      </c>
      <c r="K398" s="68">
        <v>0</v>
      </c>
      <c r="L398" s="68">
        <v>0</v>
      </c>
      <c r="M398" s="68">
        <v>0</v>
      </c>
      <c r="N398" s="68">
        <v>0</v>
      </c>
      <c r="O398" s="68">
        <v>0</v>
      </c>
      <c r="P398" s="68">
        <v>0</v>
      </c>
      <c r="Q398" s="68">
        <v>0</v>
      </c>
      <c r="R398" s="69" t="s">
        <v>3470</v>
      </c>
      <c r="S398" s="69" t="s">
        <v>3471</v>
      </c>
      <c r="T398" s="70" t="s">
        <v>3472</v>
      </c>
      <c r="U398" s="452" t="s">
        <v>29</v>
      </c>
      <c r="V398" s="453" t="str">
        <f>IF(VLOOKUP($A398,'GeneratingCapabilityList sorted'!$E$9:$O$801,8,FALSE)&lt;&gt;"",VLOOKUP($A398,'GeneratingCapabilityList sorted'!$E$9:$O$801,8,FALSE),"NoneListed")</f>
        <v>NATURAL GAS</v>
      </c>
      <c r="W398" s="454">
        <f>IF($AB398,$AB398,IF($AA398,$AA398,Scenarios!$B$43))</f>
        <v>37438</v>
      </c>
      <c r="X398" s="454">
        <f>OTC!G32</f>
        <v>43100</v>
      </c>
      <c r="Y398" s="454">
        <f>OTC!H32</f>
        <v>43100</v>
      </c>
      <c r="Z398" s="454"/>
      <c r="AA398" s="454">
        <f>IFERROR(VLOOKUP($A398,'GeneratingCapabilityList sorted'!$E$9:$O$801,11,FALSE),Scenarios!$B$43)</f>
        <v>37438</v>
      </c>
      <c r="AB398" s="453"/>
      <c r="AC398" s="453"/>
    </row>
    <row r="399" spans="1:29" x14ac:dyDescent="0.25">
      <c r="A399" s="65" t="s">
        <v>2578</v>
      </c>
      <c r="B399" s="65" t="s">
        <v>3783</v>
      </c>
      <c r="C399" s="66" t="s">
        <v>3468</v>
      </c>
      <c r="D399" s="66" t="s">
        <v>3488</v>
      </c>
      <c r="E399" s="67">
        <v>510</v>
      </c>
      <c r="F399" s="68">
        <v>0</v>
      </c>
      <c r="G399" s="68">
        <v>0</v>
      </c>
      <c r="H399" s="68">
        <v>0</v>
      </c>
      <c r="I399" s="68">
        <v>0</v>
      </c>
      <c r="J399" s="68">
        <v>0</v>
      </c>
      <c r="K399" s="68">
        <v>0</v>
      </c>
      <c r="L399" s="68">
        <v>0</v>
      </c>
      <c r="M399" s="68">
        <v>0</v>
      </c>
      <c r="N399" s="68">
        <v>0</v>
      </c>
      <c r="O399" s="68">
        <v>0</v>
      </c>
      <c r="P399" s="68">
        <v>0</v>
      </c>
      <c r="Q399" s="68">
        <v>0</v>
      </c>
      <c r="R399" s="69" t="s">
        <v>3470</v>
      </c>
      <c r="S399" s="69" t="s">
        <v>3471</v>
      </c>
      <c r="T399" s="70" t="s">
        <v>3472</v>
      </c>
      <c r="U399" s="452" t="s">
        <v>29</v>
      </c>
      <c r="V399" s="453" t="str">
        <f>IF(VLOOKUP($A399,'GeneratingCapabilityList sorted'!$E$9:$O$801,8,FALSE)&lt;&gt;"",VLOOKUP($A399,'GeneratingCapabilityList sorted'!$E$9:$O$801,8,FALSE),"NoneListed")</f>
        <v>NATURAL GAS</v>
      </c>
      <c r="W399" s="454">
        <f>IF($AB399,$AB399,IF($AA399,$AA399,Scenarios!$B$43))</f>
        <v>37448</v>
      </c>
      <c r="X399" s="454">
        <f>OTC!G33</f>
        <v>43100</v>
      </c>
      <c r="Y399" s="454">
        <f>OTC!H33</f>
        <v>43100</v>
      </c>
      <c r="Z399" s="454"/>
      <c r="AA399" s="454">
        <f>IFERROR(VLOOKUP($A399,'GeneratingCapabilityList sorted'!$E$9:$O$801,11,FALSE),Scenarios!$B$43)</f>
        <v>37448</v>
      </c>
      <c r="AB399" s="453"/>
      <c r="AC399" s="453"/>
    </row>
    <row r="400" spans="1:29" x14ac:dyDescent="0.25">
      <c r="A400" s="65" t="s">
        <v>551</v>
      </c>
      <c r="B400" s="65" t="s">
        <v>3784</v>
      </c>
      <c r="C400" s="66" t="s">
        <v>3468</v>
      </c>
      <c r="D400" s="66" t="s">
        <v>3488</v>
      </c>
      <c r="E400" s="67">
        <v>754.33</v>
      </c>
      <c r="F400" s="68">
        <v>0</v>
      </c>
      <c r="G400" s="68">
        <v>0</v>
      </c>
      <c r="H400" s="68">
        <v>0</v>
      </c>
      <c r="I400" s="68">
        <v>0</v>
      </c>
      <c r="J400" s="68">
        <v>0</v>
      </c>
      <c r="K400" s="68">
        <v>0</v>
      </c>
      <c r="L400" s="68">
        <v>0</v>
      </c>
      <c r="M400" s="68">
        <v>0</v>
      </c>
      <c r="N400" s="68">
        <v>0</v>
      </c>
      <c r="O400" s="68">
        <v>0</v>
      </c>
      <c r="P400" s="68">
        <v>0</v>
      </c>
      <c r="Q400" s="68">
        <v>0</v>
      </c>
      <c r="R400" s="69" t="s">
        <v>3470</v>
      </c>
      <c r="S400" s="69" t="s">
        <v>3471</v>
      </c>
      <c r="T400" s="70" t="s">
        <v>3472</v>
      </c>
      <c r="U400" s="452" t="s">
        <v>29</v>
      </c>
      <c r="V400" s="453" t="str">
        <f>IF(VLOOKUP($A400,'GeneratingCapabilityList sorted'!$E$9:$O$801,8,FALSE)&lt;&gt;"",VLOOKUP($A400,'GeneratingCapabilityList sorted'!$E$9:$O$801,8,FALSE),"NoneListed")</f>
        <v>NATURAL GAS</v>
      </c>
      <c r="W400" s="454">
        <f>IF($AB400,$AB400,IF($AA400,$AA400,Scenarios!$B$43))</f>
        <v>24473</v>
      </c>
      <c r="X400" s="454">
        <f>OTC!G34</f>
        <v>43100</v>
      </c>
      <c r="Y400" s="454">
        <f>OTC!H34</f>
        <v>43100</v>
      </c>
      <c r="Z400" s="454"/>
      <c r="AA400" s="454">
        <f>IFERROR(VLOOKUP($A400,'GeneratingCapabilityList sorted'!$E$9:$O$801,11,FALSE),Scenarios!$B$43)</f>
        <v>24473</v>
      </c>
      <c r="AB400" s="453"/>
      <c r="AC400" s="453"/>
    </row>
    <row r="401" spans="1:29" x14ac:dyDescent="0.25">
      <c r="A401" s="65" t="s">
        <v>624</v>
      </c>
      <c r="B401" s="65" t="s">
        <v>3785</v>
      </c>
      <c r="C401" s="66" t="s">
        <v>3468</v>
      </c>
      <c r="D401" s="66" t="s">
        <v>3488</v>
      </c>
      <c r="E401" s="67">
        <v>755.7</v>
      </c>
      <c r="F401" s="68">
        <v>0</v>
      </c>
      <c r="G401" s="68">
        <v>0</v>
      </c>
      <c r="H401" s="68">
        <v>0</v>
      </c>
      <c r="I401" s="68">
        <v>0</v>
      </c>
      <c r="J401" s="68">
        <v>0</v>
      </c>
      <c r="K401" s="68">
        <v>0</v>
      </c>
      <c r="L401" s="68">
        <v>0</v>
      </c>
      <c r="M401" s="68">
        <v>0</v>
      </c>
      <c r="N401" s="68">
        <v>0</v>
      </c>
      <c r="O401" s="68">
        <v>0</v>
      </c>
      <c r="P401" s="68">
        <v>0</v>
      </c>
      <c r="Q401" s="68">
        <v>0</v>
      </c>
      <c r="R401" s="69" t="s">
        <v>3470</v>
      </c>
      <c r="S401" s="69" t="s">
        <v>3471</v>
      </c>
      <c r="T401" s="70" t="s">
        <v>3472</v>
      </c>
      <c r="U401" s="452" t="s">
        <v>29</v>
      </c>
      <c r="V401" s="453" t="str">
        <f>IF(VLOOKUP($A401,'GeneratingCapabilityList sorted'!$E$9:$O$801,8,FALSE)&lt;&gt;"",VLOOKUP($A401,'GeneratingCapabilityList sorted'!$E$9:$O$801,8,FALSE),"NoneListed")</f>
        <v>NATURAL GAS</v>
      </c>
      <c r="W401" s="454">
        <f>IF($AB401,$AB401,IF($AA401,$AA401,Scenarios!$B$43))</f>
        <v>24838</v>
      </c>
      <c r="X401" s="454">
        <f>OTC!G35</f>
        <v>43100</v>
      </c>
      <c r="Y401" s="454">
        <f>OTC!H35</f>
        <v>43100</v>
      </c>
      <c r="Z401" s="454"/>
      <c r="AA401" s="454">
        <f>IFERROR(VLOOKUP($A401,'GeneratingCapabilityList sorted'!$E$9:$O$801,11,FALSE),Scenarios!$B$43)</f>
        <v>24838</v>
      </c>
      <c r="AB401" s="453"/>
      <c r="AC401" s="453"/>
    </row>
    <row r="402" spans="1:29" x14ac:dyDescent="0.25">
      <c r="A402" s="72" t="s">
        <v>3786</v>
      </c>
      <c r="B402" s="91" t="s">
        <v>3786</v>
      </c>
      <c r="C402" s="76" t="s">
        <v>3477</v>
      </c>
      <c r="D402" s="76" t="s">
        <v>3577</v>
      </c>
      <c r="E402" s="78">
        <v>0</v>
      </c>
      <c r="F402" s="78">
        <v>419.25</v>
      </c>
      <c r="G402" s="78">
        <v>419.25</v>
      </c>
      <c r="H402" s="78">
        <v>419.25</v>
      </c>
      <c r="I402" s="78">
        <v>419.25</v>
      </c>
      <c r="J402" s="78">
        <v>419.25</v>
      </c>
      <c r="K402" s="78">
        <v>419.25</v>
      </c>
      <c r="L402" s="78">
        <v>419.25</v>
      </c>
      <c r="M402" s="78">
        <v>419.25</v>
      </c>
      <c r="N402" s="78">
        <v>419.25</v>
      </c>
      <c r="O402" s="78">
        <v>419.25</v>
      </c>
      <c r="P402" s="78">
        <v>419.25</v>
      </c>
      <c r="Q402" s="78">
        <v>419.25</v>
      </c>
      <c r="R402" s="76" t="s">
        <v>3787</v>
      </c>
      <c r="S402" s="76" t="s">
        <v>3471</v>
      </c>
      <c r="T402" s="91" t="s">
        <v>3472</v>
      </c>
      <c r="U402" s="455"/>
      <c r="V402" s="453" t="e">
        <f>IF(VLOOKUP($A402,'GeneratingCapabilityList sorted'!$E$9:$O$801,8,FALSE)&lt;&gt;"",VLOOKUP($A402,'GeneratingCapabilityList sorted'!$E$9:$O$801,8,FALSE),"NoneListed")</f>
        <v>#N/A</v>
      </c>
      <c r="W402" s="454">
        <f>IF($AB402,$AB402,IF($AA402,$AA402,Scenarios!$B$43))</f>
        <v>29221</v>
      </c>
      <c r="X402" s="454"/>
      <c r="Y402" s="454"/>
      <c r="Z402" s="454"/>
      <c r="AA402" s="454">
        <f>IFERROR(VLOOKUP($A402,'GeneratingCapabilityList sorted'!$E$9:$O$801,11,FALSE),Scenarios!$B$43)</f>
        <v>29221</v>
      </c>
      <c r="AB402" s="453"/>
      <c r="AC402" s="453"/>
    </row>
    <row r="403" spans="1:29" x14ac:dyDescent="0.25">
      <c r="A403" s="65" t="s">
        <v>2951</v>
      </c>
      <c r="B403" s="65" t="s">
        <v>2952</v>
      </c>
      <c r="C403" s="66" t="s">
        <v>3477</v>
      </c>
      <c r="D403" s="66" t="s">
        <v>3385</v>
      </c>
      <c r="E403" s="67">
        <v>47.9</v>
      </c>
      <c r="F403" s="68">
        <v>0</v>
      </c>
      <c r="G403" s="68">
        <v>0</v>
      </c>
      <c r="H403" s="68">
        <v>0</v>
      </c>
      <c r="I403" s="68">
        <v>0</v>
      </c>
      <c r="J403" s="68">
        <v>0</v>
      </c>
      <c r="K403" s="68">
        <v>0</v>
      </c>
      <c r="L403" s="68">
        <v>0</v>
      </c>
      <c r="M403" s="68">
        <v>0</v>
      </c>
      <c r="N403" s="68">
        <v>0</v>
      </c>
      <c r="O403" s="68">
        <v>0</v>
      </c>
      <c r="P403" s="68">
        <v>0</v>
      </c>
      <c r="Q403" s="68">
        <v>0</v>
      </c>
      <c r="R403" s="69" t="s">
        <v>3470</v>
      </c>
      <c r="S403" s="69" t="s">
        <v>3471</v>
      </c>
      <c r="T403" s="70" t="s">
        <v>3472</v>
      </c>
      <c r="U403" s="452"/>
      <c r="V403" s="453" t="str">
        <f>IF(VLOOKUP($A403,'GeneratingCapabilityList sorted'!$E$9:$O$801,8,FALSE)&lt;&gt;"",VLOOKUP($A403,'GeneratingCapabilityList sorted'!$E$9:$O$801,8,FALSE),"NoneListed")</f>
        <v>NATURAL GAS</v>
      </c>
      <c r="W403" s="454">
        <f>IF($AB403,$AB403,IF($AA403,$AA403,Scenarios!$B$43))</f>
        <v>40032</v>
      </c>
      <c r="X403" s="454"/>
      <c r="Y403" s="454"/>
      <c r="Z403" s="454"/>
      <c r="AA403" s="454">
        <f>IFERROR(VLOOKUP($A403,'GeneratingCapabilityList sorted'!$E$9:$O$801,11,FALSE),Scenarios!$B$43)</f>
        <v>40032</v>
      </c>
      <c r="AB403" s="453"/>
      <c r="AC403" s="453"/>
    </row>
    <row r="404" spans="1:29" x14ac:dyDescent="0.25">
      <c r="A404" s="65" t="s">
        <v>2787</v>
      </c>
      <c r="B404" s="65" t="s">
        <v>3788</v>
      </c>
      <c r="C404" s="66" t="s">
        <v>3477</v>
      </c>
      <c r="D404" s="66" t="s">
        <v>3385</v>
      </c>
      <c r="E404" s="67">
        <v>48</v>
      </c>
      <c r="F404" s="68">
        <v>0</v>
      </c>
      <c r="G404" s="68">
        <v>0</v>
      </c>
      <c r="H404" s="68">
        <v>0</v>
      </c>
      <c r="I404" s="68">
        <v>0</v>
      </c>
      <c r="J404" s="68">
        <v>0</v>
      </c>
      <c r="K404" s="68">
        <v>0</v>
      </c>
      <c r="L404" s="68">
        <v>0</v>
      </c>
      <c r="M404" s="68">
        <v>0</v>
      </c>
      <c r="N404" s="68">
        <v>0</v>
      </c>
      <c r="O404" s="68">
        <v>0</v>
      </c>
      <c r="P404" s="68">
        <v>0</v>
      </c>
      <c r="Q404" s="68">
        <v>0</v>
      </c>
      <c r="R404" s="69" t="s">
        <v>3470</v>
      </c>
      <c r="S404" s="69" t="s">
        <v>3471</v>
      </c>
      <c r="T404" s="70" t="s">
        <v>3472</v>
      </c>
      <c r="U404" s="452"/>
      <c r="V404" s="453" t="str">
        <f>IF(VLOOKUP($A404,'GeneratingCapabilityList sorted'!$E$9:$O$801,8,FALSE)&lt;&gt;"",VLOOKUP($A404,'GeneratingCapabilityList sorted'!$E$9:$O$801,8,FALSE),"NoneListed")</f>
        <v>NATURAL GAS</v>
      </c>
      <c r="W404" s="454">
        <f>IF($AB404,$AB404,IF($AA404,$AA404,Scenarios!$B$43))</f>
        <v>38560</v>
      </c>
      <c r="X404" s="454"/>
      <c r="Y404" s="454"/>
      <c r="Z404" s="454"/>
      <c r="AA404" s="454">
        <f>IFERROR(VLOOKUP($A404,'GeneratingCapabilityList sorted'!$E$9:$O$801,11,FALSE),Scenarios!$B$43)</f>
        <v>38560</v>
      </c>
      <c r="AB404" s="453"/>
      <c r="AC404" s="453"/>
    </row>
    <row r="405" spans="1:29" x14ac:dyDescent="0.25">
      <c r="A405" s="65" t="s">
        <v>685</v>
      </c>
      <c r="B405" s="65" t="s">
        <v>3789</v>
      </c>
      <c r="C405" s="66" t="s">
        <v>3477</v>
      </c>
      <c r="D405" s="66" t="s">
        <v>3385</v>
      </c>
      <c r="E405" s="67">
        <v>36</v>
      </c>
      <c r="F405" s="68">
        <v>0</v>
      </c>
      <c r="G405" s="68">
        <v>0</v>
      </c>
      <c r="H405" s="68">
        <v>0</v>
      </c>
      <c r="I405" s="68">
        <v>0</v>
      </c>
      <c r="J405" s="68">
        <v>0</v>
      </c>
      <c r="K405" s="68">
        <v>0</v>
      </c>
      <c r="L405" s="68">
        <v>0</v>
      </c>
      <c r="M405" s="68">
        <v>0</v>
      </c>
      <c r="N405" s="68">
        <v>0</v>
      </c>
      <c r="O405" s="68">
        <v>0</v>
      </c>
      <c r="P405" s="68">
        <v>0</v>
      </c>
      <c r="Q405" s="68">
        <v>0</v>
      </c>
      <c r="R405" s="69" t="s">
        <v>3470</v>
      </c>
      <c r="S405" s="69" t="s">
        <v>3471</v>
      </c>
      <c r="T405" s="70" t="s">
        <v>3472</v>
      </c>
      <c r="U405" s="452"/>
      <c r="V405" s="453" t="str">
        <f>IF(VLOOKUP($A405,'GeneratingCapabilityList sorted'!$E$9:$O$801,8,FALSE)&lt;&gt;"",VLOOKUP($A405,'GeneratingCapabilityList sorted'!$E$9:$O$801,8,FALSE),"NoneListed")</f>
        <v>NATURAL GAS</v>
      </c>
      <c r="W405" s="454">
        <f>IF($AB405,$AB405,IF($AA405,$AA405,Scenarios!$B$43))</f>
        <v>26299</v>
      </c>
      <c r="X405" s="454"/>
      <c r="Y405" s="454"/>
      <c r="Z405" s="454"/>
      <c r="AA405" s="454">
        <f>IFERROR(VLOOKUP($A405,'GeneratingCapabilityList sorted'!$E$9:$O$801,11,FALSE),Scenarios!$B$43)</f>
        <v>26299</v>
      </c>
      <c r="AB405" s="453"/>
      <c r="AC405" s="453"/>
    </row>
    <row r="406" spans="1:29" x14ac:dyDescent="0.25">
      <c r="A406" s="65" t="s">
        <v>2656</v>
      </c>
      <c r="B406" s="65" t="s">
        <v>2657</v>
      </c>
      <c r="C406" s="66" t="s">
        <v>3477</v>
      </c>
      <c r="D406" s="66" t="s">
        <v>3385</v>
      </c>
      <c r="E406" s="67">
        <v>0</v>
      </c>
      <c r="F406" s="68">
        <v>3</v>
      </c>
      <c r="G406" s="68">
        <v>3</v>
      </c>
      <c r="H406" s="68">
        <v>2.86</v>
      </c>
      <c r="I406" s="68">
        <v>2.72</v>
      </c>
      <c r="J406" s="68">
        <v>3</v>
      </c>
      <c r="K406" s="68">
        <v>3</v>
      </c>
      <c r="L406" s="68">
        <v>3</v>
      </c>
      <c r="M406" s="68">
        <v>3.19</v>
      </c>
      <c r="N406" s="68">
        <v>3</v>
      </c>
      <c r="O406" s="68">
        <v>3</v>
      </c>
      <c r="P406" s="68">
        <v>3</v>
      </c>
      <c r="Q406" s="68">
        <v>3</v>
      </c>
      <c r="R406" s="69" t="s">
        <v>3470</v>
      </c>
      <c r="S406" s="69" t="s">
        <v>3489</v>
      </c>
      <c r="T406" s="70" t="s">
        <v>3497</v>
      </c>
      <c r="U406" s="452"/>
      <c r="V406" s="453" t="str">
        <f>IF(VLOOKUP($A406,'GeneratingCapabilityList sorted'!$E$9:$O$801,8,FALSE)&lt;&gt;"",VLOOKUP($A406,'GeneratingCapabilityList sorted'!$E$9:$O$801,8,FALSE),"NoneListed")</f>
        <v>LANDFILL GAS</v>
      </c>
      <c r="W406" s="454">
        <f>IF($AB406,$AB406,IF($AA406,$AA406,Scenarios!$B$43))</f>
        <v>37762</v>
      </c>
      <c r="X406" s="454"/>
      <c r="Y406" s="454"/>
      <c r="Z406" s="454"/>
      <c r="AA406" s="454">
        <f>IFERROR(VLOOKUP($A406,'GeneratingCapabilityList sorted'!$E$9:$O$801,11,FALSE),Scenarios!$B$43)</f>
        <v>37762</v>
      </c>
      <c r="AB406" s="453"/>
      <c r="AC406" s="453"/>
    </row>
    <row r="407" spans="1:29" x14ac:dyDescent="0.25">
      <c r="A407" s="65" t="s">
        <v>782</v>
      </c>
      <c r="B407" s="65" t="s">
        <v>3790</v>
      </c>
      <c r="C407" s="66" t="s">
        <v>3477</v>
      </c>
      <c r="D407" s="66" t="s">
        <v>3385</v>
      </c>
      <c r="E407" s="67">
        <v>0</v>
      </c>
      <c r="F407" s="68">
        <v>0.44</v>
      </c>
      <c r="G407" s="68">
        <v>0.5</v>
      </c>
      <c r="H407" s="68">
        <v>0.56999999999999995</v>
      </c>
      <c r="I407" s="68">
        <v>0.52</v>
      </c>
      <c r="J407" s="68">
        <v>0.59</v>
      </c>
      <c r="K407" s="68">
        <v>0.66</v>
      </c>
      <c r="L407" s="68">
        <v>0.66</v>
      </c>
      <c r="M407" s="68">
        <v>0.74</v>
      </c>
      <c r="N407" s="68">
        <v>0.78</v>
      </c>
      <c r="O407" s="68">
        <v>0.76</v>
      </c>
      <c r="P407" s="68">
        <v>0.75</v>
      </c>
      <c r="Q407" s="68">
        <v>0.67</v>
      </c>
      <c r="R407" s="69" t="s">
        <v>3470</v>
      </c>
      <c r="S407" s="69" t="s">
        <v>3489</v>
      </c>
      <c r="T407" s="70" t="s">
        <v>3497</v>
      </c>
      <c r="U407" s="452"/>
      <c r="V407" s="453" t="str">
        <f>IF(VLOOKUP($A407,'GeneratingCapabilityList sorted'!$E$9:$O$801,8,FALSE)&lt;&gt;"",VLOOKUP($A407,'GeneratingCapabilityList sorted'!$E$9:$O$801,8,FALSE),"NoneListed")</f>
        <v>WATER</v>
      </c>
      <c r="W407" s="454">
        <f>IF($AB407,$AB407,IF($AA407,$AA407,Scenarios!$B$43))</f>
        <v>29221</v>
      </c>
      <c r="X407" s="454"/>
      <c r="Y407" s="454"/>
      <c r="Z407" s="454"/>
      <c r="AA407" s="454">
        <f>IFERROR(VLOOKUP($A407,'GeneratingCapabilityList sorted'!$E$9:$O$801,11,FALSE),Scenarios!$B$43)</f>
        <v>29221</v>
      </c>
      <c r="AB407" s="453"/>
      <c r="AC407" s="453"/>
    </row>
    <row r="408" spans="1:29" x14ac:dyDescent="0.25">
      <c r="A408" s="65" t="s">
        <v>1113</v>
      </c>
      <c r="B408" s="65" t="s">
        <v>3791</v>
      </c>
      <c r="C408" s="66" t="s">
        <v>3468</v>
      </c>
      <c r="D408" s="66" t="s">
        <v>3488</v>
      </c>
      <c r="E408" s="67">
        <v>0</v>
      </c>
      <c r="F408" s="68">
        <v>9.02</v>
      </c>
      <c r="G408" s="68">
        <v>9.33</v>
      </c>
      <c r="H408" s="68">
        <v>8.52</v>
      </c>
      <c r="I408" s="68">
        <v>8.23</v>
      </c>
      <c r="J408" s="68">
        <v>4.96</v>
      </c>
      <c r="K408" s="68">
        <v>8.69</v>
      </c>
      <c r="L408" s="68">
        <v>9.1199999999999992</v>
      </c>
      <c r="M408" s="68">
        <v>9.7100000000000009</v>
      </c>
      <c r="N408" s="68">
        <v>8.42</v>
      </c>
      <c r="O408" s="68">
        <v>6.29</v>
      </c>
      <c r="P408" s="68">
        <v>5.78</v>
      </c>
      <c r="Q408" s="68">
        <v>6.63</v>
      </c>
      <c r="R408" s="69" t="s">
        <v>3470</v>
      </c>
      <c r="S408" s="69" t="s">
        <v>3489</v>
      </c>
      <c r="T408" s="70" t="s">
        <v>3497</v>
      </c>
      <c r="U408" s="452"/>
      <c r="V408" s="453" t="str">
        <f>IF(VLOOKUP($A408,'GeneratingCapabilityList sorted'!$E$9:$O$801,8,FALSE)&lt;&gt;"",VLOOKUP($A408,'GeneratingCapabilityList sorted'!$E$9:$O$801,8,FALSE),"NoneListed")</f>
        <v>WOOD WASTE</v>
      </c>
      <c r="W408" s="454">
        <f>IF($AB408,$AB408,IF($AA408,$AA408,Scenarios!$B$43))</f>
        <v>30966</v>
      </c>
      <c r="X408" s="454"/>
      <c r="Y408" s="454"/>
      <c r="Z408" s="454"/>
      <c r="AA408" s="454">
        <f>IFERROR(VLOOKUP($A408,'GeneratingCapabilityList sorted'!$E$9:$O$801,11,FALSE),Scenarios!$B$43)</f>
        <v>30966</v>
      </c>
      <c r="AB408" s="453"/>
      <c r="AC408" s="453"/>
    </row>
    <row r="409" spans="1:29" x14ac:dyDescent="0.25">
      <c r="A409" s="65" t="s">
        <v>1861</v>
      </c>
      <c r="B409" s="65" t="s">
        <v>3792</v>
      </c>
      <c r="C409" s="66" t="s">
        <v>3468</v>
      </c>
      <c r="D409" s="66" t="s">
        <v>3505</v>
      </c>
      <c r="E409" s="67">
        <v>0</v>
      </c>
      <c r="F409" s="68">
        <v>45.98</v>
      </c>
      <c r="G409" s="68">
        <v>48.07</v>
      </c>
      <c r="H409" s="68">
        <v>36.68</v>
      </c>
      <c r="I409" s="68">
        <v>45.16</v>
      </c>
      <c r="J409" s="68">
        <v>37.32</v>
      </c>
      <c r="K409" s="68">
        <v>46.38</v>
      </c>
      <c r="L409" s="68">
        <v>45.63</v>
      </c>
      <c r="M409" s="68">
        <v>34.6</v>
      </c>
      <c r="N409" s="68">
        <v>44.17</v>
      </c>
      <c r="O409" s="68">
        <v>41.24</v>
      </c>
      <c r="P409" s="68">
        <v>31.86</v>
      </c>
      <c r="Q409" s="68">
        <v>41.74</v>
      </c>
      <c r="R409" s="69" t="s">
        <v>3470</v>
      </c>
      <c r="S409" s="69" t="s">
        <v>3489</v>
      </c>
      <c r="T409" s="70" t="s">
        <v>3497</v>
      </c>
      <c r="U409" s="452"/>
      <c r="V409" s="453" t="str">
        <f>IF(VLOOKUP($A409,'GeneratingCapabilityList sorted'!$E$9:$O$801,8,FALSE)&lt;&gt;"",VLOOKUP($A409,'GeneratingCapabilityList sorted'!$E$9:$O$801,8,FALSE),"NoneListed")</f>
        <v>COAL</v>
      </c>
      <c r="W409" s="454">
        <f>IF($AB409,$AB409,IF($AA409,$AA409,Scenarios!$B$43))</f>
        <v>32599</v>
      </c>
      <c r="X409" s="454"/>
      <c r="Y409" s="454"/>
      <c r="Z409" s="454"/>
      <c r="AA409" s="454">
        <f>IFERROR(VLOOKUP($A409,'GeneratingCapabilityList sorted'!$E$9:$O$801,11,FALSE),Scenarios!$B$43)</f>
        <v>32599</v>
      </c>
      <c r="AB409" s="453"/>
      <c r="AC409" s="453"/>
    </row>
    <row r="410" spans="1:29" x14ac:dyDescent="0.25">
      <c r="A410" s="65" t="s">
        <v>1103</v>
      </c>
      <c r="B410" s="65" t="s">
        <v>1104</v>
      </c>
      <c r="C410" s="66" t="s">
        <v>3468</v>
      </c>
      <c r="D410" s="66" t="s">
        <v>3488</v>
      </c>
      <c r="E410" s="67">
        <v>0</v>
      </c>
      <c r="F410" s="68">
        <v>9.6</v>
      </c>
      <c r="G410" s="68">
        <v>9.23</v>
      </c>
      <c r="H410" s="68">
        <v>9.1199999999999992</v>
      </c>
      <c r="I410" s="68">
        <v>8.43</v>
      </c>
      <c r="J410" s="68">
        <v>5.44</v>
      </c>
      <c r="K410" s="68">
        <v>8.76</v>
      </c>
      <c r="L410" s="68">
        <v>9.48</v>
      </c>
      <c r="M410" s="68">
        <v>9.16</v>
      </c>
      <c r="N410" s="68">
        <v>8.51</v>
      </c>
      <c r="O410" s="68">
        <v>6.48</v>
      </c>
      <c r="P410" s="68">
        <v>5.76</v>
      </c>
      <c r="Q410" s="68">
        <v>6.63</v>
      </c>
      <c r="R410" s="69" t="s">
        <v>3470</v>
      </c>
      <c r="S410" s="69" t="s">
        <v>3489</v>
      </c>
      <c r="T410" s="70" t="s">
        <v>3497</v>
      </c>
      <c r="U410" s="452"/>
      <c r="V410" s="453" t="str">
        <f>IF(VLOOKUP($A410,'GeneratingCapabilityList sorted'!$E$9:$O$801,8,FALSE)&lt;&gt;"",VLOOKUP($A410,'GeneratingCapabilityList sorted'!$E$9:$O$801,8,FALSE),"NoneListed")</f>
        <v>WOOD WASTE</v>
      </c>
      <c r="W410" s="454">
        <f>IF($AB410,$AB410,IF($AA410,$AA410,Scenarios!$B$43))</f>
        <v>30909</v>
      </c>
      <c r="X410" s="454"/>
      <c r="Y410" s="454"/>
      <c r="Z410" s="454"/>
      <c r="AA410" s="454">
        <f>IFERROR(VLOOKUP($A410,'GeneratingCapabilityList sorted'!$E$9:$O$801,11,FALSE),Scenarios!$B$43)</f>
        <v>30909</v>
      </c>
      <c r="AB410" s="453"/>
      <c r="AC410" s="453"/>
    </row>
    <row r="411" spans="1:29" x14ac:dyDescent="0.25">
      <c r="A411" s="65" t="s">
        <v>2345</v>
      </c>
      <c r="B411" s="65" t="s">
        <v>3793</v>
      </c>
      <c r="C411" s="66" t="s">
        <v>3477</v>
      </c>
      <c r="D411" s="66" t="s">
        <v>3387</v>
      </c>
      <c r="E411" s="67">
        <v>0</v>
      </c>
      <c r="F411" s="68">
        <v>1.68</v>
      </c>
      <c r="G411" s="68">
        <v>3.92</v>
      </c>
      <c r="H411" s="68">
        <v>7.3</v>
      </c>
      <c r="I411" s="68">
        <v>4.87</v>
      </c>
      <c r="J411" s="68">
        <v>13.27</v>
      </c>
      <c r="K411" s="68">
        <v>21.02</v>
      </c>
      <c r="L411" s="68">
        <v>15.57</v>
      </c>
      <c r="M411" s="68">
        <v>7.08</v>
      </c>
      <c r="N411" s="68">
        <v>2.57</v>
      </c>
      <c r="O411" s="68">
        <v>3</v>
      </c>
      <c r="P411" s="68">
        <v>3.07</v>
      </c>
      <c r="Q411" s="68">
        <v>1.79</v>
      </c>
      <c r="R411" s="69" t="s">
        <v>3470</v>
      </c>
      <c r="S411" s="69" t="s">
        <v>3489</v>
      </c>
      <c r="T411" s="70" t="s">
        <v>3425</v>
      </c>
      <c r="U411" s="452"/>
      <c r="V411" s="453" t="str">
        <f>IF(VLOOKUP($A411,'GeneratingCapabilityList sorted'!$E$9:$O$801,8,FALSE)&lt;&gt;"",VLOOKUP($A411,'GeneratingCapabilityList sorted'!$E$9:$O$801,8,FALSE),"NoneListed")</f>
        <v>WIND</v>
      </c>
      <c r="W411" s="454">
        <f>IF($AB411,$AB411,IF($AA411,$AA411,Scenarios!$B$43))</f>
        <v>36974</v>
      </c>
      <c r="X411" s="454"/>
      <c r="Y411" s="454"/>
      <c r="Z411" s="454"/>
      <c r="AA411" s="454">
        <f>IFERROR(VLOOKUP($A411,'GeneratingCapabilityList sorted'!$E$9:$O$801,11,FALSE),Scenarios!$B$43)</f>
        <v>36974</v>
      </c>
      <c r="AB411" s="453"/>
      <c r="AC411" s="453"/>
    </row>
    <row r="412" spans="1:29" x14ac:dyDescent="0.25">
      <c r="A412" s="65" t="s">
        <v>2500</v>
      </c>
      <c r="B412" s="65" t="s">
        <v>3794</v>
      </c>
      <c r="C412" s="66" t="s">
        <v>3477</v>
      </c>
      <c r="D412" s="66" t="s">
        <v>3387</v>
      </c>
      <c r="E412" s="67">
        <v>0</v>
      </c>
      <c r="F412" s="68">
        <v>0.83</v>
      </c>
      <c r="G412" s="68">
        <v>1.9</v>
      </c>
      <c r="H412" s="68">
        <v>3.41</v>
      </c>
      <c r="I412" s="68">
        <v>1.96</v>
      </c>
      <c r="J412" s="68">
        <v>5.94</v>
      </c>
      <c r="K412" s="68">
        <v>9.82</v>
      </c>
      <c r="L412" s="68">
        <v>6.79</v>
      </c>
      <c r="M412" s="68">
        <v>2.76</v>
      </c>
      <c r="N412" s="68">
        <v>1.0900000000000001</v>
      </c>
      <c r="O412" s="68">
        <v>1.48</v>
      </c>
      <c r="P412" s="68">
        <v>1.64</v>
      </c>
      <c r="Q412" s="68">
        <v>0.82</v>
      </c>
      <c r="R412" s="69" t="s">
        <v>3470</v>
      </c>
      <c r="S412" s="69" t="s">
        <v>3489</v>
      </c>
      <c r="T412" s="70" t="s">
        <v>3425</v>
      </c>
      <c r="U412" s="452"/>
      <c r="V412" s="453" t="str">
        <f>IF(VLOOKUP($A412,'GeneratingCapabilityList sorted'!$E$9:$O$801,8,FALSE)&lt;&gt;"",VLOOKUP($A412,'GeneratingCapabilityList sorted'!$E$9:$O$801,8,FALSE),"NoneListed")</f>
        <v>WIND</v>
      </c>
      <c r="W412" s="454">
        <f>IF($AB412,$AB412,IF($AA412,$AA412,Scenarios!$B$43))</f>
        <v>37151</v>
      </c>
      <c r="X412" s="454"/>
      <c r="Y412" s="454"/>
      <c r="Z412" s="454"/>
      <c r="AA412" s="454">
        <f>IFERROR(VLOOKUP($A412,'GeneratingCapabilityList sorted'!$E$9:$O$801,11,FALSE),Scenarios!$B$43)</f>
        <v>37151</v>
      </c>
      <c r="AB412" s="453"/>
      <c r="AC412" s="453"/>
    </row>
    <row r="413" spans="1:29" x14ac:dyDescent="0.25">
      <c r="A413" s="65" t="s">
        <v>2705</v>
      </c>
      <c r="B413" s="65" t="s">
        <v>3795</v>
      </c>
      <c r="C413" s="66" t="s">
        <v>3477</v>
      </c>
      <c r="D413" s="66" t="s">
        <v>3387</v>
      </c>
      <c r="E413" s="67">
        <v>0</v>
      </c>
      <c r="F413" s="68">
        <v>0.57999999999999996</v>
      </c>
      <c r="G413" s="68">
        <v>2.1</v>
      </c>
      <c r="H413" s="68">
        <v>3.94</v>
      </c>
      <c r="I413" s="68">
        <v>4.59</v>
      </c>
      <c r="J413" s="68">
        <v>9.01</v>
      </c>
      <c r="K413" s="68">
        <v>11.44</v>
      </c>
      <c r="L413" s="68">
        <v>8</v>
      </c>
      <c r="M413" s="68">
        <v>2.88</v>
      </c>
      <c r="N413" s="68">
        <v>1.0900000000000001</v>
      </c>
      <c r="O413" s="68">
        <v>1.69</v>
      </c>
      <c r="P413" s="68">
        <v>1.8</v>
      </c>
      <c r="Q413" s="68">
        <v>0.93</v>
      </c>
      <c r="R413" s="69" t="s">
        <v>3470</v>
      </c>
      <c r="S413" s="69" t="s">
        <v>3489</v>
      </c>
      <c r="T413" s="70" t="s">
        <v>3425</v>
      </c>
      <c r="U413" s="452"/>
      <c r="V413" s="453" t="str">
        <f>IF(VLOOKUP($A413,'GeneratingCapabilityList sorted'!$E$9:$O$801,8,FALSE)&lt;&gt;"",VLOOKUP($A413,'GeneratingCapabilityList sorted'!$E$9:$O$801,8,FALSE),"NoneListed")</f>
        <v>WIND</v>
      </c>
      <c r="W413" s="454">
        <f>IF($AB413,$AB413,IF($AA413,$AA413,Scenarios!$B$43))</f>
        <v>37970</v>
      </c>
      <c r="X413" s="454"/>
      <c r="Y413" s="454"/>
      <c r="Z413" s="454"/>
      <c r="AA413" s="454">
        <f>IFERROR(VLOOKUP($A413,'GeneratingCapabilityList sorted'!$E$9:$O$801,11,FALSE),Scenarios!$B$43)</f>
        <v>37970</v>
      </c>
      <c r="AB413" s="453"/>
      <c r="AC413" s="453"/>
    </row>
    <row r="414" spans="1:29" x14ac:dyDescent="0.25">
      <c r="A414" s="65" t="s">
        <v>1093</v>
      </c>
      <c r="B414" s="65" t="s">
        <v>3796</v>
      </c>
      <c r="C414" s="66" t="s">
        <v>3468</v>
      </c>
      <c r="D414" s="66" t="s">
        <v>3469</v>
      </c>
      <c r="E414" s="67">
        <v>0</v>
      </c>
      <c r="F414" s="68">
        <v>0.16</v>
      </c>
      <c r="G414" s="68">
        <v>0.18</v>
      </c>
      <c r="H414" s="68">
        <v>0.23</v>
      </c>
      <c r="I414" s="68">
        <v>0.12</v>
      </c>
      <c r="J414" s="68">
        <v>0.1</v>
      </c>
      <c r="K414" s="68">
        <v>0.05</v>
      </c>
      <c r="L414" s="68">
        <v>0.01</v>
      </c>
      <c r="M414" s="68">
        <v>0.01</v>
      </c>
      <c r="N414" s="68">
        <v>0.02</v>
      </c>
      <c r="O414" s="68">
        <v>0.08</v>
      </c>
      <c r="P414" s="68">
        <v>0.17</v>
      </c>
      <c r="Q414" s="68">
        <v>0.15</v>
      </c>
      <c r="R414" s="69" t="s">
        <v>3470</v>
      </c>
      <c r="S414" s="69" t="s">
        <v>3489</v>
      </c>
      <c r="T414" s="70" t="s">
        <v>3497</v>
      </c>
      <c r="U414" s="452"/>
      <c r="V414" s="453" t="str">
        <f>IF(VLOOKUP($A414,'GeneratingCapabilityList sorted'!$E$9:$O$801,8,FALSE)&lt;&gt;"",VLOOKUP($A414,'GeneratingCapabilityList sorted'!$E$9:$O$801,8,FALSE),"NoneListed")</f>
        <v>NATURAL GAS</v>
      </c>
      <c r="W414" s="454">
        <f>IF($AB414,$AB414,IF($AA414,$AA414,Scenarios!$B$43))</f>
        <v>30881</v>
      </c>
      <c r="X414" s="454"/>
      <c r="Y414" s="454"/>
      <c r="Z414" s="454"/>
      <c r="AA414" s="454">
        <f>IFERROR(VLOOKUP($A414,'GeneratingCapabilityList sorted'!$E$9:$O$801,11,FALSE),Scenarios!$B$43)</f>
        <v>30881</v>
      </c>
      <c r="AB414" s="453"/>
      <c r="AC414" s="453"/>
    </row>
    <row r="415" spans="1:29" x14ac:dyDescent="0.25">
      <c r="A415" s="65" t="s">
        <v>332</v>
      </c>
      <c r="B415" s="65" t="s">
        <v>3797</v>
      </c>
      <c r="C415" s="66" t="s">
        <v>3468</v>
      </c>
      <c r="D415" s="66" t="s">
        <v>3510</v>
      </c>
      <c r="E415" s="67">
        <v>0</v>
      </c>
      <c r="F415" s="68">
        <v>6.39</v>
      </c>
      <c r="G415" s="68">
        <v>4.9800000000000004</v>
      </c>
      <c r="H415" s="68">
        <v>7.2</v>
      </c>
      <c r="I415" s="68">
        <v>0.92</v>
      </c>
      <c r="J415" s="68">
        <v>6.46</v>
      </c>
      <c r="K415" s="68">
        <v>6.73</v>
      </c>
      <c r="L415" s="68">
        <v>3.59</v>
      </c>
      <c r="M415" s="68">
        <v>6.29</v>
      </c>
      <c r="N415" s="68">
        <v>10.54</v>
      </c>
      <c r="O415" s="68">
        <v>9.0500000000000007</v>
      </c>
      <c r="P415" s="68">
        <v>8.93</v>
      </c>
      <c r="Q415" s="68">
        <v>8.64</v>
      </c>
      <c r="R415" s="69" t="s">
        <v>3470</v>
      </c>
      <c r="S415" s="69" t="s">
        <v>3489</v>
      </c>
      <c r="T415" s="70" t="s">
        <v>3502</v>
      </c>
      <c r="U415" s="452"/>
      <c r="V415" s="453" t="str">
        <f>IF(VLOOKUP($A415,'GeneratingCapabilityList sorted'!$E$9:$O$801,8,FALSE)&lt;&gt;"",VLOOKUP($A415,'GeneratingCapabilityList sorted'!$E$9:$O$801,8,FALSE),"NoneListed")</f>
        <v>WATER</v>
      </c>
      <c r="W415" s="454">
        <f>IF($AB415,$AB415,IF($AA415,$AA415,Scenarios!$B$43))</f>
        <v>15342</v>
      </c>
      <c r="X415" s="454"/>
      <c r="Y415" s="454"/>
      <c r="Z415" s="454"/>
      <c r="AA415" s="454">
        <f>IFERROR(VLOOKUP($A415,'GeneratingCapabilityList sorted'!$E$9:$O$801,11,FALSE),Scenarios!$B$43)</f>
        <v>15342</v>
      </c>
      <c r="AB415" s="453"/>
      <c r="AC415" s="453"/>
    </row>
    <row r="416" spans="1:29" x14ac:dyDescent="0.25">
      <c r="A416" s="65" t="s">
        <v>653</v>
      </c>
      <c r="B416" s="65" t="s">
        <v>654</v>
      </c>
      <c r="C416" s="66" t="s">
        <v>3468</v>
      </c>
      <c r="D416" s="66" t="s">
        <v>3510</v>
      </c>
      <c r="E416" s="67">
        <v>0</v>
      </c>
      <c r="F416" s="68">
        <v>7.85</v>
      </c>
      <c r="G416" s="68">
        <v>13.01</v>
      </c>
      <c r="H416" s="68">
        <v>8.48</v>
      </c>
      <c r="I416" s="68">
        <v>21.17</v>
      </c>
      <c r="J416" s="68">
        <v>34.18</v>
      </c>
      <c r="K416" s="68">
        <v>31.18</v>
      </c>
      <c r="L416" s="68">
        <v>32.25</v>
      </c>
      <c r="M416" s="68">
        <v>22.59</v>
      </c>
      <c r="N416" s="68">
        <v>0.12</v>
      </c>
      <c r="O416" s="68">
        <v>1.9</v>
      </c>
      <c r="P416" s="68">
        <v>1.7</v>
      </c>
      <c r="Q416" s="68">
        <v>13.23</v>
      </c>
      <c r="R416" s="69" t="s">
        <v>3470</v>
      </c>
      <c r="S416" s="69" t="s">
        <v>3489</v>
      </c>
      <c r="T416" s="70" t="s">
        <v>3502</v>
      </c>
      <c r="U416" s="452"/>
      <c r="V416" s="453" t="str">
        <f>IF(VLOOKUP($A416,'GeneratingCapabilityList sorted'!$E$9:$O$801,8,FALSE)&lt;&gt;"",VLOOKUP($A416,'GeneratingCapabilityList sorted'!$E$9:$O$801,8,FALSE),"NoneListed")</f>
        <v>WATER</v>
      </c>
      <c r="W416" s="454">
        <f>IF($AB416,$AB416,IF($AA416,$AA416,Scenarios!$B$43))</f>
        <v>25204</v>
      </c>
      <c r="X416" s="454"/>
      <c r="Y416" s="454"/>
      <c r="Z416" s="454"/>
      <c r="AA416" s="454">
        <f>IFERROR(VLOOKUP($A416,'GeneratingCapabilityList sorted'!$E$9:$O$801,11,FALSE),Scenarios!$B$43)</f>
        <v>25204</v>
      </c>
      <c r="AB416" s="453"/>
      <c r="AC416" s="453"/>
    </row>
    <row r="417" spans="1:29" x14ac:dyDescent="0.25">
      <c r="A417" s="65" t="s">
        <v>2215</v>
      </c>
      <c r="B417" s="65" t="s">
        <v>3798</v>
      </c>
      <c r="C417" s="66" t="s">
        <v>3468</v>
      </c>
      <c r="D417" s="66" t="s">
        <v>3505</v>
      </c>
      <c r="E417" s="67">
        <v>0</v>
      </c>
      <c r="F417" s="68">
        <v>0</v>
      </c>
      <c r="G417" s="68">
        <v>0</v>
      </c>
      <c r="H417" s="68">
        <v>0</v>
      </c>
      <c r="I417" s="68">
        <v>0</v>
      </c>
      <c r="J417" s="68">
        <v>0</v>
      </c>
      <c r="K417" s="68">
        <v>0</v>
      </c>
      <c r="L417" s="68">
        <v>0</v>
      </c>
      <c r="M417" s="68">
        <v>0</v>
      </c>
      <c r="N417" s="68">
        <v>0</v>
      </c>
      <c r="O417" s="68">
        <v>0</v>
      </c>
      <c r="P417" s="68">
        <v>0</v>
      </c>
      <c r="Q417" s="68">
        <v>0</v>
      </c>
      <c r="R417" s="69" t="s">
        <v>3470</v>
      </c>
      <c r="S417" s="69" t="s">
        <v>3489</v>
      </c>
      <c r="T417" s="70" t="s">
        <v>3497</v>
      </c>
      <c r="U417" s="452"/>
      <c r="V417" s="453" t="str">
        <f>IF(VLOOKUP($A417,'GeneratingCapabilityList sorted'!$E$9:$O$801,8,FALSE)&lt;&gt;"",VLOOKUP($A417,'GeneratingCapabilityList sorted'!$E$9:$O$801,8,FALSE),"NoneListed")</f>
        <v>NATURAL GAS</v>
      </c>
      <c r="W417" s="454">
        <f>IF($AB417,$AB417,IF($AA417,$AA417,Scenarios!$B$43))</f>
        <v>34640</v>
      </c>
      <c r="X417" s="454"/>
      <c r="Y417" s="454"/>
      <c r="Z417" s="454"/>
      <c r="AA417" s="454">
        <f>IFERROR(VLOOKUP($A417,'GeneratingCapabilityList sorted'!$E$9:$O$801,11,FALSE),Scenarios!$B$43)</f>
        <v>34640</v>
      </c>
      <c r="AB417" s="453"/>
      <c r="AC417" s="453"/>
    </row>
    <row r="418" spans="1:29" x14ac:dyDescent="0.25">
      <c r="A418" s="65" t="s">
        <v>1948</v>
      </c>
      <c r="B418" s="65" t="s">
        <v>3799</v>
      </c>
      <c r="C418" s="66" t="s">
        <v>3477</v>
      </c>
      <c r="D418" s="66" t="s">
        <v>3488</v>
      </c>
      <c r="E418" s="67">
        <v>0</v>
      </c>
      <c r="F418" s="68">
        <v>64.569999999999993</v>
      </c>
      <c r="G418" s="68">
        <v>64.03</v>
      </c>
      <c r="H418" s="68">
        <v>63.11</v>
      </c>
      <c r="I418" s="68">
        <v>56.94</v>
      </c>
      <c r="J418" s="68">
        <v>63.2</v>
      </c>
      <c r="K418" s="68">
        <v>65.45</v>
      </c>
      <c r="L418" s="68">
        <v>60.46</v>
      </c>
      <c r="M418" s="68">
        <v>62.84</v>
      </c>
      <c r="N418" s="68">
        <v>65.25</v>
      </c>
      <c r="O418" s="68">
        <v>60.27</v>
      </c>
      <c r="P418" s="68">
        <v>64.760000000000005</v>
      </c>
      <c r="Q418" s="68">
        <v>64.540000000000006</v>
      </c>
      <c r="R418" s="69" t="s">
        <v>3470</v>
      </c>
      <c r="S418" s="69" t="s">
        <v>3489</v>
      </c>
      <c r="T418" s="70" t="s">
        <v>3497</v>
      </c>
      <c r="U418" s="452"/>
      <c r="V418" s="453" t="str">
        <f>IF(VLOOKUP($A418,'GeneratingCapabilityList sorted'!$E$9:$O$801,8,FALSE)&lt;&gt;"",VLOOKUP($A418,'GeneratingCapabilityList sorted'!$E$9:$O$801,8,FALSE),"NoneListed")</f>
        <v>GEOTHERMAL</v>
      </c>
      <c r="W418" s="454">
        <f>IF($AB418,$AB418,IF($AA418,$AA418,Scenarios!$B$43))</f>
        <v>32865</v>
      </c>
      <c r="X418" s="454"/>
      <c r="Y418" s="454"/>
      <c r="Z418" s="454"/>
      <c r="AA418" s="454">
        <f>IFERROR(VLOOKUP($A418,'GeneratingCapabilityList sorted'!$E$9:$O$801,11,FALSE),Scenarios!$B$43)</f>
        <v>32865</v>
      </c>
      <c r="AB418" s="453"/>
      <c r="AC418" s="453"/>
    </row>
    <row r="419" spans="1:29" x14ac:dyDescent="0.25">
      <c r="A419" s="65" t="s">
        <v>877</v>
      </c>
      <c r="B419" s="65" t="s">
        <v>3800</v>
      </c>
      <c r="C419" s="66" t="s">
        <v>3468</v>
      </c>
      <c r="D419" s="66" t="s">
        <v>3469</v>
      </c>
      <c r="E419" s="67">
        <v>0</v>
      </c>
      <c r="F419" s="68">
        <v>31</v>
      </c>
      <c r="G419" s="68">
        <v>31</v>
      </c>
      <c r="H419" s="68">
        <v>31</v>
      </c>
      <c r="I419" s="68">
        <v>31</v>
      </c>
      <c r="J419" s="68">
        <v>31</v>
      </c>
      <c r="K419" s="68">
        <v>31</v>
      </c>
      <c r="L419" s="68">
        <v>31</v>
      </c>
      <c r="M419" s="68">
        <v>31</v>
      </c>
      <c r="N419" s="68">
        <v>31</v>
      </c>
      <c r="O419" s="68">
        <v>31</v>
      </c>
      <c r="P419" s="68">
        <v>31</v>
      </c>
      <c r="Q419" s="68">
        <v>31</v>
      </c>
      <c r="R419" s="69" t="s">
        <v>3470</v>
      </c>
      <c r="S419" s="69" t="s">
        <v>879</v>
      </c>
      <c r="T419" s="70" t="s">
        <v>3497</v>
      </c>
      <c r="U419" s="452"/>
      <c r="V419" s="453" t="str">
        <f>IF(VLOOKUP($A419,'GeneratingCapabilityList sorted'!$E$9:$O$801,8,FALSE)&lt;&gt;"",VLOOKUP($A419,'GeneratingCapabilityList sorted'!$E$9:$O$801,8,FALSE),"NoneListed")</f>
        <v>GEOTHERMAL</v>
      </c>
      <c r="W419" s="454">
        <f>IF($AB419,$AB419,IF($AA419,$AA419,Scenarios!$B$43))</f>
        <v>30317</v>
      </c>
      <c r="X419" s="454"/>
      <c r="Y419" s="454"/>
      <c r="Z419" s="454"/>
      <c r="AA419" s="454">
        <f>IFERROR(VLOOKUP($A419,'GeneratingCapabilityList sorted'!$E$9:$O$801,11,FALSE),Scenarios!$B$43)</f>
        <v>30317</v>
      </c>
      <c r="AB419" s="453"/>
      <c r="AC419" s="453"/>
    </row>
    <row r="420" spans="1:29" x14ac:dyDescent="0.25">
      <c r="A420" s="65" t="s">
        <v>880</v>
      </c>
      <c r="B420" s="65" t="s">
        <v>3801</v>
      </c>
      <c r="C420" s="66" t="s">
        <v>3468</v>
      </c>
      <c r="D420" s="66" t="s">
        <v>3469</v>
      </c>
      <c r="E420" s="67">
        <v>0</v>
      </c>
      <c r="F420" s="68">
        <v>28</v>
      </c>
      <c r="G420" s="68">
        <v>28</v>
      </c>
      <c r="H420" s="68">
        <v>28</v>
      </c>
      <c r="I420" s="68">
        <v>28</v>
      </c>
      <c r="J420" s="68">
        <v>28</v>
      </c>
      <c r="K420" s="68">
        <v>28</v>
      </c>
      <c r="L420" s="68">
        <v>28</v>
      </c>
      <c r="M420" s="68">
        <v>28</v>
      </c>
      <c r="N420" s="68">
        <v>28</v>
      </c>
      <c r="O420" s="68">
        <v>28</v>
      </c>
      <c r="P420" s="68">
        <v>28</v>
      </c>
      <c r="Q420" s="68">
        <v>28</v>
      </c>
      <c r="R420" s="69" t="s">
        <v>3470</v>
      </c>
      <c r="S420" s="69" t="s">
        <v>879</v>
      </c>
      <c r="T420" s="70" t="s">
        <v>3497</v>
      </c>
      <c r="U420" s="452"/>
      <c r="V420" s="453" t="str">
        <f>IF(VLOOKUP($A420,'GeneratingCapabilityList sorted'!$E$9:$O$801,8,FALSE)&lt;&gt;"",VLOOKUP($A420,'GeneratingCapabilityList sorted'!$E$9:$O$801,8,FALSE),"NoneListed")</f>
        <v>GEOTHERMAL</v>
      </c>
      <c r="W420" s="454">
        <f>IF($AB420,$AB420,IF($AA420,$AA420,Scenarios!$B$43))</f>
        <v>30317</v>
      </c>
      <c r="X420" s="454"/>
      <c r="Y420" s="454"/>
      <c r="Z420" s="454"/>
      <c r="AA420" s="454">
        <f>IFERROR(VLOOKUP($A420,'GeneratingCapabilityList sorted'!$E$9:$O$801,11,FALSE),Scenarios!$B$43)</f>
        <v>30317</v>
      </c>
      <c r="AB420" s="453"/>
      <c r="AC420" s="453"/>
    </row>
    <row r="421" spans="1:29" x14ac:dyDescent="0.25">
      <c r="A421" s="65" t="s">
        <v>1161</v>
      </c>
      <c r="B421" s="65" t="s">
        <v>3802</v>
      </c>
      <c r="C421" s="66" t="s">
        <v>3468</v>
      </c>
      <c r="D421" s="66" t="s">
        <v>3469</v>
      </c>
      <c r="E421" s="67">
        <v>0</v>
      </c>
      <c r="F421" s="68">
        <v>0</v>
      </c>
      <c r="G421" s="68">
        <v>0</v>
      </c>
      <c r="H421" s="68">
        <v>0</v>
      </c>
      <c r="I421" s="68">
        <v>0</v>
      </c>
      <c r="J421" s="68">
        <v>0</v>
      </c>
      <c r="K421" s="68">
        <v>0</v>
      </c>
      <c r="L421" s="68">
        <v>0</v>
      </c>
      <c r="M421" s="68">
        <v>0</v>
      </c>
      <c r="N421" s="68">
        <v>0</v>
      </c>
      <c r="O421" s="68">
        <v>0</v>
      </c>
      <c r="P421" s="68">
        <v>0</v>
      </c>
      <c r="Q421" s="68">
        <v>0</v>
      </c>
      <c r="R421" s="69" t="s">
        <v>3470</v>
      </c>
      <c r="S421" s="69" t="s">
        <v>879</v>
      </c>
      <c r="T421" s="70" t="s">
        <v>3497</v>
      </c>
      <c r="U421" s="452"/>
      <c r="V421" s="453" t="str">
        <f>IF(VLOOKUP($A421,'GeneratingCapabilityList sorted'!$E$9:$O$801,8,FALSE)&lt;&gt;"",VLOOKUP($A421,'GeneratingCapabilityList sorted'!$E$9:$O$801,8,FALSE),"NoneListed")</f>
        <v>GEOTHERMAL</v>
      </c>
      <c r="W421" s="454">
        <f>IF($AB421,$AB421,IF($AA421,$AA421,Scenarios!$B$43))</f>
        <v>31048</v>
      </c>
      <c r="X421" s="454"/>
      <c r="Y421" s="454"/>
      <c r="Z421" s="454"/>
      <c r="AA421" s="454">
        <f>IFERROR(VLOOKUP($A421,'GeneratingCapabilityList sorted'!$E$9:$O$801,11,FALSE),Scenarios!$B$43)</f>
        <v>31048</v>
      </c>
      <c r="AB421" s="453"/>
      <c r="AC421" s="453"/>
    </row>
    <row r="422" spans="1:29" x14ac:dyDescent="0.25">
      <c r="A422" s="65" t="s">
        <v>1308</v>
      </c>
      <c r="B422" s="65" t="s">
        <v>3803</v>
      </c>
      <c r="C422" s="66" t="s">
        <v>3468</v>
      </c>
      <c r="D422" s="66" t="s">
        <v>3469</v>
      </c>
      <c r="E422" s="67">
        <v>0</v>
      </c>
      <c r="F422" s="68">
        <v>52.73</v>
      </c>
      <c r="G422" s="68">
        <v>52.73</v>
      </c>
      <c r="H422" s="68">
        <v>52.73</v>
      </c>
      <c r="I422" s="68">
        <v>52.73</v>
      </c>
      <c r="J422" s="68">
        <v>52.73</v>
      </c>
      <c r="K422" s="68">
        <v>52.73</v>
      </c>
      <c r="L422" s="68">
        <v>52.73</v>
      </c>
      <c r="M422" s="68">
        <v>52.73</v>
      </c>
      <c r="N422" s="68">
        <v>52.73</v>
      </c>
      <c r="O422" s="68">
        <v>52.73</v>
      </c>
      <c r="P422" s="68">
        <v>52.73</v>
      </c>
      <c r="Q422" s="68">
        <v>52.73</v>
      </c>
      <c r="R422" s="69" t="s">
        <v>3470</v>
      </c>
      <c r="S422" s="69" t="s">
        <v>879</v>
      </c>
      <c r="T422" s="70" t="s">
        <v>3497</v>
      </c>
      <c r="U422" s="452"/>
      <c r="V422" s="453" t="str">
        <f>IF(VLOOKUP($A422,'GeneratingCapabilityList sorted'!$E$9:$O$801,8,FALSE)&lt;&gt;"",VLOOKUP($A422,'GeneratingCapabilityList sorted'!$E$9:$O$801,8,FALSE),"NoneListed")</f>
        <v>GEOTHERMAL</v>
      </c>
      <c r="W422" s="454">
        <f>IF($AB422,$AB422,IF($AA422,$AA422,Scenarios!$B$43))</f>
        <v>31413</v>
      </c>
      <c r="X422" s="454"/>
      <c r="Y422" s="454"/>
      <c r="Z422" s="454"/>
      <c r="AA422" s="454">
        <f>IFERROR(VLOOKUP($A422,'GeneratingCapabilityList sorted'!$E$9:$O$801,11,FALSE),Scenarios!$B$43)</f>
        <v>31413</v>
      </c>
      <c r="AB422" s="453"/>
      <c r="AC422" s="453"/>
    </row>
    <row r="423" spans="1:29" x14ac:dyDescent="0.25">
      <c r="A423" s="65" t="s">
        <v>3335</v>
      </c>
      <c r="B423" s="65" t="s">
        <v>3804</v>
      </c>
      <c r="C423" s="66" t="s">
        <v>3468</v>
      </c>
      <c r="D423" s="66" t="s">
        <v>3382</v>
      </c>
      <c r="E423" s="67">
        <v>0</v>
      </c>
      <c r="F423" s="68">
        <v>0.03</v>
      </c>
      <c r="G423" s="68">
        <v>0.03</v>
      </c>
      <c r="H423" s="68">
        <v>0.03</v>
      </c>
      <c r="I423" s="68">
        <v>0.03</v>
      </c>
      <c r="J423" s="68">
        <v>0.03</v>
      </c>
      <c r="K423" s="68">
        <v>0.02</v>
      </c>
      <c r="L423" s="68">
        <v>0.03</v>
      </c>
      <c r="M423" s="68">
        <v>0.03</v>
      </c>
      <c r="N423" s="68">
        <v>0.03</v>
      </c>
      <c r="O423" s="68">
        <v>0.02</v>
      </c>
      <c r="P423" s="68">
        <v>0.04</v>
      </c>
      <c r="Q423" s="68">
        <v>0.04</v>
      </c>
      <c r="R423" s="69" t="s">
        <v>3470</v>
      </c>
      <c r="S423" s="69" t="s">
        <v>3489</v>
      </c>
      <c r="T423" s="70" t="s">
        <v>3497</v>
      </c>
      <c r="U423" s="452"/>
      <c r="V423" s="453" t="str">
        <f>IF(VLOOKUP($A423,'GeneratingCapabilityList sorted'!$E$9:$O$801,8,FALSE)&lt;&gt;"",VLOOKUP($A423,'GeneratingCapabilityList sorted'!$E$9:$O$801,8,FALSE),"NoneListed")</f>
        <v>WIND</v>
      </c>
      <c r="W423" s="454">
        <f>IF($AB423,$AB423,IF($AA423,$AA423,Scenarios!$B$43))</f>
        <v>29755</v>
      </c>
      <c r="X423" s="454"/>
      <c r="Y423" s="454"/>
      <c r="Z423" s="454"/>
      <c r="AA423" s="454">
        <f>IFERROR(VLOOKUP($A423,'GeneratingCapabilityList sorted'!$E$9:$O$801,11,FALSE),Scenarios!$B$43)</f>
        <v>0</v>
      </c>
      <c r="AB423" s="454">
        <v>29755</v>
      </c>
      <c r="AC423" s="453" t="s">
        <v>4731</v>
      </c>
    </row>
    <row r="424" spans="1:29" x14ac:dyDescent="0.25">
      <c r="A424" s="65" t="s">
        <v>1405</v>
      </c>
      <c r="B424" s="65" t="s">
        <v>3805</v>
      </c>
      <c r="C424" s="66" t="s">
        <v>3468</v>
      </c>
      <c r="D424" s="66" t="s">
        <v>3488</v>
      </c>
      <c r="E424" s="67">
        <v>0</v>
      </c>
      <c r="F424" s="68">
        <v>0.23</v>
      </c>
      <c r="G424" s="68">
        <v>0.28000000000000003</v>
      </c>
      <c r="H424" s="68">
        <v>0.48</v>
      </c>
      <c r="I424" s="68">
        <v>1.46</v>
      </c>
      <c r="J424" s="68">
        <v>1.46</v>
      </c>
      <c r="K424" s="68">
        <v>1.4</v>
      </c>
      <c r="L424" s="68">
        <v>1.49</v>
      </c>
      <c r="M424" s="68">
        <v>1.41</v>
      </c>
      <c r="N424" s="68">
        <v>0.72</v>
      </c>
      <c r="O424" s="68">
        <v>0.21</v>
      </c>
      <c r="P424" s="68">
        <v>0.2</v>
      </c>
      <c r="Q424" s="68">
        <v>0.06</v>
      </c>
      <c r="R424" s="69" t="s">
        <v>3470</v>
      </c>
      <c r="S424" s="69" t="s">
        <v>3489</v>
      </c>
      <c r="T424" s="70" t="s">
        <v>3484</v>
      </c>
      <c r="U424" s="452"/>
      <c r="V424" s="453" t="str">
        <f>IF(VLOOKUP($A424,'GeneratingCapabilityList sorted'!$E$9:$O$801,8,FALSE)&lt;&gt;"",VLOOKUP($A424,'GeneratingCapabilityList sorted'!$E$9:$O$801,8,FALSE),"NoneListed")</f>
        <v>WATER</v>
      </c>
      <c r="W424" s="454">
        <f>IF($AB424,$AB424,IF($AA424,$AA424,Scenarios!$B$43))</f>
        <v>31517</v>
      </c>
      <c r="X424" s="454"/>
      <c r="Y424" s="454"/>
      <c r="Z424" s="454"/>
      <c r="AA424" s="454">
        <f>IFERROR(VLOOKUP($A424,'GeneratingCapabilityList sorted'!$E$9:$O$801,11,FALSE),Scenarios!$B$43)</f>
        <v>31517</v>
      </c>
      <c r="AB424" s="453"/>
      <c r="AC424" s="453"/>
    </row>
    <row r="425" spans="1:29" x14ac:dyDescent="0.25">
      <c r="A425" s="65" t="s">
        <v>1809</v>
      </c>
      <c r="B425" s="65" t="s">
        <v>3806</v>
      </c>
      <c r="C425" s="66" t="s">
        <v>3477</v>
      </c>
      <c r="D425" s="66" t="s">
        <v>3385</v>
      </c>
      <c r="E425" s="67">
        <v>0</v>
      </c>
      <c r="F425" s="68">
        <v>34.32</v>
      </c>
      <c r="G425" s="68">
        <v>33.35</v>
      </c>
      <c r="H425" s="68">
        <v>26.3</v>
      </c>
      <c r="I425" s="68">
        <v>23.5</v>
      </c>
      <c r="J425" s="68">
        <v>32.909999999999997</v>
      </c>
      <c r="K425" s="68">
        <v>34.090000000000003</v>
      </c>
      <c r="L425" s="68">
        <v>34.770000000000003</v>
      </c>
      <c r="M425" s="68">
        <v>35.590000000000003</v>
      </c>
      <c r="N425" s="68">
        <v>32.54</v>
      </c>
      <c r="O425" s="68">
        <v>30.21</v>
      </c>
      <c r="P425" s="68">
        <v>34.58</v>
      </c>
      <c r="Q425" s="68">
        <v>33.67</v>
      </c>
      <c r="R425" s="69" t="s">
        <v>3470</v>
      </c>
      <c r="S425" s="69" t="s">
        <v>3489</v>
      </c>
      <c r="T425" s="70" t="s">
        <v>3497</v>
      </c>
      <c r="U425" s="452"/>
      <c r="V425" s="453" t="str">
        <f>IF(VLOOKUP($A425,'GeneratingCapabilityList sorted'!$E$9:$O$801,8,FALSE)&lt;&gt;"",VLOOKUP($A425,'GeneratingCapabilityList sorted'!$E$9:$O$801,8,FALSE),"NoneListed")</f>
        <v>NATURAL GAS</v>
      </c>
      <c r="W425" s="454">
        <f>IF($AB425,$AB425,IF($AA425,$AA425,Scenarios!$B$43))</f>
        <v>32509</v>
      </c>
      <c r="X425" s="454"/>
      <c r="Y425" s="454"/>
      <c r="Z425" s="454"/>
      <c r="AA425" s="454">
        <f>IFERROR(VLOOKUP($A425,'GeneratingCapabilityList sorted'!$E$9:$O$801,11,FALSE),Scenarios!$B$43)</f>
        <v>32509</v>
      </c>
      <c r="AB425" s="453"/>
      <c r="AC425" s="453"/>
    </row>
    <row r="426" spans="1:29" x14ac:dyDescent="0.25">
      <c r="A426" s="65" t="s">
        <v>1314</v>
      </c>
      <c r="B426" s="65" t="s">
        <v>3807</v>
      </c>
      <c r="C426" s="66" t="s">
        <v>3468</v>
      </c>
      <c r="D426" s="66" t="s">
        <v>3510</v>
      </c>
      <c r="E426" s="67">
        <v>0</v>
      </c>
      <c r="F426" s="68">
        <v>4.38</v>
      </c>
      <c r="G426" s="68">
        <v>6.2</v>
      </c>
      <c r="H426" s="68">
        <v>6.21</v>
      </c>
      <c r="I426" s="68">
        <v>5.15</v>
      </c>
      <c r="J426" s="68">
        <v>2.42</v>
      </c>
      <c r="K426" s="68">
        <v>0.73</v>
      </c>
      <c r="L426" s="68">
        <v>0</v>
      </c>
      <c r="M426" s="68">
        <v>0.03</v>
      </c>
      <c r="N426" s="68">
        <v>0.94</v>
      </c>
      <c r="O426" s="68">
        <v>0.49</v>
      </c>
      <c r="P426" s="68">
        <v>2.4300000000000002</v>
      </c>
      <c r="Q426" s="68">
        <v>4.17</v>
      </c>
      <c r="R426" s="69" t="s">
        <v>3470</v>
      </c>
      <c r="S426" s="69" t="s">
        <v>3489</v>
      </c>
      <c r="T426" s="70" t="s">
        <v>3502</v>
      </c>
      <c r="U426" s="452"/>
      <c r="V426" s="453" t="str">
        <f>IF(VLOOKUP($A426,'GeneratingCapabilityList sorted'!$E$9:$O$801,8,FALSE)&lt;&gt;"",VLOOKUP($A426,'GeneratingCapabilityList sorted'!$E$9:$O$801,8,FALSE),"NoneListed")</f>
        <v>WATER</v>
      </c>
      <c r="W426" s="454">
        <f>IF($AB426,$AB426,IF($AA426,$AA426,Scenarios!$B$43))</f>
        <v>31413</v>
      </c>
      <c r="X426" s="454"/>
      <c r="Y426" s="454"/>
      <c r="Z426" s="454"/>
      <c r="AA426" s="454">
        <f>IFERROR(VLOOKUP($A426,'GeneratingCapabilityList sorted'!$E$9:$O$801,11,FALSE),Scenarios!$B$43)</f>
        <v>31413</v>
      </c>
      <c r="AB426" s="453"/>
      <c r="AC426" s="453"/>
    </row>
    <row r="427" spans="1:29" x14ac:dyDescent="0.25">
      <c r="A427" s="65" t="s">
        <v>744</v>
      </c>
      <c r="B427" s="65" t="s">
        <v>3808</v>
      </c>
      <c r="C427" s="66" t="s">
        <v>3468</v>
      </c>
      <c r="D427" s="66" t="s">
        <v>3382</v>
      </c>
      <c r="E427" s="67">
        <v>55</v>
      </c>
      <c r="F427" s="68">
        <v>0</v>
      </c>
      <c r="G427" s="68">
        <v>0</v>
      </c>
      <c r="H427" s="68">
        <v>0</v>
      </c>
      <c r="I427" s="68">
        <v>0</v>
      </c>
      <c r="J427" s="68">
        <v>0</v>
      </c>
      <c r="K427" s="68">
        <v>0</v>
      </c>
      <c r="L427" s="68">
        <v>0</v>
      </c>
      <c r="M427" s="68">
        <v>0</v>
      </c>
      <c r="N427" s="68">
        <v>0</v>
      </c>
      <c r="O427" s="68">
        <v>0</v>
      </c>
      <c r="P427" s="68">
        <v>0</v>
      </c>
      <c r="Q427" s="68">
        <v>0</v>
      </c>
      <c r="R427" s="69" t="s">
        <v>3470</v>
      </c>
      <c r="S427" s="69" t="s">
        <v>3471</v>
      </c>
      <c r="T427" s="70" t="s">
        <v>3472</v>
      </c>
      <c r="U427" s="452"/>
      <c r="V427" s="453" t="str">
        <f>IF(VLOOKUP($A427,'GeneratingCapabilityList sorted'!$E$9:$O$801,8,FALSE)&lt;&gt;"",VLOOKUP($A427,'GeneratingCapabilityList sorted'!$E$9:$O$801,8,FALSE),"NoneListed")</f>
        <v>DIESEL / OIL</v>
      </c>
      <c r="W427" s="454">
        <f>IF($AB427,$AB427,IF($AA427,$AA427,Scenarios!$B$43))</f>
        <v>28491</v>
      </c>
      <c r="X427" s="454"/>
      <c r="Y427" s="454"/>
      <c r="Z427" s="454"/>
      <c r="AA427" s="454">
        <f>IFERROR(VLOOKUP($A427,'GeneratingCapabilityList sorted'!$E$9:$O$801,11,FALSE),Scenarios!$B$43)</f>
        <v>28491</v>
      </c>
      <c r="AB427" s="453"/>
      <c r="AC427" s="453"/>
    </row>
    <row r="428" spans="1:29" x14ac:dyDescent="0.25">
      <c r="A428" s="65" t="s">
        <v>748</v>
      </c>
      <c r="B428" s="65" t="s">
        <v>3809</v>
      </c>
      <c r="C428" s="66" t="s">
        <v>3468</v>
      </c>
      <c r="D428" s="66" t="s">
        <v>3382</v>
      </c>
      <c r="E428" s="67">
        <v>55</v>
      </c>
      <c r="F428" s="68">
        <v>0</v>
      </c>
      <c r="G428" s="68">
        <v>0</v>
      </c>
      <c r="H428" s="68">
        <v>0</v>
      </c>
      <c r="I428" s="68">
        <v>0</v>
      </c>
      <c r="J428" s="68">
        <v>0</v>
      </c>
      <c r="K428" s="68">
        <v>0</v>
      </c>
      <c r="L428" s="68">
        <v>0</v>
      </c>
      <c r="M428" s="68">
        <v>0</v>
      </c>
      <c r="N428" s="68">
        <v>0</v>
      </c>
      <c r="O428" s="68">
        <v>0</v>
      </c>
      <c r="P428" s="68">
        <v>0</v>
      </c>
      <c r="Q428" s="68">
        <v>0</v>
      </c>
      <c r="R428" s="69" t="s">
        <v>3470</v>
      </c>
      <c r="S428" s="69" t="s">
        <v>3471</v>
      </c>
      <c r="T428" s="70" t="s">
        <v>3472</v>
      </c>
      <c r="U428" s="452"/>
      <c r="V428" s="453" t="str">
        <f>IF(VLOOKUP($A428,'GeneratingCapabilityList sorted'!$E$9:$O$801,8,FALSE)&lt;&gt;"",VLOOKUP($A428,'GeneratingCapabilityList sorted'!$E$9:$O$801,8,FALSE),"NoneListed")</f>
        <v>DIESEL / OIL</v>
      </c>
      <c r="W428" s="454">
        <f>IF($AB428,$AB428,IF($AA428,$AA428,Scenarios!$B$43))</f>
        <v>28491</v>
      </c>
      <c r="X428" s="454"/>
      <c r="Y428" s="454"/>
      <c r="Z428" s="454"/>
      <c r="AA428" s="454">
        <f>IFERROR(VLOOKUP($A428,'GeneratingCapabilityList sorted'!$E$9:$O$801,11,FALSE),Scenarios!$B$43)</f>
        <v>28491</v>
      </c>
      <c r="AB428" s="453"/>
      <c r="AC428" s="453"/>
    </row>
    <row r="429" spans="1:29" x14ac:dyDescent="0.25">
      <c r="A429" s="65" t="s">
        <v>751</v>
      </c>
      <c r="B429" s="65" t="s">
        <v>3810</v>
      </c>
      <c r="C429" s="66" t="s">
        <v>3468</v>
      </c>
      <c r="D429" s="66" t="s">
        <v>3382</v>
      </c>
      <c r="E429" s="67">
        <v>55</v>
      </c>
      <c r="F429" s="68">
        <v>0</v>
      </c>
      <c r="G429" s="68">
        <v>0</v>
      </c>
      <c r="H429" s="68">
        <v>0</v>
      </c>
      <c r="I429" s="68">
        <v>0</v>
      </c>
      <c r="J429" s="68">
        <v>0</v>
      </c>
      <c r="K429" s="68">
        <v>0</v>
      </c>
      <c r="L429" s="68">
        <v>0</v>
      </c>
      <c r="M429" s="68">
        <v>0</v>
      </c>
      <c r="N429" s="68">
        <v>0</v>
      </c>
      <c r="O429" s="68">
        <v>0</v>
      </c>
      <c r="P429" s="68">
        <v>0</v>
      </c>
      <c r="Q429" s="68">
        <v>0</v>
      </c>
      <c r="R429" s="69" t="s">
        <v>3470</v>
      </c>
      <c r="S429" s="69" t="s">
        <v>3471</v>
      </c>
      <c r="T429" s="70" t="s">
        <v>3472</v>
      </c>
      <c r="U429" s="452"/>
      <c r="V429" s="453" t="str">
        <f>IF(VLOOKUP($A429,'GeneratingCapabilityList sorted'!$E$9:$O$801,8,FALSE)&lt;&gt;"",VLOOKUP($A429,'GeneratingCapabilityList sorted'!$E$9:$O$801,8,FALSE),"NoneListed")</f>
        <v>DIESEL / OIL</v>
      </c>
      <c r="W429" s="454">
        <f>IF($AB429,$AB429,IF($AA429,$AA429,Scenarios!$B$43))</f>
        <v>28491</v>
      </c>
      <c r="X429" s="454"/>
      <c r="Y429" s="454"/>
      <c r="Z429" s="454"/>
      <c r="AA429" s="454">
        <f>IFERROR(VLOOKUP($A429,'GeneratingCapabilityList sorted'!$E$9:$O$801,11,FALSE),Scenarios!$B$43)</f>
        <v>28491</v>
      </c>
      <c r="AB429" s="453"/>
      <c r="AC429" s="453"/>
    </row>
    <row r="430" spans="1:29" x14ac:dyDescent="0.25">
      <c r="A430" s="65" t="s">
        <v>2136</v>
      </c>
      <c r="B430" s="65" t="s">
        <v>3811</v>
      </c>
      <c r="C430" s="66" t="s">
        <v>3468</v>
      </c>
      <c r="D430" s="66" t="s">
        <v>3382</v>
      </c>
      <c r="E430" s="67">
        <v>0</v>
      </c>
      <c r="F430" s="68">
        <v>0.09</v>
      </c>
      <c r="G430" s="68">
        <v>0.23</v>
      </c>
      <c r="H430" s="68">
        <v>0.27</v>
      </c>
      <c r="I430" s="68">
        <v>0.12</v>
      </c>
      <c r="J430" s="68">
        <v>0.38</v>
      </c>
      <c r="K430" s="68">
        <v>0.61</v>
      </c>
      <c r="L430" s="68">
        <v>0.54</v>
      </c>
      <c r="M430" s="68">
        <v>0.56000000000000005</v>
      </c>
      <c r="N430" s="68">
        <v>0.42</v>
      </c>
      <c r="O430" s="68">
        <v>0.24</v>
      </c>
      <c r="P430" s="68">
        <v>0.14000000000000001</v>
      </c>
      <c r="Q430" s="68">
        <v>0.05</v>
      </c>
      <c r="R430" s="69" t="s">
        <v>3470</v>
      </c>
      <c r="S430" s="69" t="s">
        <v>3489</v>
      </c>
      <c r="T430" s="70" t="s">
        <v>3497</v>
      </c>
      <c r="U430" s="452"/>
      <c r="V430" s="453" t="str">
        <f>IF(VLOOKUP($A430,'GeneratingCapabilityList sorted'!$E$9:$O$801,8,FALSE)&lt;&gt;"",VLOOKUP($A430,'GeneratingCapabilityList sorted'!$E$9:$O$801,8,FALSE),"NoneListed")</f>
        <v>SEWAGE GAS</v>
      </c>
      <c r="W430" s="454">
        <f>IF($AB430,$AB430,IF($AA430,$AA430,Scenarios!$B$43))</f>
        <v>33532</v>
      </c>
      <c r="X430" s="454"/>
      <c r="Y430" s="454"/>
      <c r="Z430" s="454"/>
      <c r="AA430" s="454">
        <f>IFERROR(VLOOKUP($A430,'GeneratingCapabilityList sorted'!$E$9:$O$801,11,FALSE),Scenarios!$B$43)</f>
        <v>33532</v>
      </c>
      <c r="AB430" s="453"/>
      <c r="AC430" s="453"/>
    </row>
    <row r="431" spans="1:29" x14ac:dyDescent="0.25">
      <c r="A431" s="72" t="s">
        <v>2984</v>
      </c>
      <c r="B431" s="65" t="s">
        <v>2985</v>
      </c>
      <c r="C431" s="73" t="s">
        <v>3477</v>
      </c>
      <c r="D431" s="73" t="s">
        <v>3385</v>
      </c>
      <c r="E431" s="67">
        <v>99.9</v>
      </c>
      <c r="F431" s="68">
        <v>0</v>
      </c>
      <c r="G431" s="68">
        <v>0</v>
      </c>
      <c r="H431" s="68">
        <v>0</v>
      </c>
      <c r="I431" s="68">
        <v>0</v>
      </c>
      <c r="J431" s="68">
        <v>0</v>
      </c>
      <c r="K431" s="68">
        <v>0</v>
      </c>
      <c r="L431" s="68">
        <v>0</v>
      </c>
      <c r="M431" s="68">
        <v>0</v>
      </c>
      <c r="N431" s="68">
        <v>0</v>
      </c>
      <c r="O431" s="68">
        <v>0</v>
      </c>
      <c r="P431" s="68">
        <v>0</v>
      </c>
      <c r="Q431" s="68">
        <v>0</v>
      </c>
      <c r="R431" s="69" t="s">
        <v>3470</v>
      </c>
      <c r="S431" s="69" t="s">
        <v>3471</v>
      </c>
      <c r="T431" s="70" t="s">
        <v>3472</v>
      </c>
      <c r="U431" s="452"/>
      <c r="V431" s="453" t="str">
        <f>IF(VLOOKUP($A431,'GeneratingCapabilityList sorted'!$E$9:$O$801,8,FALSE)&lt;&gt;"",VLOOKUP($A431,'GeneratingCapabilityList sorted'!$E$9:$O$801,8,FALSE),"NoneListed")</f>
        <v>NATURAL GAS</v>
      </c>
      <c r="W431" s="454">
        <f>IF($AB431,$AB431,IF($AA431,$AA431,Scenarios!$B$43))</f>
        <v>40346</v>
      </c>
      <c r="X431" s="454"/>
      <c r="Y431" s="454"/>
      <c r="Z431" s="454"/>
      <c r="AA431" s="454">
        <f>IFERROR(VLOOKUP($A431,'GeneratingCapabilityList sorted'!$E$9:$O$801,11,FALSE),Scenarios!$B$43)</f>
        <v>40346</v>
      </c>
      <c r="AB431" s="453"/>
      <c r="AC431" s="453"/>
    </row>
    <row r="432" spans="1:29" x14ac:dyDescent="0.25">
      <c r="A432" s="65" t="s">
        <v>1139</v>
      </c>
      <c r="B432" s="65" t="s">
        <v>1140</v>
      </c>
      <c r="C432" s="66" t="s">
        <v>3468</v>
      </c>
      <c r="D432" s="66" t="s">
        <v>3505</v>
      </c>
      <c r="E432" s="67">
        <v>0</v>
      </c>
      <c r="F432" s="68">
        <v>39.049999999999997</v>
      </c>
      <c r="G432" s="68">
        <v>23.17</v>
      </c>
      <c r="H432" s="68">
        <v>27.43</v>
      </c>
      <c r="I432" s="68">
        <v>39.409999999999997</v>
      </c>
      <c r="J432" s="68">
        <v>38.630000000000003</v>
      </c>
      <c r="K432" s="68">
        <v>37.840000000000003</v>
      </c>
      <c r="L432" s="68">
        <v>38.950000000000003</v>
      </c>
      <c r="M432" s="68">
        <v>38.96</v>
      </c>
      <c r="N432" s="68">
        <v>39.53</v>
      </c>
      <c r="O432" s="68">
        <v>39.97</v>
      </c>
      <c r="P432" s="68">
        <v>34.78</v>
      </c>
      <c r="Q432" s="68">
        <v>34.28</v>
      </c>
      <c r="R432" s="69" t="s">
        <v>3470</v>
      </c>
      <c r="S432" s="69" t="s">
        <v>3489</v>
      </c>
      <c r="T432" s="70" t="s">
        <v>3497</v>
      </c>
      <c r="U432" s="452"/>
      <c r="V432" s="453" t="str">
        <f>IF(VLOOKUP($A432,'GeneratingCapabilityList sorted'!$E$9:$O$801,8,FALSE)&lt;&gt;"",VLOOKUP($A432,'GeneratingCapabilityList sorted'!$E$9:$O$801,8,FALSE),"NoneListed")</f>
        <v>NATURAL GAS</v>
      </c>
      <c r="W432" s="454">
        <f>IF($AB432,$AB432,IF($AA432,$AA432,Scenarios!$B$43))</f>
        <v>31045</v>
      </c>
      <c r="X432" s="454"/>
      <c r="Y432" s="454"/>
      <c r="Z432" s="454"/>
      <c r="AA432" s="454">
        <f>IFERROR(VLOOKUP($A432,'GeneratingCapabilityList sorted'!$E$9:$O$801,11,FALSE),Scenarios!$B$43)</f>
        <v>31045</v>
      </c>
      <c r="AB432" s="453"/>
      <c r="AC432" s="453"/>
    </row>
    <row r="433" spans="1:29" x14ac:dyDescent="0.25">
      <c r="A433" s="65" t="s">
        <v>3339</v>
      </c>
      <c r="B433" s="65" t="s">
        <v>3339</v>
      </c>
      <c r="C433" s="66" t="s">
        <v>3468</v>
      </c>
      <c r="D433" s="66" t="s">
        <v>3488</v>
      </c>
      <c r="E433" s="67">
        <v>0</v>
      </c>
      <c r="F433" s="68">
        <v>0.32</v>
      </c>
      <c r="G433" s="68">
        <v>0.5</v>
      </c>
      <c r="H433" s="68">
        <v>1.0900000000000001</v>
      </c>
      <c r="I433" s="68">
        <v>1.17</v>
      </c>
      <c r="J433" s="68">
        <v>1.85</v>
      </c>
      <c r="K433" s="68">
        <v>2.73</v>
      </c>
      <c r="L433" s="68">
        <v>2.65</v>
      </c>
      <c r="M433" s="68">
        <v>2.46</v>
      </c>
      <c r="N433" s="68">
        <v>1.35</v>
      </c>
      <c r="O433" s="68">
        <v>0.91</v>
      </c>
      <c r="P433" s="68">
        <v>1.0900000000000001</v>
      </c>
      <c r="Q433" s="68">
        <v>0.46</v>
      </c>
      <c r="R433" s="69" t="s">
        <v>3470</v>
      </c>
      <c r="S433" s="69" t="s">
        <v>3489</v>
      </c>
      <c r="T433" s="70" t="s">
        <v>3502</v>
      </c>
      <c r="U433" s="452"/>
      <c r="V433" s="453" t="str">
        <f>IF(VLOOKUP($A433,'GeneratingCapabilityList sorted'!$E$9:$O$801,8,FALSE)&lt;&gt;"",VLOOKUP($A433,'GeneratingCapabilityList sorted'!$E$9:$O$801,8,FALSE),"NoneListed")</f>
        <v>WATER</v>
      </c>
      <c r="W433" s="454">
        <f>IF($AB433,$AB433,IF($AA433,$AA433,Scenarios!$B$43))</f>
        <v>31971</v>
      </c>
      <c r="X433" s="454"/>
      <c r="Y433" s="454"/>
      <c r="Z433" s="454"/>
      <c r="AA433" s="454">
        <f>IFERROR(VLOOKUP($A433,'GeneratingCapabilityList sorted'!$E$9:$O$801,11,FALSE),Scenarios!$B$43)</f>
        <v>0</v>
      </c>
      <c r="AB433" s="454">
        <v>31971</v>
      </c>
      <c r="AC433" s="453" t="s">
        <v>4731</v>
      </c>
    </row>
    <row r="434" spans="1:29" x14ac:dyDescent="0.25">
      <c r="A434" s="65" t="s">
        <v>763</v>
      </c>
      <c r="B434" s="72" t="s">
        <v>3812</v>
      </c>
      <c r="C434" s="66" t="s">
        <v>3477</v>
      </c>
      <c r="D434" s="66" t="s">
        <v>3387</v>
      </c>
      <c r="E434" s="67">
        <v>3.13</v>
      </c>
      <c r="F434" s="68">
        <v>0</v>
      </c>
      <c r="G434" s="68">
        <v>0</v>
      </c>
      <c r="H434" s="68">
        <v>0</v>
      </c>
      <c r="I434" s="68">
        <v>0</v>
      </c>
      <c r="J434" s="68">
        <v>0</v>
      </c>
      <c r="K434" s="68">
        <v>0</v>
      </c>
      <c r="L434" s="68">
        <v>0</v>
      </c>
      <c r="M434" s="68">
        <v>0</v>
      </c>
      <c r="N434" s="68">
        <v>0</v>
      </c>
      <c r="O434" s="68">
        <v>0</v>
      </c>
      <c r="P434" s="68">
        <v>0</v>
      </c>
      <c r="Q434" s="68">
        <v>0</v>
      </c>
      <c r="R434" s="69" t="s">
        <v>3470</v>
      </c>
      <c r="S434" s="69" t="s">
        <v>3491</v>
      </c>
      <c r="T434" s="70" t="s">
        <v>3484</v>
      </c>
      <c r="U434" s="452"/>
      <c r="V434" s="453" t="str">
        <f>IF(VLOOKUP($A434,'GeneratingCapabilityList sorted'!$E$9:$O$801,8,FALSE)&lt;&gt;"",VLOOKUP($A434,'GeneratingCapabilityList sorted'!$E$9:$O$801,8,FALSE),"NoneListed")</f>
        <v>WATER</v>
      </c>
      <c r="W434" s="454">
        <f>IF($AB434,$AB434,IF($AA434,$AA434,Scenarios!$B$43))</f>
        <v>28907</v>
      </c>
      <c r="X434" s="454"/>
      <c r="Y434" s="454"/>
      <c r="Z434" s="454"/>
      <c r="AA434" s="454">
        <f>IFERROR(VLOOKUP($A434,'GeneratingCapabilityList sorted'!$E$9:$O$801,11,FALSE),Scenarios!$B$43)</f>
        <v>28907</v>
      </c>
      <c r="AB434" s="453"/>
      <c r="AC434" s="453"/>
    </row>
    <row r="435" spans="1:29" x14ac:dyDescent="0.25">
      <c r="A435" s="65" t="s">
        <v>1043</v>
      </c>
      <c r="B435" s="65" t="s">
        <v>3813</v>
      </c>
      <c r="C435" s="66" t="s">
        <v>3477</v>
      </c>
      <c r="D435" s="66" t="s">
        <v>3387</v>
      </c>
      <c r="E435" s="67">
        <v>0</v>
      </c>
      <c r="F435" s="68">
        <v>0.23</v>
      </c>
      <c r="G435" s="68">
        <v>0.66</v>
      </c>
      <c r="H435" s="68">
        <v>0.86</v>
      </c>
      <c r="I435" s="68">
        <v>0.91</v>
      </c>
      <c r="J435" s="68">
        <v>0.85</v>
      </c>
      <c r="K435" s="68">
        <v>0.7</v>
      </c>
      <c r="L435" s="68">
        <v>0.78</v>
      </c>
      <c r="M435" s="68">
        <v>0.78</v>
      </c>
      <c r="N435" s="68">
        <v>0.71</v>
      </c>
      <c r="O435" s="68">
        <v>0.74</v>
      </c>
      <c r="P435" s="68">
        <v>0.03</v>
      </c>
      <c r="Q435" s="68">
        <v>0.01</v>
      </c>
      <c r="R435" s="69" t="s">
        <v>3470</v>
      </c>
      <c r="S435" s="69" t="s">
        <v>3489</v>
      </c>
      <c r="T435" s="70" t="s">
        <v>3497</v>
      </c>
      <c r="U435" s="452"/>
      <c r="V435" s="453" t="str">
        <f>IF(VLOOKUP($A435,'GeneratingCapabilityList sorted'!$E$9:$O$801,8,FALSE)&lt;&gt;"",VLOOKUP($A435,'GeneratingCapabilityList sorted'!$E$9:$O$801,8,FALSE),"NoneListed")</f>
        <v>WATER</v>
      </c>
      <c r="W435" s="454">
        <f>IF($AB435,$AB435,IF($AA435,$AA435,Scenarios!$B$43))</f>
        <v>30682</v>
      </c>
      <c r="X435" s="454"/>
      <c r="Y435" s="454"/>
      <c r="Z435" s="454"/>
      <c r="AA435" s="454">
        <f>IFERROR(VLOOKUP($A435,'GeneratingCapabilityList sorted'!$E$9:$O$801,11,FALSE),Scenarios!$B$43)</f>
        <v>30682</v>
      </c>
      <c r="AB435" s="453"/>
      <c r="AC435" s="453"/>
    </row>
    <row r="436" spans="1:29" x14ac:dyDescent="0.25">
      <c r="A436" s="65" t="s">
        <v>2534</v>
      </c>
      <c r="B436" s="65" t="s">
        <v>2534</v>
      </c>
      <c r="C436" s="66" t="s">
        <v>3477</v>
      </c>
      <c r="D436" s="66" t="s">
        <v>3387</v>
      </c>
      <c r="E436" s="67">
        <v>0</v>
      </c>
      <c r="F436" s="68">
        <v>4.5</v>
      </c>
      <c r="G436" s="68">
        <v>4.5</v>
      </c>
      <c r="H436" s="68">
        <v>4.5</v>
      </c>
      <c r="I436" s="68">
        <v>4.5</v>
      </c>
      <c r="J436" s="68">
        <v>4.5</v>
      </c>
      <c r="K436" s="68">
        <v>4.5</v>
      </c>
      <c r="L436" s="68">
        <v>4.5</v>
      </c>
      <c r="M436" s="68">
        <v>4.5</v>
      </c>
      <c r="N436" s="68">
        <v>4.5</v>
      </c>
      <c r="O436" s="68">
        <v>4.5</v>
      </c>
      <c r="P436" s="68">
        <v>4.5</v>
      </c>
      <c r="Q436" s="68">
        <v>4.5</v>
      </c>
      <c r="R436" s="69" t="s">
        <v>3470</v>
      </c>
      <c r="S436" s="69" t="s">
        <v>3491</v>
      </c>
      <c r="T436" s="70" t="s">
        <v>3497</v>
      </c>
      <c r="U436" s="452"/>
      <c r="V436" s="453" t="str">
        <f>IF(VLOOKUP($A436,'GeneratingCapabilityList sorted'!$E$9:$O$801,8,FALSE)&lt;&gt;"",VLOOKUP($A436,'GeneratingCapabilityList sorted'!$E$9:$O$801,8,FALSE),"NoneListed")</f>
        <v>LANDFILL GAS</v>
      </c>
      <c r="W436" s="454">
        <f>IF($AB436,$AB436,IF($AA436,$AA436,Scenarios!$B$43))</f>
        <v>37377</v>
      </c>
      <c r="X436" s="454"/>
      <c r="Y436" s="454"/>
      <c r="Z436" s="454"/>
      <c r="AA436" s="454">
        <f>IFERROR(VLOOKUP($A436,'GeneratingCapabilityList sorted'!$E$9:$O$801,11,FALSE),Scenarios!$B$43)</f>
        <v>37377</v>
      </c>
      <c r="AB436" s="453"/>
      <c r="AC436" s="453"/>
    </row>
    <row r="437" spans="1:29" x14ac:dyDescent="0.25">
      <c r="A437" s="65" t="s">
        <v>2000</v>
      </c>
      <c r="B437" s="65" t="s">
        <v>2001</v>
      </c>
      <c r="C437" s="66" t="s">
        <v>3468</v>
      </c>
      <c r="D437" s="66" t="s">
        <v>3488</v>
      </c>
      <c r="E437" s="67">
        <v>0</v>
      </c>
      <c r="F437" s="68">
        <v>0.39</v>
      </c>
      <c r="G437" s="68">
        <v>0.6</v>
      </c>
      <c r="H437" s="68">
        <v>1.1499999999999999</v>
      </c>
      <c r="I437" s="68">
        <v>1.77</v>
      </c>
      <c r="J437" s="68">
        <v>2.85</v>
      </c>
      <c r="K437" s="68">
        <v>1.17</v>
      </c>
      <c r="L437" s="68">
        <v>0.11</v>
      </c>
      <c r="M437" s="68">
        <v>0</v>
      </c>
      <c r="N437" s="68">
        <v>0</v>
      </c>
      <c r="O437" s="68">
        <v>0.01</v>
      </c>
      <c r="P437" s="68">
        <v>0.01</v>
      </c>
      <c r="Q437" s="68">
        <v>0.01</v>
      </c>
      <c r="R437" s="69" t="s">
        <v>3470</v>
      </c>
      <c r="S437" s="69" t="s">
        <v>3489</v>
      </c>
      <c r="T437" s="70" t="s">
        <v>3502</v>
      </c>
      <c r="U437" s="452"/>
      <c r="V437" s="453" t="str">
        <f>IF(VLOOKUP($A437,'GeneratingCapabilityList sorted'!$E$9:$O$801,8,FALSE)&lt;&gt;"",VLOOKUP($A437,'GeneratingCapabilityList sorted'!$E$9:$O$801,8,FALSE),"NoneListed")</f>
        <v>WATER</v>
      </c>
      <c r="W437" s="454">
        <f>IF($AB437,$AB437,IF($AA437,$AA437,Scenarios!$B$43))</f>
        <v>32876</v>
      </c>
      <c r="X437" s="454"/>
      <c r="Y437" s="454"/>
      <c r="Z437" s="454"/>
      <c r="AA437" s="454">
        <f>IFERROR(VLOOKUP($A437,'GeneratingCapabilityList sorted'!$E$9:$O$801,11,FALSE),Scenarios!$B$43)</f>
        <v>32876</v>
      </c>
      <c r="AB437" s="453"/>
      <c r="AC437" s="453"/>
    </row>
    <row r="438" spans="1:29" x14ac:dyDescent="0.25">
      <c r="A438" s="65" t="s">
        <v>1234</v>
      </c>
      <c r="B438" s="65" t="s">
        <v>3814</v>
      </c>
      <c r="C438" s="73" t="s">
        <v>3477</v>
      </c>
      <c r="D438" s="73" t="s">
        <v>3388</v>
      </c>
      <c r="E438" s="67">
        <v>77.25</v>
      </c>
      <c r="F438" s="68">
        <v>0</v>
      </c>
      <c r="G438" s="68">
        <v>0</v>
      </c>
      <c r="H438" s="68">
        <v>0</v>
      </c>
      <c r="I438" s="68">
        <v>0</v>
      </c>
      <c r="J438" s="68">
        <v>0</v>
      </c>
      <c r="K438" s="68">
        <v>0</v>
      </c>
      <c r="L438" s="68">
        <v>0</v>
      </c>
      <c r="M438" s="68">
        <v>0</v>
      </c>
      <c r="N438" s="68">
        <v>0</v>
      </c>
      <c r="O438" s="68">
        <v>0</v>
      </c>
      <c r="P438" s="68">
        <v>0</v>
      </c>
      <c r="Q438" s="68">
        <v>0</v>
      </c>
      <c r="R438" s="69" t="s">
        <v>3470</v>
      </c>
      <c r="S438" s="69" t="s">
        <v>3471</v>
      </c>
      <c r="T438" s="70" t="s">
        <v>3472</v>
      </c>
      <c r="U438" s="452"/>
      <c r="V438" s="453" t="str">
        <f>IF(VLOOKUP($A438,'GeneratingCapabilityList sorted'!$E$9:$O$801,8,FALSE)&lt;&gt;"",VLOOKUP($A438,'GeneratingCapabilityList sorted'!$E$9:$O$801,8,FALSE),"NoneListed")</f>
        <v>NATURAL GAS</v>
      </c>
      <c r="W438" s="454">
        <f>IF($AB438,$AB438,IF($AA438,$AA438,Scenarios!$B$43))</f>
        <v>31168</v>
      </c>
      <c r="X438" s="454"/>
      <c r="Y438" s="454"/>
      <c r="Z438" s="454"/>
      <c r="AA438" s="454">
        <f>IFERROR(VLOOKUP($A438,'GeneratingCapabilityList sorted'!$E$9:$O$801,11,FALSE),Scenarios!$B$43)</f>
        <v>31168</v>
      </c>
      <c r="AB438" s="453"/>
      <c r="AC438" s="453"/>
    </row>
    <row r="439" spans="1:29" x14ac:dyDescent="0.25">
      <c r="A439" s="65" t="s">
        <v>1238</v>
      </c>
      <c r="B439" s="65" t="s">
        <v>3815</v>
      </c>
      <c r="C439" s="73" t="s">
        <v>3477</v>
      </c>
      <c r="D439" s="73" t="s">
        <v>3388</v>
      </c>
      <c r="E439" s="67">
        <v>77.25</v>
      </c>
      <c r="F439" s="68">
        <v>0</v>
      </c>
      <c r="G439" s="68">
        <v>0</v>
      </c>
      <c r="H439" s="68">
        <v>0</v>
      </c>
      <c r="I439" s="68">
        <v>0</v>
      </c>
      <c r="J439" s="68">
        <v>0</v>
      </c>
      <c r="K439" s="68">
        <v>0</v>
      </c>
      <c r="L439" s="68">
        <v>0</v>
      </c>
      <c r="M439" s="68">
        <v>0</v>
      </c>
      <c r="N439" s="68">
        <v>0</v>
      </c>
      <c r="O439" s="68">
        <v>0</v>
      </c>
      <c r="P439" s="68">
        <v>0</v>
      </c>
      <c r="Q439" s="68">
        <v>0</v>
      </c>
      <c r="R439" s="69" t="s">
        <v>3470</v>
      </c>
      <c r="S439" s="69" t="s">
        <v>3471</v>
      </c>
      <c r="T439" s="70" t="s">
        <v>3472</v>
      </c>
      <c r="U439" s="452"/>
      <c r="V439" s="453" t="str">
        <f>IF(VLOOKUP($A439,'GeneratingCapabilityList sorted'!$E$9:$O$801,8,FALSE)&lt;&gt;"",VLOOKUP($A439,'GeneratingCapabilityList sorted'!$E$9:$O$801,8,FALSE),"NoneListed")</f>
        <v>NATURAL GAS</v>
      </c>
      <c r="W439" s="454">
        <f>IF($AB439,$AB439,IF($AA439,$AA439,Scenarios!$B$43))</f>
        <v>31168</v>
      </c>
      <c r="X439" s="454"/>
      <c r="Y439" s="454"/>
      <c r="Z439" s="454"/>
      <c r="AA439" s="454">
        <f>IFERROR(VLOOKUP($A439,'GeneratingCapabilityList sorted'!$E$9:$O$801,11,FALSE),Scenarios!$B$43)</f>
        <v>31168</v>
      </c>
      <c r="AB439" s="453"/>
      <c r="AC439" s="453"/>
    </row>
    <row r="440" spans="1:29" x14ac:dyDescent="0.25">
      <c r="A440" s="65" t="s">
        <v>1240</v>
      </c>
      <c r="B440" s="65" t="s">
        <v>3816</v>
      </c>
      <c r="C440" s="73" t="s">
        <v>3477</v>
      </c>
      <c r="D440" s="73" t="s">
        <v>3388</v>
      </c>
      <c r="E440" s="67">
        <v>77.25</v>
      </c>
      <c r="F440" s="68">
        <v>0</v>
      </c>
      <c r="G440" s="68">
        <v>0</v>
      </c>
      <c r="H440" s="68">
        <v>0</v>
      </c>
      <c r="I440" s="68">
        <v>0</v>
      </c>
      <c r="J440" s="68">
        <v>0</v>
      </c>
      <c r="K440" s="68">
        <v>0</v>
      </c>
      <c r="L440" s="68">
        <v>0</v>
      </c>
      <c r="M440" s="68">
        <v>0</v>
      </c>
      <c r="N440" s="68">
        <v>0</v>
      </c>
      <c r="O440" s="68">
        <v>0</v>
      </c>
      <c r="P440" s="68">
        <v>0</v>
      </c>
      <c r="Q440" s="68">
        <v>0</v>
      </c>
      <c r="R440" s="69" t="s">
        <v>3470</v>
      </c>
      <c r="S440" s="69" t="s">
        <v>3471</v>
      </c>
      <c r="T440" s="70" t="s">
        <v>3472</v>
      </c>
      <c r="U440" s="452"/>
      <c r="V440" s="453" t="str">
        <f>IF(VLOOKUP($A440,'GeneratingCapabilityList sorted'!$E$9:$O$801,8,FALSE)&lt;&gt;"",VLOOKUP($A440,'GeneratingCapabilityList sorted'!$E$9:$O$801,8,FALSE),"NoneListed")</f>
        <v>NATURAL GAS</v>
      </c>
      <c r="W440" s="454">
        <f>IF($AB440,$AB440,IF($AA440,$AA440,Scenarios!$B$43))</f>
        <v>31168</v>
      </c>
      <c r="X440" s="454"/>
      <c r="Y440" s="454"/>
      <c r="Z440" s="454"/>
      <c r="AA440" s="454">
        <f>IFERROR(VLOOKUP($A440,'GeneratingCapabilityList sorted'!$E$9:$O$801,11,FALSE),Scenarios!$B$43)</f>
        <v>31168</v>
      </c>
      <c r="AB440" s="453"/>
      <c r="AC440" s="453"/>
    </row>
    <row r="441" spans="1:29" x14ac:dyDescent="0.25">
      <c r="A441" s="65" t="s">
        <v>1242</v>
      </c>
      <c r="B441" s="65" t="s">
        <v>3817</v>
      </c>
      <c r="C441" s="73" t="s">
        <v>3477</v>
      </c>
      <c r="D441" s="73" t="s">
        <v>3388</v>
      </c>
      <c r="E441" s="67">
        <v>77.25</v>
      </c>
      <c r="F441" s="68">
        <v>0</v>
      </c>
      <c r="G441" s="68">
        <v>0</v>
      </c>
      <c r="H441" s="68">
        <v>0</v>
      </c>
      <c r="I441" s="68">
        <v>0</v>
      </c>
      <c r="J441" s="68">
        <v>0</v>
      </c>
      <c r="K441" s="68">
        <v>0</v>
      </c>
      <c r="L441" s="68">
        <v>0</v>
      </c>
      <c r="M441" s="68">
        <v>0</v>
      </c>
      <c r="N441" s="68">
        <v>0</v>
      </c>
      <c r="O441" s="68">
        <v>0</v>
      </c>
      <c r="P441" s="68">
        <v>0</v>
      </c>
      <c r="Q441" s="68">
        <v>0</v>
      </c>
      <c r="R441" s="69" t="s">
        <v>3470</v>
      </c>
      <c r="S441" s="69" t="s">
        <v>3471</v>
      </c>
      <c r="T441" s="70" t="s">
        <v>3472</v>
      </c>
      <c r="U441" s="452"/>
      <c r="V441" s="453" t="str">
        <f>IF(VLOOKUP($A441,'GeneratingCapabilityList sorted'!$E$9:$O$801,8,FALSE)&lt;&gt;"",VLOOKUP($A441,'GeneratingCapabilityList sorted'!$E$9:$O$801,8,FALSE),"NoneListed")</f>
        <v>NATURAL GAS</v>
      </c>
      <c r="W441" s="454">
        <f>IF($AB441,$AB441,IF($AA441,$AA441,Scenarios!$B$43))</f>
        <v>31168</v>
      </c>
      <c r="X441" s="454"/>
      <c r="Y441" s="454"/>
      <c r="Z441" s="454"/>
      <c r="AA441" s="454">
        <f>IFERROR(VLOOKUP($A441,'GeneratingCapabilityList sorted'!$E$9:$O$801,11,FALSE),Scenarios!$B$43)</f>
        <v>31168</v>
      </c>
      <c r="AB441" s="453"/>
      <c r="AC441" s="453"/>
    </row>
    <row r="442" spans="1:29" x14ac:dyDescent="0.25">
      <c r="A442" s="65" t="s">
        <v>668</v>
      </c>
      <c r="B442" s="65" t="s">
        <v>3818</v>
      </c>
      <c r="C442" s="66" t="s">
        <v>3477</v>
      </c>
      <c r="D442" s="66" t="s">
        <v>3388</v>
      </c>
      <c r="E442" s="67">
        <v>741.27</v>
      </c>
      <c r="F442" s="68">
        <v>0</v>
      </c>
      <c r="G442" s="68">
        <v>0</v>
      </c>
      <c r="H442" s="68">
        <v>0</v>
      </c>
      <c r="I442" s="68">
        <v>0</v>
      </c>
      <c r="J442" s="68">
        <v>0</v>
      </c>
      <c r="K442" s="68">
        <v>0</v>
      </c>
      <c r="L442" s="68">
        <v>0</v>
      </c>
      <c r="M442" s="68">
        <v>0</v>
      </c>
      <c r="N442" s="68">
        <v>0</v>
      </c>
      <c r="O442" s="68">
        <v>0</v>
      </c>
      <c r="P442" s="68">
        <v>0</v>
      </c>
      <c r="Q442" s="68">
        <v>0</v>
      </c>
      <c r="R442" s="69" t="s">
        <v>3470</v>
      </c>
      <c r="S442" s="69" t="s">
        <v>3471</v>
      </c>
      <c r="T442" s="70" t="s">
        <v>3472</v>
      </c>
      <c r="U442" s="452" t="s">
        <v>29</v>
      </c>
      <c r="V442" s="453" t="str">
        <f>IF(VLOOKUP($A442,'GeneratingCapabilityList sorted'!$E$9:$O$801,8,FALSE)&lt;&gt;"",VLOOKUP($A442,'GeneratingCapabilityList sorted'!$E$9:$O$801,8,FALSE),"NoneListed")</f>
        <v>NATURAL GAS</v>
      </c>
      <c r="W442" s="454">
        <f>IF($AB442,$AB442,IF($AA442,$AA442,Scenarios!$B$43))</f>
        <v>25934</v>
      </c>
      <c r="X442" s="454">
        <f>OTC!G36</f>
        <v>44196</v>
      </c>
      <c r="Y442" s="454">
        <f>OTC!H36</f>
        <v>44196</v>
      </c>
      <c r="Z442" s="454"/>
      <c r="AA442" s="454">
        <f>IFERROR(VLOOKUP($A442,'GeneratingCapabilityList sorted'!$E$9:$O$801,11,FALSE),Scenarios!$B$43)</f>
        <v>25934</v>
      </c>
      <c r="AB442" s="453"/>
      <c r="AC442" s="453"/>
    </row>
    <row r="443" spans="1:29" x14ac:dyDescent="0.25">
      <c r="A443" s="65" t="s">
        <v>671</v>
      </c>
      <c r="B443" s="65" t="s">
        <v>3819</v>
      </c>
      <c r="C443" s="66" t="s">
        <v>3477</v>
      </c>
      <c r="D443" s="66" t="s">
        <v>3388</v>
      </c>
      <c r="E443" s="67">
        <v>775</v>
      </c>
      <c r="F443" s="68">
        <v>0</v>
      </c>
      <c r="G443" s="68">
        <v>0</v>
      </c>
      <c r="H443" s="68">
        <v>0</v>
      </c>
      <c r="I443" s="68">
        <v>0</v>
      </c>
      <c r="J443" s="68">
        <v>0</v>
      </c>
      <c r="K443" s="68">
        <v>0</v>
      </c>
      <c r="L443" s="68">
        <v>0</v>
      </c>
      <c r="M443" s="68">
        <v>0</v>
      </c>
      <c r="N443" s="68">
        <v>0</v>
      </c>
      <c r="O443" s="68">
        <v>0</v>
      </c>
      <c r="P443" s="68">
        <v>0</v>
      </c>
      <c r="Q443" s="68">
        <v>0</v>
      </c>
      <c r="R443" s="69" t="s">
        <v>3470</v>
      </c>
      <c r="S443" s="69" t="s">
        <v>3471</v>
      </c>
      <c r="T443" s="70" t="s">
        <v>3472</v>
      </c>
      <c r="U443" s="452" t="s">
        <v>29</v>
      </c>
      <c r="V443" s="453" t="str">
        <f>IF(VLOOKUP($A443,'GeneratingCapabilityList sorted'!$E$9:$O$801,8,FALSE)&lt;&gt;"",VLOOKUP($A443,'GeneratingCapabilityList sorted'!$E$9:$O$801,8,FALSE),"NoneListed")</f>
        <v>NATURAL GAS</v>
      </c>
      <c r="W443" s="454">
        <f>IF($AB443,$AB443,IF($AA443,$AA443,Scenarios!$B$43))</f>
        <v>25934</v>
      </c>
      <c r="X443" s="454">
        <f>OTC!G37</f>
        <v>44196</v>
      </c>
      <c r="Y443" s="454">
        <f>OTC!H37</f>
        <v>44196</v>
      </c>
      <c r="Z443" s="454"/>
      <c r="AA443" s="454">
        <f>IFERROR(VLOOKUP($A443,'GeneratingCapabilityList sorted'!$E$9:$O$801,11,FALSE),Scenarios!$B$43)</f>
        <v>25934</v>
      </c>
      <c r="AB443" s="453"/>
      <c r="AC443" s="453"/>
    </row>
    <row r="444" spans="1:29" x14ac:dyDescent="0.25">
      <c r="A444" s="65" t="s">
        <v>1940</v>
      </c>
      <c r="B444" s="65" t="s">
        <v>1941</v>
      </c>
      <c r="C444" s="66" t="s">
        <v>3468</v>
      </c>
      <c r="D444" s="66" t="s">
        <v>3510</v>
      </c>
      <c r="E444" s="67">
        <v>0</v>
      </c>
      <c r="F444" s="68">
        <v>0</v>
      </c>
      <c r="G444" s="68">
        <v>0</v>
      </c>
      <c r="H444" s="68">
        <v>0</v>
      </c>
      <c r="I444" s="68">
        <v>2.62</v>
      </c>
      <c r="J444" s="68">
        <v>3.45</v>
      </c>
      <c r="K444" s="68">
        <v>4.9000000000000004</v>
      </c>
      <c r="L444" s="68">
        <v>5.0599999999999996</v>
      </c>
      <c r="M444" s="68">
        <v>4.6100000000000003</v>
      </c>
      <c r="N444" s="68">
        <v>3.61</v>
      </c>
      <c r="O444" s="68">
        <v>3.57</v>
      </c>
      <c r="P444" s="68">
        <v>1.1000000000000001</v>
      </c>
      <c r="Q444" s="68">
        <v>0</v>
      </c>
      <c r="R444" s="69" t="s">
        <v>3470</v>
      </c>
      <c r="S444" s="69" t="s">
        <v>3489</v>
      </c>
      <c r="T444" s="70" t="s">
        <v>3497</v>
      </c>
      <c r="U444" s="452"/>
      <c r="V444" s="453" t="str">
        <f>IF(VLOOKUP($A444,'GeneratingCapabilityList sorted'!$E$9:$O$801,8,FALSE)&lt;&gt;"",VLOOKUP($A444,'GeneratingCapabilityList sorted'!$E$9:$O$801,8,FALSE),"NoneListed")</f>
        <v>NATURAL GAS</v>
      </c>
      <c r="W444" s="454">
        <f>IF($AB444,$AB444,IF($AA444,$AA444,Scenarios!$B$43))</f>
        <v>32860</v>
      </c>
      <c r="X444" s="454"/>
      <c r="Y444" s="454"/>
      <c r="Z444" s="454"/>
      <c r="AA444" s="454">
        <f>IFERROR(VLOOKUP($A444,'GeneratingCapabilityList sorted'!$E$9:$O$801,11,FALSE),Scenarios!$B$43)</f>
        <v>32860</v>
      </c>
      <c r="AB444" s="453"/>
      <c r="AC444" s="453"/>
    </row>
    <row r="445" spans="1:29" x14ac:dyDescent="0.25">
      <c r="A445" s="72" t="s">
        <v>3820</v>
      </c>
      <c r="B445" s="72" t="s">
        <v>3820</v>
      </c>
      <c r="C445" s="73" t="s">
        <v>3477</v>
      </c>
      <c r="D445" s="73" t="s">
        <v>3388</v>
      </c>
      <c r="E445" s="74">
        <v>0</v>
      </c>
      <c r="F445" s="75">
        <v>19</v>
      </c>
      <c r="G445" s="75">
        <v>19</v>
      </c>
      <c r="H445" s="75">
        <v>19</v>
      </c>
      <c r="I445" s="75">
        <v>19</v>
      </c>
      <c r="J445" s="75">
        <v>19</v>
      </c>
      <c r="K445" s="75">
        <v>19</v>
      </c>
      <c r="L445" s="75">
        <v>19</v>
      </c>
      <c r="M445" s="75">
        <v>19</v>
      </c>
      <c r="N445" s="75">
        <v>19</v>
      </c>
      <c r="O445" s="75">
        <v>19</v>
      </c>
      <c r="P445" s="75">
        <v>19</v>
      </c>
      <c r="Q445" s="75">
        <v>19</v>
      </c>
      <c r="R445" s="69" t="s">
        <v>3470</v>
      </c>
      <c r="S445" s="76" t="s">
        <v>560</v>
      </c>
      <c r="T445" s="70" t="s">
        <v>3502</v>
      </c>
      <c r="U445" s="452"/>
      <c r="V445" s="453" t="e">
        <f>IF(VLOOKUP($A445,'GeneratingCapabilityList sorted'!$E$9:$O$801,8,FALSE)&lt;&gt;"",VLOOKUP($A445,'GeneratingCapabilityList sorted'!$E$9:$O$801,8,FALSE),"NoneListed")</f>
        <v>#N/A</v>
      </c>
      <c r="W445" s="454">
        <f>IF($AB445,$AB445,IF($AA445,$AA445,Scenarios!$B$43))</f>
        <v>29221</v>
      </c>
      <c r="X445" s="454"/>
      <c r="Y445" s="454"/>
      <c r="Z445" s="454"/>
      <c r="AA445" s="454">
        <f>IFERROR(VLOOKUP($A445,'GeneratingCapabilityList sorted'!$E$9:$O$801,11,FALSE),Scenarios!$B$43)</f>
        <v>29221</v>
      </c>
      <c r="AB445" s="453"/>
      <c r="AC445" s="453"/>
    </row>
    <row r="446" spans="1:29" x14ac:dyDescent="0.25">
      <c r="A446" s="65" t="s">
        <v>2865</v>
      </c>
      <c r="B446" s="65" t="s">
        <v>2866</v>
      </c>
      <c r="C446" s="66" t="s">
        <v>3477</v>
      </c>
      <c r="D446" s="66" t="s">
        <v>3385</v>
      </c>
      <c r="E446" s="67">
        <v>35.5</v>
      </c>
      <c r="F446" s="68">
        <v>0</v>
      </c>
      <c r="G446" s="68">
        <v>0</v>
      </c>
      <c r="H446" s="68">
        <v>0</v>
      </c>
      <c r="I446" s="68">
        <v>0</v>
      </c>
      <c r="J446" s="68">
        <v>0</v>
      </c>
      <c r="K446" s="68">
        <v>0</v>
      </c>
      <c r="L446" s="68">
        <v>0</v>
      </c>
      <c r="M446" s="68">
        <v>0</v>
      </c>
      <c r="N446" s="68">
        <v>0</v>
      </c>
      <c r="O446" s="68">
        <v>0</v>
      </c>
      <c r="P446" s="68">
        <v>0</v>
      </c>
      <c r="Q446" s="68">
        <v>0</v>
      </c>
      <c r="R446" s="69" t="s">
        <v>3470</v>
      </c>
      <c r="S446" s="69" t="s">
        <v>3471</v>
      </c>
      <c r="T446" s="70" t="s">
        <v>3472</v>
      </c>
      <c r="U446" s="452"/>
      <c r="V446" s="453" t="str">
        <f>IF(VLOOKUP($A446,'GeneratingCapabilityList sorted'!$E$9:$O$801,8,FALSE)&lt;&gt;"",VLOOKUP($A446,'GeneratingCapabilityList sorted'!$E$9:$O$801,8,FALSE),"NoneListed")</f>
        <v>NATURAL GAS</v>
      </c>
      <c r="W446" s="454">
        <f>IF($AB446,$AB446,IF($AA446,$AA446,Scenarios!$B$43))</f>
        <v>38876</v>
      </c>
      <c r="X446" s="454"/>
      <c r="Y446" s="454"/>
      <c r="Z446" s="454"/>
      <c r="AA446" s="454">
        <f>IFERROR(VLOOKUP($A446,'GeneratingCapabilityList sorted'!$E$9:$O$801,11,FALSE),Scenarios!$B$43)</f>
        <v>38876</v>
      </c>
      <c r="AB446" s="453"/>
      <c r="AC446" s="453"/>
    </row>
    <row r="447" spans="1:29" x14ac:dyDescent="0.25">
      <c r="A447" s="65" t="s">
        <v>1531</v>
      </c>
      <c r="B447" s="65" t="s">
        <v>3821</v>
      </c>
      <c r="C447" s="66" t="s">
        <v>3477</v>
      </c>
      <c r="D447" s="66" t="s">
        <v>3385</v>
      </c>
      <c r="E447" s="67">
        <v>0</v>
      </c>
      <c r="F447" s="68">
        <v>1.7</v>
      </c>
      <c r="G447" s="68">
        <v>2.76</v>
      </c>
      <c r="H447" s="68">
        <v>2.85</v>
      </c>
      <c r="I447" s="68">
        <v>2.81</v>
      </c>
      <c r="J447" s="68">
        <v>2.7</v>
      </c>
      <c r="K447" s="68">
        <v>2.4700000000000002</v>
      </c>
      <c r="L447" s="68">
        <v>2.63</v>
      </c>
      <c r="M447" s="68">
        <v>2.8</v>
      </c>
      <c r="N447" s="68">
        <v>2.54</v>
      </c>
      <c r="O447" s="68">
        <v>2.56</v>
      </c>
      <c r="P447" s="68">
        <v>2.72</v>
      </c>
      <c r="Q447" s="68">
        <v>2.83</v>
      </c>
      <c r="R447" s="69" t="s">
        <v>3470</v>
      </c>
      <c r="S447" s="69" t="s">
        <v>3489</v>
      </c>
      <c r="T447" s="70" t="s">
        <v>3497</v>
      </c>
      <c r="U447" s="452"/>
      <c r="V447" s="453" t="str">
        <f>IF(VLOOKUP($A447,'GeneratingCapabilityList sorted'!$E$9:$O$801,8,FALSE)&lt;&gt;"",VLOOKUP($A447,'GeneratingCapabilityList sorted'!$E$9:$O$801,8,FALSE),"NoneListed")</f>
        <v>LANDFILL GAS</v>
      </c>
      <c r="W447" s="454">
        <f>IF($AB447,$AB447,IF($AA447,$AA447,Scenarios!$B$43))</f>
        <v>31778</v>
      </c>
      <c r="X447" s="454"/>
      <c r="Y447" s="454"/>
      <c r="Z447" s="454"/>
      <c r="AA447" s="454">
        <f>IFERROR(VLOOKUP($A447,'GeneratingCapabilityList sorted'!$E$9:$O$801,11,FALSE),Scenarios!$B$43)</f>
        <v>31778</v>
      </c>
      <c r="AB447" s="453"/>
      <c r="AC447" s="453"/>
    </row>
    <row r="448" spans="1:29" x14ac:dyDescent="0.25">
      <c r="A448" s="65" t="s">
        <v>2877</v>
      </c>
      <c r="B448" s="65" t="s">
        <v>2878</v>
      </c>
      <c r="C448" s="66" t="s">
        <v>3477</v>
      </c>
      <c r="D448" s="66" t="s">
        <v>3385</v>
      </c>
      <c r="E448" s="67">
        <v>0</v>
      </c>
      <c r="F448" s="68">
        <v>2.63</v>
      </c>
      <c r="G448" s="68">
        <v>1.82</v>
      </c>
      <c r="H448" s="68">
        <v>2.84</v>
      </c>
      <c r="I448" s="68">
        <v>2.92</v>
      </c>
      <c r="J448" s="68">
        <v>2.92</v>
      </c>
      <c r="K448" s="68">
        <v>2.68</v>
      </c>
      <c r="L448" s="68">
        <v>2.42</v>
      </c>
      <c r="M448" s="68">
        <v>2.65</v>
      </c>
      <c r="N448" s="68">
        <v>2.8</v>
      </c>
      <c r="O448" s="68">
        <v>2.85</v>
      </c>
      <c r="P448" s="68">
        <v>2.8</v>
      </c>
      <c r="Q448" s="68">
        <v>2.86</v>
      </c>
      <c r="R448" s="69" t="s">
        <v>3470</v>
      </c>
      <c r="S448" s="69" t="s">
        <v>3489</v>
      </c>
      <c r="T448" s="70" t="s">
        <v>3497</v>
      </c>
      <c r="U448" s="452"/>
      <c r="V448" s="453" t="str">
        <f>IF(VLOOKUP($A448,'GeneratingCapabilityList sorted'!$E$9:$O$801,8,FALSE)&lt;&gt;"",VLOOKUP($A448,'GeneratingCapabilityList sorted'!$E$9:$O$801,8,FALSE),"NoneListed")</f>
        <v>LANDFILL GAS</v>
      </c>
      <c r="W448" s="454">
        <f>IF($AB448,$AB448,IF($AA448,$AA448,Scenarios!$B$43))</f>
        <v>39149</v>
      </c>
      <c r="X448" s="454"/>
      <c r="Y448" s="454"/>
      <c r="Z448" s="454"/>
      <c r="AA448" s="454">
        <f>IFERROR(VLOOKUP($A448,'GeneratingCapabilityList sorted'!$E$9:$O$801,11,FALSE),Scenarios!$B$43)</f>
        <v>39149</v>
      </c>
      <c r="AB448" s="453"/>
      <c r="AC448" s="453"/>
    </row>
    <row r="449" spans="1:29" x14ac:dyDescent="0.25">
      <c r="A449" s="65" t="s">
        <v>2956</v>
      </c>
      <c r="B449" s="65" t="s">
        <v>3822</v>
      </c>
      <c r="C449" s="66" t="s">
        <v>3477</v>
      </c>
      <c r="D449" s="66" t="s">
        <v>3385</v>
      </c>
      <c r="E449" s="67">
        <v>603.6</v>
      </c>
      <c r="F449" s="68">
        <v>0</v>
      </c>
      <c r="G449" s="68">
        <v>0</v>
      </c>
      <c r="H449" s="68">
        <v>0</v>
      </c>
      <c r="I449" s="68">
        <v>0</v>
      </c>
      <c r="J449" s="68">
        <v>0</v>
      </c>
      <c r="K449" s="68">
        <v>0</v>
      </c>
      <c r="L449" s="68">
        <v>0</v>
      </c>
      <c r="M449" s="68">
        <v>0</v>
      </c>
      <c r="N449" s="68">
        <v>0</v>
      </c>
      <c r="O449" s="68">
        <v>0</v>
      </c>
      <c r="P449" s="68">
        <v>0</v>
      </c>
      <c r="Q449" s="68">
        <v>0</v>
      </c>
      <c r="R449" s="69" t="s">
        <v>3470</v>
      </c>
      <c r="S449" s="69" t="s">
        <v>3471</v>
      </c>
      <c r="T449" s="70" t="s">
        <v>3472</v>
      </c>
      <c r="U449" s="452"/>
      <c r="V449" s="453" t="str">
        <f>IF(VLOOKUP($A449,'GeneratingCapabilityList sorted'!$E$9:$O$801,8,FALSE)&lt;&gt;"",VLOOKUP($A449,'GeneratingCapabilityList sorted'!$E$9:$O$801,8,FALSE),"NoneListed")</f>
        <v>NATURAL GAS</v>
      </c>
      <c r="W449" s="454">
        <f>IF($AB449,$AB449,IF($AA449,$AA449,Scenarios!$B$43))</f>
        <v>40089</v>
      </c>
      <c r="X449" s="454"/>
      <c r="Y449" s="454"/>
      <c r="Z449" s="454"/>
      <c r="AA449" s="454">
        <f>IFERROR(VLOOKUP($A449,'GeneratingCapabilityList sorted'!$E$9:$O$801,11,FALSE),Scenarios!$B$43)</f>
        <v>40089</v>
      </c>
      <c r="AB449" s="453"/>
      <c r="AC449" s="453"/>
    </row>
    <row r="450" spans="1:29" x14ac:dyDescent="0.25">
      <c r="A450" s="65" t="s">
        <v>543</v>
      </c>
      <c r="B450" s="65" t="s">
        <v>3823</v>
      </c>
      <c r="C450" s="66" t="s">
        <v>3468</v>
      </c>
      <c r="D450" s="66" t="s">
        <v>3510</v>
      </c>
      <c r="E450" s="67">
        <v>0</v>
      </c>
      <c r="F450" s="68">
        <v>6</v>
      </c>
      <c r="G450" s="68">
        <v>6</v>
      </c>
      <c r="H450" s="68">
        <v>6</v>
      </c>
      <c r="I450" s="68">
        <v>6</v>
      </c>
      <c r="J450" s="68">
        <v>6</v>
      </c>
      <c r="K450" s="68">
        <v>6</v>
      </c>
      <c r="L450" s="68">
        <v>6</v>
      </c>
      <c r="M450" s="68">
        <v>6</v>
      </c>
      <c r="N450" s="68">
        <v>6</v>
      </c>
      <c r="O450" s="68">
        <v>6</v>
      </c>
      <c r="P450" s="68">
        <v>6</v>
      </c>
      <c r="Q450" s="68">
        <v>6</v>
      </c>
      <c r="R450" s="69" t="s">
        <v>3470</v>
      </c>
      <c r="S450" s="69" t="s">
        <v>3489</v>
      </c>
      <c r="T450" s="70" t="s">
        <v>3484</v>
      </c>
      <c r="U450" s="452"/>
      <c r="V450" s="453" t="str">
        <f>IF(VLOOKUP($A450,'GeneratingCapabilityList sorted'!$E$9:$O$801,8,FALSE)&lt;&gt;"",VLOOKUP($A450,'GeneratingCapabilityList sorted'!$E$9:$O$801,8,FALSE),"NoneListed")</f>
        <v>WATER</v>
      </c>
      <c r="W450" s="454">
        <f>IF($AB450,$AB450,IF($AA450,$AA450,Scenarios!$B$43))</f>
        <v>24108</v>
      </c>
      <c r="X450" s="454"/>
      <c r="Y450" s="454"/>
      <c r="Z450" s="454"/>
      <c r="AA450" s="454">
        <f>IFERROR(VLOOKUP($A450,'GeneratingCapabilityList sorted'!$E$9:$O$801,11,FALSE),Scenarios!$B$43)</f>
        <v>24108</v>
      </c>
      <c r="AB450" s="453"/>
      <c r="AC450" s="453"/>
    </row>
    <row r="451" spans="1:29" x14ac:dyDescent="0.25">
      <c r="A451" s="65" t="s">
        <v>2927</v>
      </c>
      <c r="B451" s="65" t="s">
        <v>3824</v>
      </c>
      <c r="C451" s="66" t="s">
        <v>3468</v>
      </c>
      <c r="D451" s="66" t="s">
        <v>3382</v>
      </c>
      <c r="E451" s="67">
        <v>10.14</v>
      </c>
      <c r="F451" s="68">
        <v>0</v>
      </c>
      <c r="G451" s="68">
        <v>0</v>
      </c>
      <c r="H451" s="68">
        <v>0</v>
      </c>
      <c r="I451" s="68">
        <v>0</v>
      </c>
      <c r="J451" s="68">
        <v>0</v>
      </c>
      <c r="K451" s="68">
        <v>0</v>
      </c>
      <c r="L451" s="68">
        <v>0</v>
      </c>
      <c r="M451" s="68">
        <v>0</v>
      </c>
      <c r="N451" s="68">
        <v>0</v>
      </c>
      <c r="O451" s="68">
        <v>0</v>
      </c>
      <c r="P451" s="68">
        <v>0</v>
      </c>
      <c r="Q451" s="68">
        <v>0</v>
      </c>
      <c r="R451" s="69" t="s">
        <v>3470</v>
      </c>
      <c r="S451" s="69" t="s">
        <v>879</v>
      </c>
      <c r="T451" s="70" t="s">
        <v>3497</v>
      </c>
      <c r="U451" s="452"/>
      <c r="V451" s="453" t="str">
        <f>IF(VLOOKUP($A451,'GeneratingCapabilityList sorted'!$E$9:$O$801,8,FALSE)&lt;&gt;"",VLOOKUP($A451,'GeneratingCapabilityList sorted'!$E$9:$O$801,8,FALSE),"NoneListed")</f>
        <v>LANDFILL GAS</v>
      </c>
      <c r="W451" s="454">
        <f>IF($AB451,$AB451,IF($AA451,$AA451,Scenarios!$B$43))</f>
        <v>39904</v>
      </c>
      <c r="X451" s="454"/>
      <c r="Y451" s="454"/>
      <c r="Z451" s="454"/>
      <c r="AA451" s="454">
        <f>IFERROR(VLOOKUP($A451,'GeneratingCapabilityList sorted'!$E$9:$O$801,11,FALSE),Scenarios!$B$43)</f>
        <v>39904</v>
      </c>
      <c r="AB451" s="453"/>
      <c r="AC451" s="453"/>
    </row>
    <row r="452" spans="1:29" x14ac:dyDescent="0.25">
      <c r="A452" s="65" t="s">
        <v>1397</v>
      </c>
      <c r="B452" s="65" t="s">
        <v>3825</v>
      </c>
      <c r="C452" s="66" t="s">
        <v>3468</v>
      </c>
      <c r="D452" s="66" t="s">
        <v>3520</v>
      </c>
      <c r="E452" s="67">
        <v>0</v>
      </c>
      <c r="F452" s="68">
        <v>8.9499999999999993</v>
      </c>
      <c r="G452" s="68">
        <v>11.73</v>
      </c>
      <c r="H452" s="68">
        <v>4.0999999999999996</v>
      </c>
      <c r="I452" s="68">
        <v>6.34</v>
      </c>
      <c r="J452" s="68">
        <v>6.86</v>
      </c>
      <c r="K452" s="68">
        <v>18.04</v>
      </c>
      <c r="L452" s="68">
        <v>19.47</v>
      </c>
      <c r="M452" s="68">
        <v>19.420000000000002</v>
      </c>
      <c r="N452" s="68">
        <v>20.65</v>
      </c>
      <c r="O452" s="68">
        <v>14.08</v>
      </c>
      <c r="P452" s="68">
        <v>13.79</v>
      </c>
      <c r="Q452" s="68">
        <v>6.53</v>
      </c>
      <c r="R452" s="69" t="s">
        <v>3470</v>
      </c>
      <c r="S452" s="69" t="s">
        <v>3489</v>
      </c>
      <c r="T452" s="70" t="s">
        <v>3497</v>
      </c>
      <c r="U452" s="452"/>
      <c r="V452" s="453" t="str">
        <f>IF(VLOOKUP($A452,'GeneratingCapabilityList sorted'!$E$9:$O$801,8,FALSE)&lt;&gt;"",VLOOKUP($A452,'GeneratingCapabilityList sorted'!$E$9:$O$801,8,FALSE),"NoneListed")</f>
        <v>WOOD WASTE</v>
      </c>
      <c r="W452" s="454">
        <f>IF($AB452,$AB452,IF($AA452,$AA452,Scenarios!$B$43))</f>
        <v>31493</v>
      </c>
      <c r="X452" s="454"/>
      <c r="Y452" s="454"/>
      <c r="Z452" s="454"/>
      <c r="AA452" s="454">
        <f>IFERROR(VLOOKUP($A452,'GeneratingCapabilityList sorted'!$E$9:$O$801,11,FALSE),Scenarios!$B$43)</f>
        <v>31493</v>
      </c>
      <c r="AB452" s="453"/>
      <c r="AC452" s="453"/>
    </row>
    <row r="453" spans="1:29" x14ac:dyDescent="0.25">
      <c r="A453" s="65" t="s">
        <v>2235</v>
      </c>
      <c r="B453" s="65" t="s">
        <v>2236</v>
      </c>
      <c r="C453" s="66" t="s">
        <v>3468</v>
      </c>
      <c r="D453" s="66" t="s">
        <v>3510</v>
      </c>
      <c r="E453" s="67">
        <v>0</v>
      </c>
      <c r="F453" s="68">
        <v>12.86</v>
      </c>
      <c r="G453" s="68">
        <v>10.7</v>
      </c>
      <c r="H453" s="68">
        <v>9.09</v>
      </c>
      <c r="I453" s="68">
        <v>6.93</v>
      </c>
      <c r="J453" s="68">
        <v>7.96</v>
      </c>
      <c r="K453" s="68">
        <v>14.68</v>
      </c>
      <c r="L453" s="68">
        <v>14.85</v>
      </c>
      <c r="M453" s="68">
        <v>15.13</v>
      </c>
      <c r="N453" s="68">
        <v>16.12</v>
      </c>
      <c r="O453" s="68">
        <v>12.6</v>
      </c>
      <c r="P453" s="68">
        <v>12.47</v>
      </c>
      <c r="Q453" s="68">
        <v>15.44</v>
      </c>
      <c r="R453" s="69" t="s">
        <v>3470</v>
      </c>
      <c r="S453" s="69" t="s">
        <v>3489</v>
      </c>
      <c r="T453" s="70" t="s">
        <v>3497</v>
      </c>
      <c r="U453" s="452"/>
      <c r="V453" s="453" t="str">
        <f>IF(VLOOKUP($A453,'GeneratingCapabilityList sorted'!$E$9:$O$801,8,FALSE)&lt;&gt;"",VLOOKUP($A453,'GeneratingCapabilityList sorted'!$E$9:$O$801,8,FALSE),"NoneListed")</f>
        <v>WOOD WASTE</v>
      </c>
      <c r="W453" s="454">
        <f>IF($AB453,$AB453,IF($AA453,$AA453,Scenarios!$B$43))</f>
        <v>34968</v>
      </c>
      <c r="X453" s="454"/>
      <c r="Y453" s="454"/>
      <c r="Z453" s="454"/>
      <c r="AA453" s="454">
        <f>IFERROR(VLOOKUP($A453,'GeneratingCapabilityList sorted'!$E$9:$O$801,11,FALSE),Scenarios!$B$43)</f>
        <v>34968</v>
      </c>
      <c r="AB453" s="453"/>
      <c r="AC453" s="453"/>
    </row>
    <row r="454" spans="1:29" x14ac:dyDescent="0.25">
      <c r="A454" s="65" t="s">
        <v>55</v>
      </c>
      <c r="B454" s="65" t="s">
        <v>3826</v>
      </c>
      <c r="C454" s="66" t="s">
        <v>3477</v>
      </c>
      <c r="D454" s="66" t="s">
        <v>3387</v>
      </c>
      <c r="E454" s="67">
        <v>0</v>
      </c>
      <c r="F454" s="68">
        <v>0.68</v>
      </c>
      <c r="G454" s="68">
        <v>1.22</v>
      </c>
      <c r="H454" s="68">
        <v>1.0900000000000001</v>
      </c>
      <c r="I454" s="68">
        <v>1.59</v>
      </c>
      <c r="J454" s="68">
        <v>1.6</v>
      </c>
      <c r="K454" s="68">
        <v>1.42</v>
      </c>
      <c r="L454" s="68">
        <v>1.1100000000000001</v>
      </c>
      <c r="M454" s="68">
        <v>0.91</v>
      </c>
      <c r="N454" s="68">
        <v>0.64</v>
      </c>
      <c r="O454" s="68">
        <v>0.64</v>
      </c>
      <c r="P454" s="68">
        <v>0.48</v>
      </c>
      <c r="Q454" s="68">
        <v>0.54</v>
      </c>
      <c r="R454" s="69" t="s">
        <v>3470</v>
      </c>
      <c r="S454" s="69" t="s">
        <v>3489</v>
      </c>
      <c r="T454" s="70" t="s">
        <v>3512</v>
      </c>
      <c r="U454" s="452"/>
      <c r="V454" s="453" t="str">
        <f>IF(VLOOKUP($A454,'GeneratingCapabilityList sorted'!$E$9:$O$801,8,FALSE)&lt;&gt;"",VLOOKUP($A454,'GeneratingCapabilityList sorted'!$E$9:$O$801,8,FALSE),"NoneListed")</f>
        <v>WATER</v>
      </c>
      <c r="W454" s="454">
        <f>IF($AB454,$AB454,IF($AA454,$AA454,Scenarios!$B$43))</f>
        <v>732</v>
      </c>
      <c r="X454" s="454"/>
      <c r="Y454" s="454"/>
      <c r="Z454" s="454"/>
      <c r="AA454" s="454">
        <f>IFERROR(VLOOKUP($A454,'GeneratingCapabilityList sorted'!$E$9:$O$801,11,FALSE),Scenarios!$B$43)</f>
        <v>732</v>
      </c>
      <c r="AB454" s="453"/>
      <c r="AC454" s="453"/>
    </row>
    <row r="455" spans="1:29" x14ac:dyDescent="0.25">
      <c r="A455" s="72" t="s">
        <v>788</v>
      </c>
      <c r="B455" s="72" t="s">
        <v>3827</v>
      </c>
      <c r="C455" s="73" t="s">
        <v>3477</v>
      </c>
      <c r="D455" s="73" t="s">
        <v>3387</v>
      </c>
      <c r="E455" s="74">
        <v>0</v>
      </c>
      <c r="F455" s="75">
        <v>3.8</v>
      </c>
      <c r="G455" s="75">
        <v>5.2</v>
      </c>
      <c r="H455" s="75">
        <v>5.3</v>
      </c>
      <c r="I455" s="75">
        <v>8.1999999999999993</v>
      </c>
      <c r="J455" s="75">
        <v>9</v>
      </c>
      <c r="K455" s="75">
        <v>7.9</v>
      </c>
      <c r="L455" s="75">
        <v>6.9</v>
      </c>
      <c r="M455" s="75">
        <v>7.7</v>
      </c>
      <c r="N455" s="75">
        <v>8.6999999999999993</v>
      </c>
      <c r="O455" s="75">
        <v>6.9</v>
      </c>
      <c r="P455" s="75">
        <v>7.6</v>
      </c>
      <c r="Q455" s="75">
        <v>5.6</v>
      </c>
      <c r="R455" s="69" t="s">
        <v>3470</v>
      </c>
      <c r="S455" s="76" t="s">
        <v>560</v>
      </c>
      <c r="T455" s="70" t="s">
        <v>3484</v>
      </c>
      <c r="U455" s="452"/>
      <c r="V455" s="453" t="str">
        <f>IF(VLOOKUP($A455,'GeneratingCapabilityList sorted'!$E$9:$O$801,8,FALSE)&lt;&gt;"",VLOOKUP($A455,'GeneratingCapabilityList sorted'!$E$9:$O$801,8,FALSE),"NoneListed")</f>
        <v>WATER</v>
      </c>
      <c r="W455" s="454">
        <f>IF($AB455,$AB455,IF($AA455,$AA455,Scenarios!$B$43))</f>
        <v>29587</v>
      </c>
      <c r="X455" s="454"/>
      <c r="Y455" s="454"/>
      <c r="Z455" s="454"/>
      <c r="AA455" s="454">
        <f>IFERROR(VLOOKUP($A455,'GeneratingCapabilityList sorted'!$E$9:$O$801,11,FALSE),Scenarios!$B$43)</f>
        <v>29587</v>
      </c>
      <c r="AB455" s="453"/>
      <c r="AC455" s="453"/>
    </row>
    <row r="456" spans="1:29" x14ac:dyDescent="0.25">
      <c r="A456" s="65" t="s">
        <v>1045</v>
      </c>
      <c r="B456" s="65" t="s">
        <v>3828</v>
      </c>
      <c r="C456" s="66" t="s">
        <v>3477</v>
      </c>
      <c r="D456" s="66" t="s">
        <v>3387</v>
      </c>
      <c r="E456" s="67">
        <v>0</v>
      </c>
      <c r="F456" s="68">
        <v>0.35</v>
      </c>
      <c r="G456" s="68">
        <v>0.25</v>
      </c>
      <c r="H456" s="68">
        <v>0.6</v>
      </c>
      <c r="I456" s="68">
        <v>0.64</v>
      </c>
      <c r="J456" s="68">
        <v>0.6</v>
      </c>
      <c r="K456" s="68">
        <v>0.55000000000000004</v>
      </c>
      <c r="L456" s="68">
        <v>0.59</v>
      </c>
      <c r="M456" s="68">
        <v>0.74</v>
      </c>
      <c r="N456" s="68">
        <v>0.6</v>
      </c>
      <c r="O456" s="68">
        <v>0.64</v>
      </c>
      <c r="P456" s="68">
        <v>0.6</v>
      </c>
      <c r="Q456" s="68">
        <v>0.48</v>
      </c>
      <c r="R456" s="69" t="s">
        <v>3470</v>
      </c>
      <c r="S456" s="69" t="s">
        <v>3489</v>
      </c>
      <c r="T456" s="70" t="s">
        <v>3497</v>
      </c>
      <c r="U456" s="452"/>
      <c r="V456" s="453" t="str">
        <f>IF(VLOOKUP($A456,'GeneratingCapabilityList sorted'!$E$9:$O$801,8,FALSE)&lt;&gt;"",VLOOKUP($A456,'GeneratingCapabilityList sorted'!$E$9:$O$801,8,FALSE),"NoneListed")</f>
        <v>WATER</v>
      </c>
      <c r="W456" s="454">
        <f>IF($AB456,$AB456,IF($AA456,$AA456,Scenarios!$B$43))</f>
        <v>30682</v>
      </c>
      <c r="X456" s="454"/>
      <c r="Y456" s="454"/>
      <c r="Z456" s="454"/>
      <c r="AA456" s="454">
        <f>IFERROR(VLOOKUP($A456,'GeneratingCapabilityList sorted'!$E$9:$O$801,11,FALSE),Scenarios!$B$43)</f>
        <v>30682</v>
      </c>
      <c r="AB456" s="453"/>
      <c r="AC456" s="453"/>
    </row>
    <row r="457" spans="1:29" x14ac:dyDescent="0.25">
      <c r="A457" s="65" t="s">
        <v>1377</v>
      </c>
      <c r="B457" s="65" t="s">
        <v>3829</v>
      </c>
      <c r="C457" s="66" t="s">
        <v>3477</v>
      </c>
      <c r="D457" s="66" t="s">
        <v>3387</v>
      </c>
      <c r="E457" s="67">
        <v>0</v>
      </c>
      <c r="F457" s="68">
        <v>0</v>
      </c>
      <c r="G457" s="68">
        <v>0</v>
      </c>
      <c r="H457" s="68">
        <v>0</v>
      </c>
      <c r="I457" s="68">
        <v>0</v>
      </c>
      <c r="J457" s="68">
        <v>1.05</v>
      </c>
      <c r="K457" s="68">
        <v>1.05</v>
      </c>
      <c r="L457" s="68">
        <v>1.05</v>
      </c>
      <c r="M457" s="68">
        <v>1.05</v>
      </c>
      <c r="N457" s="68">
        <v>1.05</v>
      </c>
      <c r="O457" s="68">
        <v>0</v>
      </c>
      <c r="P457" s="68">
        <v>0</v>
      </c>
      <c r="Q457" s="68">
        <v>0</v>
      </c>
      <c r="R457" s="69" t="s">
        <v>3470</v>
      </c>
      <c r="S457" s="69" t="s">
        <v>3489</v>
      </c>
      <c r="T457" s="70" t="s">
        <v>3484</v>
      </c>
      <c r="U457" s="452"/>
      <c r="V457" s="453" t="str">
        <f>IF(VLOOKUP($A457,'GeneratingCapabilityList sorted'!$E$9:$O$801,8,FALSE)&lt;&gt;"",VLOOKUP($A457,'GeneratingCapabilityList sorted'!$E$9:$O$801,8,FALSE),"NoneListed")</f>
        <v>WATER</v>
      </c>
      <c r="W457" s="454">
        <f>IF($AB457,$AB457,IF($AA457,$AA457,Scenarios!$B$43))</f>
        <v>31440</v>
      </c>
      <c r="X457" s="454"/>
      <c r="Y457" s="454"/>
      <c r="Z457" s="454"/>
      <c r="AA457" s="454">
        <f>IFERROR(VLOOKUP($A457,'GeneratingCapabilityList sorted'!$E$9:$O$801,11,FALSE),Scenarios!$B$43)</f>
        <v>31440</v>
      </c>
      <c r="AB457" s="453"/>
      <c r="AC457" s="453"/>
    </row>
    <row r="458" spans="1:29" x14ac:dyDescent="0.25">
      <c r="A458" s="65" t="s">
        <v>2906</v>
      </c>
      <c r="B458" s="65" t="s">
        <v>3830</v>
      </c>
      <c r="C458" s="66" t="s">
        <v>3468</v>
      </c>
      <c r="D458" s="66" t="s">
        <v>3382</v>
      </c>
      <c r="E458" s="67">
        <v>4.5</v>
      </c>
      <c r="F458" s="68">
        <v>0</v>
      </c>
      <c r="G458" s="68">
        <v>0</v>
      </c>
      <c r="H458" s="68">
        <v>0</v>
      </c>
      <c r="I458" s="68">
        <v>0</v>
      </c>
      <c r="J458" s="68">
        <v>0</v>
      </c>
      <c r="K458" s="68">
        <v>0</v>
      </c>
      <c r="L458" s="68">
        <v>0</v>
      </c>
      <c r="M458" s="68">
        <v>0</v>
      </c>
      <c r="N458" s="68">
        <v>0</v>
      </c>
      <c r="O458" s="68">
        <v>0</v>
      </c>
      <c r="P458" s="68">
        <v>0</v>
      </c>
      <c r="Q458" s="68">
        <v>0</v>
      </c>
      <c r="R458" s="69" t="s">
        <v>3470</v>
      </c>
      <c r="S458" s="69" t="s">
        <v>879</v>
      </c>
      <c r="T458" s="70" t="s">
        <v>3472</v>
      </c>
      <c r="U458" s="452"/>
      <c r="V458" s="453" t="str">
        <f>IF(VLOOKUP($A458,'GeneratingCapabilityList sorted'!$E$9:$O$801,8,FALSE)&lt;&gt;"",VLOOKUP($A458,'GeneratingCapabilityList sorted'!$E$9:$O$801,8,FALSE),"NoneListed")</f>
        <v>NATURAL GAS</v>
      </c>
      <c r="W458" s="454">
        <f>IF($AB458,$AB458,IF($AA458,$AA458,Scenarios!$B$43))</f>
        <v>39370</v>
      </c>
      <c r="X458" s="454"/>
      <c r="Y458" s="454"/>
      <c r="Z458" s="454"/>
      <c r="AA458" s="454">
        <f>IFERROR(VLOOKUP($A458,'GeneratingCapabilityList sorted'!$E$9:$O$801,11,FALSE),Scenarios!$B$43)</f>
        <v>39370</v>
      </c>
      <c r="AB458" s="453"/>
      <c r="AC458" s="453"/>
    </row>
    <row r="459" spans="1:29" x14ac:dyDescent="0.25">
      <c r="A459" s="65" t="s">
        <v>2842</v>
      </c>
      <c r="B459" s="65" t="s">
        <v>3831</v>
      </c>
      <c r="C459" s="66" t="s">
        <v>3477</v>
      </c>
      <c r="D459" s="66" t="s">
        <v>3385</v>
      </c>
      <c r="E459" s="67">
        <v>565.61</v>
      </c>
      <c r="F459" s="68">
        <v>0</v>
      </c>
      <c r="G459" s="68">
        <v>0</v>
      </c>
      <c r="H459" s="68">
        <v>0</v>
      </c>
      <c r="I459" s="68">
        <v>0</v>
      </c>
      <c r="J459" s="68">
        <v>0</v>
      </c>
      <c r="K459" s="68">
        <v>0</v>
      </c>
      <c r="L459" s="68">
        <v>0</v>
      </c>
      <c r="M459" s="68">
        <v>0</v>
      </c>
      <c r="N459" s="68">
        <v>0</v>
      </c>
      <c r="O459" s="68">
        <v>0</v>
      </c>
      <c r="P459" s="68">
        <v>0</v>
      </c>
      <c r="Q459" s="68">
        <v>0</v>
      </c>
      <c r="R459" s="69" t="s">
        <v>3470</v>
      </c>
      <c r="S459" s="69" t="s">
        <v>3471</v>
      </c>
      <c r="T459" s="70" t="s">
        <v>3472</v>
      </c>
      <c r="U459" s="452"/>
      <c r="V459" s="453" t="str">
        <f>IF(VLOOKUP($A459,'GeneratingCapabilityList sorted'!$E$9:$O$801,8,FALSE)&lt;&gt;"",VLOOKUP($A459,'GeneratingCapabilityList sorted'!$E$9:$O$801,8,FALSE),"NoneListed")</f>
        <v>NATURAL GAS</v>
      </c>
      <c r="W459" s="454">
        <f>IF($AB459,$AB459,IF($AA459,$AA459,Scenarios!$B$43))</f>
        <v>38807</v>
      </c>
      <c r="X459" s="454"/>
      <c r="Y459" s="454"/>
      <c r="Z459" s="454"/>
      <c r="AA459" s="454">
        <f>IFERROR(VLOOKUP($A459,'GeneratingCapabilityList sorted'!$E$9:$O$801,11,FALSE),Scenarios!$B$43)</f>
        <v>38807</v>
      </c>
      <c r="AB459" s="453"/>
      <c r="AC459" s="453"/>
    </row>
    <row r="460" spans="1:29" x14ac:dyDescent="0.25">
      <c r="A460" s="65" t="s">
        <v>1967</v>
      </c>
      <c r="B460" s="65" t="s">
        <v>3832</v>
      </c>
      <c r="C460" s="66" t="s">
        <v>3477</v>
      </c>
      <c r="D460" s="66" t="s">
        <v>3388</v>
      </c>
      <c r="E460" s="67">
        <v>0</v>
      </c>
      <c r="F460" s="68">
        <v>30.73</v>
      </c>
      <c r="G460" s="68">
        <v>34.51</v>
      </c>
      <c r="H460" s="68">
        <v>33.94</v>
      </c>
      <c r="I460" s="68">
        <v>30.84</v>
      </c>
      <c r="J460" s="68">
        <v>32.24</v>
      </c>
      <c r="K460" s="68">
        <v>24.36</v>
      </c>
      <c r="L460" s="68">
        <v>46.89</v>
      </c>
      <c r="M460" s="68">
        <v>45.02</v>
      </c>
      <c r="N460" s="68">
        <v>45.07</v>
      </c>
      <c r="O460" s="68">
        <v>34.99</v>
      </c>
      <c r="P460" s="68">
        <v>44.89</v>
      </c>
      <c r="Q460" s="68">
        <v>37.950000000000003</v>
      </c>
      <c r="R460" s="69" t="s">
        <v>3470</v>
      </c>
      <c r="S460" s="69" t="s">
        <v>3489</v>
      </c>
      <c r="T460" s="70" t="s">
        <v>3497</v>
      </c>
      <c r="U460" s="452"/>
      <c r="V460" s="453" t="str">
        <f>IF(VLOOKUP($A460,'GeneratingCapabilityList sorted'!$E$9:$O$801,8,FALSE)&lt;&gt;"",VLOOKUP($A460,'GeneratingCapabilityList sorted'!$E$9:$O$801,8,FALSE),"NoneListed")</f>
        <v>WOOD WASTE</v>
      </c>
      <c r="W460" s="454">
        <f>IF($AB460,$AB460,IF($AA460,$AA460,Scenarios!$B$43))</f>
        <v>32874</v>
      </c>
      <c r="X460" s="454"/>
      <c r="Y460" s="454"/>
      <c r="Z460" s="454"/>
      <c r="AA460" s="454">
        <f>IFERROR(VLOOKUP($A460,'GeneratingCapabilityList sorted'!$E$9:$O$801,11,FALSE),Scenarios!$B$43)</f>
        <v>32874</v>
      </c>
      <c r="AB460" s="453"/>
      <c r="AC460" s="453"/>
    </row>
    <row r="461" spans="1:29" x14ac:dyDescent="0.25">
      <c r="A461" s="72" t="s">
        <v>3833</v>
      </c>
      <c r="B461" s="72" t="s">
        <v>3833</v>
      </c>
      <c r="C461" s="73" t="s">
        <v>3477</v>
      </c>
      <c r="D461" s="73" t="s">
        <v>3488</v>
      </c>
      <c r="E461" s="74">
        <v>0</v>
      </c>
      <c r="F461" s="75">
        <v>46</v>
      </c>
      <c r="G461" s="75">
        <v>22</v>
      </c>
      <c r="H461" s="75">
        <v>92</v>
      </c>
      <c r="I461" s="75">
        <v>95</v>
      </c>
      <c r="J461" s="75">
        <v>79</v>
      </c>
      <c r="K461" s="75">
        <v>85</v>
      </c>
      <c r="L461" s="75">
        <v>128</v>
      </c>
      <c r="M461" s="75">
        <v>134</v>
      </c>
      <c r="N461" s="75">
        <v>118</v>
      </c>
      <c r="O461" s="75">
        <v>118</v>
      </c>
      <c r="P461" s="75">
        <v>118</v>
      </c>
      <c r="Q461" s="75">
        <v>75</v>
      </c>
      <c r="R461" s="69" t="s">
        <v>3470</v>
      </c>
      <c r="S461" s="76" t="s">
        <v>560</v>
      </c>
      <c r="T461" s="70" t="s">
        <v>3502</v>
      </c>
      <c r="U461" s="452"/>
      <c r="V461" s="453" t="e">
        <f>IF(VLOOKUP($A461,'GeneratingCapabilityList sorted'!$E$9:$O$801,8,FALSE)&lt;&gt;"",VLOOKUP($A461,'GeneratingCapabilityList sorted'!$E$9:$O$801,8,FALSE),"NoneListed")</f>
        <v>#N/A</v>
      </c>
      <c r="W461" s="454">
        <f>IF($AB461,$AB461,IF($AA461,$AA461,Scenarios!$B$43))</f>
        <v>29221</v>
      </c>
      <c r="X461" s="454"/>
      <c r="Y461" s="454"/>
      <c r="Z461" s="454"/>
      <c r="AA461" s="454">
        <f>IFERROR(VLOOKUP($A461,'GeneratingCapabilityList sorted'!$E$9:$O$801,11,FALSE),Scenarios!$B$43)</f>
        <v>29221</v>
      </c>
      <c r="AB461" s="453"/>
      <c r="AC461" s="453"/>
    </row>
    <row r="462" spans="1:29" x14ac:dyDescent="0.25">
      <c r="A462" s="65" t="s">
        <v>325</v>
      </c>
      <c r="B462" s="65" t="s">
        <v>326</v>
      </c>
      <c r="C462" s="66" t="s">
        <v>3468</v>
      </c>
      <c r="D462" s="66" t="s">
        <v>3508</v>
      </c>
      <c r="E462" s="67">
        <v>0</v>
      </c>
      <c r="F462" s="68">
        <v>0.64</v>
      </c>
      <c r="G462" s="68">
        <v>0.99</v>
      </c>
      <c r="H462" s="68">
        <v>1.58</v>
      </c>
      <c r="I462" s="68">
        <v>1.7</v>
      </c>
      <c r="J462" s="68">
        <v>1.65</v>
      </c>
      <c r="K462" s="68">
        <v>1.55</v>
      </c>
      <c r="L462" s="68">
        <v>1.4</v>
      </c>
      <c r="M462" s="68">
        <v>1.41</v>
      </c>
      <c r="N462" s="68">
        <v>1.1200000000000001</v>
      </c>
      <c r="O462" s="68">
        <v>0.37</v>
      </c>
      <c r="P462" s="68">
        <v>0.41</v>
      </c>
      <c r="Q462" s="68">
        <v>0.78</v>
      </c>
      <c r="R462" s="69" t="s">
        <v>3470</v>
      </c>
      <c r="S462" s="69" t="s">
        <v>3489</v>
      </c>
      <c r="T462" s="70" t="s">
        <v>3502</v>
      </c>
      <c r="U462" s="452"/>
      <c r="V462" s="453" t="str">
        <f>IF(VLOOKUP($A462,'GeneratingCapabilityList sorted'!$E$9:$O$801,8,FALSE)&lt;&gt;"",VLOOKUP($A462,'GeneratingCapabilityList sorted'!$E$9:$O$801,8,FALSE),"NoneListed")</f>
        <v>WATER</v>
      </c>
      <c r="W462" s="454">
        <f>IF($AB462,$AB462,IF($AA462,$AA462,Scenarios!$B$43))</f>
        <v>14611</v>
      </c>
      <c r="X462" s="454"/>
      <c r="Y462" s="454"/>
      <c r="Z462" s="454"/>
      <c r="AA462" s="454">
        <f>IFERROR(VLOOKUP($A462,'GeneratingCapabilityList sorted'!$E$9:$O$801,11,FALSE),Scenarios!$B$43)</f>
        <v>14611</v>
      </c>
      <c r="AB462" s="453"/>
      <c r="AC462" s="453"/>
    </row>
    <row r="463" spans="1:29" x14ac:dyDescent="0.25">
      <c r="A463" s="72" t="s">
        <v>1019</v>
      </c>
      <c r="B463" s="72" t="s">
        <v>3834</v>
      </c>
      <c r="C463" s="73" t="s">
        <v>3468</v>
      </c>
      <c r="D463" s="73" t="s">
        <v>3474</v>
      </c>
      <c r="E463" s="74">
        <v>0</v>
      </c>
      <c r="F463" s="75">
        <v>41.4</v>
      </c>
      <c r="G463" s="75">
        <v>8</v>
      </c>
      <c r="H463" s="75">
        <v>49.65</v>
      </c>
      <c r="I463" s="75">
        <v>62.83</v>
      </c>
      <c r="J463" s="75">
        <v>140.53</v>
      </c>
      <c r="K463" s="75">
        <v>155.88</v>
      </c>
      <c r="L463" s="75">
        <v>135.79</v>
      </c>
      <c r="M463" s="75">
        <v>82.5</v>
      </c>
      <c r="N463" s="75">
        <v>23.7</v>
      </c>
      <c r="O463" s="75">
        <v>0</v>
      </c>
      <c r="P463" s="75">
        <v>0</v>
      </c>
      <c r="Q463" s="75">
        <v>0</v>
      </c>
      <c r="R463" s="69" t="s">
        <v>3470</v>
      </c>
      <c r="S463" s="76" t="s">
        <v>560</v>
      </c>
      <c r="T463" s="70" t="s">
        <v>3484</v>
      </c>
      <c r="U463" s="452"/>
      <c r="V463" s="453" t="str">
        <f>IF(VLOOKUP($A463,'GeneratingCapabilityList sorted'!$E$9:$O$801,8,FALSE)&lt;&gt;"",VLOOKUP($A463,'GeneratingCapabilityList sorted'!$E$9:$O$801,8,FALSE),"NoneListed")</f>
        <v>WATER</v>
      </c>
      <c r="W463" s="454">
        <f>IF($AB463,$AB463,IF($AA463,$AA463,Scenarios!$B$43))</f>
        <v>30682</v>
      </c>
      <c r="X463" s="454"/>
      <c r="Y463" s="454"/>
      <c r="Z463" s="454"/>
      <c r="AA463" s="454">
        <f>IFERROR(VLOOKUP($A463,'GeneratingCapabilityList sorted'!$E$9:$O$801,11,FALSE),Scenarios!$B$43)</f>
        <v>30682</v>
      </c>
      <c r="AB463" s="453"/>
      <c r="AC463" s="453"/>
    </row>
    <row r="464" spans="1:29" x14ac:dyDescent="0.25">
      <c r="A464" s="65" t="s">
        <v>227</v>
      </c>
      <c r="B464" s="65" t="s">
        <v>3835</v>
      </c>
      <c r="C464" s="66" t="s">
        <v>3468</v>
      </c>
      <c r="D464" s="66" t="s">
        <v>3488</v>
      </c>
      <c r="E464" s="67">
        <v>0</v>
      </c>
      <c r="F464" s="68">
        <v>30.5</v>
      </c>
      <c r="G464" s="68">
        <v>30.5</v>
      </c>
      <c r="H464" s="68">
        <v>30.5</v>
      </c>
      <c r="I464" s="68">
        <v>30.5</v>
      </c>
      <c r="J464" s="68">
        <v>30.5</v>
      </c>
      <c r="K464" s="68">
        <v>30.5</v>
      </c>
      <c r="L464" s="68">
        <v>30.5</v>
      </c>
      <c r="M464" s="68">
        <v>30.5</v>
      </c>
      <c r="N464" s="68">
        <v>30.5</v>
      </c>
      <c r="O464" s="68">
        <v>30.5</v>
      </c>
      <c r="P464" s="68">
        <v>30.5</v>
      </c>
      <c r="Q464" s="68">
        <v>30.5</v>
      </c>
      <c r="R464" s="69" t="s">
        <v>3470</v>
      </c>
      <c r="S464" s="69" t="s">
        <v>3489</v>
      </c>
      <c r="T464" s="70" t="s">
        <v>3484</v>
      </c>
      <c r="U464" s="452"/>
      <c r="V464" s="453" t="str">
        <f>IF(VLOOKUP($A464,'GeneratingCapabilityList sorted'!$E$9:$O$801,8,FALSE)&lt;&gt;"",VLOOKUP($A464,'GeneratingCapabilityList sorted'!$E$9:$O$801,8,FALSE),"NoneListed")</f>
        <v>WATER</v>
      </c>
      <c r="W464" s="454">
        <f>IF($AB464,$AB464,IF($AA464,$AA464,Scenarios!$B$43))</f>
        <v>8037</v>
      </c>
      <c r="X464" s="454"/>
      <c r="Y464" s="454"/>
      <c r="Z464" s="454"/>
      <c r="AA464" s="454">
        <f>IFERROR(VLOOKUP($A464,'GeneratingCapabilityList sorted'!$E$9:$O$801,11,FALSE),Scenarios!$B$43)</f>
        <v>8037</v>
      </c>
      <c r="AB464" s="453"/>
      <c r="AC464" s="453"/>
    </row>
    <row r="465" spans="1:29" x14ac:dyDescent="0.25">
      <c r="A465" s="65" t="s">
        <v>229</v>
      </c>
      <c r="B465" s="65" t="s">
        <v>3836</v>
      </c>
      <c r="C465" s="66" t="s">
        <v>3468</v>
      </c>
      <c r="D465" s="66" t="s">
        <v>3488</v>
      </c>
      <c r="E465" s="67">
        <v>0</v>
      </c>
      <c r="F465" s="68">
        <v>30.5</v>
      </c>
      <c r="G465" s="68">
        <v>30.5</v>
      </c>
      <c r="H465" s="68">
        <v>30.5</v>
      </c>
      <c r="I465" s="68">
        <v>30.5</v>
      </c>
      <c r="J465" s="68">
        <v>30.5</v>
      </c>
      <c r="K465" s="68">
        <v>30.5</v>
      </c>
      <c r="L465" s="68">
        <v>30.5</v>
      </c>
      <c r="M465" s="68">
        <v>30.5</v>
      </c>
      <c r="N465" s="68">
        <v>30.5</v>
      </c>
      <c r="O465" s="68">
        <v>30.5</v>
      </c>
      <c r="P465" s="68">
        <v>30.5</v>
      </c>
      <c r="Q465" s="68">
        <v>30.5</v>
      </c>
      <c r="R465" s="69" t="s">
        <v>3470</v>
      </c>
      <c r="S465" s="69" t="s">
        <v>3489</v>
      </c>
      <c r="T465" s="70" t="s">
        <v>3484</v>
      </c>
      <c r="U465" s="452"/>
      <c r="V465" s="453" t="str">
        <f>IF(VLOOKUP($A465,'GeneratingCapabilityList sorted'!$E$9:$O$801,8,FALSE)&lt;&gt;"",VLOOKUP($A465,'GeneratingCapabilityList sorted'!$E$9:$O$801,8,FALSE),"NoneListed")</f>
        <v>WATER</v>
      </c>
      <c r="W465" s="454">
        <f>IF($AB465,$AB465,IF($AA465,$AA465,Scenarios!$B$43))</f>
        <v>8037</v>
      </c>
      <c r="X465" s="454"/>
      <c r="Y465" s="454"/>
      <c r="Z465" s="454"/>
      <c r="AA465" s="454">
        <f>IFERROR(VLOOKUP($A465,'GeneratingCapabilityList sorted'!$E$9:$O$801,11,FALSE),Scenarios!$B$43)</f>
        <v>8037</v>
      </c>
      <c r="AB465" s="453"/>
      <c r="AC465" s="453"/>
    </row>
    <row r="466" spans="1:29" x14ac:dyDescent="0.25">
      <c r="A466" s="65" t="s">
        <v>249</v>
      </c>
      <c r="B466" s="65" t="s">
        <v>3837</v>
      </c>
      <c r="C466" s="66" t="s">
        <v>3468</v>
      </c>
      <c r="D466" s="66" t="s">
        <v>3488</v>
      </c>
      <c r="E466" s="67">
        <v>0</v>
      </c>
      <c r="F466" s="68">
        <v>70.599999999999994</v>
      </c>
      <c r="G466" s="68">
        <v>70.599999999999994</v>
      </c>
      <c r="H466" s="68">
        <v>70.599999999999994</v>
      </c>
      <c r="I466" s="68">
        <v>70.599999999999994</v>
      </c>
      <c r="J466" s="68">
        <v>70.599999999999994</v>
      </c>
      <c r="K466" s="68">
        <v>70.599999999999994</v>
      </c>
      <c r="L466" s="68">
        <v>70.599999999999994</v>
      </c>
      <c r="M466" s="68">
        <v>70.599999999999994</v>
      </c>
      <c r="N466" s="68">
        <v>70.599999999999994</v>
      </c>
      <c r="O466" s="68">
        <v>70.599999999999994</v>
      </c>
      <c r="P466" s="68">
        <v>70.599999999999994</v>
      </c>
      <c r="Q466" s="68">
        <v>70.599999999999994</v>
      </c>
      <c r="R466" s="69" t="s">
        <v>3470</v>
      </c>
      <c r="S466" s="69" t="s">
        <v>3489</v>
      </c>
      <c r="T466" s="70" t="s">
        <v>3484</v>
      </c>
      <c r="U466" s="452"/>
      <c r="V466" s="453" t="str">
        <f>IF(VLOOKUP($A466,'GeneratingCapabilityList sorted'!$E$9:$O$801,8,FALSE)&lt;&gt;"",VLOOKUP($A466,'GeneratingCapabilityList sorted'!$E$9:$O$801,8,FALSE),"NoneListed")</f>
        <v>WATER</v>
      </c>
      <c r="W466" s="454">
        <f>IF($AB466,$AB466,IF($AA466,$AA466,Scenarios!$B$43))</f>
        <v>9133</v>
      </c>
      <c r="X466" s="454"/>
      <c r="Y466" s="454"/>
      <c r="Z466" s="454"/>
      <c r="AA466" s="454">
        <f>IFERROR(VLOOKUP($A466,'GeneratingCapabilityList sorted'!$E$9:$O$801,11,FALSE),Scenarios!$B$43)</f>
        <v>9133</v>
      </c>
      <c r="AB466" s="453"/>
      <c r="AC466" s="453"/>
    </row>
    <row r="467" spans="1:29" x14ac:dyDescent="0.25">
      <c r="A467" s="65" t="s">
        <v>392</v>
      </c>
      <c r="B467" s="65" t="s">
        <v>3838</v>
      </c>
      <c r="C467" s="66" t="s">
        <v>3468</v>
      </c>
      <c r="D467" s="66" t="s">
        <v>3488</v>
      </c>
      <c r="E467" s="67">
        <v>0</v>
      </c>
      <c r="F467" s="68">
        <v>95</v>
      </c>
      <c r="G467" s="68">
        <v>95</v>
      </c>
      <c r="H467" s="68">
        <v>95</v>
      </c>
      <c r="I467" s="68">
        <v>95</v>
      </c>
      <c r="J467" s="68">
        <v>95</v>
      </c>
      <c r="K467" s="68">
        <v>95</v>
      </c>
      <c r="L467" s="68">
        <v>95</v>
      </c>
      <c r="M467" s="68">
        <v>95</v>
      </c>
      <c r="N467" s="68">
        <v>95</v>
      </c>
      <c r="O467" s="68">
        <v>95</v>
      </c>
      <c r="P467" s="68">
        <v>95</v>
      </c>
      <c r="Q467" s="68">
        <v>95</v>
      </c>
      <c r="R467" s="69" t="s">
        <v>3470</v>
      </c>
      <c r="S467" s="69" t="s">
        <v>3489</v>
      </c>
      <c r="T467" s="70" t="s">
        <v>3484</v>
      </c>
      <c r="U467" s="452"/>
      <c r="V467" s="453" t="str">
        <f>IF(VLOOKUP($A467,'GeneratingCapabilityList sorted'!$E$9:$O$801,8,FALSE)&lt;&gt;"",VLOOKUP($A467,'GeneratingCapabilityList sorted'!$E$9:$O$801,8,FALSE),"NoneListed")</f>
        <v>WATER</v>
      </c>
      <c r="W467" s="454">
        <f>IF($AB467,$AB467,IF($AA467,$AA467,Scenarios!$B$43))</f>
        <v>20090</v>
      </c>
      <c r="X467" s="454"/>
      <c r="Y467" s="454"/>
      <c r="Z467" s="454"/>
      <c r="AA467" s="454">
        <f>IFERROR(VLOOKUP($A467,'GeneratingCapabilityList sorted'!$E$9:$O$801,11,FALSE),Scenarios!$B$43)</f>
        <v>20090</v>
      </c>
      <c r="AB467" s="453"/>
      <c r="AC467" s="453"/>
    </row>
    <row r="468" spans="1:29" x14ac:dyDescent="0.25">
      <c r="A468" s="65" t="s">
        <v>337</v>
      </c>
      <c r="B468" s="65" t="s">
        <v>3839</v>
      </c>
      <c r="C468" s="66" t="s">
        <v>3468</v>
      </c>
      <c r="D468" s="66" t="s">
        <v>3488</v>
      </c>
      <c r="E468" s="67">
        <v>0</v>
      </c>
      <c r="F468" s="68">
        <v>80</v>
      </c>
      <c r="G468" s="68">
        <v>80</v>
      </c>
      <c r="H468" s="68">
        <v>80</v>
      </c>
      <c r="I468" s="68">
        <v>80</v>
      </c>
      <c r="J468" s="68">
        <v>80</v>
      </c>
      <c r="K468" s="68">
        <v>80</v>
      </c>
      <c r="L468" s="68">
        <v>80</v>
      </c>
      <c r="M468" s="68">
        <v>80</v>
      </c>
      <c r="N468" s="68">
        <v>80</v>
      </c>
      <c r="O468" s="68">
        <v>80</v>
      </c>
      <c r="P468" s="68">
        <v>80</v>
      </c>
      <c r="Q468" s="68">
        <v>80</v>
      </c>
      <c r="R468" s="69" t="s">
        <v>3470</v>
      </c>
      <c r="S468" s="69" t="s">
        <v>3489</v>
      </c>
      <c r="T468" s="70" t="s">
        <v>3484</v>
      </c>
      <c r="U468" s="452"/>
      <c r="V468" s="453" t="str">
        <f>IF(VLOOKUP($A468,'GeneratingCapabilityList sorted'!$E$9:$O$801,8,FALSE)&lt;&gt;"",VLOOKUP($A468,'GeneratingCapabilityList sorted'!$E$9:$O$801,8,FALSE),"NoneListed")</f>
        <v>WATER</v>
      </c>
      <c r="W468" s="454">
        <f>IF($AB468,$AB468,IF($AA468,$AA468,Scenarios!$B$43))</f>
        <v>16072</v>
      </c>
      <c r="X468" s="454"/>
      <c r="Y468" s="454"/>
      <c r="Z468" s="454"/>
      <c r="AA468" s="454">
        <f>IFERROR(VLOOKUP($A468,'GeneratingCapabilityList sorted'!$E$9:$O$801,11,FALSE),Scenarios!$B$43)</f>
        <v>16072</v>
      </c>
      <c r="AB468" s="453"/>
      <c r="AC468" s="453"/>
    </row>
    <row r="469" spans="1:29" x14ac:dyDescent="0.25">
      <c r="A469" s="65" t="s">
        <v>343</v>
      </c>
      <c r="B469" s="65" t="s">
        <v>3840</v>
      </c>
      <c r="C469" s="66" t="s">
        <v>3468</v>
      </c>
      <c r="D469" s="66" t="s">
        <v>3488</v>
      </c>
      <c r="E469" s="67">
        <v>0</v>
      </c>
      <c r="F469" s="68">
        <v>80</v>
      </c>
      <c r="G469" s="68">
        <v>80</v>
      </c>
      <c r="H469" s="68">
        <v>80</v>
      </c>
      <c r="I469" s="68">
        <v>80</v>
      </c>
      <c r="J469" s="68">
        <v>80</v>
      </c>
      <c r="K469" s="68">
        <v>80</v>
      </c>
      <c r="L469" s="68">
        <v>80</v>
      </c>
      <c r="M469" s="68">
        <v>80</v>
      </c>
      <c r="N469" s="68">
        <v>80</v>
      </c>
      <c r="O469" s="68">
        <v>80</v>
      </c>
      <c r="P469" s="68">
        <v>80</v>
      </c>
      <c r="Q469" s="68">
        <v>80</v>
      </c>
      <c r="R469" s="69" t="s">
        <v>3470</v>
      </c>
      <c r="S469" s="69" t="s">
        <v>3489</v>
      </c>
      <c r="T469" s="70" t="s">
        <v>3484</v>
      </c>
      <c r="U469" s="452"/>
      <c r="V469" s="453" t="str">
        <f>IF(VLOOKUP($A469,'GeneratingCapabilityList sorted'!$E$9:$O$801,8,FALSE)&lt;&gt;"",VLOOKUP($A469,'GeneratingCapabilityList sorted'!$E$9:$O$801,8,FALSE),"NoneListed")</f>
        <v>WATER</v>
      </c>
      <c r="W469" s="454">
        <f>IF($AB469,$AB469,IF($AA469,$AA469,Scenarios!$B$43))</f>
        <v>16072</v>
      </c>
      <c r="X469" s="454"/>
      <c r="Y469" s="454"/>
      <c r="Z469" s="454"/>
      <c r="AA469" s="454">
        <f>IFERROR(VLOOKUP($A469,'GeneratingCapabilityList sorted'!$E$9:$O$801,11,FALSE),Scenarios!$B$43)</f>
        <v>16072</v>
      </c>
      <c r="AB469" s="453"/>
      <c r="AC469" s="453"/>
    </row>
    <row r="470" spans="1:29" x14ac:dyDescent="0.25">
      <c r="A470" s="65" t="s">
        <v>1617</v>
      </c>
      <c r="B470" s="65" t="s">
        <v>3841</v>
      </c>
      <c r="C470" s="66" t="s">
        <v>3468</v>
      </c>
      <c r="D470" s="66" t="s">
        <v>3488</v>
      </c>
      <c r="E470" s="67">
        <v>0</v>
      </c>
      <c r="F470" s="68">
        <v>0.43</v>
      </c>
      <c r="G470" s="68">
        <v>0.73</v>
      </c>
      <c r="H470" s="68">
        <v>1.21</v>
      </c>
      <c r="I470" s="68">
        <v>1.2</v>
      </c>
      <c r="J470" s="68">
        <v>1.1000000000000001</v>
      </c>
      <c r="K470" s="68">
        <v>0.55000000000000004</v>
      </c>
      <c r="L470" s="68">
        <v>0.2</v>
      </c>
      <c r="M470" s="68">
        <v>0.14000000000000001</v>
      </c>
      <c r="N470" s="68">
        <v>0.14000000000000001</v>
      </c>
      <c r="O470" s="68">
        <v>0.18</v>
      </c>
      <c r="P470" s="68">
        <v>0.19</v>
      </c>
      <c r="Q470" s="68">
        <v>0.49</v>
      </c>
      <c r="R470" s="69" t="s">
        <v>3470</v>
      </c>
      <c r="S470" s="69" t="s">
        <v>3489</v>
      </c>
      <c r="T470" s="70" t="s">
        <v>3502</v>
      </c>
      <c r="U470" s="452"/>
      <c r="V470" s="453" t="str">
        <f>IF(VLOOKUP($A470,'GeneratingCapabilityList sorted'!$E$9:$O$801,8,FALSE)&lt;&gt;"",VLOOKUP($A470,'GeneratingCapabilityList sorted'!$E$9:$O$801,8,FALSE),"NoneListed")</f>
        <v>WATER</v>
      </c>
      <c r="W470" s="454">
        <f>IF($AB470,$AB470,IF($AA470,$AA470,Scenarios!$B$43))</f>
        <v>32004</v>
      </c>
      <c r="X470" s="454"/>
      <c r="Y470" s="454"/>
      <c r="Z470" s="454"/>
      <c r="AA470" s="454">
        <f>IFERROR(VLOOKUP($A470,'GeneratingCapabilityList sorted'!$E$9:$O$801,11,FALSE),Scenarios!$B$43)</f>
        <v>32004</v>
      </c>
      <c r="AB470" s="453"/>
      <c r="AC470" s="453"/>
    </row>
    <row r="471" spans="1:29" x14ac:dyDescent="0.25">
      <c r="A471" s="65" t="s">
        <v>519</v>
      </c>
      <c r="B471" s="65" t="s">
        <v>3842</v>
      </c>
      <c r="C471" s="66" t="s">
        <v>3468</v>
      </c>
      <c r="D471" s="66" t="s">
        <v>3488</v>
      </c>
      <c r="E471" s="67">
        <v>0</v>
      </c>
      <c r="F471" s="68">
        <v>39</v>
      </c>
      <c r="G471" s="68">
        <v>39</v>
      </c>
      <c r="H471" s="68">
        <v>39</v>
      </c>
      <c r="I471" s="68">
        <v>39</v>
      </c>
      <c r="J471" s="68">
        <v>39</v>
      </c>
      <c r="K471" s="68">
        <v>39</v>
      </c>
      <c r="L471" s="68">
        <v>39</v>
      </c>
      <c r="M471" s="68">
        <v>39</v>
      </c>
      <c r="N471" s="68">
        <v>39</v>
      </c>
      <c r="O471" s="68">
        <v>39</v>
      </c>
      <c r="P471" s="68">
        <v>39</v>
      </c>
      <c r="Q471" s="68">
        <v>39</v>
      </c>
      <c r="R471" s="69" t="s">
        <v>3470</v>
      </c>
      <c r="S471" s="69" t="s">
        <v>3489</v>
      </c>
      <c r="T471" s="70" t="s">
        <v>3484</v>
      </c>
      <c r="U471" s="452"/>
      <c r="V471" s="453" t="str">
        <f>IF(VLOOKUP($A471,'GeneratingCapabilityList sorted'!$E$9:$O$801,8,FALSE)&lt;&gt;"",VLOOKUP($A471,'GeneratingCapabilityList sorted'!$E$9:$O$801,8,FALSE),"NoneListed")</f>
        <v>WATER</v>
      </c>
      <c r="W471" s="454">
        <f>IF($AB471,$AB471,IF($AA471,$AA471,Scenarios!$B$43))</f>
        <v>23743</v>
      </c>
      <c r="X471" s="454"/>
      <c r="Y471" s="454"/>
      <c r="Z471" s="454"/>
      <c r="AA471" s="454">
        <f>IFERROR(VLOOKUP($A471,'GeneratingCapabilityList sorted'!$E$9:$O$801,11,FALSE),Scenarios!$B$43)</f>
        <v>23743</v>
      </c>
      <c r="AB471" s="453"/>
      <c r="AC471" s="453"/>
    </row>
    <row r="472" spans="1:29" x14ac:dyDescent="0.25">
      <c r="A472" s="65" t="s">
        <v>521</v>
      </c>
      <c r="B472" s="65" t="s">
        <v>3843</v>
      </c>
      <c r="C472" s="66" t="s">
        <v>3468</v>
      </c>
      <c r="D472" s="66" t="s">
        <v>3488</v>
      </c>
      <c r="E472" s="67">
        <v>0</v>
      </c>
      <c r="F472" s="68">
        <v>40</v>
      </c>
      <c r="G472" s="68">
        <v>40</v>
      </c>
      <c r="H472" s="68">
        <v>40</v>
      </c>
      <c r="I472" s="68">
        <v>40</v>
      </c>
      <c r="J472" s="68">
        <v>40</v>
      </c>
      <c r="K472" s="68">
        <v>40</v>
      </c>
      <c r="L472" s="68">
        <v>40</v>
      </c>
      <c r="M472" s="68">
        <v>40</v>
      </c>
      <c r="N472" s="68">
        <v>40</v>
      </c>
      <c r="O472" s="68">
        <v>40</v>
      </c>
      <c r="P472" s="68">
        <v>40</v>
      </c>
      <c r="Q472" s="68">
        <v>40</v>
      </c>
      <c r="R472" s="69" t="s">
        <v>3470</v>
      </c>
      <c r="S472" s="69" t="s">
        <v>3489</v>
      </c>
      <c r="T472" s="70" t="s">
        <v>3484</v>
      </c>
      <c r="U472" s="452"/>
      <c r="V472" s="453" t="str">
        <f>IF(VLOOKUP($A472,'GeneratingCapabilityList sorted'!$E$9:$O$801,8,FALSE)&lt;&gt;"",VLOOKUP($A472,'GeneratingCapabilityList sorted'!$E$9:$O$801,8,FALSE),"NoneListed")</f>
        <v>WATER</v>
      </c>
      <c r="W472" s="454">
        <f>IF($AB472,$AB472,IF($AA472,$AA472,Scenarios!$B$43))</f>
        <v>23743</v>
      </c>
      <c r="X472" s="454"/>
      <c r="Y472" s="454"/>
      <c r="Z472" s="454"/>
      <c r="AA472" s="454">
        <f>IFERROR(VLOOKUP($A472,'GeneratingCapabilityList sorted'!$E$9:$O$801,11,FALSE),Scenarios!$B$43)</f>
        <v>23743</v>
      </c>
      <c r="AB472" s="453"/>
      <c r="AC472" s="453"/>
    </row>
    <row r="473" spans="1:29" x14ac:dyDescent="0.25">
      <c r="A473" s="65" t="s">
        <v>523</v>
      </c>
      <c r="B473" s="65" t="s">
        <v>3844</v>
      </c>
      <c r="C473" s="66" t="s">
        <v>3468</v>
      </c>
      <c r="D473" s="66" t="s">
        <v>3488</v>
      </c>
      <c r="E473" s="67">
        <v>0</v>
      </c>
      <c r="F473" s="68">
        <v>55.7</v>
      </c>
      <c r="G473" s="68">
        <v>55.7</v>
      </c>
      <c r="H473" s="68">
        <v>55.7</v>
      </c>
      <c r="I473" s="68">
        <v>55.7</v>
      </c>
      <c r="J473" s="68">
        <v>55.7</v>
      </c>
      <c r="K473" s="68">
        <v>55.7</v>
      </c>
      <c r="L473" s="68">
        <v>55.7</v>
      </c>
      <c r="M473" s="68">
        <v>55.7</v>
      </c>
      <c r="N473" s="68">
        <v>55.7</v>
      </c>
      <c r="O473" s="68">
        <v>55.7</v>
      </c>
      <c r="P473" s="68">
        <v>55.7</v>
      </c>
      <c r="Q473" s="68">
        <v>55.7</v>
      </c>
      <c r="R473" s="69" t="s">
        <v>3470</v>
      </c>
      <c r="S473" s="69" t="s">
        <v>3489</v>
      </c>
      <c r="T473" s="70" t="s">
        <v>3484</v>
      </c>
      <c r="U473" s="452"/>
      <c r="V473" s="453" t="str">
        <f>IF(VLOOKUP($A473,'GeneratingCapabilityList sorted'!$E$9:$O$801,8,FALSE)&lt;&gt;"",VLOOKUP($A473,'GeneratingCapabilityList sorted'!$E$9:$O$801,8,FALSE),"NoneListed")</f>
        <v>WATER</v>
      </c>
      <c r="W473" s="454">
        <f>IF($AB473,$AB473,IF($AA473,$AA473,Scenarios!$B$43))</f>
        <v>23743</v>
      </c>
      <c r="X473" s="454"/>
      <c r="Y473" s="454"/>
      <c r="Z473" s="454"/>
      <c r="AA473" s="454">
        <f>IFERROR(VLOOKUP($A473,'GeneratingCapabilityList sorted'!$E$9:$O$801,11,FALSE),Scenarios!$B$43)</f>
        <v>23743</v>
      </c>
      <c r="AB473" s="453"/>
      <c r="AC473" s="453"/>
    </row>
    <row r="474" spans="1:29" x14ac:dyDescent="0.25">
      <c r="A474" s="65" t="s">
        <v>525</v>
      </c>
      <c r="B474" s="65" t="s">
        <v>3845</v>
      </c>
      <c r="C474" s="66" t="s">
        <v>3468</v>
      </c>
      <c r="D474" s="66" t="s">
        <v>3488</v>
      </c>
      <c r="E474" s="67">
        <v>0</v>
      </c>
      <c r="F474" s="68">
        <v>54.6</v>
      </c>
      <c r="G474" s="68">
        <v>54.6</v>
      </c>
      <c r="H474" s="68">
        <v>54.6</v>
      </c>
      <c r="I474" s="68">
        <v>54.6</v>
      </c>
      <c r="J474" s="68">
        <v>54.6</v>
      </c>
      <c r="K474" s="68">
        <v>54.6</v>
      </c>
      <c r="L474" s="68">
        <v>54.6</v>
      </c>
      <c r="M474" s="68">
        <v>54.6</v>
      </c>
      <c r="N474" s="68">
        <v>54.6</v>
      </c>
      <c r="O474" s="68">
        <v>54.6</v>
      </c>
      <c r="P474" s="68">
        <v>54.6</v>
      </c>
      <c r="Q474" s="68">
        <v>54.6</v>
      </c>
      <c r="R474" s="69" t="s">
        <v>3470</v>
      </c>
      <c r="S474" s="69" t="s">
        <v>3489</v>
      </c>
      <c r="T474" s="70" t="s">
        <v>3484</v>
      </c>
      <c r="U474" s="452"/>
      <c r="V474" s="453" t="str">
        <f>IF(VLOOKUP($A474,'GeneratingCapabilityList sorted'!$E$9:$O$801,8,FALSE)&lt;&gt;"",VLOOKUP($A474,'GeneratingCapabilityList sorted'!$E$9:$O$801,8,FALSE),"NoneListed")</f>
        <v>WATER</v>
      </c>
      <c r="W474" s="454">
        <f>IF($AB474,$AB474,IF($AA474,$AA474,Scenarios!$B$43))</f>
        <v>23743</v>
      </c>
      <c r="X474" s="454"/>
      <c r="Y474" s="454"/>
      <c r="Z474" s="454"/>
      <c r="AA474" s="454">
        <f>IFERROR(VLOOKUP($A474,'GeneratingCapabilityList sorted'!$E$9:$O$801,11,FALSE),Scenarios!$B$43)</f>
        <v>23743</v>
      </c>
      <c r="AB474" s="453"/>
      <c r="AC474" s="453"/>
    </row>
    <row r="475" spans="1:29" x14ac:dyDescent="0.25">
      <c r="A475" s="65" t="s">
        <v>452</v>
      </c>
      <c r="B475" s="65" t="s">
        <v>3846</v>
      </c>
      <c r="C475" s="66" t="s">
        <v>3468</v>
      </c>
      <c r="D475" s="66" t="s">
        <v>3382</v>
      </c>
      <c r="E475" s="67">
        <v>312</v>
      </c>
      <c r="F475" s="68">
        <v>0</v>
      </c>
      <c r="G475" s="68">
        <v>0</v>
      </c>
      <c r="H475" s="68">
        <v>0</v>
      </c>
      <c r="I475" s="68">
        <v>0</v>
      </c>
      <c r="J475" s="68">
        <v>0</v>
      </c>
      <c r="K475" s="68">
        <v>0</v>
      </c>
      <c r="L475" s="68">
        <v>0</v>
      </c>
      <c r="M475" s="68">
        <v>0</v>
      </c>
      <c r="N475" s="68">
        <v>0</v>
      </c>
      <c r="O475" s="68">
        <v>0</v>
      </c>
      <c r="P475" s="68">
        <v>0</v>
      </c>
      <c r="Q475" s="68">
        <v>0</v>
      </c>
      <c r="R475" s="69" t="s">
        <v>3470</v>
      </c>
      <c r="S475" s="69" t="s">
        <v>3471</v>
      </c>
      <c r="T475" s="70" t="s">
        <v>3472</v>
      </c>
      <c r="U475" s="452" t="s">
        <v>29</v>
      </c>
      <c r="V475" s="453" t="str">
        <f>IF(VLOOKUP($A475,'GeneratingCapabilityList sorted'!$E$9:$O$801,8,FALSE)&lt;&gt;"",VLOOKUP($A475,'GeneratingCapabilityList sorted'!$E$9:$O$801,8,FALSE),"NoneListed")</f>
        <v>NATURAL GAS</v>
      </c>
      <c r="W475" s="454">
        <f>IF($AB475,$AB475,IF($AA475,$AA475,Scenarios!$B$43))</f>
        <v>21916</v>
      </c>
      <c r="X475" s="454">
        <f>OTC!G38</f>
        <v>43100</v>
      </c>
      <c r="Y475" s="454">
        <f>OTC!H38</f>
        <v>43100</v>
      </c>
      <c r="Z475" s="454"/>
      <c r="AA475" s="454">
        <f>IFERROR(VLOOKUP($A475,'GeneratingCapabilityList sorted'!$E$9:$O$801,11,FALSE),Scenarios!$B$43)</f>
        <v>21916</v>
      </c>
      <c r="AB475" s="453"/>
      <c r="AC475" s="453"/>
    </row>
    <row r="476" spans="1:29" x14ac:dyDescent="0.25">
      <c r="A476" s="65" t="s">
        <v>465</v>
      </c>
      <c r="B476" s="65" t="s">
        <v>3847</v>
      </c>
      <c r="C476" s="66" t="s">
        <v>3468</v>
      </c>
      <c r="D476" s="66" t="s">
        <v>3382</v>
      </c>
      <c r="E476" s="67">
        <v>317</v>
      </c>
      <c r="F476" s="68">
        <v>0</v>
      </c>
      <c r="G476" s="68">
        <v>0</v>
      </c>
      <c r="H476" s="68">
        <v>0</v>
      </c>
      <c r="I476" s="68">
        <v>0</v>
      </c>
      <c r="J476" s="68">
        <v>0</v>
      </c>
      <c r="K476" s="68">
        <v>0</v>
      </c>
      <c r="L476" s="68">
        <v>0</v>
      </c>
      <c r="M476" s="68">
        <v>0</v>
      </c>
      <c r="N476" s="68">
        <v>0</v>
      </c>
      <c r="O476" s="68">
        <v>0</v>
      </c>
      <c r="P476" s="68">
        <v>0</v>
      </c>
      <c r="Q476" s="68">
        <v>0</v>
      </c>
      <c r="R476" s="69" t="s">
        <v>3470</v>
      </c>
      <c r="S476" s="69" t="s">
        <v>3471</v>
      </c>
      <c r="T476" s="70" t="s">
        <v>3472</v>
      </c>
      <c r="U476" s="452" t="s">
        <v>29</v>
      </c>
      <c r="V476" s="453" t="str">
        <f>IF(VLOOKUP($A476,'GeneratingCapabilityList sorted'!$E$9:$O$801,8,FALSE)&lt;&gt;"",VLOOKUP($A476,'GeneratingCapabilityList sorted'!$E$9:$O$801,8,FALSE),"NoneListed")</f>
        <v>NATURAL GAS</v>
      </c>
      <c r="W476" s="454">
        <f>IF($AB476,$AB476,IF($AA476,$AA476,Scenarios!$B$43))</f>
        <v>22282</v>
      </c>
      <c r="X476" s="454">
        <f>OTC!G39</f>
        <v>43100</v>
      </c>
      <c r="Y476" s="454">
        <f>OTC!H39</f>
        <v>43100</v>
      </c>
      <c r="Z476" s="454"/>
      <c r="AA476" s="454">
        <f>IFERROR(VLOOKUP($A476,'GeneratingCapabilityList sorted'!$E$9:$O$801,11,FALSE),Scenarios!$B$43)</f>
        <v>22282</v>
      </c>
      <c r="AB476" s="453"/>
      <c r="AC476" s="453"/>
    </row>
    <row r="477" spans="1:29" x14ac:dyDescent="0.25">
      <c r="A477" s="65" t="s">
        <v>691</v>
      </c>
      <c r="B477" s="65" t="s">
        <v>3848</v>
      </c>
      <c r="C477" s="66" t="s">
        <v>3468</v>
      </c>
      <c r="D477" s="66" t="s">
        <v>3382</v>
      </c>
      <c r="E477" s="67">
        <v>682</v>
      </c>
      <c r="F477" s="68">
        <v>0</v>
      </c>
      <c r="G477" s="68">
        <v>0</v>
      </c>
      <c r="H477" s="68">
        <v>0</v>
      </c>
      <c r="I477" s="68">
        <v>0</v>
      </c>
      <c r="J477" s="68">
        <v>0</v>
      </c>
      <c r="K477" s="68">
        <v>0</v>
      </c>
      <c r="L477" s="68">
        <v>0</v>
      </c>
      <c r="M477" s="68">
        <v>0</v>
      </c>
      <c r="N477" s="68">
        <v>0</v>
      </c>
      <c r="O477" s="68">
        <v>0</v>
      </c>
      <c r="P477" s="68">
        <v>0</v>
      </c>
      <c r="Q477" s="68">
        <v>0</v>
      </c>
      <c r="R477" s="69" t="s">
        <v>3470</v>
      </c>
      <c r="S477" s="69" t="s">
        <v>3471</v>
      </c>
      <c r="T477" s="70" t="s">
        <v>3472</v>
      </c>
      <c r="U477" s="452"/>
      <c r="V477" s="453" t="str">
        <f>IF(VLOOKUP($A477,'GeneratingCapabilityList sorted'!$E$9:$O$801,8,FALSE)&lt;&gt;"",VLOOKUP($A477,'GeneratingCapabilityList sorted'!$E$9:$O$801,8,FALSE),"NoneListed")</f>
        <v>NATURAL GAS</v>
      </c>
      <c r="W477" s="454">
        <f>IF($AB477,$AB477,IF($AA477,$AA477,Scenarios!$B$43))</f>
        <v>26299</v>
      </c>
      <c r="X477" s="454"/>
      <c r="Y477" s="454"/>
      <c r="Z477" s="454"/>
      <c r="AA477" s="454">
        <f>IFERROR(VLOOKUP($A477,'GeneratingCapabilityList sorted'!$E$9:$O$801,11,FALSE),Scenarios!$B$43)</f>
        <v>26299</v>
      </c>
      <c r="AB477" s="453"/>
      <c r="AC477" s="453"/>
    </row>
    <row r="478" spans="1:29" x14ac:dyDescent="0.25">
      <c r="A478" s="65" t="s">
        <v>506</v>
      </c>
      <c r="B478" s="65" t="s">
        <v>3849</v>
      </c>
      <c r="C478" s="66" t="s">
        <v>3468</v>
      </c>
      <c r="D478" s="66" t="s">
        <v>3510</v>
      </c>
      <c r="E478" s="67">
        <v>0</v>
      </c>
      <c r="F478" s="68">
        <v>1.46</v>
      </c>
      <c r="G478" s="68">
        <v>3.29</v>
      </c>
      <c r="H478" s="68">
        <v>3.42</v>
      </c>
      <c r="I478" s="68">
        <v>5.2</v>
      </c>
      <c r="J478" s="68">
        <v>6.2</v>
      </c>
      <c r="K478" s="68">
        <v>4.04</v>
      </c>
      <c r="L478" s="68">
        <v>2.4300000000000002</v>
      </c>
      <c r="M478" s="68">
        <v>2.1800000000000002</v>
      </c>
      <c r="N478" s="68">
        <v>2.5299999999999998</v>
      </c>
      <c r="O478" s="68">
        <v>1.43</v>
      </c>
      <c r="P478" s="68">
        <v>1.29</v>
      </c>
      <c r="Q478" s="68">
        <v>1.63</v>
      </c>
      <c r="R478" s="69" t="s">
        <v>3470</v>
      </c>
      <c r="S478" s="69" t="s">
        <v>3489</v>
      </c>
      <c r="T478" s="70" t="s">
        <v>3502</v>
      </c>
      <c r="U478" s="452"/>
      <c r="V478" s="453" t="str">
        <f>IF(VLOOKUP($A478,'GeneratingCapabilityList sorted'!$E$9:$O$801,8,FALSE)&lt;&gt;"",VLOOKUP($A478,'GeneratingCapabilityList sorted'!$E$9:$O$801,8,FALSE),"NoneListed")</f>
        <v>WATER</v>
      </c>
      <c r="W478" s="454">
        <f>IF($AB478,$AB478,IF($AA478,$AA478,Scenarios!$B$43))</f>
        <v>23743</v>
      </c>
      <c r="X478" s="454"/>
      <c r="Y478" s="454"/>
      <c r="Z478" s="454"/>
      <c r="AA478" s="454">
        <f>IFERROR(VLOOKUP($A478,'GeneratingCapabilityList sorted'!$E$9:$O$801,11,FALSE),Scenarios!$B$43)</f>
        <v>23743</v>
      </c>
      <c r="AB478" s="453"/>
      <c r="AC478" s="453"/>
    </row>
    <row r="479" spans="1:29" x14ac:dyDescent="0.25">
      <c r="A479" s="65" t="s">
        <v>1423</v>
      </c>
      <c r="B479" s="65" t="s">
        <v>3850</v>
      </c>
      <c r="C479" s="66" t="s">
        <v>3468</v>
      </c>
      <c r="D479" s="66" t="s">
        <v>3510</v>
      </c>
      <c r="E479" s="67">
        <v>0</v>
      </c>
      <c r="F479" s="68">
        <v>0.28999999999999998</v>
      </c>
      <c r="G479" s="68">
        <v>0.48</v>
      </c>
      <c r="H479" s="68">
        <v>0.47</v>
      </c>
      <c r="I479" s="68">
        <v>0.5</v>
      </c>
      <c r="J479" s="68">
        <v>0.38</v>
      </c>
      <c r="K479" s="68">
        <v>7.0000000000000007E-2</v>
      </c>
      <c r="L479" s="68">
        <v>0</v>
      </c>
      <c r="M479" s="68">
        <v>0</v>
      </c>
      <c r="N479" s="68">
        <v>0</v>
      </c>
      <c r="O479" s="68">
        <v>0</v>
      </c>
      <c r="P479" s="68">
        <v>0.1</v>
      </c>
      <c r="Q479" s="68">
        <v>0.46</v>
      </c>
      <c r="R479" s="69" t="s">
        <v>3470</v>
      </c>
      <c r="S479" s="69" t="s">
        <v>3489</v>
      </c>
      <c r="T479" s="70" t="s">
        <v>3502</v>
      </c>
      <c r="U479" s="452"/>
      <c r="V479" s="453" t="str">
        <f>IF(VLOOKUP($A479,'GeneratingCapabilityList sorted'!$E$9:$O$801,8,FALSE)&lt;&gt;"",VLOOKUP($A479,'GeneratingCapabilityList sorted'!$E$9:$O$801,8,FALSE),"NoneListed")</f>
        <v>WATER</v>
      </c>
      <c r="W479" s="454">
        <f>IF($AB479,$AB479,IF($AA479,$AA479,Scenarios!$B$43))</f>
        <v>31526</v>
      </c>
      <c r="X479" s="454"/>
      <c r="Y479" s="454"/>
      <c r="Z479" s="454"/>
      <c r="AA479" s="454">
        <f>IFERROR(VLOOKUP($A479,'GeneratingCapabilityList sorted'!$E$9:$O$801,11,FALSE),Scenarios!$B$43)</f>
        <v>31526</v>
      </c>
      <c r="AB479" s="453"/>
      <c r="AC479" s="453"/>
    </row>
    <row r="480" spans="1:29" x14ac:dyDescent="0.25">
      <c r="A480" s="65" t="s">
        <v>1167</v>
      </c>
      <c r="B480" s="65" t="s">
        <v>3851</v>
      </c>
      <c r="C480" s="66" t="s">
        <v>3468</v>
      </c>
      <c r="D480" s="66" t="s">
        <v>3510</v>
      </c>
      <c r="E480" s="67">
        <v>0</v>
      </c>
      <c r="F480" s="68">
        <v>1.83</v>
      </c>
      <c r="G480" s="68">
        <v>1.87</v>
      </c>
      <c r="H480" s="68">
        <v>2.06</v>
      </c>
      <c r="I480" s="68">
        <v>1.99</v>
      </c>
      <c r="J480" s="68">
        <v>1.76</v>
      </c>
      <c r="K480" s="68">
        <v>1.84</v>
      </c>
      <c r="L480" s="68">
        <v>1.91</v>
      </c>
      <c r="M480" s="68">
        <v>1.24</v>
      </c>
      <c r="N480" s="68">
        <v>1.56</v>
      </c>
      <c r="O480" s="68">
        <v>1.92</v>
      </c>
      <c r="P480" s="68">
        <v>1.36</v>
      </c>
      <c r="Q480" s="68">
        <v>2.0299999999999998</v>
      </c>
      <c r="R480" s="69" t="s">
        <v>3470</v>
      </c>
      <c r="S480" s="69" t="s">
        <v>3489</v>
      </c>
      <c r="T480" s="70" t="s">
        <v>3497</v>
      </c>
      <c r="U480" s="452"/>
      <c r="V480" s="453" t="str">
        <f>IF(VLOOKUP($A480,'GeneratingCapabilityList sorted'!$E$9:$O$801,8,FALSE)&lt;&gt;"",VLOOKUP($A480,'GeneratingCapabilityList sorted'!$E$9:$O$801,8,FALSE),"NoneListed")</f>
        <v>LANDFILL GAS</v>
      </c>
      <c r="W480" s="454">
        <f>IF($AB480,$AB480,IF($AA480,$AA480,Scenarios!$B$43))</f>
        <v>31048</v>
      </c>
      <c r="X480" s="454"/>
      <c r="Y480" s="454"/>
      <c r="Z480" s="454"/>
      <c r="AA480" s="454">
        <f>IFERROR(VLOOKUP($A480,'GeneratingCapabilityList sorted'!$E$9:$O$801,11,FALSE),Scenarios!$B$43)</f>
        <v>31048</v>
      </c>
      <c r="AB480" s="453"/>
      <c r="AC480" s="453"/>
    </row>
    <row r="481" spans="1:29" x14ac:dyDescent="0.25">
      <c r="A481" s="65" t="s">
        <v>2935</v>
      </c>
      <c r="B481" s="65" t="s">
        <v>3852</v>
      </c>
      <c r="C481" s="66" t="s">
        <v>3468</v>
      </c>
      <c r="D481" s="66" t="s">
        <v>3488</v>
      </c>
      <c r="E481" s="67">
        <v>380.96</v>
      </c>
      <c r="F481" s="68">
        <v>0</v>
      </c>
      <c r="G481" s="68">
        <v>0</v>
      </c>
      <c r="H481" s="68">
        <v>0</v>
      </c>
      <c r="I481" s="68">
        <v>0</v>
      </c>
      <c r="J481" s="68">
        <v>0</v>
      </c>
      <c r="K481" s="68">
        <v>0</v>
      </c>
      <c r="L481" s="68">
        <v>0</v>
      </c>
      <c r="M481" s="68">
        <v>0</v>
      </c>
      <c r="N481" s="68">
        <v>0</v>
      </c>
      <c r="O481" s="68">
        <v>0</v>
      </c>
      <c r="P481" s="68">
        <v>0</v>
      </c>
      <c r="Q481" s="68">
        <v>0</v>
      </c>
      <c r="R481" s="69" t="s">
        <v>3470</v>
      </c>
      <c r="S481" s="69" t="s">
        <v>3471</v>
      </c>
      <c r="T481" s="70" t="s">
        <v>3472</v>
      </c>
      <c r="U481" s="452"/>
      <c r="V481" s="453" t="str">
        <f>IF(VLOOKUP($A481,'GeneratingCapabilityList sorted'!$E$9:$O$801,8,FALSE)&lt;&gt;"",VLOOKUP($A481,'GeneratingCapabilityList sorted'!$E$9:$O$801,8,FALSE),"NoneListed")</f>
        <v>NATURAL GAS</v>
      </c>
      <c r="W481" s="454">
        <f>IF($AB481,$AB481,IF($AA481,$AA481,Scenarios!$B$43))</f>
        <v>39961</v>
      </c>
      <c r="X481" s="454"/>
      <c r="Y481" s="454"/>
      <c r="Z481" s="454"/>
      <c r="AA481" s="454">
        <f>IFERROR(VLOOKUP($A481,'GeneratingCapabilityList sorted'!$E$9:$O$801,11,FALSE),Scenarios!$B$43)</f>
        <v>39961</v>
      </c>
      <c r="AB481" s="453"/>
      <c r="AC481" s="453"/>
    </row>
    <row r="482" spans="1:29" x14ac:dyDescent="0.25">
      <c r="A482" s="65" t="s">
        <v>2931</v>
      </c>
      <c r="B482" s="65" t="s">
        <v>3853</v>
      </c>
      <c r="C482" s="66" t="s">
        <v>3468</v>
      </c>
      <c r="D482" s="66" t="s">
        <v>3474</v>
      </c>
      <c r="E482" s="67">
        <v>111.16</v>
      </c>
      <c r="F482" s="68">
        <v>0</v>
      </c>
      <c r="G482" s="68">
        <v>0</v>
      </c>
      <c r="H482" s="68">
        <v>0</v>
      </c>
      <c r="I482" s="68">
        <v>0</v>
      </c>
      <c r="J482" s="68">
        <v>0</v>
      </c>
      <c r="K482" s="68">
        <v>0</v>
      </c>
      <c r="L482" s="68">
        <v>0</v>
      </c>
      <c r="M482" s="68">
        <v>0</v>
      </c>
      <c r="N482" s="68">
        <v>0</v>
      </c>
      <c r="O482" s="68">
        <v>0</v>
      </c>
      <c r="P482" s="68">
        <v>0</v>
      </c>
      <c r="Q482" s="68">
        <v>0</v>
      </c>
      <c r="R482" s="69" t="s">
        <v>3470</v>
      </c>
      <c r="S482" s="69" t="s">
        <v>3471</v>
      </c>
      <c r="T482" s="70" t="s">
        <v>3472</v>
      </c>
      <c r="U482" s="452"/>
      <c r="V482" s="453" t="str">
        <f>IF(VLOOKUP($A482,'GeneratingCapabilityList sorted'!$E$9:$O$801,8,FALSE)&lt;&gt;"",VLOOKUP($A482,'GeneratingCapabilityList sorted'!$E$9:$O$801,8,FALSE),"NoneListed")</f>
        <v>NATURAL GAS</v>
      </c>
      <c r="W482" s="454">
        <f>IF($AB482,$AB482,IF($AA482,$AA482,Scenarios!$B$43))</f>
        <v>39937</v>
      </c>
      <c r="X482" s="454"/>
      <c r="Y482" s="454"/>
      <c r="Z482" s="454"/>
      <c r="AA482" s="454">
        <f>IFERROR(VLOOKUP($A482,'GeneratingCapabilityList sorted'!$E$9:$O$801,11,FALSE),Scenarios!$B$43)</f>
        <v>39937</v>
      </c>
      <c r="AB482" s="453"/>
      <c r="AC482" s="453"/>
    </row>
    <row r="483" spans="1:29" x14ac:dyDescent="0.25">
      <c r="A483" s="65" t="s">
        <v>2777</v>
      </c>
      <c r="B483" s="65" t="s">
        <v>3854</v>
      </c>
      <c r="C483" s="66" t="s">
        <v>3468</v>
      </c>
      <c r="D483" s="66" t="s">
        <v>3474</v>
      </c>
      <c r="E483" s="67">
        <v>45</v>
      </c>
      <c r="F483" s="68">
        <v>0</v>
      </c>
      <c r="G483" s="68">
        <v>0</v>
      </c>
      <c r="H483" s="68">
        <v>0</v>
      </c>
      <c r="I483" s="68">
        <v>0</v>
      </c>
      <c r="J483" s="68">
        <v>0</v>
      </c>
      <c r="K483" s="68">
        <v>0</v>
      </c>
      <c r="L483" s="68">
        <v>0</v>
      </c>
      <c r="M483" s="68">
        <v>0</v>
      </c>
      <c r="N483" s="68">
        <v>0</v>
      </c>
      <c r="O483" s="68">
        <v>0</v>
      </c>
      <c r="P483" s="68">
        <v>0</v>
      </c>
      <c r="Q483" s="68">
        <v>0</v>
      </c>
      <c r="R483" s="69" t="s">
        <v>3470</v>
      </c>
      <c r="S483" s="69" t="s">
        <v>3471</v>
      </c>
      <c r="T483" s="70" t="s">
        <v>3472</v>
      </c>
      <c r="U483" s="452"/>
      <c r="V483" s="453" t="str">
        <f>IF(VLOOKUP($A483,'GeneratingCapabilityList sorted'!$E$9:$O$801,8,FALSE)&lt;&gt;"",VLOOKUP($A483,'GeneratingCapabilityList sorted'!$E$9:$O$801,8,FALSE),"NoneListed")</f>
        <v>NATURAL GAS</v>
      </c>
      <c r="W483" s="454">
        <f>IF($AB483,$AB483,IF($AA483,$AA483,Scenarios!$B$43))</f>
        <v>38517</v>
      </c>
      <c r="X483" s="454"/>
      <c r="Y483" s="454"/>
      <c r="Z483" s="454"/>
      <c r="AA483" s="454">
        <f>IFERROR(VLOOKUP($A483,'GeneratingCapabilityList sorted'!$E$9:$O$801,11,FALSE),Scenarios!$B$43)</f>
        <v>38517</v>
      </c>
      <c r="AB483" s="453"/>
      <c r="AC483" s="453"/>
    </row>
    <row r="484" spans="1:29" x14ac:dyDescent="0.25">
      <c r="A484" s="65" t="s">
        <v>2520</v>
      </c>
      <c r="B484" s="65" t="s">
        <v>3855</v>
      </c>
      <c r="C484" s="66" t="s">
        <v>3468</v>
      </c>
      <c r="D484" s="66" t="s">
        <v>3474</v>
      </c>
      <c r="E484" s="67">
        <v>42.78</v>
      </c>
      <c r="F484" s="68">
        <v>0</v>
      </c>
      <c r="G484" s="68">
        <v>0</v>
      </c>
      <c r="H484" s="68">
        <v>0</v>
      </c>
      <c r="I484" s="68">
        <v>0</v>
      </c>
      <c r="J484" s="68">
        <v>0</v>
      </c>
      <c r="K484" s="68">
        <v>0</v>
      </c>
      <c r="L484" s="68">
        <v>0</v>
      </c>
      <c r="M484" s="68">
        <v>0</v>
      </c>
      <c r="N484" s="68">
        <v>0</v>
      </c>
      <c r="O484" s="68">
        <v>0</v>
      </c>
      <c r="P484" s="68">
        <v>0</v>
      </c>
      <c r="Q484" s="68">
        <v>0</v>
      </c>
      <c r="R484" s="69" t="s">
        <v>3470</v>
      </c>
      <c r="S484" s="69" t="s">
        <v>3471</v>
      </c>
      <c r="T484" s="70" t="s">
        <v>3472</v>
      </c>
      <c r="U484" s="452"/>
      <c r="V484" s="453" t="str">
        <f>IF(VLOOKUP($A484,'GeneratingCapabilityList sorted'!$E$9:$O$801,8,FALSE)&lt;&gt;"",VLOOKUP($A484,'GeneratingCapabilityList sorted'!$E$9:$O$801,8,FALSE),"NoneListed")</f>
        <v>NATURAL GAS</v>
      </c>
      <c r="W484" s="454">
        <f>IF($AB484,$AB484,IF($AA484,$AA484,Scenarios!$B$43))</f>
        <v>37252</v>
      </c>
      <c r="X484" s="454"/>
      <c r="Y484" s="454"/>
      <c r="Z484" s="454"/>
      <c r="AA484" s="454">
        <f>IFERROR(VLOOKUP($A484,'GeneratingCapabilityList sorted'!$E$9:$O$801,11,FALSE),Scenarios!$B$43)</f>
        <v>37252</v>
      </c>
      <c r="AB484" s="453"/>
      <c r="AC484" s="453"/>
    </row>
    <row r="485" spans="1:29" x14ac:dyDescent="0.25">
      <c r="A485" s="65" t="s">
        <v>433</v>
      </c>
      <c r="B485" s="65" t="s">
        <v>3856</v>
      </c>
      <c r="C485" s="66" t="s">
        <v>3468</v>
      </c>
      <c r="D485" s="66" t="s">
        <v>3510</v>
      </c>
      <c r="E485" s="67">
        <v>0</v>
      </c>
      <c r="F485" s="68">
        <v>60</v>
      </c>
      <c r="G485" s="68">
        <v>60</v>
      </c>
      <c r="H485" s="68">
        <v>60</v>
      </c>
      <c r="I485" s="68">
        <v>60</v>
      </c>
      <c r="J485" s="68">
        <v>60</v>
      </c>
      <c r="K485" s="68">
        <v>60</v>
      </c>
      <c r="L485" s="68">
        <v>60</v>
      </c>
      <c r="M485" s="68">
        <v>60</v>
      </c>
      <c r="N485" s="68">
        <v>60</v>
      </c>
      <c r="O485" s="68">
        <v>60</v>
      </c>
      <c r="P485" s="68">
        <v>60</v>
      </c>
      <c r="Q485" s="68">
        <v>60</v>
      </c>
      <c r="R485" s="69" t="s">
        <v>3470</v>
      </c>
      <c r="S485" s="69" t="s">
        <v>3489</v>
      </c>
      <c r="T485" s="70" t="s">
        <v>3484</v>
      </c>
      <c r="U485" s="452"/>
      <c r="V485" s="453" t="str">
        <f>IF(VLOOKUP($A485,'GeneratingCapabilityList sorted'!$E$9:$O$801,8,FALSE)&lt;&gt;"",VLOOKUP($A485,'GeneratingCapabilityList sorted'!$E$9:$O$801,8,FALSE),"NoneListed")</f>
        <v>WATER</v>
      </c>
      <c r="W485" s="454">
        <f>IF($AB485,$AB485,IF($AA485,$AA485,Scenarios!$B$43))</f>
        <v>21186</v>
      </c>
      <c r="X485" s="454"/>
      <c r="Y485" s="454"/>
      <c r="Z485" s="454"/>
      <c r="AA485" s="454">
        <f>IFERROR(VLOOKUP($A485,'GeneratingCapabilityList sorted'!$E$9:$O$801,11,FALSE),Scenarios!$B$43)</f>
        <v>21186</v>
      </c>
      <c r="AB485" s="453"/>
      <c r="AC485" s="453"/>
    </row>
    <row r="486" spans="1:29" x14ac:dyDescent="0.25">
      <c r="A486" s="65" t="s">
        <v>435</v>
      </c>
      <c r="B486" s="65" t="s">
        <v>3857</v>
      </c>
      <c r="C486" s="66" t="s">
        <v>3468</v>
      </c>
      <c r="D486" s="66" t="s">
        <v>3510</v>
      </c>
      <c r="E486" s="67">
        <v>0</v>
      </c>
      <c r="F486" s="68">
        <v>60</v>
      </c>
      <c r="G486" s="68">
        <v>60</v>
      </c>
      <c r="H486" s="68">
        <v>60</v>
      </c>
      <c r="I486" s="68">
        <v>60</v>
      </c>
      <c r="J486" s="68">
        <v>60</v>
      </c>
      <c r="K486" s="68">
        <v>60</v>
      </c>
      <c r="L486" s="68">
        <v>60</v>
      </c>
      <c r="M486" s="68">
        <v>60</v>
      </c>
      <c r="N486" s="68">
        <v>60</v>
      </c>
      <c r="O486" s="68">
        <v>60</v>
      </c>
      <c r="P486" s="68">
        <v>60</v>
      </c>
      <c r="Q486" s="68">
        <v>60</v>
      </c>
      <c r="R486" s="69" t="s">
        <v>3470</v>
      </c>
      <c r="S486" s="69" t="s">
        <v>3489</v>
      </c>
      <c r="T486" s="70" t="s">
        <v>3484</v>
      </c>
      <c r="U486" s="452"/>
      <c r="V486" s="453" t="str">
        <f>IF(VLOOKUP($A486,'GeneratingCapabilityList sorted'!$E$9:$O$801,8,FALSE)&lt;&gt;"",VLOOKUP($A486,'GeneratingCapabilityList sorted'!$E$9:$O$801,8,FALSE),"NoneListed")</f>
        <v>WATER</v>
      </c>
      <c r="W486" s="454">
        <f>IF($AB486,$AB486,IF($AA486,$AA486,Scenarios!$B$43))</f>
        <v>21186</v>
      </c>
      <c r="X486" s="454"/>
      <c r="Y486" s="454"/>
      <c r="Z486" s="454"/>
      <c r="AA486" s="454">
        <f>IFERROR(VLOOKUP($A486,'GeneratingCapabilityList sorted'!$E$9:$O$801,11,FALSE),Scenarios!$B$43)</f>
        <v>21186</v>
      </c>
      <c r="AB486" s="453"/>
      <c r="AC486" s="453"/>
    </row>
    <row r="487" spans="1:29" x14ac:dyDescent="0.25">
      <c r="A487" s="65" t="s">
        <v>110</v>
      </c>
      <c r="B487" s="65" t="s">
        <v>3858</v>
      </c>
      <c r="C487" s="66" t="s">
        <v>3468</v>
      </c>
      <c r="D487" s="66" t="s">
        <v>3469</v>
      </c>
      <c r="E487" s="67">
        <v>0</v>
      </c>
      <c r="F487" s="68">
        <v>9.1999999999999993</v>
      </c>
      <c r="G487" s="68">
        <v>9.1999999999999993</v>
      </c>
      <c r="H487" s="68">
        <v>9.1999999999999993</v>
      </c>
      <c r="I487" s="68">
        <v>9.1999999999999993</v>
      </c>
      <c r="J487" s="68">
        <v>9.1999999999999993</v>
      </c>
      <c r="K487" s="68">
        <v>9.1999999999999993</v>
      </c>
      <c r="L487" s="68">
        <v>9.1999999999999993</v>
      </c>
      <c r="M487" s="68">
        <v>9.1999999999999993</v>
      </c>
      <c r="N487" s="68">
        <v>9.1999999999999993</v>
      </c>
      <c r="O487" s="68">
        <v>9.1999999999999993</v>
      </c>
      <c r="P487" s="68">
        <v>9.1999999999999993</v>
      </c>
      <c r="Q487" s="68">
        <v>9.1999999999999993</v>
      </c>
      <c r="R487" s="69" t="s">
        <v>3470</v>
      </c>
      <c r="S487" s="69" t="s">
        <v>3489</v>
      </c>
      <c r="T487" s="70" t="s">
        <v>3484</v>
      </c>
      <c r="U487" s="452"/>
      <c r="V487" s="453" t="str">
        <f>IF(VLOOKUP($A487,'GeneratingCapabilityList sorted'!$E$9:$O$801,8,FALSE)&lt;&gt;"",VLOOKUP($A487,'GeneratingCapabilityList sorted'!$E$9:$O$801,8,FALSE),"NoneListed")</f>
        <v>WATER</v>
      </c>
      <c r="W487" s="454">
        <f>IF($AB487,$AB487,IF($AA487,$AA487,Scenarios!$B$43))</f>
        <v>3654</v>
      </c>
      <c r="X487" s="454"/>
      <c r="Y487" s="454"/>
      <c r="Z487" s="454"/>
      <c r="AA487" s="454">
        <f>IFERROR(VLOOKUP($A487,'GeneratingCapabilityList sorted'!$E$9:$O$801,11,FALSE),Scenarios!$B$43)</f>
        <v>3654</v>
      </c>
      <c r="AB487" s="453"/>
      <c r="AC487" s="453"/>
    </row>
    <row r="488" spans="1:29" x14ac:dyDescent="0.25">
      <c r="A488" s="65" t="s">
        <v>2031</v>
      </c>
      <c r="B488" s="65" t="s">
        <v>3859</v>
      </c>
      <c r="C488" s="66" t="s">
        <v>3468</v>
      </c>
      <c r="D488" s="66" t="s">
        <v>3469</v>
      </c>
      <c r="E488" s="67">
        <v>0</v>
      </c>
      <c r="F488" s="68">
        <v>0.01</v>
      </c>
      <c r="G488" s="68">
        <v>0.01</v>
      </c>
      <c r="H488" s="68">
        <v>0.01</v>
      </c>
      <c r="I488" s="68">
        <v>0</v>
      </c>
      <c r="J488" s="68">
        <v>0.02</v>
      </c>
      <c r="K488" s="68">
        <v>0.03</v>
      </c>
      <c r="L488" s="68">
        <v>0.02</v>
      </c>
      <c r="M488" s="68">
        <v>0.02</v>
      </c>
      <c r="N488" s="68">
        <v>0.02</v>
      </c>
      <c r="O488" s="68">
        <v>0</v>
      </c>
      <c r="P488" s="68">
        <v>0.02</v>
      </c>
      <c r="Q488" s="68">
        <v>0.03</v>
      </c>
      <c r="R488" s="69" t="s">
        <v>3470</v>
      </c>
      <c r="S488" s="69" t="s">
        <v>3489</v>
      </c>
      <c r="T488" s="70" t="s">
        <v>3502</v>
      </c>
      <c r="U488" s="452"/>
      <c r="V488" s="453" t="str">
        <f>IF(VLOOKUP($A488,'GeneratingCapabilityList sorted'!$E$9:$O$801,8,FALSE)&lt;&gt;"",VLOOKUP($A488,'GeneratingCapabilityList sorted'!$E$9:$O$801,8,FALSE),"NoneListed")</f>
        <v>WATER</v>
      </c>
      <c r="W488" s="454">
        <f>IF($AB488,$AB488,IF($AA488,$AA488,Scenarios!$B$43))</f>
        <v>32959</v>
      </c>
      <c r="X488" s="454"/>
      <c r="Y488" s="454"/>
      <c r="Z488" s="454"/>
      <c r="AA488" s="454">
        <f>IFERROR(VLOOKUP($A488,'GeneratingCapabilityList sorted'!$E$9:$O$801,11,FALSE),Scenarios!$B$43)</f>
        <v>32959</v>
      </c>
      <c r="AB488" s="453"/>
      <c r="AC488" s="453"/>
    </row>
    <row r="489" spans="1:29" x14ac:dyDescent="0.25">
      <c r="A489" s="65" t="s">
        <v>3341</v>
      </c>
      <c r="B489" s="65" t="s">
        <v>3341</v>
      </c>
      <c r="C489" s="66" t="s">
        <v>3468</v>
      </c>
      <c r="D489" s="66" t="s">
        <v>3488</v>
      </c>
      <c r="E489" s="67">
        <v>0</v>
      </c>
      <c r="F489" s="68">
        <v>0.37</v>
      </c>
      <c r="G489" s="68">
        <v>0.36</v>
      </c>
      <c r="H489" s="68">
        <v>0.21</v>
      </c>
      <c r="I489" s="68">
        <v>0.18</v>
      </c>
      <c r="J489" s="68">
        <v>0.21</v>
      </c>
      <c r="K489" s="68">
        <v>0.19</v>
      </c>
      <c r="L489" s="68">
        <v>0.19</v>
      </c>
      <c r="M489" s="68">
        <v>0.19</v>
      </c>
      <c r="N489" s="68">
        <v>0.19</v>
      </c>
      <c r="O489" s="68">
        <v>0.18</v>
      </c>
      <c r="P489" s="68">
        <v>0.2</v>
      </c>
      <c r="Q489" s="68">
        <v>0.17</v>
      </c>
      <c r="R489" s="69" t="s">
        <v>3470</v>
      </c>
      <c r="S489" s="69" t="s">
        <v>3489</v>
      </c>
      <c r="T489" s="70" t="s">
        <v>3497</v>
      </c>
      <c r="U489" s="452"/>
      <c r="V489" s="453" t="str">
        <f>IF(VLOOKUP($A489,'GeneratingCapabilityList sorted'!$E$9:$O$801,8,FALSE)&lt;&gt;"",VLOOKUP($A489,'GeneratingCapabilityList sorted'!$E$9:$O$801,8,FALSE),"NoneListed")</f>
        <v>LANDFILL GAS</v>
      </c>
      <c r="W489" s="454">
        <f>IF($AB489,$AB489,IF($AA489,$AA489,Scenarios!$B$43))</f>
        <v>32021</v>
      </c>
      <c r="X489" s="454"/>
      <c r="Y489" s="454"/>
      <c r="Z489" s="454"/>
      <c r="AA489" s="454">
        <f>IFERROR(VLOOKUP($A489,'GeneratingCapabilityList sorted'!$E$9:$O$801,11,FALSE),Scenarios!$B$43)</f>
        <v>0</v>
      </c>
      <c r="AB489" s="454">
        <v>32021</v>
      </c>
      <c r="AC489" s="453" t="s">
        <v>4731</v>
      </c>
    </row>
    <row r="490" spans="1:29" x14ac:dyDescent="0.25">
      <c r="A490" s="65" t="s">
        <v>1805</v>
      </c>
      <c r="B490" s="65" t="s">
        <v>1806</v>
      </c>
      <c r="C490" s="66" t="s">
        <v>3477</v>
      </c>
      <c r="D490" s="66" t="s">
        <v>3385</v>
      </c>
      <c r="E490" s="67">
        <v>0</v>
      </c>
      <c r="F490" s="68">
        <v>1.88</v>
      </c>
      <c r="G490" s="68">
        <v>2.31</v>
      </c>
      <c r="H490" s="68">
        <v>2.16</v>
      </c>
      <c r="I490" s="68">
        <v>2.13</v>
      </c>
      <c r="J490" s="68">
        <v>2.0299999999999998</v>
      </c>
      <c r="K490" s="68">
        <v>2.09</v>
      </c>
      <c r="L490" s="68">
        <v>1.91</v>
      </c>
      <c r="M490" s="68">
        <v>1.65</v>
      </c>
      <c r="N490" s="68">
        <v>1.52</v>
      </c>
      <c r="O490" s="68">
        <v>1.94</v>
      </c>
      <c r="P490" s="68">
        <v>1.59</v>
      </c>
      <c r="Q490" s="68">
        <v>1.36</v>
      </c>
      <c r="R490" s="69" t="s">
        <v>3470</v>
      </c>
      <c r="S490" s="69" t="s">
        <v>3489</v>
      </c>
      <c r="T490" s="70" t="s">
        <v>3497</v>
      </c>
      <c r="U490" s="452"/>
      <c r="V490" s="453" t="str">
        <f>IF(VLOOKUP($A490,'GeneratingCapabilityList sorted'!$E$9:$O$801,8,FALSE)&lt;&gt;"",VLOOKUP($A490,'GeneratingCapabilityList sorted'!$E$9:$O$801,8,FALSE),"NoneListed")</f>
        <v>HEAT RECOVERY</v>
      </c>
      <c r="W490" s="454">
        <f>IF($AB490,$AB490,IF($AA490,$AA490,Scenarios!$B$43))</f>
        <v>32509</v>
      </c>
      <c r="X490" s="454"/>
      <c r="Y490" s="454"/>
      <c r="Z490" s="454"/>
      <c r="AA490" s="454">
        <f>IFERROR(VLOOKUP($A490,'GeneratingCapabilityList sorted'!$E$9:$O$801,11,FALSE),Scenarios!$B$43)</f>
        <v>32509</v>
      </c>
      <c r="AB490" s="453"/>
      <c r="AC490" s="453"/>
    </row>
    <row r="491" spans="1:29" x14ac:dyDescent="0.25">
      <c r="A491" s="65" t="s">
        <v>1813</v>
      </c>
      <c r="B491" s="65" t="s">
        <v>1814</v>
      </c>
      <c r="C491" s="66" t="s">
        <v>3477</v>
      </c>
      <c r="D491" s="66" t="s">
        <v>3385</v>
      </c>
      <c r="E491" s="67">
        <v>0</v>
      </c>
      <c r="F491" s="68">
        <v>18.399999999999999</v>
      </c>
      <c r="G491" s="68">
        <v>22.23</v>
      </c>
      <c r="H491" s="68">
        <v>20.71</v>
      </c>
      <c r="I491" s="68">
        <v>20.61</v>
      </c>
      <c r="J491" s="68">
        <v>19.25</v>
      </c>
      <c r="K491" s="68">
        <v>19.79</v>
      </c>
      <c r="L491" s="68">
        <v>19.63</v>
      </c>
      <c r="M491" s="68">
        <v>16.7</v>
      </c>
      <c r="N491" s="68">
        <v>15.34</v>
      </c>
      <c r="O491" s="68">
        <v>19.16</v>
      </c>
      <c r="P491" s="68">
        <v>18.03</v>
      </c>
      <c r="Q491" s="68">
        <v>19.66</v>
      </c>
      <c r="R491" s="69" t="s">
        <v>3470</v>
      </c>
      <c r="S491" s="69" t="s">
        <v>3489</v>
      </c>
      <c r="T491" s="70" t="s">
        <v>3497</v>
      </c>
      <c r="U491" s="452"/>
      <c r="V491" s="453" t="str">
        <f>IF(VLOOKUP($A491,'GeneratingCapabilityList sorted'!$E$9:$O$801,8,FALSE)&lt;&gt;"",VLOOKUP($A491,'GeneratingCapabilityList sorted'!$E$9:$O$801,8,FALSE),"NoneListed")</f>
        <v>NATURAL GAS</v>
      </c>
      <c r="W491" s="454">
        <f>IF($AB491,$AB491,IF($AA491,$AA491,Scenarios!$B$43))</f>
        <v>32509</v>
      </c>
      <c r="X491" s="454"/>
      <c r="Y491" s="454"/>
      <c r="Z491" s="454"/>
      <c r="AA491" s="454">
        <f>IFERROR(VLOOKUP($A491,'GeneratingCapabilityList sorted'!$E$9:$O$801,11,FALSE),Scenarios!$B$43)</f>
        <v>32509</v>
      </c>
      <c r="AB491" s="453"/>
      <c r="AC491" s="453"/>
    </row>
    <row r="492" spans="1:29" x14ac:dyDescent="0.25">
      <c r="A492" s="65" t="s">
        <v>3238</v>
      </c>
      <c r="B492" s="65" t="s">
        <v>3860</v>
      </c>
      <c r="C492" s="66" t="s">
        <v>3477</v>
      </c>
      <c r="D492" s="66" t="s">
        <v>3387</v>
      </c>
      <c r="E492" s="67">
        <v>0</v>
      </c>
      <c r="F492" s="68">
        <v>0.06</v>
      </c>
      <c r="G492" s="68">
        <v>0.1</v>
      </c>
      <c r="H492" s="68">
        <v>0.21</v>
      </c>
      <c r="I492" s="68">
        <v>0.14000000000000001</v>
      </c>
      <c r="J492" s="68">
        <v>0.45</v>
      </c>
      <c r="K492" s="68">
        <v>0.53</v>
      </c>
      <c r="L492" s="68">
        <v>0.19</v>
      </c>
      <c r="M492" s="68">
        <v>0.15</v>
      </c>
      <c r="N492" s="68">
        <v>0.09</v>
      </c>
      <c r="O492" s="68">
        <v>0.06</v>
      </c>
      <c r="P492" s="68">
        <v>0.05</v>
      </c>
      <c r="Q492" s="68">
        <v>0.06</v>
      </c>
      <c r="R492" s="69" t="s">
        <v>3470</v>
      </c>
      <c r="S492" s="69" t="s">
        <v>3489</v>
      </c>
      <c r="T492" s="70" t="s">
        <v>3425</v>
      </c>
      <c r="U492" s="452"/>
      <c r="V492" s="453" t="str">
        <f>IF(VLOOKUP($A492,'GeneratingCapabilityList sorted'!$E$9:$O$801,8,FALSE)&lt;&gt;"",VLOOKUP($A492,'GeneratingCapabilityList sorted'!$E$9:$O$801,8,FALSE),"NoneListed")</f>
        <v>WIND</v>
      </c>
      <c r="W492" s="454">
        <f>IF($AB492,$AB492,IF($AA492,$AA492,Scenarios!$B$43))</f>
        <v>36161</v>
      </c>
      <c r="X492" s="454"/>
      <c r="Y492" s="454"/>
      <c r="Z492" s="454"/>
      <c r="AA492" s="454">
        <f>IFERROR(VLOOKUP($A492,'GeneratingCapabilityList sorted'!$E$9:$O$801,11,FALSE),Scenarios!$B$43)</f>
        <v>0</v>
      </c>
      <c r="AB492" s="454">
        <v>36161</v>
      </c>
      <c r="AC492" s="453" t="s">
        <v>4700</v>
      </c>
    </row>
    <row r="493" spans="1:29" x14ac:dyDescent="0.25">
      <c r="A493" s="65" t="s">
        <v>371</v>
      </c>
      <c r="B493" s="65" t="s">
        <v>3861</v>
      </c>
      <c r="C493" s="66" t="s">
        <v>3468</v>
      </c>
      <c r="D493" s="66" t="s">
        <v>3510</v>
      </c>
      <c r="E493" s="67">
        <v>0</v>
      </c>
      <c r="F493" s="68">
        <v>56</v>
      </c>
      <c r="G493" s="68">
        <v>56</v>
      </c>
      <c r="H493" s="68">
        <v>56</v>
      </c>
      <c r="I493" s="68">
        <v>56</v>
      </c>
      <c r="J493" s="68">
        <v>56</v>
      </c>
      <c r="K493" s="68">
        <v>56</v>
      </c>
      <c r="L493" s="68">
        <v>56</v>
      </c>
      <c r="M493" s="68">
        <v>56</v>
      </c>
      <c r="N493" s="68">
        <v>56</v>
      </c>
      <c r="O493" s="68">
        <v>56</v>
      </c>
      <c r="P493" s="68">
        <v>56</v>
      </c>
      <c r="Q493" s="68">
        <v>56</v>
      </c>
      <c r="R493" s="69" t="s">
        <v>3470</v>
      </c>
      <c r="S493" s="69" t="s">
        <v>3489</v>
      </c>
      <c r="T493" s="70" t="s">
        <v>3484</v>
      </c>
      <c r="U493" s="452"/>
      <c r="V493" s="453" t="str">
        <f>IF(VLOOKUP($A493,'GeneratingCapabilityList sorted'!$E$9:$O$801,8,FALSE)&lt;&gt;"",VLOOKUP($A493,'GeneratingCapabilityList sorted'!$E$9:$O$801,8,FALSE),"NoneListed")</f>
        <v>WATER</v>
      </c>
      <c r="W493" s="454">
        <f>IF($AB493,$AB493,IF($AA493,$AA493,Scenarios!$B$43))</f>
        <v>18264</v>
      </c>
      <c r="X493" s="454"/>
      <c r="Y493" s="454"/>
      <c r="Z493" s="454"/>
      <c r="AA493" s="454">
        <f>IFERROR(VLOOKUP($A493,'GeneratingCapabilityList sorted'!$E$9:$O$801,11,FALSE),Scenarios!$B$43)</f>
        <v>18264</v>
      </c>
      <c r="AB493" s="453"/>
      <c r="AC493" s="453"/>
    </row>
    <row r="494" spans="1:29" x14ac:dyDescent="0.25">
      <c r="A494" s="65" t="s">
        <v>373</v>
      </c>
      <c r="B494" s="65" t="s">
        <v>3862</v>
      </c>
      <c r="C494" s="66" t="s">
        <v>3468</v>
      </c>
      <c r="D494" s="66" t="s">
        <v>3510</v>
      </c>
      <c r="E494" s="67">
        <v>0</v>
      </c>
      <c r="F494" s="68">
        <v>56</v>
      </c>
      <c r="G494" s="68">
        <v>56</v>
      </c>
      <c r="H494" s="68">
        <v>56</v>
      </c>
      <c r="I494" s="68">
        <v>56</v>
      </c>
      <c r="J494" s="68">
        <v>56</v>
      </c>
      <c r="K494" s="68">
        <v>56</v>
      </c>
      <c r="L494" s="68">
        <v>56</v>
      </c>
      <c r="M494" s="68">
        <v>56</v>
      </c>
      <c r="N494" s="68">
        <v>56</v>
      </c>
      <c r="O494" s="68">
        <v>56</v>
      </c>
      <c r="P494" s="68">
        <v>56</v>
      </c>
      <c r="Q494" s="68">
        <v>56</v>
      </c>
      <c r="R494" s="69" t="s">
        <v>3470</v>
      </c>
      <c r="S494" s="69" t="s">
        <v>3489</v>
      </c>
      <c r="T494" s="70" t="s">
        <v>3484</v>
      </c>
      <c r="U494" s="452"/>
      <c r="V494" s="453" t="str">
        <f>IF(VLOOKUP($A494,'GeneratingCapabilityList sorted'!$E$9:$O$801,8,FALSE)&lt;&gt;"",VLOOKUP($A494,'GeneratingCapabilityList sorted'!$E$9:$O$801,8,FALSE),"NoneListed")</f>
        <v>WATER</v>
      </c>
      <c r="W494" s="454">
        <f>IF($AB494,$AB494,IF($AA494,$AA494,Scenarios!$B$43))</f>
        <v>18264</v>
      </c>
      <c r="X494" s="454"/>
      <c r="Y494" s="454"/>
      <c r="Z494" s="454"/>
      <c r="AA494" s="454">
        <f>IFERROR(VLOOKUP($A494,'GeneratingCapabilityList sorted'!$E$9:$O$801,11,FALSE),Scenarios!$B$43)</f>
        <v>18264</v>
      </c>
      <c r="AB494" s="453"/>
      <c r="AC494" s="453"/>
    </row>
    <row r="495" spans="1:29" x14ac:dyDescent="0.25">
      <c r="A495" s="65" t="s">
        <v>153</v>
      </c>
      <c r="B495" s="65" t="s">
        <v>3863</v>
      </c>
      <c r="C495" s="66" t="s">
        <v>3477</v>
      </c>
      <c r="D495" s="66" t="s">
        <v>3388</v>
      </c>
      <c r="E495" s="67">
        <v>0</v>
      </c>
      <c r="F495" s="68">
        <v>3.83</v>
      </c>
      <c r="G495" s="68">
        <v>4.8600000000000003</v>
      </c>
      <c r="H495" s="68">
        <v>5.71</v>
      </c>
      <c r="I495" s="68">
        <v>6.29</v>
      </c>
      <c r="J495" s="68">
        <v>6.05</v>
      </c>
      <c r="K495" s="68">
        <v>5.77</v>
      </c>
      <c r="L495" s="68">
        <v>5.4</v>
      </c>
      <c r="M495" s="68">
        <v>1.45</v>
      </c>
      <c r="N495" s="68">
        <v>0.17</v>
      </c>
      <c r="O495" s="68">
        <v>1.29</v>
      </c>
      <c r="P495" s="68">
        <v>3.64</v>
      </c>
      <c r="Q495" s="68">
        <v>3.9</v>
      </c>
      <c r="R495" s="69" t="s">
        <v>3470</v>
      </c>
      <c r="S495" s="69" t="s">
        <v>3489</v>
      </c>
      <c r="T495" s="70" t="s">
        <v>3512</v>
      </c>
      <c r="U495" s="452"/>
      <c r="V495" s="453" t="str">
        <f>IF(VLOOKUP($A495,'GeneratingCapabilityList sorted'!$E$9:$O$801,8,FALSE)&lt;&gt;"",VLOOKUP($A495,'GeneratingCapabilityList sorted'!$E$9:$O$801,8,FALSE),"NoneListed")</f>
        <v>WATER</v>
      </c>
      <c r="W495" s="454">
        <f>IF($AB495,$AB495,IF($AA495,$AA495,Scenarios!$B$43))</f>
        <v>4750</v>
      </c>
      <c r="X495" s="454"/>
      <c r="Y495" s="454"/>
      <c r="Z495" s="454"/>
      <c r="AA495" s="454">
        <f>IFERROR(VLOOKUP($A495,'GeneratingCapabilityList sorted'!$E$9:$O$801,11,FALSE),Scenarios!$B$43)</f>
        <v>4750</v>
      </c>
      <c r="AB495" s="453"/>
      <c r="AC495" s="453"/>
    </row>
    <row r="496" spans="1:29" x14ac:dyDescent="0.25">
      <c r="A496" s="65" t="s">
        <v>280</v>
      </c>
      <c r="B496" s="65" t="s">
        <v>3864</v>
      </c>
      <c r="C496" s="66" t="s">
        <v>3477</v>
      </c>
      <c r="D496" s="66" t="s">
        <v>3388</v>
      </c>
      <c r="E496" s="67">
        <v>0</v>
      </c>
      <c r="F496" s="68">
        <v>1.33</v>
      </c>
      <c r="G496" s="68">
        <v>1</v>
      </c>
      <c r="H496" s="68">
        <v>1.06</v>
      </c>
      <c r="I496" s="68">
        <v>1.27</v>
      </c>
      <c r="J496" s="68">
        <v>1.29</v>
      </c>
      <c r="K496" s="68">
        <v>1.19</v>
      </c>
      <c r="L496" s="68">
        <v>1.46</v>
      </c>
      <c r="M496" s="68">
        <v>0.71</v>
      </c>
      <c r="N496" s="68">
        <v>0.49</v>
      </c>
      <c r="O496" s="68">
        <v>0.05</v>
      </c>
      <c r="P496" s="68">
        <v>0.75</v>
      </c>
      <c r="Q496" s="68">
        <v>0.54</v>
      </c>
      <c r="R496" s="69" t="s">
        <v>3470</v>
      </c>
      <c r="S496" s="69" t="s">
        <v>3489</v>
      </c>
      <c r="T496" s="70" t="s">
        <v>3512</v>
      </c>
      <c r="U496" s="452"/>
      <c r="V496" s="453" t="str">
        <f>IF(VLOOKUP($A496,'GeneratingCapabilityList sorted'!$E$9:$O$801,8,FALSE)&lt;&gt;"",VLOOKUP($A496,'GeneratingCapabilityList sorted'!$E$9:$O$801,8,FALSE),"NoneListed")</f>
        <v>WATER</v>
      </c>
      <c r="W496" s="454">
        <f>IF($AB496,$AB496,IF($AA496,$AA496,Scenarios!$B$43))</f>
        <v>10594</v>
      </c>
      <c r="X496" s="454"/>
      <c r="Y496" s="454"/>
      <c r="Z496" s="454"/>
      <c r="AA496" s="454">
        <f>IFERROR(VLOOKUP($A496,'GeneratingCapabilityList sorted'!$E$9:$O$801,11,FALSE),Scenarios!$B$43)</f>
        <v>10594</v>
      </c>
      <c r="AB496" s="453"/>
      <c r="AC496" s="453"/>
    </row>
    <row r="497" spans="1:29" x14ac:dyDescent="0.25">
      <c r="A497" s="65" t="s">
        <v>1047</v>
      </c>
      <c r="B497" s="65" t="s">
        <v>3865</v>
      </c>
      <c r="C497" s="66" t="s">
        <v>3477</v>
      </c>
      <c r="D497" s="66" t="s">
        <v>3388</v>
      </c>
      <c r="E497" s="67">
        <v>0</v>
      </c>
      <c r="F497" s="68">
        <v>0.72</v>
      </c>
      <c r="G497" s="68">
        <v>2.76</v>
      </c>
      <c r="H497" s="68">
        <v>2.0699999999999998</v>
      </c>
      <c r="I497" s="68">
        <v>0.27</v>
      </c>
      <c r="J497" s="68">
        <v>7.85</v>
      </c>
      <c r="K497" s="68">
        <v>19.53</v>
      </c>
      <c r="L497" s="68">
        <v>15.61</v>
      </c>
      <c r="M497" s="68">
        <v>5.34</v>
      </c>
      <c r="N497" s="68">
        <v>0.28000000000000003</v>
      </c>
      <c r="O497" s="68">
        <v>0.66</v>
      </c>
      <c r="P497" s="68">
        <v>0.2</v>
      </c>
      <c r="Q497" s="68">
        <v>0.61</v>
      </c>
      <c r="R497" s="69" t="s">
        <v>3470</v>
      </c>
      <c r="S497" s="69" t="s">
        <v>3489</v>
      </c>
      <c r="T497" s="70" t="s">
        <v>3497</v>
      </c>
      <c r="U497" s="452"/>
      <c r="V497" s="453" t="str">
        <f>IF(VLOOKUP($A497,'GeneratingCapabilityList sorted'!$E$9:$O$801,8,FALSE)&lt;&gt;"",VLOOKUP($A497,'GeneratingCapabilityList sorted'!$E$9:$O$801,8,FALSE),"NoneListed")</f>
        <v>WATER</v>
      </c>
      <c r="W497" s="454">
        <f>IF($AB497,$AB497,IF($AA497,$AA497,Scenarios!$B$43))</f>
        <v>30682</v>
      </c>
      <c r="X497" s="454"/>
      <c r="Y497" s="454"/>
      <c r="Z497" s="454"/>
      <c r="AA497" s="454">
        <f>IFERROR(VLOOKUP($A497,'GeneratingCapabilityList sorted'!$E$9:$O$801,11,FALSE),Scenarios!$B$43)</f>
        <v>30682</v>
      </c>
      <c r="AB497" s="453"/>
      <c r="AC497" s="453"/>
    </row>
    <row r="498" spans="1:29" x14ac:dyDescent="0.25">
      <c r="A498" s="65" t="s">
        <v>2273</v>
      </c>
      <c r="B498" s="65" t="s">
        <v>2273</v>
      </c>
      <c r="C498" s="66" t="s">
        <v>3477</v>
      </c>
      <c r="D498" s="66" t="s">
        <v>3388</v>
      </c>
      <c r="E498" s="67">
        <v>1.6</v>
      </c>
      <c r="F498" s="68">
        <v>0</v>
      </c>
      <c r="G498" s="68">
        <v>0</v>
      </c>
      <c r="H498" s="68">
        <v>0</v>
      </c>
      <c r="I498" s="68">
        <v>0</v>
      </c>
      <c r="J498" s="68">
        <v>0</v>
      </c>
      <c r="K498" s="68">
        <v>0</v>
      </c>
      <c r="L498" s="68">
        <v>0</v>
      </c>
      <c r="M498" s="68">
        <v>0</v>
      </c>
      <c r="N498" s="68">
        <v>0</v>
      </c>
      <c r="O498" s="68">
        <v>0</v>
      </c>
      <c r="P498" s="68">
        <v>0</v>
      </c>
      <c r="Q498" s="68">
        <v>0</v>
      </c>
      <c r="R498" s="69" t="s">
        <v>3470</v>
      </c>
      <c r="S498" s="69" t="s">
        <v>3866</v>
      </c>
      <c r="T498" s="70" t="s">
        <v>3497</v>
      </c>
      <c r="U498" s="452"/>
      <c r="V498" s="453" t="str">
        <f>IF(VLOOKUP($A498,'GeneratingCapabilityList sorted'!$E$9:$O$801,8,FALSE)&lt;&gt;"",VLOOKUP($A498,'GeneratingCapabilityList sorted'!$E$9:$O$801,8,FALSE),"NoneListed")</f>
        <v>LANDFILL GAS</v>
      </c>
      <c r="W498" s="454">
        <f>IF($AB498,$AB498,IF($AA498,$AA498,Scenarios!$B$43))</f>
        <v>35923</v>
      </c>
      <c r="X498" s="454"/>
      <c r="Y498" s="454"/>
      <c r="Z498" s="454"/>
      <c r="AA498" s="454">
        <f>IFERROR(VLOOKUP($A498,'GeneratingCapabilityList sorted'!$E$9:$O$801,11,FALSE),Scenarios!$B$43)</f>
        <v>35923</v>
      </c>
      <c r="AB498" s="453"/>
      <c r="AC498" s="453"/>
    </row>
    <row r="499" spans="1:29" x14ac:dyDescent="0.25">
      <c r="A499" s="65" t="s">
        <v>2436</v>
      </c>
      <c r="B499" s="65" t="s">
        <v>3867</v>
      </c>
      <c r="C499" s="66" t="s">
        <v>3468</v>
      </c>
      <c r="D499" s="66" t="s">
        <v>3488</v>
      </c>
      <c r="E499" s="67">
        <v>44</v>
      </c>
      <c r="F499" s="68">
        <v>0</v>
      </c>
      <c r="G499" s="68">
        <v>0</v>
      </c>
      <c r="H499" s="68">
        <v>0</v>
      </c>
      <c r="I499" s="68">
        <v>0</v>
      </c>
      <c r="J499" s="68">
        <v>0</v>
      </c>
      <c r="K499" s="68">
        <v>0</v>
      </c>
      <c r="L499" s="68">
        <v>0</v>
      </c>
      <c r="M499" s="68">
        <v>0</v>
      </c>
      <c r="N499" s="68">
        <v>0</v>
      </c>
      <c r="O499" s="68">
        <v>0</v>
      </c>
      <c r="P499" s="68">
        <v>0</v>
      </c>
      <c r="Q499" s="68">
        <v>0</v>
      </c>
      <c r="R499" s="69" t="s">
        <v>3470</v>
      </c>
      <c r="S499" s="69" t="s">
        <v>3471</v>
      </c>
      <c r="T499" s="70" t="s">
        <v>3472</v>
      </c>
      <c r="U499" s="452"/>
      <c r="V499" s="453" t="str">
        <f>IF(VLOOKUP($A499,'GeneratingCapabilityList sorted'!$E$9:$O$801,8,FALSE)&lt;&gt;"",VLOOKUP($A499,'GeneratingCapabilityList sorted'!$E$9:$O$801,8,FALSE),"NoneListed")</f>
        <v>NATURAL GAS</v>
      </c>
      <c r="W499" s="454">
        <f>IF($AB499,$AB499,IF($AA499,$AA499,Scenarios!$B$43))</f>
        <v>37114</v>
      </c>
      <c r="X499" s="454"/>
      <c r="Y499" s="454"/>
      <c r="Z499" s="454"/>
      <c r="AA499" s="454">
        <f>IFERROR(VLOOKUP($A499,'GeneratingCapabilityList sorted'!$E$9:$O$801,11,FALSE),Scenarios!$B$43)</f>
        <v>37114</v>
      </c>
      <c r="AB499" s="453"/>
      <c r="AC499" s="453"/>
    </row>
    <row r="500" spans="1:29" x14ac:dyDescent="0.25">
      <c r="A500" s="65" t="s">
        <v>386</v>
      </c>
      <c r="B500" s="65" t="s">
        <v>3868</v>
      </c>
      <c r="C500" s="66" t="s">
        <v>3477</v>
      </c>
      <c r="D500" s="66" t="s">
        <v>3387</v>
      </c>
      <c r="E500" s="67">
        <v>178.87</v>
      </c>
      <c r="F500" s="68">
        <v>0</v>
      </c>
      <c r="G500" s="68">
        <v>0</v>
      </c>
      <c r="H500" s="68">
        <v>0</v>
      </c>
      <c r="I500" s="68">
        <v>0</v>
      </c>
      <c r="J500" s="68">
        <v>0</v>
      </c>
      <c r="K500" s="68">
        <v>0</v>
      </c>
      <c r="L500" s="68">
        <v>0</v>
      </c>
      <c r="M500" s="68">
        <v>0</v>
      </c>
      <c r="N500" s="68">
        <v>0</v>
      </c>
      <c r="O500" s="68">
        <v>0</v>
      </c>
      <c r="P500" s="68">
        <v>0</v>
      </c>
      <c r="Q500" s="68">
        <v>0</v>
      </c>
      <c r="R500" s="69" t="s">
        <v>3470</v>
      </c>
      <c r="S500" s="69" t="s">
        <v>3471</v>
      </c>
      <c r="T500" s="70" t="s">
        <v>3472</v>
      </c>
      <c r="U500" s="452" t="s">
        <v>29</v>
      </c>
      <c r="V500" s="453" t="str">
        <f>IF(VLOOKUP($A500,'GeneratingCapabilityList sorted'!$E$9:$O$801,8,FALSE)&lt;&gt;"",VLOOKUP($A500,'GeneratingCapabilityList sorted'!$E$9:$O$801,8,FALSE),"NoneListed")</f>
        <v>NATURAL GAS</v>
      </c>
      <c r="W500" s="454">
        <f>IF($AB500,$AB500,IF($AA500,$AA500,Scenarios!$B$43))</f>
        <v>19725</v>
      </c>
      <c r="X500" s="454">
        <f>OTC!G40</f>
        <v>44196</v>
      </c>
      <c r="Y500" s="454">
        <f>OTC!H40</f>
        <v>44196</v>
      </c>
      <c r="Z500" s="454"/>
      <c r="AA500" s="454">
        <f>IFERROR(VLOOKUP($A500,'GeneratingCapabilityList sorted'!$E$9:$O$801,11,FALSE),Scenarios!$B$43)</f>
        <v>19725</v>
      </c>
      <c r="AB500" s="453"/>
      <c r="AC500" s="453"/>
    </row>
    <row r="501" spans="1:29" x14ac:dyDescent="0.25">
      <c r="A501" s="65" t="s">
        <v>411</v>
      </c>
      <c r="B501" s="65" t="s">
        <v>3869</v>
      </c>
      <c r="C501" s="66" t="s">
        <v>3477</v>
      </c>
      <c r="D501" s="66" t="s">
        <v>3387</v>
      </c>
      <c r="E501" s="67">
        <v>175</v>
      </c>
      <c r="F501" s="68">
        <v>0</v>
      </c>
      <c r="G501" s="68">
        <v>0</v>
      </c>
      <c r="H501" s="68">
        <v>0</v>
      </c>
      <c r="I501" s="68">
        <v>0</v>
      </c>
      <c r="J501" s="68">
        <v>0</v>
      </c>
      <c r="K501" s="68">
        <v>0</v>
      </c>
      <c r="L501" s="68">
        <v>0</v>
      </c>
      <c r="M501" s="68">
        <v>0</v>
      </c>
      <c r="N501" s="68">
        <v>0</v>
      </c>
      <c r="O501" s="68">
        <v>0</v>
      </c>
      <c r="P501" s="68">
        <v>0</v>
      </c>
      <c r="Q501" s="68">
        <v>0</v>
      </c>
      <c r="R501" s="69" t="s">
        <v>3470</v>
      </c>
      <c r="S501" s="69" t="s">
        <v>3471</v>
      </c>
      <c r="T501" s="70" t="s">
        <v>3472</v>
      </c>
      <c r="U501" s="452" t="s">
        <v>29</v>
      </c>
      <c r="V501" s="453" t="str">
        <f>IF(VLOOKUP($A501,'GeneratingCapabilityList sorted'!$E$9:$O$801,8,FALSE)&lt;&gt;"",VLOOKUP($A501,'GeneratingCapabilityList sorted'!$E$9:$O$801,8,FALSE),"NoneListed")</f>
        <v>NATURAL GAS</v>
      </c>
      <c r="W501" s="454">
        <f>IF($AB501,$AB501,IF($AA501,$AA501,Scenarios!$B$43))</f>
        <v>20821</v>
      </c>
      <c r="X501" s="454">
        <f>OTC!G41</f>
        <v>44196</v>
      </c>
      <c r="Y501" s="454">
        <f>OTC!H41</f>
        <v>44196</v>
      </c>
      <c r="Z501" s="454"/>
      <c r="AA501" s="454">
        <f>IFERROR(VLOOKUP($A501,'GeneratingCapabilityList sorted'!$E$9:$O$801,11,FALSE),Scenarios!$B$43)</f>
        <v>20821</v>
      </c>
      <c r="AB501" s="453"/>
      <c r="AC501" s="453"/>
    </row>
    <row r="502" spans="1:29" x14ac:dyDescent="0.25">
      <c r="A502" s="65" t="s">
        <v>554</v>
      </c>
      <c r="B502" s="65" t="s">
        <v>3870</v>
      </c>
      <c r="C502" s="66" t="s">
        <v>3477</v>
      </c>
      <c r="D502" s="66" t="s">
        <v>3387</v>
      </c>
      <c r="E502" s="67">
        <v>505.96</v>
      </c>
      <c r="F502" s="68">
        <v>0</v>
      </c>
      <c r="G502" s="68">
        <v>0</v>
      </c>
      <c r="H502" s="68">
        <v>0</v>
      </c>
      <c r="I502" s="68">
        <v>0</v>
      </c>
      <c r="J502" s="68">
        <v>0</v>
      </c>
      <c r="K502" s="68">
        <v>0</v>
      </c>
      <c r="L502" s="68">
        <v>0</v>
      </c>
      <c r="M502" s="68">
        <v>0</v>
      </c>
      <c r="N502" s="68">
        <v>0</v>
      </c>
      <c r="O502" s="68">
        <v>0</v>
      </c>
      <c r="P502" s="68">
        <v>0</v>
      </c>
      <c r="Q502" s="68">
        <v>0</v>
      </c>
      <c r="R502" s="69" t="s">
        <v>3470</v>
      </c>
      <c r="S502" s="69" t="s">
        <v>3471</v>
      </c>
      <c r="T502" s="70" t="s">
        <v>3472</v>
      </c>
      <c r="U502" s="452" t="s">
        <v>29</v>
      </c>
      <c r="V502" s="453" t="str">
        <f>IF(VLOOKUP($A502,'GeneratingCapabilityList sorted'!$E$9:$O$801,8,FALSE)&lt;&gt;"",VLOOKUP($A502,'GeneratingCapabilityList sorted'!$E$9:$O$801,8,FALSE),"NoneListed")</f>
        <v>NATURAL GAS</v>
      </c>
      <c r="W502" s="454">
        <f>IF($AB502,$AB502,IF($AA502,$AA502,Scenarios!$B$43))</f>
        <v>24473</v>
      </c>
      <c r="X502" s="454">
        <f>OTC!G42</f>
        <v>44196</v>
      </c>
      <c r="Y502" s="454">
        <f>OTC!H42</f>
        <v>44196</v>
      </c>
      <c r="Z502" s="454"/>
      <c r="AA502" s="454">
        <f>IFERROR(VLOOKUP($A502,'GeneratingCapabilityList sorted'!$E$9:$O$801,11,FALSE),Scenarios!$B$43)</f>
        <v>24473</v>
      </c>
      <c r="AB502" s="453"/>
      <c r="AC502" s="453"/>
    </row>
    <row r="503" spans="1:29" x14ac:dyDescent="0.25">
      <c r="A503" s="65" t="s">
        <v>556</v>
      </c>
      <c r="B503" s="65" t="s">
        <v>3871</v>
      </c>
      <c r="C503" s="66" t="s">
        <v>3477</v>
      </c>
      <c r="D503" s="66" t="s">
        <v>3387</v>
      </c>
      <c r="E503" s="67">
        <v>495.9</v>
      </c>
      <c r="F503" s="68">
        <v>0</v>
      </c>
      <c r="G503" s="68">
        <v>0</v>
      </c>
      <c r="H503" s="68">
        <v>0</v>
      </c>
      <c r="I503" s="68">
        <v>0</v>
      </c>
      <c r="J503" s="68">
        <v>0</v>
      </c>
      <c r="K503" s="68">
        <v>0</v>
      </c>
      <c r="L503" s="68">
        <v>0</v>
      </c>
      <c r="M503" s="68">
        <v>0</v>
      </c>
      <c r="N503" s="68">
        <v>0</v>
      </c>
      <c r="O503" s="68">
        <v>0</v>
      </c>
      <c r="P503" s="68">
        <v>0</v>
      </c>
      <c r="Q503" s="68">
        <v>0</v>
      </c>
      <c r="R503" s="69" t="s">
        <v>3470</v>
      </c>
      <c r="S503" s="69" t="s">
        <v>3471</v>
      </c>
      <c r="T503" s="70" t="s">
        <v>3472</v>
      </c>
      <c r="U503" s="452" t="s">
        <v>29</v>
      </c>
      <c r="V503" s="453" t="str">
        <f>IF(VLOOKUP($A503,'GeneratingCapabilityList sorted'!$E$9:$O$801,8,FALSE)&lt;&gt;"",VLOOKUP($A503,'GeneratingCapabilityList sorted'!$E$9:$O$801,8,FALSE),"NoneListed")</f>
        <v>NATURAL GAS</v>
      </c>
      <c r="W503" s="454">
        <f>IF($AB503,$AB503,IF($AA503,$AA503,Scenarios!$B$43))</f>
        <v>24473</v>
      </c>
      <c r="X503" s="454">
        <f>OTC!G43</f>
        <v>44196</v>
      </c>
      <c r="Y503" s="454">
        <f>OTC!H43</f>
        <v>44196</v>
      </c>
      <c r="Z503" s="454"/>
      <c r="AA503" s="454">
        <f>IFERROR(VLOOKUP($A503,'GeneratingCapabilityList sorted'!$E$9:$O$801,11,FALSE),Scenarios!$B$43)</f>
        <v>24473</v>
      </c>
      <c r="AB503" s="453"/>
      <c r="AC503" s="453"/>
    </row>
    <row r="504" spans="1:29" x14ac:dyDescent="0.25">
      <c r="A504" s="65" t="s">
        <v>1535</v>
      </c>
      <c r="B504" s="65" t="s">
        <v>3872</v>
      </c>
      <c r="C504" s="66" t="s">
        <v>3477</v>
      </c>
      <c r="D504" s="66" t="s">
        <v>3387</v>
      </c>
      <c r="E504" s="67">
        <v>0</v>
      </c>
      <c r="F504" s="68">
        <v>7.0000000000000007E-2</v>
      </c>
      <c r="G504" s="68">
        <v>1.34</v>
      </c>
      <c r="H504" s="68">
        <v>2.39</v>
      </c>
      <c r="I504" s="68">
        <v>2.66</v>
      </c>
      <c r="J504" s="68">
        <v>2.23</v>
      </c>
      <c r="K504" s="68">
        <v>2.5</v>
      </c>
      <c r="L504" s="68">
        <v>1.98</v>
      </c>
      <c r="M504" s="68">
        <v>2.54</v>
      </c>
      <c r="N504" s="68">
        <v>1.85</v>
      </c>
      <c r="O504" s="68">
        <v>0.47</v>
      </c>
      <c r="P504" s="68">
        <v>0.8</v>
      </c>
      <c r="Q504" s="68">
        <v>0.42</v>
      </c>
      <c r="R504" s="69" t="s">
        <v>3470</v>
      </c>
      <c r="S504" s="69" t="s">
        <v>3489</v>
      </c>
      <c r="T504" s="70" t="s">
        <v>3497</v>
      </c>
      <c r="U504" s="452"/>
      <c r="V504" s="453" t="str">
        <f>IF(VLOOKUP($A504,'GeneratingCapabilityList sorted'!$E$9:$O$801,8,FALSE)&lt;&gt;"",VLOOKUP($A504,'GeneratingCapabilityList sorted'!$E$9:$O$801,8,FALSE),"NoneListed")</f>
        <v>WATER</v>
      </c>
      <c r="W504" s="454">
        <f>IF($AB504,$AB504,IF($AA504,$AA504,Scenarios!$B$43))</f>
        <v>31778</v>
      </c>
      <c r="X504" s="454"/>
      <c r="Y504" s="454"/>
      <c r="Z504" s="454"/>
      <c r="AA504" s="454">
        <f>IFERROR(VLOOKUP($A504,'GeneratingCapabilityList sorted'!$E$9:$O$801,11,FALSE),Scenarios!$B$43)</f>
        <v>31778</v>
      </c>
      <c r="AB504" s="453"/>
      <c r="AC504" s="453"/>
    </row>
    <row r="505" spans="1:29" x14ac:dyDescent="0.25">
      <c r="A505" s="65" t="s">
        <v>2908</v>
      </c>
      <c r="B505" s="65" t="s">
        <v>3873</v>
      </c>
      <c r="C505" s="66" t="s">
        <v>3477</v>
      </c>
      <c r="D505" s="66" t="s">
        <v>3387</v>
      </c>
      <c r="E505" s="67">
        <v>0</v>
      </c>
      <c r="F505" s="68">
        <v>0</v>
      </c>
      <c r="G505" s="68">
        <v>0</v>
      </c>
      <c r="H505" s="68">
        <v>0.01</v>
      </c>
      <c r="I505" s="68">
        <v>0</v>
      </c>
      <c r="J505" s="68">
        <v>0</v>
      </c>
      <c r="K505" s="68">
        <v>0.01</v>
      </c>
      <c r="L505" s="68">
        <v>0</v>
      </c>
      <c r="M505" s="68">
        <v>0</v>
      </c>
      <c r="N505" s="68">
        <v>0</v>
      </c>
      <c r="O505" s="68">
        <v>0.15</v>
      </c>
      <c r="P505" s="68">
        <v>0.14000000000000001</v>
      </c>
      <c r="Q505" s="68">
        <v>0.11</v>
      </c>
      <c r="R505" s="69" t="s">
        <v>3470</v>
      </c>
      <c r="S505" s="69" t="s">
        <v>3489</v>
      </c>
      <c r="T505" s="70" t="s">
        <v>3497</v>
      </c>
      <c r="U505" s="452"/>
      <c r="V505" s="453" t="str">
        <f>IF(VLOOKUP($A505,'GeneratingCapabilityList sorted'!$E$9:$O$801,8,FALSE)&lt;&gt;"",VLOOKUP($A505,'GeneratingCapabilityList sorted'!$E$9:$O$801,8,FALSE),"NoneListed")</f>
        <v>LANDFILL GAS</v>
      </c>
      <c r="W505" s="454">
        <f>IF($AB505,$AB505,IF($AA505,$AA505,Scenarios!$B$43))</f>
        <v>39423</v>
      </c>
      <c r="X505" s="454"/>
      <c r="Y505" s="454"/>
      <c r="Z505" s="454"/>
      <c r="AA505" s="454">
        <f>IFERROR(VLOOKUP($A505,'GeneratingCapabilityList sorted'!$E$9:$O$801,11,FALSE),Scenarios!$B$43)</f>
        <v>39423</v>
      </c>
      <c r="AB505" s="453"/>
      <c r="AC505" s="453"/>
    </row>
    <row r="506" spans="1:29" x14ac:dyDescent="0.25">
      <c r="A506" s="65" t="s">
        <v>1153</v>
      </c>
      <c r="B506" s="65" t="s">
        <v>3874</v>
      </c>
      <c r="C506" s="66" t="s">
        <v>3468</v>
      </c>
      <c r="D506" s="66" t="s">
        <v>3382</v>
      </c>
      <c r="E506" s="67">
        <v>0</v>
      </c>
      <c r="F506" s="68">
        <v>2</v>
      </c>
      <c r="G506" s="68">
        <v>2</v>
      </c>
      <c r="H506" s="68">
        <v>2</v>
      </c>
      <c r="I506" s="68">
        <v>2</v>
      </c>
      <c r="J506" s="68">
        <v>2</v>
      </c>
      <c r="K506" s="68">
        <v>2</v>
      </c>
      <c r="L506" s="68">
        <v>2</v>
      </c>
      <c r="M506" s="68">
        <v>2</v>
      </c>
      <c r="N506" s="68">
        <v>2</v>
      </c>
      <c r="O506" s="68">
        <v>2</v>
      </c>
      <c r="P506" s="68">
        <v>2</v>
      </c>
      <c r="Q506" s="68">
        <v>2</v>
      </c>
      <c r="R506" s="69" t="s">
        <v>3470</v>
      </c>
      <c r="S506" s="69" t="s">
        <v>879</v>
      </c>
      <c r="T506" s="70" t="s">
        <v>3497</v>
      </c>
      <c r="U506" s="452"/>
      <c r="V506" s="453" t="str">
        <f>IF(VLOOKUP($A506,'GeneratingCapabilityList sorted'!$E$9:$O$801,8,FALSE)&lt;&gt;"",VLOOKUP($A506,'GeneratingCapabilityList sorted'!$E$9:$O$801,8,FALSE),"NoneListed")</f>
        <v>LANDFILL GAS</v>
      </c>
      <c r="W506" s="454">
        <f>IF($AB506,$AB506,IF($AA506,$AA506,Scenarios!$B$43))</f>
        <v>31048</v>
      </c>
      <c r="X506" s="454"/>
      <c r="Y506" s="454"/>
      <c r="Z506" s="454"/>
      <c r="AA506" s="454">
        <f>IFERROR(VLOOKUP($A506,'GeneratingCapabilityList sorted'!$E$9:$O$801,11,FALSE),Scenarios!$B$43)</f>
        <v>31048</v>
      </c>
      <c r="AB506" s="453"/>
      <c r="AC506" s="453"/>
    </row>
    <row r="507" spans="1:29" x14ac:dyDescent="0.25">
      <c r="A507" s="65" t="s">
        <v>1874</v>
      </c>
      <c r="B507" s="65" t="s">
        <v>3875</v>
      </c>
      <c r="C507" s="66" t="s">
        <v>3468</v>
      </c>
      <c r="D507" s="66" t="s">
        <v>3505</v>
      </c>
      <c r="E507" s="67">
        <v>0</v>
      </c>
      <c r="F507" s="68">
        <v>0.05</v>
      </c>
      <c r="G507" s="68">
        <v>0.33</v>
      </c>
      <c r="H507" s="68">
        <v>2.76</v>
      </c>
      <c r="I507" s="68">
        <v>4.28</v>
      </c>
      <c r="J507" s="68">
        <v>5.93</v>
      </c>
      <c r="K507" s="68">
        <v>9.5500000000000007</v>
      </c>
      <c r="L507" s="68">
        <v>8.58</v>
      </c>
      <c r="M507" s="68">
        <v>8.5399999999999991</v>
      </c>
      <c r="N507" s="68">
        <v>4.55</v>
      </c>
      <c r="O507" s="68">
        <v>1</v>
      </c>
      <c r="P507" s="68">
        <v>0.11</v>
      </c>
      <c r="Q507" s="68">
        <v>0</v>
      </c>
      <c r="R507" s="69" t="s">
        <v>3470</v>
      </c>
      <c r="S507" s="69" t="s">
        <v>3489</v>
      </c>
      <c r="T507" s="70" t="s">
        <v>3502</v>
      </c>
      <c r="U507" s="452"/>
      <c r="V507" s="453" t="str">
        <f>IF(VLOOKUP($A507,'GeneratingCapabilityList sorted'!$E$9:$O$801,8,FALSE)&lt;&gt;"",VLOOKUP($A507,'GeneratingCapabilityList sorted'!$E$9:$O$801,8,FALSE),"NoneListed")</f>
        <v>WATER</v>
      </c>
      <c r="W507" s="454">
        <f>IF($AB507,$AB507,IF($AA507,$AA507,Scenarios!$B$43))</f>
        <v>32646</v>
      </c>
      <c r="X507" s="454"/>
      <c r="Y507" s="454"/>
      <c r="Z507" s="454"/>
      <c r="AA507" s="454">
        <f>IFERROR(VLOOKUP($A507,'GeneratingCapabilityList sorted'!$E$9:$O$801,11,FALSE),Scenarios!$B$43)</f>
        <v>32646</v>
      </c>
      <c r="AB507" s="453"/>
      <c r="AC507" s="453"/>
    </row>
    <row r="508" spans="1:29" x14ac:dyDescent="0.25">
      <c r="A508" s="65" t="s">
        <v>1050</v>
      </c>
      <c r="B508" s="65" t="s">
        <v>3876</v>
      </c>
      <c r="C508" s="66" t="s">
        <v>3468</v>
      </c>
      <c r="D508" s="66" t="s">
        <v>3510</v>
      </c>
      <c r="E508" s="67">
        <v>0</v>
      </c>
      <c r="F508" s="68">
        <v>0.48</v>
      </c>
      <c r="G508" s="68">
        <v>0.76</v>
      </c>
      <c r="H508" s="68">
        <v>1.23</v>
      </c>
      <c r="I508" s="68">
        <v>1.62</v>
      </c>
      <c r="J508" s="68">
        <v>1.94</v>
      </c>
      <c r="K508" s="68">
        <v>1.57</v>
      </c>
      <c r="L508" s="68">
        <v>1.38</v>
      </c>
      <c r="M508" s="68">
        <v>1.1200000000000001</v>
      </c>
      <c r="N508" s="68">
        <v>1.05</v>
      </c>
      <c r="O508" s="68">
        <v>0.42</v>
      </c>
      <c r="P508" s="68">
        <v>0.25</v>
      </c>
      <c r="Q508" s="68">
        <v>0.67</v>
      </c>
      <c r="R508" s="69" t="s">
        <v>3470</v>
      </c>
      <c r="S508" s="69" t="s">
        <v>3489</v>
      </c>
      <c r="T508" s="70" t="s">
        <v>3502</v>
      </c>
      <c r="U508" s="452"/>
      <c r="V508" s="453" t="str">
        <f>IF(VLOOKUP($A508,'GeneratingCapabilityList sorted'!$E$9:$O$801,8,FALSE)&lt;&gt;"",VLOOKUP($A508,'GeneratingCapabilityList sorted'!$E$9:$O$801,8,FALSE),"NoneListed")</f>
        <v>WATER</v>
      </c>
      <c r="W508" s="454">
        <f>IF($AB508,$AB508,IF($AA508,$AA508,Scenarios!$B$43))</f>
        <v>30682</v>
      </c>
      <c r="X508" s="454"/>
      <c r="Y508" s="454"/>
      <c r="Z508" s="454"/>
      <c r="AA508" s="454">
        <f>IFERROR(VLOOKUP($A508,'GeneratingCapabilityList sorted'!$E$9:$O$801,11,FALSE),Scenarios!$B$43)</f>
        <v>30682</v>
      </c>
      <c r="AB508" s="453"/>
      <c r="AC508" s="453"/>
    </row>
    <row r="509" spans="1:29" x14ac:dyDescent="0.25">
      <c r="A509" s="65" t="s">
        <v>778</v>
      </c>
      <c r="B509" s="65" t="s">
        <v>3877</v>
      </c>
      <c r="C509" s="66" t="s">
        <v>3468</v>
      </c>
      <c r="D509" s="66" t="s">
        <v>3510</v>
      </c>
      <c r="E509" s="67">
        <v>0</v>
      </c>
      <c r="F509" s="68">
        <v>7.45</v>
      </c>
      <c r="G509" s="68">
        <v>6.97</v>
      </c>
      <c r="H509" s="68">
        <v>9.3699999999999992</v>
      </c>
      <c r="I509" s="68">
        <v>11.16</v>
      </c>
      <c r="J509" s="68">
        <v>11.55</v>
      </c>
      <c r="K509" s="68">
        <v>11.65</v>
      </c>
      <c r="L509" s="68">
        <v>11.43</v>
      </c>
      <c r="M509" s="68">
        <v>11.09</v>
      </c>
      <c r="N509" s="68">
        <v>10.94</v>
      </c>
      <c r="O509" s="68">
        <v>8.2899999999999991</v>
      </c>
      <c r="P509" s="68">
        <v>7.94</v>
      </c>
      <c r="Q509" s="68">
        <v>8.1199999999999992</v>
      </c>
      <c r="R509" s="69" t="s">
        <v>3470</v>
      </c>
      <c r="S509" s="69" t="s">
        <v>3489</v>
      </c>
      <c r="T509" s="70" t="s">
        <v>3484</v>
      </c>
      <c r="U509" s="452"/>
      <c r="V509" s="453" t="str">
        <f>IF(VLOOKUP($A509,'GeneratingCapabilityList sorted'!$E$9:$O$801,8,FALSE)&lt;&gt;"",VLOOKUP($A509,'GeneratingCapabilityList sorted'!$E$9:$O$801,8,FALSE),"NoneListed")</f>
        <v>WATER</v>
      </c>
      <c r="W509" s="454">
        <f>IF($AB509,$AB509,IF($AA509,$AA509,Scenarios!$B$43))</f>
        <v>29221</v>
      </c>
      <c r="X509" s="454"/>
      <c r="Y509" s="454"/>
      <c r="Z509" s="454"/>
      <c r="AA509" s="454">
        <f>IFERROR(VLOOKUP($A509,'GeneratingCapabilityList sorted'!$E$9:$O$801,11,FALSE),Scenarios!$B$43)</f>
        <v>29221</v>
      </c>
      <c r="AB509" s="453"/>
      <c r="AC509" s="453"/>
    </row>
    <row r="510" spans="1:29" x14ac:dyDescent="0.25">
      <c r="A510" s="65" t="s">
        <v>2653</v>
      </c>
      <c r="B510" s="65" t="s">
        <v>3878</v>
      </c>
      <c r="C510" s="66" t="s">
        <v>3468</v>
      </c>
      <c r="D510" s="66" t="s">
        <v>3382</v>
      </c>
      <c r="E510" s="67">
        <v>0</v>
      </c>
      <c r="F510" s="68">
        <v>48.7</v>
      </c>
      <c r="G510" s="68">
        <v>48.7</v>
      </c>
      <c r="H510" s="68">
        <v>48.7</v>
      </c>
      <c r="I510" s="68">
        <v>48.7</v>
      </c>
      <c r="J510" s="68">
        <v>47.7</v>
      </c>
      <c r="K510" s="68">
        <v>46</v>
      </c>
      <c r="L510" s="68">
        <v>46</v>
      </c>
      <c r="M510" s="68">
        <v>46</v>
      </c>
      <c r="N510" s="68">
        <v>47</v>
      </c>
      <c r="O510" s="68">
        <v>48.7</v>
      </c>
      <c r="P510" s="68">
        <v>48.7</v>
      </c>
      <c r="Q510" s="68">
        <v>48.7</v>
      </c>
      <c r="R510" s="69" t="s">
        <v>3470</v>
      </c>
      <c r="S510" s="69" t="s">
        <v>3471</v>
      </c>
      <c r="T510" s="70" t="s">
        <v>3472</v>
      </c>
      <c r="U510" s="452"/>
      <c r="V510" s="453" t="str">
        <f>IF(VLOOKUP($A510,'GeneratingCapabilityList sorted'!$E$9:$O$801,8,FALSE)&lt;&gt;"",VLOOKUP($A510,'GeneratingCapabilityList sorted'!$E$9:$O$801,8,FALSE),"NoneListed")</f>
        <v>NATURAL GAS</v>
      </c>
      <c r="W510" s="454">
        <f>IF($AB510,$AB510,IF($AA510,$AA510,Scenarios!$B$43))</f>
        <v>37743</v>
      </c>
      <c r="X510" s="454"/>
      <c r="Y510" s="454"/>
      <c r="Z510" s="454"/>
      <c r="AA510" s="454">
        <f>IFERROR(VLOOKUP($A510,'GeneratingCapabilityList sorted'!$E$9:$O$801,11,FALSE),Scenarios!$B$43)</f>
        <v>37743</v>
      </c>
      <c r="AB510" s="453"/>
      <c r="AC510" s="453"/>
    </row>
    <row r="511" spans="1:29" x14ac:dyDescent="0.25">
      <c r="A511" s="65" t="s">
        <v>3034</v>
      </c>
      <c r="B511" s="65" t="s">
        <v>3879</v>
      </c>
      <c r="C511" s="66" t="s">
        <v>3477</v>
      </c>
      <c r="D511" s="66" t="s">
        <v>3387</v>
      </c>
      <c r="E511" s="67">
        <v>48.5</v>
      </c>
      <c r="F511" s="68"/>
      <c r="G511" s="68"/>
      <c r="H511" s="68"/>
      <c r="I511" s="68"/>
      <c r="J511" s="68"/>
      <c r="K511" s="68"/>
      <c r="L511" s="68"/>
      <c r="M511" s="68"/>
      <c r="N511" s="68"/>
      <c r="O511" s="68"/>
      <c r="P511" s="68"/>
      <c r="Q511" s="68"/>
      <c r="R511" s="69" t="s">
        <v>3470</v>
      </c>
      <c r="S511" s="69" t="s">
        <v>3471</v>
      </c>
      <c r="T511" s="70" t="s">
        <v>3472</v>
      </c>
      <c r="U511" s="452"/>
      <c r="V511" s="453" t="str">
        <f>IF(VLOOKUP($A511,'GeneratingCapabilityList sorted'!$E$9:$O$801,8,FALSE)&lt;&gt;"",VLOOKUP($A511,'GeneratingCapabilityList sorted'!$E$9:$O$801,8,FALSE),"NoneListed")</f>
        <v>NATURAL GAS</v>
      </c>
      <c r="W511" s="454">
        <f>IF($AB511,$AB511,IF($AA511,$AA511,Scenarios!$B$43))</f>
        <v>40634</v>
      </c>
      <c r="X511" s="454"/>
      <c r="Y511" s="454"/>
      <c r="Z511" s="454"/>
      <c r="AA511" s="454">
        <f>IFERROR(VLOOKUP($A511,'GeneratingCapabilityList sorted'!$E$9:$O$801,11,FALSE),Scenarios!$B$43)</f>
        <v>40634</v>
      </c>
      <c r="AB511" s="453"/>
      <c r="AC511" s="453"/>
    </row>
    <row r="512" spans="1:29" x14ac:dyDescent="0.25">
      <c r="A512" s="65" t="s">
        <v>3037</v>
      </c>
      <c r="B512" s="65" t="s">
        <v>3880</v>
      </c>
      <c r="C512" s="66" t="s">
        <v>3477</v>
      </c>
      <c r="D512" s="66" t="s">
        <v>3387</v>
      </c>
      <c r="E512" s="67">
        <v>48.5</v>
      </c>
      <c r="F512" s="68"/>
      <c r="G512" s="68"/>
      <c r="H512" s="68"/>
      <c r="I512" s="68"/>
      <c r="J512" s="68"/>
      <c r="K512" s="68"/>
      <c r="L512" s="68"/>
      <c r="M512" s="68"/>
      <c r="N512" s="68"/>
      <c r="O512" s="68"/>
      <c r="P512" s="68"/>
      <c r="Q512" s="68"/>
      <c r="R512" s="69" t="s">
        <v>3470</v>
      </c>
      <c r="S512" s="69" t="s">
        <v>3471</v>
      </c>
      <c r="T512" s="70" t="s">
        <v>3472</v>
      </c>
      <c r="U512" s="452"/>
      <c r="V512" s="453" t="str">
        <f>IF(VLOOKUP($A512,'GeneratingCapabilityList sorted'!$E$9:$O$801,8,FALSE)&lt;&gt;"",VLOOKUP($A512,'GeneratingCapabilityList sorted'!$E$9:$O$801,8,FALSE),"NoneListed")</f>
        <v>NATURAL GAS</v>
      </c>
      <c r="W512" s="454">
        <f>IF($AB512,$AB512,IF($AA512,$AA512,Scenarios!$B$43))</f>
        <v>40634</v>
      </c>
      <c r="X512" s="454"/>
      <c r="Y512" s="454"/>
      <c r="Z512" s="454"/>
      <c r="AA512" s="454">
        <f>IFERROR(VLOOKUP($A512,'GeneratingCapabilityList sorted'!$E$9:$O$801,11,FALSE),Scenarios!$B$43)</f>
        <v>40634</v>
      </c>
      <c r="AB512" s="453"/>
      <c r="AC512" s="453"/>
    </row>
    <row r="513" spans="1:29" x14ac:dyDescent="0.25">
      <c r="A513" s="65" t="s">
        <v>2856</v>
      </c>
      <c r="B513" s="65" t="s">
        <v>2857</v>
      </c>
      <c r="C513" s="66" t="s">
        <v>3477</v>
      </c>
      <c r="D513" s="66" t="s">
        <v>3387</v>
      </c>
      <c r="E513" s="67">
        <v>48.35</v>
      </c>
      <c r="F513" s="68"/>
      <c r="G513" s="68"/>
      <c r="H513" s="68"/>
      <c r="I513" s="68"/>
      <c r="J513" s="68"/>
      <c r="K513" s="68"/>
      <c r="L513" s="68"/>
      <c r="M513" s="68"/>
      <c r="N513" s="68"/>
      <c r="O513" s="68"/>
      <c r="P513" s="68"/>
      <c r="Q513" s="68"/>
      <c r="R513" s="69" t="s">
        <v>3470</v>
      </c>
      <c r="S513" s="69" t="s">
        <v>3471</v>
      </c>
      <c r="T513" s="70" t="s">
        <v>3472</v>
      </c>
      <c r="U513" s="452"/>
      <c r="V513" s="453" t="str">
        <f>IF(VLOOKUP($A513,'GeneratingCapabilityList sorted'!$E$9:$O$801,8,FALSE)&lt;&gt;"",VLOOKUP($A513,'GeneratingCapabilityList sorted'!$E$9:$O$801,8,FALSE),"NoneListed")</f>
        <v>NATURAL GAS</v>
      </c>
      <c r="W513" s="454">
        <f>IF($AB513,$AB513,IF($AA513,$AA513,Scenarios!$B$43))</f>
        <v>38869</v>
      </c>
      <c r="X513" s="454"/>
      <c r="Y513" s="454"/>
      <c r="Z513" s="454"/>
      <c r="AA513" s="454">
        <f>IFERROR(VLOOKUP($A513,'GeneratingCapabilityList sorted'!$E$9:$O$801,11,FALSE),Scenarios!$B$43)</f>
        <v>38869</v>
      </c>
      <c r="AB513" s="453"/>
      <c r="AC513" s="453"/>
    </row>
    <row r="514" spans="1:29" x14ac:dyDescent="0.25">
      <c r="A514" s="65" t="s">
        <v>2859</v>
      </c>
      <c r="B514" s="65" t="s">
        <v>2860</v>
      </c>
      <c r="C514" s="66" t="s">
        <v>3477</v>
      </c>
      <c r="D514" s="66" t="s">
        <v>3387</v>
      </c>
      <c r="E514" s="67">
        <v>48.5</v>
      </c>
      <c r="F514" s="68"/>
      <c r="G514" s="68"/>
      <c r="H514" s="68"/>
      <c r="I514" s="68"/>
      <c r="J514" s="68"/>
      <c r="K514" s="68"/>
      <c r="L514" s="68"/>
      <c r="M514" s="68"/>
      <c r="N514" s="68"/>
      <c r="O514" s="68"/>
      <c r="P514" s="68"/>
      <c r="Q514" s="68"/>
      <c r="R514" s="69" t="s">
        <v>3470</v>
      </c>
      <c r="S514" s="69" t="s">
        <v>3471</v>
      </c>
      <c r="T514" s="70" t="s">
        <v>3472</v>
      </c>
      <c r="U514" s="452"/>
      <c r="V514" s="453" t="str">
        <f>IF(VLOOKUP($A514,'GeneratingCapabilityList sorted'!$E$9:$O$801,8,FALSE)&lt;&gt;"",VLOOKUP($A514,'GeneratingCapabilityList sorted'!$E$9:$O$801,8,FALSE),"NoneListed")</f>
        <v>NATURAL GAS</v>
      </c>
      <c r="W514" s="454">
        <f>IF($AB514,$AB514,IF($AA514,$AA514,Scenarios!$B$43))</f>
        <v>38869</v>
      </c>
      <c r="X514" s="454"/>
      <c r="Y514" s="454"/>
      <c r="Z514" s="454"/>
      <c r="AA514" s="454">
        <f>IFERROR(VLOOKUP($A514,'GeneratingCapabilityList sorted'!$E$9:$O$801,11,FALSE),Scenarios!$B$43)</f>
        <v>38869</v>
      </c>
      <c r="AB514" s="453"/>
      <c r="AC514" s="453"/>
    </row>
    <row r="515" spans="1:29" x14ac:dyDescent="0.25">
      <c r="A515" s="65" t="s">
        <v>2547</v>
      </c>
      <c r="B515" s="65" t="s">
        <v>3881</v>
      </c>
      <c r="C515" s="66" t="s">
        <v>3477</v>
      </c>
      <c r="D515" s="66" t="s">
        <v>3387</v>
      </c>
      <c r="E515" s="67">
        <v>36</v>
      </c>
      <c r="F515" s="68">
        <v>0</v>
      </c>
      <c r="G515" s="68">
        <v>0</v>
      </c>
      <c r="H515" s="68">
        <v>0</v>
      </c>
      <c r="I515" s="68">
        <v>0</v>
      </c>
      <c r="J515" s="68">
        <v>0</v>
      </c>
      <c r="K515" s="68">
        <v>0</v>
      </c>
      <c r="L515" s="68">
        <v>0</v>
      </c>
      <c r="M515" s="68">
        <v>0</v>
      </c>
      <c r="N515" s="68">
        <v>0</v>
      </c>
      <c r="O515" s="68">
        <v>0</v>
      </c>
      <c r="P515" s="68">
        <v>0</v>
      </c>
      <c r="Q515" s="68">
        <v>0</v>
      </c>
      <c r="R515" s="69" t="s">
        <v>3470</v>
      </c>
      <c r="S515" s="69" t="s">
        <v>3471</v>
      </c>
      <c r="T515" s="70" t="s">
        <v>3472</v>
      </c>
      <c r="U515" s="452"/>
      <c r="V515" s="453" t="str">
        <f>IF(VLOOKUP($A515,'GeneratingCapabilityList sorted'!$E$9:$O$801,8,FALSE)&lt;&gt;"",VLOOKUP($A515,'GeneratingCapabilityList sorted'!$E$9:$O$801,8,FALSE),"NoneListed")</f>
        <v>NATURAL GAS</v>
      </c>
      <c r="W515" s="454">
        <f>IF($AB515,$AB515,IF($AA515,$AA515,Scenarios!$B$43))</f>
        <v>37420</v>
      </c>
      <c r="X515" s="454"/>
      <c r="Y515" s="454"/>
      <c r="Z515" s="454"/>
      <c r="AA515" s="454">
        <f>IFERROR(VLOOKUP($A515,'GeneratingCapabilityList sorted'!$E$9:$O$801,11,FALSE),Scenarios!$B$43)</f>
        <v>37420</v>
      </c>
      <c r="AB515" s="453"/>
      <c r="AC515" s="453"/>
    </row>
    <row r="516" spans="1:29" x14ac:dyDescent="0.25">
      <c r="A516" s="65" t="s">
        <v>2127</v>
      </c>
      <c r="B516" s="65" t="s">
        <v>2128</v>
      </c>
      <c r="C516" s="66" t="s">
        <v>3468</v>
      </c>
      <c r="D516" s="66" t="s">
        <v>3488</v>
      </c>
      <c r="E516" s="67">
        <v>0</v>
      </c>
      <c r="F516" s="68">
        <v>34.57</v>
      </c>
      <c r="G516" s="68">
        <v>35.72</v>
      </c>
      <c r="H516" s="68">
        <v>34.799999999999997</v>
      </c>
      <c r="I516" s="68">
        <v>34.81</v>
      </c>
      <c r="J516" s="68">
        <v>30.77</v>
      </c>
      <c r="K516" s="68">
        <v>33.18</v>
      </c>
      <c r="L516" s="68">
        <v>31.89</v>
      </c>
      <c r="M516" s="68">
        <v>31.26</v>
      </c>
      <c r="N516" s="68">
        <v>26.65</v>
      </c>
      <c r="O516" s="68">
        <v>30.64</v>
      </c>
      <c r="P516" s="68">
        <v>34.67</v>
      </c>
      <c r="Q516" s="68">
        <v>35.65</v>
      </c>
      <c r="R516" s="69" t="s">
        <v>3470</v>
      </c>
      <c r="S516" s="69" t="s">
        <v>3489</v>
      </c>
      <c r="T516" s="70" t="s">
        <v>3497</v>
      </c>
      <c r="U516" s="452"/>
      <c r="V516" s="453" t="str">
        <f>IF(VLOOKUP($A516,'GeneratingCapabilityList sorted'!$E$9:$O$801,8,FALSE)&lt;&gt;"",VLOOKUP($A516,'GeneratingCapabilityList sorted'!$E$9:$O$801,8,FALSE),"NoneListed")</f>
        <v>NATURAL GAS</v>
      </c>
      <c r="W516" s="454">
        <f>IF($AB516,$AB516,IF($AA516,$AA516,Scenarios!$B$43))</f>
        <v>33522</v>
      </c>
      <c r="X516" s="454"/>
      <c r="Y516" s="454"/>
      <c r="Z516" s="454"/>
      <c r="AA516" s="454">
        <f>IFERROR(VLOOKUP($A516,'GeneratingCapabilityList sorted'!$E$9:$O$801,11,FALSE),Scenarios!$B$43)</f>
        <v>33522</v>
      </c>
      <c r="AB516" s="453"/>
      <c r="AC516" s="453"/>
    </row>
    <row r="517" spans="1:29" x14ac:dyDescent="0.25">
      <c r="A517" s="65" t="s">
        <v>300</v>
      </c>
      <c r="B517" s="65" t="s">
        <v>3882</v>
      </c>
      <c r="C517" s="66" t="s">
        <v>3468</v>
      </c>
      <c r="D517" s="66" t="s">
        <v>3488</v>
      </c>
      <c r="E517" s="67">
        <v>0</v>
      </c>
      <c r="F517" s="68">
        <v>33.82</v>
      </c>
      <c r="G517" s="68">
        <v>33.72</v>
      </c>
      <c r="H517" s="68">
        <v>34.18</v>
      </c>
      <c r="I517" s="68">
        <v>34.94</v>
      </c>
      <c r="J517" s="68">
        <v>36.51</v>
      </c>
      <c r="K517" s="68">
        <v>37.92</v>
      </c>
      <c r="L517" s="68">
        <v>37.97</v>
      </c>
      <c r="M517" s="68">
        <v>37.57</v>
      </c>
      <c r="N517" s="68">
        <v>37.26</v>
      </c>
      <c r="O517" s="68">
        <v>36.85</v>
      </c>
      <c r="P517" s="68">
        <v>36.270000000000003</v>
      </c>
      <c r="Q517" s="68">
        <v>35.26</v>
      </c>
      <c r="R517" s="69" t="s">
        <v>3470</v>
      </c>
      <c r="S517" s="69" t="s">
        <v>3489</v>
      </c>
      <c r="T517" s="70" t="s">
        <v>3484</v>
      </c>
      <c r="U517" s="452"/>
      <c r="V517" s="453" t="str">
        <f>IF(VLOOKUP($A517,'GeneratingCapabilityList sorted'!$E$9:$O$801,8,FALSE)&lt;&gt;"",VLOOKUP($A517,'GeneratingCapabilityList sorted'!$E$9:$O$801,8,FALSE),"NoneListed")</f>
        <v>WATER</v>
      </c>
      <c r="W517" s="454">
        <f>IF($AB517,$AB517,IF($AA517,$AA517,Scenarios!$B$43))</f>
        <v>11324</v>
      </c>
      <c r="X517" s="454"/>
      <c r="Y517" s="454"/>
      <c r="Z517" s="454"/>
      <c r="AA517" s="454">
        <f>IFERROR(VLOOKUP($A517,'GeneratingCapabilityList sorted'!$E$9:$O$801,11,FALSE),Scenarios!$B$43)</f>
        <v>11324</v>
      </c>
      <c r="AB517" s="453"/>
      <c r="AC517" s="453"/>
    </row>
    <row r="518" spans="1:29" x14ac:dyDescent="0.25">
      <c r="A518" s="65" t="s">
        <v>904</v>
      </c>
      <c r="B518" s="65" t="s">
        <v>3883</v>
      </c>
      <c r="C518" s="66" t="s">
        <v>3477</v>
      </c>
      <c r="D518" s="66" t="s">
        <v>3385</v>
      </c>
      <c r="E518" s="67">
        <v>0</v>
      </c>
      <c r="F518" s="68">
        <v>5.05</v>
      </c>
      <c r="G518" s="68">
        <v>2.29</v>
      </c>
      <c r="H518" s="68">
        <v>3.97</v>
      </c>
      <c r="I518" s="68">
        <v>3.21</v>
      </c>
      <c r="J518" s="68">
        <v>3.12</v>
      </c>
      <c r="K518" s="68">
        <v>1.58</v>
      </c>
      <c r="L518" s="68">
        <v>0.39</v>
      </c>
      <c r="M518" s="68">
        <v>0.72</v>
      </c>
      <c r="N518" s="68">
        <v>0.94</v>
      </c>
      <c r="O518" s="68">
        <v>2.96</v>
      </c>
      <c r="P518" s="68">
        <v>4.13</v>
      </c>
      <c r="Q518" s="68">
        <v>3.56</v>
      </c>
      <c r="R518" s="69" t="s">
        <v>3470</v>
      </c>
      <c r="S518" s="69" t="s">
        <v>3489</v>
      </c>
      <c r="T518" s="70" t="s">
        <v>3497</v>
      </c>
      <c r="U518" s="452"/>
      <c r="V518" s="453" t="str">
        <f>IF(VLOOKUP($A518,'GeneratingCapabilityList sorted'!$E$9:$O$801,8,FALSE)&lt;&gt;"",VLOOKUP($A518,'GeneratingCapabilityList sorted'!$E$9:$O$801,8,FALSE),"NoneListed")</f>
        <v>NATURAL GAS</v>
      </c>
      <c r="W518" s="454">
        <f>IF($AB518,$AB518,IF($AA518,$AA518,Scenarios!$B$43))</f>
        <v>30317</v>
      </c>
      <c r="X518" s="454"/>
      <c r="Y518" s="454"/>
      <c r="Z518" s="454"/>
      <c r="AA518" s="454">
        <f>IFERROR(VLOOKUP($A518,'GeneratingCapabilityList sorted'!$E$9:$O$801,11,FALSE),Scenarios!$B$43)</f>
        <v>30317</v>
      </c>
      <c r="AB518" s="453"/>
      <c r="AC518" s="453"/>
    </row>
    <row r="519" spans="1:29" x14ac:dyDescent="0.25">
      <c r="A519" s="65" t="s">
        <v>1975</v>
      </c>
      <c r="B519" s="65" t="s">
        <v>3884</v>
      </c>
      <c r="C519" s="66" t="s">
        <v>3468</v>
      </c>
      <c r="D519" s="66" t="s">
        <v>3488</v>
      </c>
      <c r="E519" s="67">
        <v>48</v>
      </c>
      <c r="F519" s="68">
        <v>0</v>
      </c>
      <c r="G519" s="68">
        <v>0</v>
      </c>
      <c r="H519" s="68">
        <v>0</v>
      </c>
      <c r="I519" s="68">
        <v>0</v>
      </c>
      <c r="J519" s="68">
        <v>0</v>
      </c>
      <c r="K519" s="68">
        <v>0</v>
      </c>
      <c r="L519" s="68">
        <v>0</v>
      </c>
      <c r="M519" s="68">
        <v>0</v>
      </c>
      <c r="N519" s="68">
        <v>0</v>
      </c>
      <c r="O519" s="68">
        <v>0</v>
      </c>
      <c r="P519" s="68">
        <v>0</v>
      </c>
      <c r="Q519" s="68">
        <v>0</v>
      </c>
      <c r="R519" s="69" t="s">
        <v>3470</v>
      </c>
      <c r="S519" s="69" t="s">
        <v>3471</v>
      </c>
      <c r="T519" s="70" t="s">
        <v>3472</v>
      </c>
      <c r="U519" s="452"/>
      <c r="V519" s="453" t="str">
        <f>IF(VLOOKUP($A519,'GeneratingCapabilityList sorted'!$E$9:$O$801,8,FALSE)&lt;&gt;"",VLOOKUP($A519,'GeneratingCapabilityList sorted'!$E$9:$O$801,8,FALSE),"NoneListed")</f>
        <v>NATURAL GAS</v>
      </c>
      <c r="W519" s="454">
        <f>IF($AB519,$AB519,IF($AA519,$AA519,Scenarios!$B$43))</f>
        <v>32874</v>
      </c>
      <c r="X519" s="454"/>
      <c r="Y519" s="454"/>
      <c r="Z519" s="454"/>
      <c r="AA519" s="454">
        <f>IFERROR(VLOOKUP($A519,'GeneratingCapabilityList sorted'!$E$9:$O$801,11,FALSE),Scenarios!$B$43)</f>
        <v>32874</v>
      </c>
      <c r="AB519" s="453"/>
      <c r="AC519" s="453"/>
    </row>
    <row r="520" spans="1:29" x14ac:dyDescent="0.25">
      <c r="A520" s="65" t="s">
        <v>1069</v>
      </c>
      <c r="B520" s="65" t="s">
        <v>3885</v>
      </c>
      <c r="C520" s="66" t="s">
        <v>3468</v>
      </c>
      <c r="D520" s="66" t="s">
        <v>3469</v>
      </c>
      <c r="E520" s="67">
        <v>60</v>
      </c>
      <c r="F520" s="68">
        <v>0</v>
      </c>
      <c r="G520" s="68">
        <v>0</v>
      </c>
      <c r="H520" s="68">
        <v>0</v>
      </c>
      <c r="I520" s="68">
        <v>0</v>
      </c>
      <c r="J520" s="68">
        <v>0</v>
      </c>
      <c r="K520" s="68">
        <v>0</v>
      </c>
      <c r="L520" s="68">
        <v>0</v>
      </c>
      <c r="M520" s="68">
        <v>0</v>
      </c>
      <c r="N520" s="68">
        <v>0</v>
      </c>
      <c r="O520" s="68">
        <v>0</v>
      </c>
      <c r="P520" s="68">
        <v>0</v>
      </c>
      <c r="Q520" s="68">
        <v>0</v>
      </c>
      <c r="R520" s="69" t="s">
        <v>3470</v>
      </c>
      <c r="S520" s="69" t="s">
        <v>3471</v>
      </c>
      <c r="T520" s="70" t="s">
        <v>3472</v>
      </c>
      <c r="U520" s="452"/>
      <c r="V520" s="453" t="str">
        <f>IF(VLOOKUP($A520,'GeneratingCapabilityList sorted'!$E$9:$O$801,8,FALSE)&lt;&gt;"",VLOOKUP($A520,'GeneratingCapabilityList sorted'!$E$9:$O$801,8,FALSE),"NoneListed")</f>
        <v>GEOTHERMAL</v>
      </c>
      <c r="W520" s="454">
        <f>IF($AB520,$AB520,IF($AA520,$AA520,Scenarios!$B$43))</f>
        <v>30755</v>
      </c>
      <c r="X520" s="454"/>
      <c r="Y520" s="454"/>
      <c r="Z520" s="454"/>
      <c r="AA520" s="454">
        <f>IFERROR(VLOOKUP($A520,'GeneratingCapabilityList sorted'!$E$9:$O$801,11,FALSE),Scenarios!$B$43)</f>
        <v>30755</v>
      </c>
      <c r="AB520" s="453"/>
      <c r="AC520" s="453"/>
    </row>
    <row r="521" spans="1:29" x14ac:dyDescent="0.25">
      <c r="A521" s="72" t="s">
        <v>1800</v>
      </c>
      <c r="B521" s="65" t="s">
        <v>3886</v>
      </c>
      <c r="C521" s="66" t="s">
        <v>3477</v>
      </c>
      <c r="D521" s="66" t="s">
        <v>3387</v>
      </c>
      <c r="E521" s="67">
        <v>0</v>
      </c>
      <c r="F521" s="68">
        <v>5.96</v>
      </c>
      <c r="G521" s="68">
        <v>6.5</v>
      </c>
      <c r="H521" s="68">
        <v>6.34</v>
      </c>
      <c r="I521" s="68">
        <v>6.06</v>
      </c>
      <c r="J521" s="68">
        <v>6.28</v>
      </c>
      <c r="K521" s="68">
        <v>6.04</v>
      </c>
      <c r="L521" s="68">
        <v>5.77</v>
      </c>
      <c r="M521" s="68">
        <v>6.08</v>
      </c>
      <c r="N521" s="68">
        <v>5.37</v>
      </c>
      <c r="O521" s="68">
        <v>6.14</v>
      </c>
      <c r="P521" s="68">
        <v>6</v>
      </c>
      <c r="Q521" s="68">
        <v>4.67</v>
      </c>
      <c r="R521" s="69" t="s">
        <v>3470</v>
      </c>
      <c r="S521" s="69" t="s">
        <v>3471</v>
      </c>
      <c r="T521" s="70" t="s">
        <v>3497</v>
      </c>
      <c r="U521" s="452"/>
      <c r="V521" s="453" t="str">
        <f>IF(VLOOKUP($A521,'GeneratingCapabilityList sorted'!$E$9:$O$801,8,FALSE)&lt;&gt;"",VLOOKUP($A521,'GeneratingCapabilityList sorted'!$E$9:$O$801,8,FALSE),"NoneListed")</f>
        <v>LANDFILL GAS</v>
      </c>
      <c r="W521" s="454">
        <f>IF($AB521,$AB521,IF($AA521,$AA521,Scenarios!$B$43))</f>
        <v>32509</v>
      </c>
      <c r="X521" s="454"/>
      <c r="Y521" s="454"/>
      <c r="Z521" s="454"/>
      <c r="AA521" s="454">
        <f>IFERROR(VLOOKUP($A521,'GeneratingCapabilityList sorted'!$E$9:$O$801,11,FALSE),Scenarios!$B$43)</f>
        <v>32509</v>
      </c>
      <c r="AB521" s="453"/>
      <c r="AC521" s="453"/>
    </row>
    <row r="522" spans="1:29" x14ac:dyDescent="0.25">
      <c r="A522" s="65" t="s">
        <v>2124</v>
      </c>
      <c r="B522" s="65" t="s">
        <v>2125</v>
      </c>
      <c r="C522" s="66" t="s">
        <v>3468</v>
      </c>
      <c r="D522" s="66" t="s">
        <v>3488</v>
      </c>
      <c r="E522" s="67">
        <v>0</v>
      </c>
      <c r="F522" s="68">
        <v>33.54</v>
      </c>
      <c r="G522" s="68">
        <v>34.33</v>
      </c>
      <c r="H522" s="68">
        <v>33.909999999999997</v>
      </c>
      <c r="I522" s="68">
        <v>32.53</v>
      </c>
      <c r="J522" s="68">
        <v>28.6</v>
      </c>
      <c r="K522" s="68">
        <v>32.89</v>
      </c>
      <c r="L522" s="68">
        <v>32.590000000000003</v>
      </c>
      <c r="M522" s="68">
        <v>32</v>
      </c>
      <c r="N522" s="68">
        <v>31.17</v>
      </c>
      <c r="O522" s="68">
        <v>32.25</v>
      </c>
      <c r="P522" s="68">
        <v>31.64</v>
      </c>
      <c r="Q522" s="68">
        <v>32.01</v>
      </c>
      <c r="R522" s="69" t="s">
        <v>3470</v>
      </c>
      <c r="S522" s="69" t="s">
        <v>3489</v>
      </c>
      <c r="T522" s="70" t="s">
        <v>3497</v>
      </c>
      <c r="U522" s="452"/>
      <c r="V522" s="453" t="str">
        <f>IF(VLOOKUP($A522,'GeneratingCapabilityList sorted'!$E$9:$O$801,8,FALSE)&lt;&gt;"",VLOOKUP($A522,'GeneratingCapabilityList sorted'!$E$9:$O$801,8,FALSE),"NoneListed")</f>
        <v>NATURAL GAS</v>
      </c>
      <c r="W522" s="454">
        <f>IF($AB522,$AB522,IF($AA522,$AA522,Scenarios!$B$43))</f>
        <v>33518</v>
      </c>
      <c r="X522" s="454"/>
      <c r="Y522" s="454"/>
      <c r="Z522" s="454"/>
      <c r="AA522" s="454">
        <f>IFERROR(VLOOKUP($A522,'GeneratingCapabilityList sorted'!$E$9:$O$801,11,FALSE),Scenarios!$B$43)</f>
        <v>33518</v>
      </c>
      <c r="AB522" s="453"/>
      <c r="AC522" s="453"/>
    </row>
    <row r="523" spans="1:29" x14ac:dyDescent="0.25">
      <c r="A523" s="65" t="s">
        <v>2953</v>
      </c>
      <c r="B523" s="65" t="s">
        <v>2954</v>
      </c>
      <c r="C523" s="66" t="s">
        <v>3477</v>
      </c>
      <c r="D523" s="82" t="s">
        <v>3387</v>
      </c>
      <c r="E523" s="67"/>
      <c r="F523" s="68">
        <v>1.1100000000000001</v>
      </c>
      <c r="G523" s="68">
        <v>1.02</v>
      </c>
      <c r="H523" s="68">
        <v>1.0900000000000001</v>
      </c>
      <c r="I523" s="68">
        <v>0.34</v>
      </c>
      <c r="J523" s="68">
        <v>0.51</v>
      </c>
      <c r="K523" s="68">
        <v>0.93</v>
      </c>
      <c r="L523" s="68">
        <v>0.89</v>
      </c>
      <c r="M523" s="68">
        <v>0.72</v>
      </c>
      <c r="N523" s="68">
        <v>0.85</v>
      </c>
      <c r="O523" s="68">
        <v>0.76</v>
      </c>
      <c r="P523" s="68">
        <v>0.8</v>
      </c>
      <c r="Q523" s="68">
        <v>0.85</v>
      </c>
      <c r="R523" s="69" t="s">
        <v>3470</v>
      </c>
      <c r="S523" s="69" t="s">
        <v>3489</v>
      </c>
      <c r="T523" s="70" t="s">
        <v>3497</v>
      </c>
      <c r="U523" s="452"/>
      <c r="V523" s="453" t="str">
        <f>IF(VLOOKUP($A523,'GeneratingCapabilityList sorted'!$E$9:$O$801,8,FALSE)&lt;&gt;"",VLOOKUP($A523,'GeneratingCapabilityList sorted'!$E$9:$O$801,8,FALSE),"NoneListed")</f>
        <v>LANDFILL GAS</v>
      </c>
      <c r="W523" s="454">
        <f>IF($AB523,$AB523,IF($AA523,$AA523,Scenarios!$B$43))</f>
        <v>40050</v>
      </c>
      <c r="X523" s="454"/>
      <c r="Y523" s="454"/>
      <c r="Z523" s="454"/>
      <c r="AA523" s="454">
        <f>IFERROR(VLOOKUP($A523,'GeneratingCapabilityList sorted'!$E$9:$O$801,11,FALSE),Scenarios!$B$43)</f>
        <v>40050</v>
      </c>
      <c r="AB523" s="453"/>
      <c r="AC523" s="453"/>
    </row>
    <row r="524" spans="1:29" x14ac:dyDescent="0.25">
      <c r="A524" s="72" t="s">
        <v>785</v>
      </c>
      <c r="B524" s="72" t="s">
        <v>3887</v>
      </c>
      <c r="C524" s="73" t="s">
        <v>3477</v>
      </c>
      <c r="D524" s="73" t="s">
        <v>3388</v>
      </c>
      <c r="E524" s="74">
        <v>0</v>
      </c>
      <c r="F524" s="75">
        <v>6.6</v>
      </c>
      <c r="G524" s="75">
        <v>5.6</v>
      </c>
      <c r="H524" s="75">
        <v>4.8</v>
      </c>
      <c r="I524" s="75">
        <v>3.7</v>
      </c>
      <c r="J524" s="75">
        <v>5.7</v>
      </c>
      <c r="K524" s="75">
        <v>8.5</v>
      </c>
      <c r="L524" s="75">
        <v>8.1999999999999993</v>
      </c>
      <c r="M524" s="75">
        <v>7.5</v>
      </c>
      <c r="N524" s="75">
        <v>7.2</v>
      </c>
      <c r="O524" s="75">
        <v>6.4</v>
      </c>
      <c r="P524" s="75">
        <v>6.7</v>
      </c>
      <c r="Q524" s="75">
        <v>6.5</v>
      </c>
      <c r="R524" s="69" t="s">
        <v>3470</v>
      </c>
      <c r="S524" s="76" t="s">
        <v>560</v>
      </c>
      <c r="T524" s="70" t="s">
        <v>3484</v>
      </c>
      <c r="U524" s="452"/>
      <c r="V524" s="453" t="str">
        <f>IF(VLOOKUP($A524,'GeneratingCapabilityList sorted'!$E$9:$O$801,8,FALSE)&lt;&gt;"",VLOOKUP($A524,'GeneratingCapabilityList sorted'!$E$9:$O$801,8,FALSE),"NoneListed")</f>
        <v>WATER</v>
      </c>
      <c r="W524" s="454">
        <f>IF($AB524,$AB524,IF($AA524,$AA524,Scenarios!$B$43))</f>
        <v>29587</v>
      </c>
      <c r="X524" s="454"/>
      <c r="Y524" s="454"/>
      <c r="Z524" s="454"/>
      <c r="AA524" s="454">
        <f>IFERROR(VLOOKUP($A524,'GeneratingCapabilityList sorted'!$E$9:$O$801,11,FALSE),Scenarios!$B$43)</f>
        <v>29587</v>
      </c>
      <c r="AB524" s="453"/>
      <c r="AC524" s="453"/>
    </row>
    <row r="525" spans="1:29" x14ac:dyDescent="0.25">
      <c r="A525" s="65" t="s">
        <v>1745</v>
      </c>
      <c r="B525" s="65" t="s">
        <v>3888</v>
      </c>
      <c r="C525" s="66" t="s">
        <v>3477</v>
      </c>
      <c r="D525" s="66" t="s">
        <v>3388</v>
      </c>
      <c r="E525" s="67">
        <v>0</v>
      </c>
      <c r="F525" s="68">
        <v>21.82</v>
      </c>
      <c r="G525" s="68">
        <v>22.21</v>
      </c>
      <c r="H525" s="68">
        <v>21.67</v>
      </c>
      <c r="I525" s="68">
        <v>13.47</v>
      </c>
      <c r="J525" s="68">
        <v>18.16</v>
      </c>
      <c r="K525" s="68">
        <v>20.3</v>
      </c>
      <c r="L525" s="68">
        <v>19.57</v>
      </c>
      <c r="M525" s="68">
        <v>19.12</v>
      </c>
      <c r="N525" s="68">
        <v>20.57</v>
      </c>
      <c r="O525" s="68">
        <v>18.66</v>
      </c>
      <c r="P525" s="68">
        <v>20.97</v>
      </c>
      <c r="Q525" s="68">
        <v>21.56</v>
      </c>
      <c r="R525" s="69" t="s">
        <v>3470</v>
      </c>
      <c r="S525" s="69" t="s">
        <v>3489</v>
      </c>
      <c r="T525" s="70" t="s">
        <v>3497</v>
      </c>
      <c r="U525" s="452"/>
      <c r="V525" s="453" t="str">
        <f>IF(VLOOKUP($A525,'GeneratingCapabilityList sorted'!$E$9:$O$801,8,FALSE)&lt;&gt;"",VLOOKUP($A525,'GeneratingCapabilityList sorted'!$E$9:$O$801,8,FALSE),"NoneListed")</f>
        <v>NATURAL GAS</v>
      </c>
      <c r="W525" s="454">
        <f>IF($AB525,$AB525,IF($AA525,$AA525,Scenarios!$B$43))</f>
        <v>32338</v>
      </c>
      <c r="X525" s="454"/>
      <c r="Y525" s="454"/>
      <c r="Z525" s="454"/>
      <c r="AA525" s="454">
        <f>IFERROR(VLOOKUP($A525,'GeneratingCapabilityList sorted'!$E$9:$O$801,11,FALSE),Scenarios!$B$43)</f>
        <v>32338</v>
      </c>
      <c r="AB525" s="453"/>
      <c r="AC525" s="453"/>
    </row>
    <row r="526" spans="1:29" x14ac:dyDescent="0.25">
      <c r="A526" s="65" t="s">
        <v>1539</v>
      </c>
      <c r="B526" s="65" t="s">
        <v>3889</v>
      </c>
      <c r="C526" s="66" t="s">
        <v>3477</v>
      </c>
      <c r="D526" s="66" t="s">
        <v>3388</v>
      </c>
      <c r="E526" s="67">
        <v>0</v>
      </c>
      <c r="F526" s="68">
        <v>0.53</v>
      </c>
      <c r="G526" s="68">
        <v>0.24</v>
      </c>
      <c r="H526" s="68">
        <v>0.59</v>
      </c>
      <c r="I526" s="68">
        <v>0.66</v>
      </c>
      <c r="J526" s="68">
        <v>0.7</v>
      </c>
      <c r="K526" s="68">
        <v>0.91</v>
      </c>
      <c r="L526" s="68">
        <v>0.92</v>
      </c>
      <c r="M526" s="68">
        <v>0.92</v>
      </c>
      <c r="N526" s="68">
        <v>1.1100000000000001</v>
      </c>
      <c r="O526" s="68">
        <v>1</v>
      </c>
      <c r="P526" s="68">
        <v>0.8</v>
      </c>
      <c r="Q526" s="68">
        <v>0.46</v>
      </c>
      <c r="R526" s="69" t="s">
        <v>3470</v>
      </c>
      <c r="S526" s="69" t="s">
        <v>3489</v>
      </c>
      <c r="T526" s="70" t="s">
        <v>3497</v>
      </c>
      <c r="U526" s="452"/>
      <c r="V526" s="453" t="str">
        <f>IF(VLOOKUP($A526,'GeneratingCapabilityList sorted'!$E$9:$O$801,8,FALSE)&lt;&gt;"",VLOOKUP($A526,'GeneratingCapabilityList sorted'!$E$9:$O$801,8,FALSE),"NoneListed")</f>
        <v>WATER</v>
      </c>
      <c r="W526" s="454">
        <f>IF($AB526,$AB526,IF($AA526,$AA526,Scenarios!$B$43))</f>
        <v>31778</v>
      </c>
      <c r="X526" s="454"/>
      <c r="Y526" s="454"/>
      <c r="Z526" s="454"/>
      <c r="AA526" s="454">
        <f>IFERROR(VLOOKUP($A526,'GeneratingCapabilityList sorted'!$E$9:$O$801,11,FALSE),Scenarios!$B$43)</f>
        <v>31778</v>
      </c>
      <c r="AB526" s="453"/>
      <c r="AC526" s="453"/>
    </row>
    <row r="527" spans="1:29" x14ac:dyDescent="0.25">
      <c r="A527" s="88" t="s">
        <v>3009</v>
      </c>
      <c r="B527" s="88" t="s">
        <v>3890</v>
      </c>
      <c r="C527" s="66" t="s">
        <v>3477</v>
      </c>
      <c r="D527" s="66" t="s">
        <v>3388</v>
      </c>
      <c r="E527" s="67">
        <v>0</v>
      </c>
      <c r="F527" s="68">
        <v>6.67</v>
      </c>
      <c r="G527" s="68">
        <v>6.67</v>
      </c>
      <c r="H527" s="68">
        <v>6.67</v>
      </c>
      <c r="I527" s="68">
        <v>6.67</v>
      </c>
      <c r="J527" s="68">
        <v>6.67</v>
      </c>
      <c r="K527" s="68">
        <v>6.67</v>
      </c>
      <c r="L527" s="68">
        <v>6.67</v>
      </c>
      <c r="M527" s="68">
        <v>6.67</v>
      </c>
      <c r="N527" s="68">
        <v>6.67</v>
      </c>
      <c r="O527" s="68">
        <v>6.67</v>
      </c>
      <c r="P527" s="68">
        <v>6.67</v>
      </c>
      <c r="Q527" s="68">
        <v>6.67</v>
      </c>
      <c r="R527" s="69" t="s">
        <v>3470</v>
      </c>
      <c r="S527" s="69" t="s">
        <v>3866</v>
      </c>
      <c r="T527" s="70" t="s">
        <v>3497</v>
      </c>
      <c r="U527" s="452"/>
      <c r="V527" s="453" t="str">
        <f>IF(VLOOKUP($A527,'GeneratingCapabilityList sorted'!$E$9:$O$801,8,FALSE)&lt;&gt;"",VLOOKUP($A527,'GeneratingCapabilityList sorted'!$E$9:$O$801,8,FALSE),"NoneListed")</f>
        <v>LANDFILL GAS</v>
      </c>
      <c r="W527" s="454">
        <f>IF($AB527,$AB527,IF($AA527,$AA527,Scenarios!$B$43))</f>
        <v>40505</v>
      </c>
      <c r="X527" s="454"/>
      <c r="Y527" s="454"/>
      <c r="Z527" s="454"/>
      <c r="AA527" s="454">
        <f>IFERROR(VLOOKUP($A527,'GeneratingCapabilityList sorted'!$E$9:$O$801,11,FALSE),Scenarios!$B$43)</f>
        <v>40505</v>
      </c>
      <c r="AB527" s="453"/>
      <c r="AC527" s="453"/>
    </row>
    <row r="528" spans="1:29" x14ac:dyDescent="0.25">
      <c r="A528" s="65" t="s">
        <v>2296</v>
      </c>
      <c r="B528" s="65" t="s">
        <v>3891</v>
      </c>
      <c r="C528" s="66" t="s">
        <v>3477</v>
      </c>
      <c r="D528" s="66" t="s">
        <v>3388</v>
      </c>
      <c r="E528" s="67">
        <v>0</v>
      </c>
      <c r="F528" s="68">
        <v>5.69</v>
      </c>
      <c r="G528" s="68">
        <v>5.01</v>
      </c>
      <c r="H528" s="68">
        <v>4.59</v>
      </c>
      <c r="I528" s="68">
        <v>5.59</v>
      </c>
      <c r="J528" s="68">
        <v>5.55</v>
      </c>
      <c r="K528" s="68">
        <v>5.73</v>
      </c>
      <c r="L528" s="68">
        <v>5.45</v>
      </c>
      <c r="M528" s="68">
        <v>5.39</v>
      </c>
      <c r="N528" s="68">
        <v>5.65</v>
      </c>
      <c r="O528" s="68">
        <v>5.63</v>
      </c>
      <c r="P528" s="68">
        <v>5.63</v>
      </c>
      <c r="Q528" s="68">
        <v>4.5999999999999996</v>
      </c>
      <c r="R528" s="69" t="s">
        <v>3470</v>
      </c>
      <c r="S528" s="69" t="s">
        <v>3489</v>
      </c>
      <c r="T528" s="70" t="s">
        <v>3497</v>
      </c>
      <c r="U528" s="452"/>
      <c r="V528" s="453" t="str">
        <f>IF(VLOOKUP($A528,'GeneratingCapabilityList sorted'!$E$9:$O$801,8,FALSE)&lt;&gt;"",VLOOKUP($A528,'GeneratingCapabilityList sorted'!$E$9:$O$801,8,FALSE),"NoneListed")</f>
        <v>LANDFILL GAS</v>
      </c>
      <c r="W528" s="454">
        <f>IF($AB528,$AB528,IF($AA528,$AA528,Scenarios!$B$43))</f>
        <v>36165</v>
      </c>
      <c r="X528" s="454"/>
      <c r="Y528" s="454"/>
      <c r="Z528" s="454"/>
      <c r="AA528" s="454">
        <f>IFERROR(VLOOKUP($A528,'GeneratingCapabilityList sorted'!$E$9:$O$801,11,FALSE),Scenarios!$B$43)</f>
        <v>36165</v>
      </c>
      <c r="AB528" s="453"/>
      <c r="AC528" s="453"/>
    </row>
    <row r="529" spans="1:29" x14ac:dyDescent="0.25">
      <c r="A529" s="65" t="s">
        <v>2814</v>
      </c>
      <c r="B529" s="65" t="s">
        <v>3892</v>
      </c>
      <c r="C529" s="66" t="s">
        <v>3477</v>
      </c>
      <c r="D529" s="66" t="s">
        <v>3387</v>
      </c>
      <c r="E529" s="67">
        <v>484.5</v>
      </c>
      <c r="F529" s="68">
        <v>0</v>
      </c>
      <c r="G529" s="68">
        <v>0</v>
      </c>
      <c r="H529" s="68">
        <v>0</v>
      </c>
      <c r="I529" s="68">
        <v>0</v>
      </c>
      <c r="J529" s="68">
        <v>0</v>
      </c>
      <c r="K529" s="68">
        <v>0</v>
      </c>
      <c r="L529" s="68">
        <v>0</v>
      </c>
      <c r="M529" s="68">
        <v>0</v>
      </c>
      <c r="N529" s="68">
        <v>0</v>
      </c>
      <c r="O529" s="68">
        <v>0</v>
      </c>
      <c r="P529" s="68">
        <v>0</v>
      </c>
      <c r="Q529" s="68">
        <v>0</v>
      </c>
      <c r="R529" s="69" t="s">
        <v>3470</v>
      </c>
      <c r="S529" s="69" t="s">
        <v>3471</v>
      </c>
      <c r="T529" s="70" t="s">
        <v>3472</v>
      </c>
      <c r="U529" s="452"/>
      <c r="V529" s="453" t="str">
        <f>IF(VLOOKUP($A529,'GeneratingCapabilityList sorted'!$E$9:$O$801,8,FALSE)&lt;&gt;"",VLOOKUP($A529,'GeneratingCapabilityList sorted'!$E$9:$O$801,8,FALSE),"NoneListed")</f>
        <v>NATURAL GAS</v>
      </c>
      <c r="W529" s="454">
        <f>IF($AB529,$AB529,IF($AA529,$AA529,Scenarios!$B$43))</f>
        <v>38696</v>
      </c>
      <c r="X529" s="454"/>
      <c r="Y529" s="454"/>
      <c r="Z529" s="454"/>
      <c r="AA529" s="454">
        <f>IFERROR(VLOOKUP($A529,'GeneratingCapabilityList sorted'!$E$9:$O$801,11,FALSE),Scenarios!$B$43)</f>
        <v>38696</v>
      </c>
      <c r="AB529" s="453"/>
      <c r="AC529" s="453"/>
    </row>
    <row r="530" spans="1:29" x14ac:dyDescent="0.25">
      <c r="A530" s="65" t="s">
        <v>2827</v>
      </c>
      <c r="B530" s="65" t="s">
        <v>3893</v>
      </c>
      <c r="C530" s="66" t="s">
        <v>3477</v>
      </c>
      <c r="D530" s="66" t="s">
        <v>3387</v>
      </c>
      <c r="E530" s="67">
        <v>484.5</v>
      </c>
      <c r="F530" s="68">
        <v>0</v>
      </c>
      <c r="G530" s="68">
        <v>0</v>
      </c>
      <c r="H530" s="68">
        <v>0</v>
      </c>
      <c r="I530" s="68">
        <v>0</v>
      </c>
      <c r="J530" s="68">
        <v>0</v>
      </c>
      <c r="K530" s="68">
        <v>0</v>
      </c>
      <c r="L530" s="68">
        <v>0</v>
      </c>
      <c r="M530" s="68">
        <v>0</v>
      </c>
      <c r="N530" s="68">
        <v>0</v>
      </c>
      <c r="O530" s="68">
        <v>0</v>
      </c>
      <c r="P530" s="68">
        <v>0</v>
      </c>
      <c r="Q530" s="68">
        <v>0</v>
      </c>
      <c r="R530" s="69" t="s">
        <v>3470</v>
      </c>
      <c r="S530" s="69" t="s">
        <v>3471</v>
      </c>
      <c r="T530" s="70" t="s">
        <v>3472</v>
      </c>
      <c r="U530" s="452"/>
      <c r="V530" s="453" t="str">
        <f>IF(VLOOKUP($A530,'GeneratingCapabilityList sorted'!$E$9:$O$801,8,FALSE)&lt;&gt;"",VLOOKUP($A530,'GeneratingCapabilityList sorted'!$E$9:$O$801,8,FALSE),"NoneListed")</f>
        <v>NATURAL GAS</v>
      </c>
      <c r="W530" s="454">
        <f>IF($AB530,$AB530,IF($AA530,$AA530,Scenarios!$B$43))</f>
        <v>38736</v>
      </c>
      <c r="X530" s="454"/>
      <c r="Y530" s="454"/>
      <c r="Z530" s="454"/>
      <c r="AA530" s="454">
        <f>IFERROR(VLOOKUP($A530,'GeneratingCapabilityList sorted'!$E$9:$O$801,11,FALSE),Scenarios!$B$43)</f>
        <v>38736</v>
      </c>
      <c r="AB530" s="453"/>
      <c r="AC530" s="453"/>
    </row>
    <row r="531" spans="1:29" x14ac:dyDescent="0.25">
      <c r="A531" s="65" t="s">
        <v>1815</v>
      </c>
      <c r="B531" s="65" t="s">
        <v>3894</v>
      </c>
      <c r="C531" s="66" t="s">
        <v>3477</v>
      </c>
      <c r="D531" s="66" t="s">
        <v>3387</v>
      </c>
      <c r="E531" s="67">
        <v>0</v>
      </c>
      <c r="F531" s="68">
        <v>0.19</v>
      </c>
      <c r="G531" s="68">
        <v>0.17</v>
      </c>
      <c r="H531" s="68">
        <v>7.0000000000000007E-2</v>
      </c>
      <c r="I531" s="68">
        <v>0.06</v>
      </c>
      <c r="J531" s="68">
        <v>0.08</v>
      </c>
      <c r="K531" s="68">
        <v>0.32</v>
      </c>
      <c r="L531" s="68">
        <v>0.13</v>
      </c>
      <c r="M531" s="68">
        <v>0.14000000000000001</v>
      </c>
      <c r="N531" s="68">
        <v>0.19</v>
      </c>
      <c r="O531" s="68">
        <v>0.08</v>
      </c>
      <c r="P531" s="68">
        <v>0.27</v>
      </c>
      <c r="Q531" s="68">
        <v>0.33</v>
      </c>
      <c r="R531" s="69" t="s">
        <v>3470</v>
      </c>
      <c r="S531" s="69" t="s">
        <v>3489</v>
      </c>
      <c r="T531" s="70" t="s">
        <v>3497</v>
      </c>
      <c r="U531" s="452"/>
      <c r="V531" s="453" t="str">
        <f>IF(VLOOKUP($A531,'GeneratingCapabilityList sorted'!$E$9:$O$801,8,FALSE)&lt;&gt;"",VLOOKUP($A531,'GeneratingCapabilityList sorted'!$E$9:$O$801,8,FALSE),"NoneListed")</f>
        <v>NATURAL GAS</v>
      </c>
      <c r="W531" s="454">
        <f>IF($AB531,$AB531,IF($AA531,$AA531,Scenarios!$B$43))</f>
        <v>32509</v>
      </c>
      <c r="X531" s="454"/>
      <c r="Y531" s="454"/>
      <c r="Z531" s="454"/>
      <c r="AA531" s="454">
        <f>IFERROR(VLOOKUP($A531,'GeneratingCapabilityList sorted'!$E$9:$O$801,11,FALSE),Scenarios!$B$43)</f>
        <v>32509</v>
      </c>
      <c r="AB531" s="453"/>
      <c r="AC531" s="453"/>
    </row>
    <row r="532" spans="1:29" x14ac:dyDescent="0.25">
      <c r="A532" s="65" t="s">
        <v>3241</v>
      </c>
      <c r="B532" s="65" t="s">
        <v>3895</v>
      </c>
      <c r="C532" s="66" t="s">
        <v>3477</v>
      </c>
      <c r="D532" s="66" t="s">
        <v>3387</v>
      </c>
      <c r="E532" s="67">
        <v>0</v>
      </c>
      <c r="F532" s="68">
        <v>1.05</v>
      </c>
      <c r="G532" s="68">
        <v>1.06</v>
      </c>
      <c r="H532" s="68">
        <v>1.85</v>
      </c>
      <c r="I532" s="68">
        <v>2.17</v>
      </c>
      <c r="J532" s="68">
        <v>1.94</v>
      </c>
      <c r="K532" s="68">
        <v>1.53</v>
      </c>
      <c r="L532" s="68">
        <v>0.51</v>
      </c>
      <c r="M532" s="68">
        <v>0.27</v>
      </c>
      <c r="N532" s="68">
        <v>0.31</v>
      </c>
      <c r="O532" s="68">
        <v>0.54</v>
      </c>
      <c r="P532" s="68">
        <v>0.52</v>
      </c>
      <c r="Q532" s="68">
        <v>0.79</v>
      </c>
      <c r="R532" s="69" t="s">
        <v>3470</v>
      </c>
      <c r="S532" s="69" t="s">
        <v>3489</v>
      </c>
      <c r="T532" s="70" t="s">
        <v>3512</v>
      </c>
      <c r="U532" s="452"/>
      <c r="V532" s="453" t="str">
        <f>IF(VLOOKUP($A532,'GeneratingCapabilityList sorted'!$E$9:$O$801,8,FALSE)&lt;&gt;"",VLOOKUP($A532,'GeneratingCapabilityList sorted'!$E$9:$O$801,8,FALSE),"NoneListed")</f>
        <v>WATER</v>
      </c>
      <c r="W532" s="454">
        <f>IF($AB532,$AB532,IF($AA532,$AA532,Scenarios!$B$43))</f>
        <v>17168</v>
      </c>
      <c r="X532" s="454"/>
      <c r="Y532" s="454"/>
      <c r="Z532" s="454"/>
      <c r="AA532" s="454">
        <f>IFERROR(VLOOKUP($A532,'GeneratingCapabilityList sorted'!$E$9:$O$801,11,FALSE),Scenarios!$B$43)</f>
        <v>0</v>
      </c>
      <c r="AB532" s="454">
        <v>17168</v>
      </c>
      <c r="AC532" s="453" t="s">
        <v>4731</v>
      </c>
    </row>
    <row r="533" spans="1:29" x14ac:dyDescent="0.25">
      <c r="A533" s="65" t="s">
        <v>3230</v>
      </c>
      <c r="B533" s="65" t="s">
        <v>3896</v>
      </c>
      <c r="C533" s="66" t="s">
        <v>3477</v>
      </c>
      <c r="D533" s="66" t="s">
        <v>3387</v>
      </c>
      <c r="E533" s="67">
        <v>0</v>
      </c>
      <c r="F533" s="68">
        <v>0.65</v>
      </c>
      <c r="G533" s="68">
        <v>1.1100000000000001</v>
      </c>
      <c r="H533" s="68">
        <v>1.32</v>
      </c>
      <c r="I533" s="68">
        <v>1.56</v>
      </c>
      <c r="J533" s="68">
        <v>1.56</v>
      </c>
      <c r="K533" s="68">
        <v>1.76</v>
      </c>
      <c r="L533" s="68">
        <v>1.45</v>
      </c>
      <c r="M533" s="68">
        <v>1.28</v>
      </c>
      <c r="N533" s="68">
        <v>1.1299999999999999</v>
      </c>
      <c r="O533" s="68">
        <v>1.38</v>
      </c>
      <c r="P533" s="68">
        <v>1.03</v>
      </c>
      <c r="Q533" s="68">
        <v>0.83</v>
      </c>
      <c r="R533" s="69" t="s">
        <v>3470</v>
      </c>
      <c r="S533" s="69" t="s">
        <v>3489</v>
      </c>
      <c r="T533" s="70" t="s">
        <v>3512</v>
      </c>
      <c r="U533" s="452"/>
      <c r="V533" s="453" t="str">
        <f>IF(VLOOKUP($A533,'GeneratingCapabilityList sorted'!$E$9:$O$801,8,FALSE)&lt;&gt;"",VLOOKUP($A533,'GeneratingCapabilityList sorted'!$E$9:$O$801,8,FALSE),"NoneListed")</f>
        <v>WATER</v>
      </c>
      <c r="W533" s="454">
        <f>IF($AB533,$AB533,IF($AA533,$AA533,Scenarios!$B$43))</f>
        <v>1097</v>
      </c>
      <c r="X533" s="454"/>
      <c r="Y533" s="454"/>
      <c r="Z533" s="454"/>
      <c r="AA533" s="454">
        <f>IFERROR(VLOOKUP($A533,'GeneratingCapabilityList sorted'!$E$9:$O$801,11,FALSE),Scenarios!$B$43)</f>
        <v>0</v>
      </c>
      <c r="AB533" s="454">
        <v>1097</v>
      </c>
      <c r="AC533" s="453" t="s">
        <v>4731</v>
      </c>
    </row>
    <row r="534" spans="1:29" x14ac:dyDescent="0.25">
      <c r="A534" s="65" t="s">
        <v>2659</v>
      </c>
      <c r="B534" s="65" t="s">
        <v>3897</v>
      </c>
      <c r="C534" s="66" t="s">
        <v>3468</v>
      </c>
      <c r="D534" s="66" t="s">
        <v>3508</v>
      </c>
      <c r="E534" s="67">
        <v>83.56</v>
      </c>
      <c r="F534" s="68">
        <v>0</v>
      </c>
      <c r="G534" s="68">
        <v>0</v>
      </c>
      <c r="H534" s="68">
        <v>0</v>
      </c>
      <c r="I534" s="68">
        <v>0</v>
      </c>
      <c r="J534" s="68">
        <v>0</v>
      </c>
      <c r="K534" s="68">
        <v>0</v>
      </c>
      <c r="L534" s="68">
        <v>0</v>
      </c>
      <c r="M534" s="68">
        <v>0</v>
      </c>
      <c r="N534" s="68">
        <v>0</v>
      </c>
      <c r="O534" s="68">
        <v>0</v>
      </c>
      <c r="P534" s="68">
        <v>0</v>
      </c>
      <c r="Q534" s="68">
        <v>0</v>
      </c>
      <c r="R534" s="69" t="s">
        <v>3470</v>
      </c>
      <c r="S534" s="69" t="s">
        <v>3471</v>
      </c>
      <c r="T534" s="70" t="s">
        <v>3472</v>
      </c>
      <c r="U534" s="452"/>
      <c r="V534" s="453" t="str">
        <f>IF(VLOOKUP($A534,'GeneratingCapabilityList sorted'!$E$9:$O$801,8,FALSE)&lt;&gt;"",VLOOKUP($A534,'GeneratingCapabilityList sorted'!$E$9:$O$801,8,FALSE),"NoneListed")</f>
        <v>NATURAL GAS</v>
      </c>
      <c r="W534" s="454">
        <f>IF($AB534,$AB534,IF($AA534,$AA534,Scenarios!$B$43))</f>
        <v>37771</v>
      </c>
      <c r="X534" s="454"/>
      <c r="Y534" s="454"/>
      <c r="Z534" s="454"/>
      <c r="AA534" s="454">
        <f>IFERROR(VLOOKUP($A534,'GeneratingCapabilityList sorted'!$E$9:$O$801,11,FALSE),Scenarios!$B$43)</f>
        <v>37771</v>
      </c>
      <c r="AB534" s="453"/>
      <c r="AC534" s="453"/>
    </row>
    <row r="535" spans="1:29" x14ac:dyDescent="0.25">
      <c r="A535" s="65" t="s">
        <v>2662</v>
      </c>
      <c r="B535" s="65" t="s">
        <v>3898</v>
      </c>
      <c r="C535" s="65" t="s">
        <v>3468</v>
      </c>
      <c r="D535" s="66" t="s">
        <v>3508</v>
      </c>
      <c r="E535" s="67">
        <v>82.88</v>
      </c>
      <c r="F535" s="68">
        <v>0</v>
      </c>
      <c r="G535" s="68">
        <v>0</v>
      </c>
      <c r="H535" s="68">
        <v>0</v>
      </c>
      <c r="I535" s="68">
        <v>0</v>
      </c>
      <c r="J535" s="68">
        <v>0</v>
      </c>
      <c r="K535" s="68">
        <v>0</v>
      </c>
      <c r="L535" s="68">
        <v>0</v>
      </c>
      <c r="M535" s="68">
        <v>0</v>
      </c>
      <c r="N535" s="68">
        <v>0</v>
      </c>
      <c r="O535" s="68">
        <v>0</v>
      </c>
      <c r="P535" s="68">
        <v>0</v>
      </c>
      <c r="Q535" s="68">
        <v>0</v>
      </c>
      <c r="R535" s="69" t="s">
        <v>3470</v>
      </c>
      <c r="S535" s="69" t="s">
        <v>3471</v>
      </c>
      <c r="T535" s="70" t="s">
        <v>3472</v>
      </c>
      <c r="U535" s="452"/>
      <c r="V535" s="453" t="str">
        <f>IF(VLOOKUP($A535,'GeneratingCapabilityList sorted'!$E$9:$O$801,8,FALSE)&lt;&gt;"",VLOOKUP($A535,'GeneratingCapabilityList sorted'!$E$9:$O$801,8,FALSE),"NoneListed")</f>
        <v>NATURAL GAS</v>
      </c>
      <c r="W535" s="454">
        <f>IF($AB535,$AB535,IF($AA535,$AA535,Scenarios!$B$43))</f>
        <v>37771</v>
      </c>
      <c r="X535" s="454"/>
      <c r="Y535" s="454"/>
      <c r="Z535" s="454"/>
      <c r="AA535" s="454">
        <f>IFERROR(VLOOKUP($A535,'GeneratingCapabilityList sorted'!$E$9:$O$801,11,FALSE),Scenarios!$B$43)</f>
        <v>37771</v>
      </c>
      <c r="AB535" s="453"/>
      <c r="AC535" s="453"/>
    </row>
    <row r="536" spans="1:29" x14ac:dyDescent="0.25">
      <c r="A536" s="65" t="s">
        <v>954</v>
      </c>
      <c r="B536" s="65" t="s">
        <v>3899</v>
      </c>
      <c r="C536" s="66" t="s">
        <v>3477</v>
      </c>
      <c r="D536" s="66" t="s">
        <v>3488</v>
      </c>
      <c r="E536" s="67">
        <v>0</v>
      </c>
      <c r="F536" s="68">
        <v>11.88</v>
      </c>
      <c r="G536" s="68">
        <v>12.24</v>
      </c>
      <c r="H536" s="68">
        <v>11.37</v>
      </c>
      <c r="I536" s="68">
        <v>7.01</v>
      </c>
      <c r="J536" s="68">
        <v>11.3</v>
      </c>
      <c r="K536" s="68">
        <v>14.06</v>
      </c>
      <c r="L536" s="68">
        <v>12.97</v>
      </c>
      <c r="M536" s="68">
        <v>12.28</v>
      </c>
      <c r="N536" s="68">
        <v>12.51</v>
      </c>
      <c r="O536" s="68">
        <v>9.2899999999999991</v>
      </c>
      <c r="P536" s="68">
        <v>11.09</v>
      </c>
      <c r="Q536" s="68">
        <v>12.67</v>
      </c>
      <c r="R536" s="69" t="s">
        <v>3470</v>
      </c>
      <c r="S536" s="69" t="s">
        <v>3489</v>
      </c>
      <c r="T536" s="70" t="s">
        <v>3497</v>
      </c>
      <c r="U536" s="452"/>
      <c r="V536" s="453" t="str">
        <f>IF(VLOOKUP($A536,'GeneratingCapabilityList sorted'!$E$9:$O$801,8,FALSE)&lt;&gt;"",VLOOKUP($A536,'GeneratingCapabilityList sorted'!$E$9:$O$801,8,FALSE),"NoneListed")</f>
        <v>COAL</v>
      </c>
      <c r="W536" s="454">
        <f>IF($AB536,$AB536,IF($AA536,$AA536,Scenarios!$B$43))</f>
        <v>30407</v>
      </c>
      <c r="X536" s="454"/>
      <c r="Y536" s="454"/>
      <c r="Z536" s="454"/>
      <c r="AA536" s="454">
        <f>IFERROR(VLOOKUP($A536,'GeneratingCapabilityList sorted'!$E$9:$O$801,11,FALSE),Scenarios!$B$43)</f>
        <v>30407</v>
      </c>
      <c r="AB536" s="453"/>
      <c r="AC536" s="453"/>
    </row>
    <row r="537" spans="1:29" x14ac:dyDescent="0.25">
      <c r="A537" s="65" t="s">
        <v>766</v>
      </c>
      <c r="B537" s="65" t="s">
        <v>3900</v>
      </c>
      <c r="C537" s="66" t="s">
        <v>3477</v>
      </c>
      <c r="D537" s="66" t="s">
        <v>3488</v>
      </c>
      <c r="E537" s="67">
        <v>0</v>
      </c>
      <c r="F537" s="68">
        <v>0.02</v>
      </c>
      <c r="G537" s="68">
        <v>0.05</v>
      </c>
      <c r="H537" s="68">
        <v>0.03</v>
      </c>
      <c r="I537" s="68">
        <v>0</v>
      </c>
      <c r="J537" s="68">
        <v>0.03</v>
      </c>
      <c r="K537" s="68">
        <v>0</v>
      </c>
      <c r="L537" s="68">
        <v>0.01</v>
      </c>
      <c r="M537" s="68">
        <v>0</v>
      </c>
      <c r="N537" s="68">
        <v>0.08</v>
      </c>
      <c r="O537" s="68">
        <v>0</v>
      </c>
      <c r="P537" s="68">
        <v>0</v>
      </c>
      <c r="Q537" s="68">
        <v>0</v>
      </c>
      <c r="R537" s="69" t="s">
        <v>3470</v>
      </c>
      <c r="S537" s="69" t="s">
        <v>3489</v>
      </c>
      <c r="T537" s="70" t="s">
        <v>3497</v>
      </c>
      <c r="U537" s="452"/>
      <c r="V537" s="453" t="str">
        <f>IF(VLOOKUP($A537,'GeneratingCapabilityList sorted'!$E$9:$O$801,8,FALSE)&lt;&gt;"",VLOOKUP($A537,'GeneratingCapabilityList sorted'!$E$9:$O$801,8,FALSE),"NoneListed")</f>
        <v>NATURAL GAS</v>
      </c>
      <c r="W537" s="454">
        <f>IF($AB537,$AB537,IF($AA537,$AA537,Scenarios!$B$43))</f>
        <v>29031</v>
      </c>
      <c r="X537" s="454"/>
      <c r="Y537" s="454"/>
      <c r="Z537" s="454"/>
      <c r="AA537" s="454">
        <f>IFERROR(VLOOKUP($A537,'GeneratingCapabilityList sorted'!$E$9:$O$801,11,FALSE),Scenarios!$B$43)</f>
        <v>29031</v>
      </c>
      <c r="AB537" s="453"/>
      <c r="AC537" s="453"/>
    </row>
    <row r="538" spans="1:29" x14ac:dyDescent="0.25">
      <c r="A538" s="65" t="s">
        <v>920</v>
      </c>
      <c r="B538" s="65" t="s">
        <v>3901</v>
      </c>
      <c r="C538" s="66" t="s">
        <v>3468</v>
      </c>
      <c r="D538" s="66" t="s">
        <v>3382</v>
      </c>
      <c r="E538" s="67">
        <v>0</v>
      </c>
      <c r="F538" s="68">
        <v>0</v>
      </c>
      <c r="G538" s="68">
        <v>0.01</v>
      </c>
      <c r="H538" s="68">
        <v>0.18</v>
      </c>
      <c r="I538" s="68">
        <v>0.25</v>
      </c>
      <c r="J538" s="68">
        <v>0.37</v>
      </c>
      <c r="K538" s="68">
        <v>0.4</v>
      </c>
      <c r="L538" s="68">
        <v>0.33</v>
      </c>
      <c r="M538" s="68">
        <v>0.35</v>
      </c>
      <c r="N538" s="68">
        <v>0.11</v>
      </c>
      <c r="O538" s="68">
        <v>0.1</v>
      </c>
      <c r="P538" s="68">
        <v>0.01</v>
      </c>
      <c r="Q538" s="68">
        <v>0</v>
      </c>
      <c r="R538" s="69" t="s">
        <v>3470</v>
      </c>
      <c r="S538" s="69" t="s">
        <v>3489</v>
      </c>
      <c r="T538" s="70" t="s">
        <v>3425</v>
      </c>
      <c r="U538" s="452"/>
      <c r="V538" s="453" t="str">
        <f>IF(VLOOKUP($A538,'GeneratingCapabilityList sorted'!$E$9:$O$801,8,FALSE)&lt;&gt;"",VLOOKUP($A538,'GeneratingCapabilityList sorted'!$E$9:$O$801,8,FALSE),"NoneListed")</f>
        <v>WIND</v>
      </c>
      <c r="W538" s="454">
        <f>IF($AB538,$AB538,IF($AA538,$AA538,Scenarios!$B$43))</f>
        <v>30317</v>
      </c>
      <c r="X538" s="454"/>
      <c r="Y538" s="454"/>
      <c r="Z538" s="454"/>
      <c r="AA538" s="454">
        <f>IFERROR(VLOOKUP($A538,'GeneratingCapabilityList sorted'!$E$9:$O$801,11,FALSE),Scenarios!$B$43)</f>
        <v>30317</v>
      </c>
      <c r="AB538" s="453"/>
      <c r="AC538" s="453"/>
    </row>
    <row r="539" spans="1:29" x14ac:dyDescent="0.25">
      <c r="A539" s="65" t="s">
        <v>1120</v>
      </c>
      <c r="B539" s="65" t="s">
        <v>1121</v>
      </c>
      <c r="C539" s="66" t="s">
        <v>3477</v>
      </c>
      <c r="D539" s="66" t="s">
        <v>3488</v>
      </c>
      <c r="E539" s="67">
        <v>0</v>
      </c>
      <c r="F539" s="68">
        <v>0</v>
      </c>
      <c r="G539" s="68">
        <v>0.03</v>
      </c>
      <c r="H539" s="68">
        <v>0.56999999999999995</v>
      </c>
      <c r="I539" s="68">
        <v>5.0999999999999996</v>
      </c>
      <c r="J539" s="68">
        <v>7.15</v>
      </c>
      <c r="K539" s="68">
        <v>28.76</v>
      </c>
      <c r="L539" s="68">
        <v>24.65</v>
      </c>
      <c r="M539" s="68">
        <v>19.399999999999999</v>
      </c>
      <c r="N539" s="68">
        <v>20.68</v>
      </c>
      <c r="O539" s="68">
        <v>0.71</v>
      </c>
      <c r="P539" s="68">
        <v>0.02</v>
      </c>
      <c r="Q539" s="68">
        <v>0</v>
      </c>
      <c r="R539" s="69" t="s">
        <v>3470</v>
      </c>
      <c r="S539" s="69" t="s">
        <v>3489</v>
      </c>
      <c r="T539" s="70" t="s">
        <v>3522</v>
      </c>
      <c r="U539" s="452"/>
      <c r="V539" s="453" t="str">
        <f>IF(VLOOKUP($A539,'GeneratingCapabilityList sorted'!$E$9:$O$801,8,FALSE)&lt;&gt;"",VLOOKUP($A539,'GeneratingCapabilityList sorted'!$E$9:$O$801,8,FALSE),"NoneListed")</f>
        <v>SUN</v>
      </c>
      <c r="W539" s="454">
        <f>IF($AB539,$AB539,IF($AA539,$AA539,Scenarios!$B$43))</f>
        <v>30988</v>
      </c>
      <c r="X539" s="454"/>
      <c r="Y539" s="454"/>
      <c r="Z539" s="454"/>
      <c r="AA539" s="454">
        <f>IFERROR(VLOOKUP($A539,'GeneratingCapabilityList sorted'!$E$9:$O$801,11,FALSE),Scenarios!$B$43)</f>
        <v>30988</v>
      </c>
      <c r="AB539" s="453"/>
      <c r="AC539" s="453"/>
    </row>
    <row r="540" spans="1:29" x14ac:dyDescent="0.25">
      <c r="A540" s="65" t="s">
        <v>2085</v>
      </c>
      <c r="B540" s="65" t="s">
        <v>3902</v>
      </c>
      <c r="C540" s="66" t="s">
        <v>3468</v>
      </c>
      <c r="D540" s="66" t="s">
        <v>3474</v>
      </c>
      <c r="E540" s="67">
        <v>0</v>
      </c>
      <c r="F540" s="68">
        <v>27.4</v>
      </c>
      <c r="G540" s="68">
        <v>28.39</v>
      </c>
      <c r="H540" s="68">
        <v>29.73</v>
      </c>
      <c r="I540" s="68">
        <v>23.38</v>
      </c>
      <c r="J540" s="68">
        <v>25.96</v>
      </c>
      <c r="K540" s="68">
        <v>27.95</v>
      </c>
      <c r="L540" s="68">
        <v>27.37</v>
      </c>
      <c r="M540" s="68">
        <v>26.47</v>
      </c>
      <c r="N540" s="68">
        <v>26.29</v>
      </c>
      <c r="O540" s="68">
        <v>29.6</v>
      </c>
      <c r="P540" s="68">
        <v>26</v>
      </c>
      <c r="Q540" s="68">
        <v>28.46</v>
      </c>
      <c r="R540" s="69" t="s">
        <v>3470</v>
      </c>
      <c r="S540" s="69" t="s">
        <v>3489</v>
      </c>
      <c r="T540" s="70" t="s">
        <v>3497</v>
      </c>
      <c r="U540" s="452"/>
      <c r="V540" s="453" t="str">
        <f>IF(VLOOKUP($A540,'GeneratingCapabilityList sorted'!$E$9:$O$801,8,FALSE)&lt;&gt;"",VLOOKUP($A540,'GeneratingCapabilityList sorted'!$E$9:$O$801,8,FALSE),"NoneListed")</f>
        <v>NATURAL GAS</v>
      </c>
      <c r="W540" s="454">
        <f>IF($AB540,$AB540,IF($AA540,$AA540,Scenarios!$B$43))</f>
        <v>33218</v>
      </c>
      <c r="X540" s="454"/>
      <c r="Y540" s="454"/>
      <c r="Z540" s="454"/>
      <c r="AA540" s="454">
        <f>IFERROR(VLOOKUP($A540,'GeneratingCapabilityList sorted'!$E$9:$O$801,11,FALSE),Scenarios!$B$43)</f>
        <v>33218</v>
      </c>
      <c r="AB540" s="453"/>
      <c r="AC540" s="453"/>
    </row>
    <row r="541" spans="1:29" x14ac:dyDescent="0.25">
      <c r="A541" s="65" t="s">
        <v>1841</v>
      </c>
      <c r="B541" s="65" t="s">
        <v>1842</v>
      </c>
      <c r="C541" s="66" t="s">
        <v>3468</v>
      </c>
      <c r="D541" s="66" t="s">
        <v>3505</v>
      </c>
      <c r="E541" s="67">
        <v>0</v>
      </c>
      <c r="F541" s="68">
        <v>33.64</v>
      </c>
      <c r="G541" s="68">
        <v>34.44</v>
      </c>
      <c r="H541" s="68">
        <v>31.58</v>
      </c>
      <c r="I541" s="68">
        <v>26.83</v>
      </c>
      <c r="J541" s="68">
        <v>15.56</v>
      </c>
      <c r="K541" s="68">
        <v>28.08</v>
      </c>
      <c r="L541" s="68">
        <v>44.24</v>
      </c>
      <c r="M541" s="68">
        <v>43.26</v>
      </c>
      <c r="N541" s="68">
        <v>30.11</v>
      </c>
      <c r="O541" s="68">
        <v>30.44</v>
      </c>
      <c r="P541" s="68">
        <v>16.36</v>
      </c>
      <c r="Q541" s="68">
        <v>17.059999999999999</v>
      </c>
      <c r="R541" s="69" t="s">
        <v>3470</v>
      </c>
      <c r="S541" s="69" t="s">
        <v>3489</v>
      </c>
      <c r="T541" s="70" t="s">
        <v>3497</v>
      </c>
      <c r="U541" s="452"/>
      <c r="V541" s="453" t="str">
        <f>IF(VLOOKUP($A541,'GeneratingCapabilityList sorted'!$E$9:$O$801,8,FALSE)&lt;&gt;"",VLOOKUP($A541,'GeneratingCapabilityList sorted'!$E$9:$O$801,8,FALSE),"NoneListed")</f>
        <v>NATURAL GAS</v>
      </c>
      <c r="W541" s="454">
        <f>IF($AB541,$AB541,IF($AA541,$AA541,Scenarios!$B$43))</f>
        <v>32563</v>
      </c>
      <c r="X541" s="454"/>
      <c r="Y541" s="454"/>
      <c r="Z541" s="454"/>
      <c r="AA541" s="454">
        <f>IFERROR(VLOOKUP($A541,'GeneratingCapabilityList sorted'!$E$9:$O$801,11,FALSE),Scenarios!$B$43)</f>
        <v>32563</v>
      </c>
      <c r="AB541" s="453"/>
      <c r="AC541" s="453"/>
    </row>
    <row r="542" spans="1:29" x14ac:dyDescent="0.25">
      <c r="A542" s="65" t="s">
        <v>2994</v>
      </c>
      <c r="B542" s="65" t="s">
        <v>2995</v>
      </c>
      <c r="C542" s="66" t="s">
        <v>3468</v>
      </c>
      <c r="D542" s="82" t="s">
        <v>3488</v>
      </c>
      <c r="E542" s="67"/>
      <c r="F542" s="68">
        <v>0</v>
      </c>
      <c r="G542" s="68">
        <v>0</v>
      </c>
      <c r="H542" s="68">
        <v>0</v>
      </c>
      <c r="I542" s="68">
        <v>0</v>
      </c>
      <c r="J542" s="68">
        <v>0</v>
      </c>
      <c r="K542" s="68">
        <v>0</v>
      </c>
      <c r="L542" s="68">
        <v>0</v>
      </c>
      <c r="M542" s="68">
        <v>0</v>
      </c>
      <c r="N542" s="68">
        <v>0.11</v>
      </c>
      <c r="O542" s="68">
        <v>0.14000000000000001</v>
      </c>
      <c r="P542" s="68">
        <v>0.53</v>
      </c>
      <c r="Q542" s="68">
        <v>0.4</v>
      </c>
      <c r="R542" s="69" t="s">
        <v>3470</v>
      </c>
      <c r="S542" s="69" t="s">
        <v>3489</v>
      </c>
      <c r="T542" s="70" t="s">
        <v>3497</v>
      </c>
      <c r="U542" s="452"/>
      <c r="V542" s="453" t="str">
        <f>IF(VLOOKUP($A542,'GeneratingCapabilityList sorted'!$E$9:$O$801,8,FALSE)&lt;&gt;"",VLOOKUP($A542,'GeneratingCapabilityList sorted'!$E$9:$O$801,8,FALSE),"NoneListed")</f>
        <v>LANDFILL GAS</v>
      </c>
      <c r="W542" s="454">
        <f>IF($AB542,$AB542,IF($AA542,$AA542,Scenarios!$B$43))</f>
        <v>40448</v>
      </c>
      <c r="X542" s="454"/>
      <c r="Y542" s="454"/>
      <c r="Z542" s="454"/>
      <c r="AA542" s="454">
        <f>IFERROR(VLOOKUP($A542,'GeneratingCapabilityList sorted'!$E$9:$O$801,11,FALSE),Scenarios!$B$43)</f>
        <v>40448</v>
      </c>
      <c r="AB542" s="453"/>
      <c r="AC542" s="453"/>
    </row>
    <row r="543" spans="1:29" x14ac:dyDescent="0.25">
      <c r="A543" s="72" t="s">
        <v>558</v>
      </c>
      <c r="B543" s="72" t="s">
        <v>3903</v>
      </c>
      <c r="C543" s="73" t="s">
        <v>3468</v>
      </c>
      <c r="D543" s="73" t="s">
        <v>3488</v>
      </c>
      <c r="E543" s="74">
        <v>0</v>
      </c>
      <c r="F543" s="75">
        <v>0</v>
      </c>
      <c r="G543" s="75">
        <v>0</v>
      </c>
      <c r="H543" s="75">
        <v>128.14814814814815</v>
      </c>
      <c r="I543" s="75">
        <v>124</v>
      </c>
      <c r="J543" s="75">
        <v>128</v>
      </c>
      <c r="K543" s="75">
        <v>130</v>
      </c>
      <c r="L543" s="75">
        <v>91</v>
      </c>
      <c r="M543" s="75">
        <v>56</v>
      </c>
      <c r="N543" s="75">
        <v>0</v>
      </c>
      <c r="O543" s="75">
        <v>0</v>
      </c>
      <c r="P543" s="75">
        <v>0</v>
      </c>
      <c r="Q543" s="75">
        <v>0</v>
      </c>
      <c r="R543" s="69" t="s">
        <v>3470</v>
      </c>
      <c r="S543" s="76" t="s">
        <v>560</v>
      </c>
      <c r="T543" s="70" t="s">
        <v>3484</v>
      </c>
      <c r="U543" s="452"/>
      <c r="V543" s="453" t="str">
        <f>IF(VLOOKUP($A543,'GeneratingCapabilityList sorted'!$E$9:$O$801,8,FALSE)&lt;&gt;"",VLOOKUP($A543,'GeneratingCapabilityList sorted'!$E$9:$O$801,8,FALSE),"NoneListed")</f>
        <v>WATER</v>
      </c>
      <c r="W543" s="454">
        <f>IF($AB543,$AB543,IF($AA543,$AA543,Scenarios!$B$43))</f>
        <v>24473</v>
      </c>
      <c r="X543" s="454"/>
      <c r="Y543" s="454"/>
      <c r="Z543" s="454"/>
      <c r="AA543" s="454">
        <f>IFERROR(VLOOKUP($A543,'GeneratingCapabilityList sorted'!$E$9:$O$801,11,FALSE),Scenarios!$B$43)</f>
        <v>24473</v>
      </c>
      <c r="AB543" s="453"/>
      <c r="AC543" s="453"/>
    </row>
    <row r="544" spans="1:29" x14ac:dyDescent="0.25">
      <c r="A544" s="65" t="s">
        <v>893</v>
      </c>
      <c r="B544" s="65" t="s">
        <v>3904</v>
      </c>
      <c r="C544" s="66" t="s">
        <v>3468</v>
      </c>
      <c r="D544" s="66" t="s">
        <v>3510</v>
      </c>
      <c r="E544" s="67">
        <v>0</v>
      </c>
      <c r="F544" s="68">
        <v>6.35</v>
      </c>
      <c r="G544" s="68">
        <v>6.63</v>
      </c>
      <c r="H544" s="68">
        <v>9.49</v>
      </c>
      <c r="I544" s="68">
        <v>12.01</v>
      </c>
      <c r="J544" s="68">
        <v>13</v>
      </c>
      <c r="K544" s="68">
        <v>13</v>
      </c>
      <c r="L544" s="68">
        <v>12.92</v>
      </c>
      <c r="M544" s="68">
        <v>10.36</v>
      </c>
      <c r="N544" s="68">
        <v>8.3000000000000007</v>
      </c>
      <c r="O544" s="68">
        <v>8</v>
      </c>
      <c r="P544" s="68">
        <v>7.85</v>
      </c>
      <c r="Q544" s="68">
        <v>6.94</v>
      </c>
      <c r="R544" s="69" t="s">
        <v>3470</v>
      </c>
      <c r="S544" s="69" t="s">
        <v>3489</v>
      </c>
      <c r="T544" s="70" t="s">
        <v>3484</v>
      </c>
      <c r="U544" s="452"/>
      <c r="V544" s="453" t="str">
        <f>IF(VLOOKUP($A544,'GeneratingCapabilityList sorted'!$E$9:$O$801,8,FALSE)&lt;&gt;"",VLOOKUP($A544,'GeneratingCapabilityList sorted'!$E$9:$O$801,8,FALSE),"NoneListed")</f>
        <v>WATER</v>
      </c>
      <c r="W544" s="454">
        <f>IF($AB544,$AB544,IF($AA544,$AA544,Scenarios!$B$43))</f>
        <v>30317</v>
      </c>
      <c r="X544" s="454"/>
      <c r="Y544" s="454"/>
      <c r="Z544" s="454"/>
      <c r="AA544" s="454">
        <f>IFERROR(VLOOKUP($A544,'GeneratingCapabilityList sorted'!$E$9:$O$801,11,FALSE),Scenarios!$B$43)</f>
        <v>30317</v>
      </c>
      <c r="AB544" s="453"/>
      <c r="AC544" s="453"/>
    </row>
    <row r="545" spans="1:29" x14ac:dyDescent="0.25">
      <c r="A545" s="65" t="s">
        <v>1893</v>
      </c>
      <c r="B545" s="65" t="s">
        <v>1894</v>
      </c>
      <c r="C545" s="66" t="s">
        <v>3468</v>
      </c>
      <c r="D545" s="66" t="s">
        <v>3488</v>
      </c>
      <c r="E545" s="67">
        <v>0</v>
      </c>
      <c r="F545" s="68">
        <v>0</v>
      </c>
      <c r="G545" s="68">
        <v>0</v>
      </c>
      <c r="H545" s="68">
        <v>0</v>
      </c>
      <c r="I545" s="68">
        <v>0</v>
      </c>
      <c r="J545" s="68">
        <v>0</v>
      </c>
      <c r="K545" s="68">
        <v>0</v>
      </c>
      <c r="L545" s="68">
        <v>0</v>
      </c>
      <c r="M545" s="68">
        <v>0</v>
      </c>
      <c r="N545" s="68">
        <v>0</v>
      </c>
      <c r="O545" s="68">
        <v>0</v>
      </c>
      <c r="P545" s="68">
        <v>0</v>
      </c>
      <c r="Q545" s="68">
        <v>0</v>
      </c>
      <c r="R545" s="69" t="s">
        <v>3470</v>
      </c>
      <c r="S545" s="69" t="s">
        <v>3489</v>
      </c>
      <c r="T545" s="70" t="s">
        <v>3497</v>
      </c>
      <c r="U545" s="452"/>
      <c r="V545" s="453" t="str">
        <f>IF(VLOOKUP($A545,'GeneratingCapabilityList sorted'!$E$9:$O$801,8,FALSE)&lt;&gt;"",VLOOKUP($A545,'GeneratingCapabilityList sorted'!$E$9:$O$801,8,FALSE),"NoneListed")</f>
        <v>NATURAL GAS</v>
      </c>
      <c r="W545" s="454">
        <f>IF($AB545,$AB545,IF($AA545,$AA545,Scenarios!$B$43))</f>
        <v>32680</v>
      </c>
      <c r="X545" s="454"/>
      <c r="Y545" s="454"/>
      <c r="Z545" s="454"/>
      <c r="AA545" s="454">
        <f>IFERROR(VLOOKUP($A545,'GeneratingCapabilityList sorted'!$E$9:$O$801,11,FALSE),Scenarios!$B$43)</f>
        <v>32680</v>
      </c>
      <c r="AB545" s="453"/>
      <c r="AC545" s="453"/>
    </row>
    <row r="546" spans="1:29" x14ac:dyDescent="0.25">
      <c r="A546" s="65" t="s">
        <v>963</v>
      </c>
      <c r="B546" s="65" t="s">
        <v>964</v>
      </c>
      <c r="C546" s="66" t="s">
        <v>3468</v>
      </c>
      <c r="D546" s="66" t="s">
        <v>3488</v>
      </c>
      <c r="E546" s="67">
        <v>0</v>
      </c>
      <c r="F546" s="68">
        <v>0</v>
      </c>
      <c r="G546" s="68">
        <v>0</v>
      </c>
      <c r="H546" s="68">
        <v>0.18</v>
      </c>
      <c r="I546" s="68">
        <v>0.74</v>
      </c>
      <c r="J546" s="68">
        <v>0.08</v>
      </c>
      <c r="K546" s="68">
        <v>3.51</v>
      </c>
      <c r="L546" s="68">
        <v>21.86</v>
      </c>
      <c r="M546" s="68">
        <v>12.52</v>
      </c>
      <c r="N546" s="68">
        <v>0.89</v>
      </c>
      <c r="O546" s="68">
        <v>17.079999999999998</v>
      </c>
      <c r="P546" s="68">
        <v>0</v>
      </c>
      <c r="Q546" s="68">
        <v>0.82</v>
      </c>
      <c r="R546" s="69" t="s">
        <v>3470</v>
      </c>
      <c r="S546" s="69" t="s">
        <v>3489</v>
      </c>
      <c r="T546" s="70" t="s">
        <v>3497</v>
      </c>
      <c r="U546" s="452"/>
      <c r="V546" s="453" t="str">
        <f>IF(VLOOKUP($A546,'GeneratingCapabilityList sorted'!$E$9:$O$801,8,FALSE)&lt;&gt;"",VLOOKUP($A546,'GeneratingCapabilityList sorted'!$E$9:$O$801,8,FALSE),"NoneListed")</f>
        <v>NATURAL GAS</v>
      </c>
      <c r="W546" s="454">
        <f>IF($AB546,$AB546,IF($AA546,$AA546,Scenarios!$B$43))</f>
        <v>30434</v>
      </c>
      <c r="X546" s="454"/>
      <c r="Y546" s="454"/>
      <c r="Z546" s="454"/>
      <c r="AA546" s="454">
        <f>IFERROR(VLOOKUP($A546,'GeneratingCapabilityList sorted'!$E$9:$O$801,11,FALSE),Scenarios!$B$43)</f>
        <v>30434</v>
      </c>
      <c r="AB546" s="453"/>
      <c r="AC546" s="453"/>
    </row>
    <row r="547" spans="1:29" x14ac:dyDescent="0.25">
      <c r="A547" s="65" t="s">
        <v>1719</v>
      </c>
      <c r="B547" s="65" t="s">
        <v>1267</v>
      </c>
      <c r="C547" s="66" t="s">
        <v>3468</v>
      </c>
      <c r="D547" s="66" t="s">
        <v>3488</v>
      </c>
      <c r="E547" s="67">
        <v>0</v>
      </c>
      <c r="F547" s="68">
        <v>41.67</v>
      </c>
      <c r="G547" s="68">
        <v>34.47</v>
      </c>
      <c r="H547" s="68">
        <v>41.56</v>
      </c>
      <c r="I547" s="68">
        <v>31.44</v>
      </c>
      <c r="J547" s="68">
        <v>20.37</v>
      </c>
      <c r="K547" s="68">
        <v>34.65</v>
      </c>
      <c r="L547" s="68">
        <v>34.79</v>
      </c>
      <c r="M547" s="68">
        <v>30.31</v>
      </c>
      <c r="N547" s="68">
        <v>33.630000000000003</v>
      </c>
      <c r="O547" s="68">
        <v>31.92</v>
      </c>
      <c r="P547" s="68">
        <v>28.82</v>
      </c>
      <c r="Q547" s="68">
        <v>34.65</v>
      </c>
      <c r="R547" s="69" t="s">
        <v>3470</v>
      </c>
      <c r="S547" s="69" t="s">
        <v>3489</v>
      </c>
      <c r="T547" s="70" t="s">
        <v>3497</v>
      </c>
      <c r="U547" s="452"/>
      <c r="V547" s="453" t="str">
        <f>IF(VLOOKUP($A547,'GeneratingCapabilityList sorted'!$E$9:$O$801,8,FALSE)&lt;&gt;"",VLOOKUP($A547,'GeneratingCapabilityList sorted'!$E$9:$O$801,8,FALSE),"NoneListed")</f>
        <v>NATURAL GAS</v>
      </c>
      <c r="W547" s="454">
        <f>IF($AB547,$AB547,IF($AA547,$AA547,Scenarios!$B$43))</f>
        <v>32252</v>
      </c>
      <c r="X547" s="454"/>
      <c r="Y547" s="454"/>
      <c r="Z547" s="454"/>
      <c r="AA547" s="454">
        <f>IFERROR(VLOOKUP($A547,'GeneratingCapabilityList sorted'!$E$9:$O$801,11,FALSE),Scenarios!$B$43)</f>
        <v>32252</v>
      </c>
      <c r="AB547" s="453"/>
      <c r="AC547" s="453"/>
    </row>
    <row r="548" spans="1:29" x14ac:dyDescent="0.25">
      <c r="A548" s="65" t="s">
        <v>3045</v>
      </c>
      <c r="B548" s="65" t="s">
        <v>3905</v>
      </c>
      <c r="C548" s="66" t="s">
        <v>3477</v>
      </c>
      <c r="D548" s="66" t="s">
        <v>3385</v>
      </c>
      <c r="E548" s="67">
        <v>0</v>
      </c>
      <c r="F548" s="68">
        <v>0.69</v>
      </c>
      <c r="G548" s="68">
        <v>0.7</v>
      </c>
      <c r="H548" s="68">
        <v>0.67</v>
      </c>
      <c r="I548" s="68">
        <v>0.6</v>
      </c>
      <c r="J548" s="68">
        <v>0.49</v>
      </c>
      <c r="K548" s="68">
        <v>0.55000000000000004</v>
      </c>
      <c r="L548" s="68">
        <v>0.52</v>
      </c>
      <c r="M548" s="68">
        <v>0.47</v>
      </c>
      <c r="N548" s="68">
        <v>0.36</v>
      </c>
      <c r="O548" s="68">
        <v>0.32</v>
      </c>
      <c r="P548" s="68">
        <v>0.36</v>
      </c>
      <c r="Q548" s="68">
        <v>0.36</v>
      </c>
      <c r="R548" s="69" t="s">
        <v>3470</v>
      </c>
      <c r="S548" s="69" t="s">
        <v>3489</v>
      </c>
      <c r="T548" s="70" t="s">
        <v>3497</v>
      </c>
      <c r="U548" s="452"/>
      <c r="V548" s="453" t="str">
        <f>IF(VLOOKUP($A548,'GeneratingCapabilityList sorted'!$E$9:$O$801,8,FALSE)&lt;&gt;"",VLOOKUP($A548,'GeneratingCapabilityList sorted'!$E$9:$O$801,8,FALSE),"NoneListed")</f>
        <v>LANDFILL GAS</v>
      </c>
      <c r="W548" s="454">
        <f>IF($AB548,$AB548,IF($AA548,$AA548,Scenarios!$B$43))</f>
        <v>40683</v>
      </c>
      <c r="X548" s="454"/>
      <c r="Y548" s="454"/>
      <c r="Z548" s="454"/>
      <c r="AA548" s="454">
        <f>IFERROR(VLOOKUP($A548,'GeneratingCapabilityList sorted'!$E$9:$O$801,11,FALSE),Scenarios!$B$43)</f>
        <v>40683</v>
      </c>
      <c r="AB548" s="453"/>
      <c r="AC548" s="453"/>
    </row>
    <row r="549" spans="1:29" x14ac:dyDescent="0.25">
      <c r="A549" s="65" t="s">
        <v>875</v>
      </c>
      <c r="B549" s="65" t="s">
        <v>3906</v>
      </c>
      <c r="C549" s="66" t="s">
        <v>3468</v>
      </c>
      <c r="D549" s="66" t="s">
        <v>3469</v>
      </c>
      <c r="E549" s="67">
        <v>37</v>
      </c>
      <c r="F549" s="68">
        <v>0</v>
      </c>
      <c r="G549" s="68">
        <v>0</v>
      </c>
      <c r="H549" s="68">
        <v>0</v>
      </c>
      <c r="I549" s="68">
        <v>0</v>
      </c>
      <c r="J549" s="68">
        <v>0</v>
      </c>
      <c r="K549" s="68">
        <v>0</v>
      </c>
      <c r="L549" s="68">
        <v>0</v>
      </c>
      <c r="M549" s="68">
        <v>0</v>
      </c>
      <c r="N549" s="68">
        <v>0</v>
      </c>
      <c r="O549" s="68">
        <v>0</v>
      </c>
      <c r="P549" s="68">
        <v>0</v>
      </c>
      <c r="Q549" s="68">
        <v>0</v>
      </c>
      <c r="R549" s="69" t="s">
        <v>3470</v>
      </c>
      <c r="S549" s="69" t="s">
        <v>3471</v>
      </c>
      <c r="T549" s="70" t="s">
        <v>3472</v>
      </c>
      <c r="U549" s="452"/>
      <c r="V549" s="453" t="str">
        <f>IF(VLOOKUP($A549,'GeneratingCapabilityList sorted'!$E$9:$O$801,8,FALSE)&lt;&gt;"",VLOOKUP($A549,'GeneratingCapabilityList sorted'!$E$9:$O$801,8,FALSE),"NoneListed")</f>
        <v>GEOTHERMAL</v>
      </c>
      <c r="W549" s="454">
        <f>IF($AB549,$AB549,IF($AA549,$AA549,Scenarios!$B$43))</f>
        <v>30317</v>
      </c>
      <c r="X549" s="454"/>
      <c r="Y549" s="454"/>
      <c r="Z549" s="454"/>
      <c r="AA549" s="454">
        <f>IFERROR(VLOOKUP($A549,'GeneratingCapabilityList sorted'!$E$9:$O$801,11,FALSE),Scenarios!$B$43)</f>
        <v>30317</v>
      </c>
      <c r="AB549" s="453"/>
      <c r="AC549" s="453"/>
    </row>
    <row r="550" spans="1:29" x14ac:dyDescent="0.25">
      <c r="A550" s="65" t="s">
        <v>2048</v>
      </c>
      <c r="B550" s="65" t="s">
        <v>3907</v>
      </c>
      <c r="C550" s="66" t="s">
        <v>3477</v>
      </c>
      <c r="D550" s="66" t="s">
        <v>3388</v>
      </c>
      <c r="E550" s="67">
        <v>0</v>
      </c>
      <c r="F550" s="68">
        <v>32.93</v>
      </c>
      <c r="G550" s="68">
        <v>36.770000000000003</v>
      </c>
      <c r="H550" s="68">
        <v>19.47</v>
      </c>
      <c r="I550" s="68">
        <v>24.29</v>
      </c>
      <c r="J550" s="68">
        <v>24.26</v>
      </c>
      <c r="K550" s="68">
        <v>35.119999999999997</v>
      </c>
      <c r="L550" s="68">
        <v>35.58</v>
      </c>
      <c r="M550" s="68">
        <v>33.53</v>
      </c>
      <c r="N550" s="68">
        <v>32.700000000000003</v>
      </c>
      <c r="O550" s="68">
        <v>34.450000000000003</v>
      </c>
      <c r="P550" s="68">
        <v>36.380000000000003</v>
      </c>
      <c r="Q550" s="68">
        <v>38.909999999999997</v>
      </c>
      <c r="R550" s="69" t="s">
        <v>3470</v>
      </c>
      <c r="S550" s="69" t="s">
        <v>3489</v>
      </c>
      <c r="T550" s="70" t="s">
        <v>3497</v>
      </c>
      <c r="U550" s="452"/>
      <c r="V550" s="453" t="str">
        <f>IF(VLOOKUP($A550,'GeneratingCapabilityList sorted'!$E$9:$O$801,8,FALSE)&lt;&gt;"",VLOOKUP($A550,'GeneratingCapabilityList sorted'!$E$9:$O$801,8,FALSE),"NoneListed")</f>
        <v>NATURAL GAS</v>
      </c>
      <c r="W550" s="454">
        <f>IF($AB550,$AB550,IF($AA550,$AA550,Scenarios!$B$43))</f>
        <v>32976</v>
      </c>
      <c r="X550" s="454"/>
      <c r="Y550" s="454"/>
      <c r="Z550" s="454"/>
      <c r="AA550" s="454">
        <f>IFERROR(VLOOKUP($A550,'GeneratingCapabilityList sorted'!$E$9:$O$801,11,FALSE),Scenarios!$B$43)</f>
        <v>32976</v>
      </c>
      <c r="AB550" s="453"/>
      <c r="AC550" s="453"/>
    </row>
    <row r="551" spans="1:29" x14ac:dyDescent="0.25">
      <c r="A551" s="65" t="s">
        <v>2277</v>
      </c>
      <c r="B551" s="65" t="s">
        <v>3908</v>
      </c>
      <c r="C551" s="66" t="s">
        <v>3477</v>
      </c>
      <c r="D551" s="66" t="s">
        <v>3388</v>
      </c>
      <c r="E551" s="67">
        <v>0</v>
      </c>
      <c r="F551" s="68">
        <v>41.86</v>
      </c>
      <c r="G551" s="68">
        <v>43.84</v>
      </c>
      <c r="H551" s="68">
        <v>45.55</v>
      </c>
      <c r="I551" s="68">
        <v>44.51</v>
      </c>
      <c r="J551" s="68">
        <v>42.98</v>
      </c>
      <c r="K551" s="68">
        <v>46.22</v>
      </c>
      <c r="L551" s="68">
        <v>45.98</v>
      </c>
      <c r="M551" s="68">
        <v>46.16</v>
      </c>
      <c r="N551" s="68">
        <v>42.2</v>
      </c>
      <c r="O551" s="68">
        <v>39.700000000000003</v>
      </c>
      <c r="P551" s="68">
        <v>45.31</v>
      </c>
      <c r="Q551" s="68">
        <v>45.2</v>
      </c>
      <c r="R551" s="69" t="s">
        <v>3470</v>
      </c>
      <c r="S551" s="69" t="s">
        <v>3489</v>
      </c>
      <c r="T551" s="70" t="s">
        <v>3497</v>
      </c>
      <c r="U551" s="452"/>
      <c r="V551" s="453" t="str">
        <f>IF(VLOOKUP($A551,'GeneratingCapabilityList sorted'!$E$9:$O$801,8,FALSE)&lt;&gt;"",VLOOKUP($A551,'GeneratingCapabilityList sorted'!$E$9:$O$801,8,FALSE),"NoneListed")</f>
        <v>NATURAL GAS</v>
      </c>
      <c r="W551" s="454">
        <f>IF($AB551,$AB551,IF($AA551,$AA551,Scenarios!$B$43))</f>
        <v>36116</v>
      </c>
      <c r="X551" s="454"/>
      <c r="Y551" s="454"/>
      <c r="Z551" s="454"/>
      <c r="AA551" s="454">
        <f>IFERROR(VLOOKUP($A551,'GeneratingCapabilityList sorted'!$E$9:$O$801,11,FALSE),Scenarios!$B$43)</f>
        <v>36116</v>
      </c>
      <c r="AB551" s="453"/>
      <c r="AC551" s="453"/>
    </row>
    <row r="552" spans="1:29" x14ac:dyDescent="0.25">
      <c r="A552" s="65" t="s">
        <v>1537</v>
      </c>
      <c r="B552" s="65" t="s">
        <v>3909</v>
      </c>
      <c r="C552" s="66" t="s">
        <v>3477</v>
      </c>
      <c r="D552" s="66" t="s">
        <v>3388</v>
      </c>
      <c r="E552" s="67">
        <v>0</v>
      </c>
      <c r="F552" s="68">
        <v>1.1100000000000001</v>
      </c>
      <c r="G552" s="68">
        <v>1.17</v>
      </c>
      <c r="H552" s="68">
        <v>1.19</v>
      </c>
      <c r="I552" s="68">
        <v>1.21</v>
      </c>
      <c r="J552" s="68">
        <v>1.2</v>
      </c>
      <c r="K552" s="68">
        <v>1.1200000000000001</v>
      </c>
      <c r="L552" s="68">
        <v>1.1100000000000001</v>
      </c>
      <c r="M552" s="68">
        <v>1.0900000000000001</v>
      </c>
      <c r="N552" s="68">
        <v>0.95</v>
      </c>
      <c r="O552" s="68">
        <v>1.08</v>
      </c>
      <c r="P552" s="68">
        <v>1.1000000000000001</v>
      </c>
      <c r="Q552" s="68">
        <v>0.85</v>
      </c>
      <c r="R552" s="69" t="s">
        <v>3470</v>
      </c>
      <c r="S552" s="69" t="s">
        <v>3489</v>
      </c>
      <c r="T552" s="70" t="s">
        <v>3497</v>
      </c>
      <c r="U552" s="452"/>
      <c r="V552" s="453" t="str">
        <f>IF(VLOOKUP($A552,'GeneratingCapabilityList sorted'!$E$9:$O$801,8,FALSE)&lt;&gt;"",VLOOKUP($A552,'GeneratingCapabilityList sorted'!$E$9:$O$801,8,FALSE),"NoneListed")</f>
        <v>LANDFILL GAS</v>
      </c>
      <c r="W552" s="454">
        <f>IF($AB552,$AB552,IF($AA552,$AA552,Scenarios!$B$43))</f>
        <v>31778</v>
      </c>
      <c r="X552" s="454"/>
      <c r="Y552" s="454"/>
      <c r="Z552" s="454"/>
      <c r="AA552" s="454">
        <f>IFERROR(VLOOKUP($A552,'GeneratingCapabilityList sorted'!$E$9:$O$801,11,FALSE),Scenarios!$B$43)</f>
        <v>31778</v>
      </c>
      <c r="AB552" s="453"/>
      <c r="AC552" s="453"/>
    </row>
    <row r="553" spans="1:29" x14ac:dyDescent="0.25">
      <c r="A553" s="65" t="s">
        <v>1395</v>
      </c>
      <c r="B553" s="65" t="s">
        <v>3910</v>
      </c>
      <c r="C553" s="66" t="s">
        <v>3477</v>
      </c>
      <c r="D553" s="66" t="s">
        <v>3388</v>
      </c>
      <c r="E553" s="67">
        <v>0</v>
      </c>
      <c r="F553" s="68">
        <v>11.92</v>
      </c>
      <c r="G553" s="68">
        <v>12.27</v>
      </c>
      <c r="H553" s="68">
        <v>11.23</v>
      </c>
      <c r="I553" s="68">
        <v>12.15</v>
      </c>
      <c r="J553" s="68">
        <v>12.24</v>
      </c>
      <c r="K553" s="68">
        <v>12.73</v>
      </c>
      <c r="L553" s="68">
        <v>12.87</v>
      </c>
      <c r="M553" s="68">
        <v>12.63</v>
      </c>
      <c r="N553" s="68">
        <v>12.64</v>
      </c>
      <c r="O553" s="68">
        <v>10.34</v>
      </c>
      <c r="P553" s="68">
        <v>9.75</v>
      </c>
      <c r="Q553" s="68">
        <v>8.0500000000000007</v>
      </c>
      <c r="R553" s="69" t="s">
        <v>3470</v>
      </c>
      <c r="S553" s="69" t="s">
        <v>3489</v>
      </c>
      <c r="T553" s="70" t="s">
        <v>3497</v>
      </c>
      <c r="U553" s="452"/>
      <c r="V553" s="453" t="str">
        <f>IF(VLOOKUP($A553,'GeneratingCapabilityList sorted'!$E$9:$O$801,8,FALSE)&lt;&gt;"",VLOOKUP($A553,'GeneratingCapabilityList sorted'!$E$9:$O$801,8,FALSE),"NoneListed")</f>
        <v>NATURAL GAS</v>
      </c>
      <c r="W553" s="454">
        <f>IF($AB553,$AB553,IF($AA553,$AA553,Scenarios!$B$43))</f>
        <v>31485</v>
      </c>
      <c r="X553" s="454"/>
      <c r="Y553" s="454"/>
      <c r="Z553" s="454"/>
      <c r="AA553" s="454">
        <f>IFERROR(VLOOKUP($A553,'GeneratingCapabilityList sorted'!$E$9:$O$801,11,FALSE),Scenarios!$B$43)</f>
        <v>31485</v>
      </c>
      <c r="AB553" s="453"/>
      <c r="AC553" s="453"/>
    </row>
    <row r="554" spans="1:29" x14ac:dyDescent="0.25">
      <c r="A554" s="65" t="s">
        <v>1428</v>
      </c>
      <c r="B554" s="65" t="s">
        <v>3911</v>
      </c>
      <c r="C554" s="65" t="s">
        <v>3468</v>
      </c>
      <c r="D554" s="66" t="s">
        <v>3508</v>
      </c>
      <c r="E554" s="67">
        <v>0</v>
      </c>
      <c r="F554" s="68">
        <v>2.46</v>
      </c>
      <c r="G554" s="68">
        <v>2.31</v>
      </c>
      <c r="H554" s="68">
        <v>6.2</v>
      </c>
      <c r="I554" s="68">
        <v>9.99</v>
      </c>
      <c r="J554" s="68">
        <v>12.68</v>
      </c>
      <c r="K554" s="68">
        <v>12.86</v>
      </c>
      <c r="L554" s="68">
        <v>13.37</v>
      </c>
      <c r="M554" s="68">
        <v>12.02</v>
      </c>
      <c r="N554" s="68">
        <v>10.31</v>
      </c>
      <c r="O554" s="68">
        <v>6.88</v>
      </c>
      <c r="P554" s="68">
        <v>2.93</v>
      </c>
      <c r="Q554" s="68">
        <v>8.2200000000000006</v>
      </c>
      <c r="R554" s="69" t="s">
        <v>3470</v>
      </c>
      <c r="S554" s="69" t="s">
        <v>3489</v>
      </c>
      <c r="T554" s="70" t="s">
        <v>3502</v>
      </c>
      <c r="U554" s="452"/>
      <c r="V554" s="453" t="str">
        <f>IF(VLOOKUP($A554,'GeneratingCapabilityList sorted'!$E$9:$O$801,8,FALSE)&lt;&gt;"",VLOOKUP($A554,'GeneratingCapabilityList sorted'!$E$9:$O$801,8,FALSE),"NoneListed")</f>
        <v>WATER</v>
      </c>
      <c r="W554" s="454">
        <f>IF($AB554,$AB554,IF($AA554,$AA554,Scenarios!$B$43))</f>
        <v>31551</v>
      </c>
      <c r="X554" s="454"/>
      <c r="Y554" s="454"/>
      <c r="Z554" s="454"/>
      <c r="AA554" s="454">
        <f>IFERROR(VLOOKUP($A554,'GeneratingCapabilityList sorted'!$E$9:$O$801,11,FALSE),Scenarios!$B$43)</f>
        <v>31551</v>
      </c>
      <c r="AB554" s="453"/>
      <c r="AC554" s="453"/>
    </row>
    <row r="555" spans="1:29" x14ac:dyDescent="0.25">
      <c r="A555" s="65" t="s">
        <v>2180</v>
      </c>
      <c r="B555" s="65" t="s">
        <v>3912</v>
      </c>
      <c r="C555" s="66" t="s">
        <v>3468</v>
      </c>
      <c r="D555" s="66" t="s">
        <v>3469</v>
      </c>
      <c r="E555" s="67">
        <v>0</v>
      </c>
      <c r="F555" s="68">
        <v>4.84</v>
      </c>
      <c r="G555" s="68">
        <v>5.28</v>
      </c>
      <c r="H555" s="68">
        <v>5.55</v>
      </c>
      <c r="I555" s="68">
        <v>5.47</v>
      </c>
      <c r="J555" s="68">
        <v>5.49</v>
      </c>
      <c r="K555" s="68">
        <v>4.4400000000000004</v>
      </c>
      <c r="L555" s="68">
        <v>4.96</v>
      </c>
      <c r="M555" s="68">
        <v>4.5999999999999996</v>
      </c>
      <c r="N555" s="68">
        <v>4.49</v>
      </c>
      <c r="O555" s="68">
        <v>4.58</v>
      </c>
      <c r="P555" s="68">
        <v>4.34</v>
      </c>
      <c r="Q555" s="68">
        <v>4.58</v>
      </c>
      <c r="R555" s="69" t="s">
        <v>3470</v>
      </c>
      <c r="S555" s="69" t="s">
        <v>3489</v>
      </c>
      <c r="T555" s="70" t="s">
        <v>3497</v>
      </c>
      <c r="U555" s="452"/>
      <c r="V555" s="453" t="str">
        <f>IF(VLOOKUP($A555,'GeneratingCapabilityList sorted'!$E$9:$O$801,8,FALSE)&lt;&gt;"",VLOOKUP($A555,'GeneratingCapabilityList sorted'!$E$9:$O$801,8,FALSE),"NoneListed")</f>
        <v>LANDFILL GAS</v>
      </c>
      <c r="W555" s="454">
        <f>IF($AB555,$AB555,IF($AA555,$AA555,Scenarios!$B$43))</f>
        <v>34089</v>
      </c>
      <c r="X555" s="454"/>
      <c r="Y555" s="454"/>
      <c r="Z555" s="454"/>
      <c r="AA555" s="454">
        <f>IFERROR(VLOOKUP($A555,'GeneratingCapabilityList sorted'!$E$9:$O$801,11,FALSE),Scenarios!$B$43)</f>
        <v>34089</v>
      </c>
      <c r="AB555" s="453"/>
      <c r="AC555" s="453"/>
    </row>
    <row r="556" spans="1:29" x14ac:dyDescent="0.25">
      <c r="A556" s="65" t="s">
        <v>888</v>
      </c>
      <c r="B556" s="65" t="s">
        <v>3913</v>
      </c>
      <c r="C556" s="66" t="s">
        <v>3477</v>
      </c>
      <c r="D556" s="66" t="s">
        <v>3387</v>
      </c>
      <c r="E556" s="67">
        <v>1122</v>
      </c>
      <c r="F556" s="68">
        <v>0</v>
      </c>
      <c r="G556" s="68">
        <v>0</v>
      </c>
      <c r="H556" s="68">
        <v>0</v>
      </c>
      <c r="I556" s="68">
        <v>0</v>
      </c>
      <c r="J556" s="68">
        <v>0</v>
      </c>
      <c r="K556" s="68">
        <v>0</v>
      </c>
      <c r="L556" s="68">
        <v>0</v>
      </c>
      <c r="M556" s="68">
        <v>0</v>
      </c>
      <c r="N556" s="68">
        <v>0</v>
      </c>
      <c r="O556" s="68">
        <v>0</v>
      </c>
      <c r="P556" s="68">
        <v>0</v>
      </c>
      <c r="Q556" s="68">
        <v>0</v>
      </c>
      <c r="R556" s="69" t="s">
        <v>3470</v>
      </c>
      <c r="S556" s="69" t="s">
        <v>3471</v>
      </c>
      <c r="T556" s="70" t="s">
        <v>3472</v>
      </c>
      <c r="U556" s="452" t="s">
        <v>29</v>
      </c>
      <c r="V556" s="453" t="str">
        <f>IF(VLOOKUP($A556,'GeneratingCapabilityList sorted'!$E$9:$O$801,8,FALSE)&lt;&gt;"",VLOOKUP($A556,'GeneratingCapabilityList sorted'!$E$9:$O$801,8,FALSE),"NoneListed")</f>
        <v>URANIUM</v>
      </c>
      <c r="W556" s="454">
        <f>IF($AB556,$AB556,IF($AA556,$AA556,Scenarios!$B$43))</f>
        <v>30317</v>
      </c>
      <c r="X556" s="454">
        <f>OTC!G44</f>
        <v>44926</v>
      </c>
      <c r="Y556" s="454">
        <f>OTC!H44</f>
        <v>42005</v>
      </c>
      <c r="Z556" s="454">
        <f>OTC!H44</f>
        <v>42005</v>
      </c>
      <c r="AA556" s="454">
        <f>IFERROR(VLOOKUP($A556,'GeneratingCapabilityList sorted'!$E$9:$O$801,11,FALSE),Scenarios!$B$43)</f>
        <v>30317</v>
      </c>
      <c r="AB556" s="453"/>
      <c r="AC556" s="453"/>
    </row>
    <row r="557" spans="1:29" x14ac:dyDescent="0.25">
      <c r="A557" s="65" t="s">
        <v>1027</v>
      </c>
      <c r="B557" s="65" t="s">
        <v>3914</v>
      </c>
      <c r="C557" s="66" t="s">
        <v>3477</v>
      </c>
      <c r="D557" s="66" t="s">
        <v>3387</v>
      </c>
      <c r="E557" s="67">
        <v>1124</v>
      </c>
      <c r="F557" s="68">
        <v>0</v>
      </c>
      <c r="G557" s="68">
        <v>0</v>
      </c>
      <c r="H557" s="68">
        <v>0</v>
      </c>
      <c r="I557" s="68">
        <v>0</v>
      </c>
      <c r="J557" s="68">
        <v>0</v>
      </c>
      <c r="K557" s="68">
        <v>0</v>
      </c>
      <c r="L557" s="68">
        <v>0</v>
      </c>
      <c r="M557" s="68">
        <v>0</v>
      </c>
      <c r="N557" s="68">
        <v>0</v>
      </c>
      <c r="O557" s="68">
        <v>0</v>
      </c>
      <c r="P557" s="68">
        <v>0</v>
      </c>
      <c r="Q557" s="68">
        <v>0</v>
      </c>
      <c r="R557" s="69" t="s">
        <v>3470</v>
      </c>
      <c r="S557" s="69" t="s">
        <v>3471</v>
      </c>
      <c r="T557" s="70" t="s">
        <v>3472</v>
      </c>
      <c r="U557" s="452" t="s">
        <v>29</v>
      </c>
      <c r="V557" s="453" t="str">
        <f>IF(VLOOKUP($A557,'GeneratingCapabilityList sorted'!$E$9:$O$801,8,FALSE)&lt;&gt;"",VLOOKUP($A557,'GeneratingCapabilityList sorted'!$E$9:$O$801,8,FALSE),"NoneListed")</f>
        <v>URANIUM</v>
      </c>
      <c r="W557" s="454">
        <f>IF($AB557,$AB557,IF($AA557,$AA557,Scenarios!$B$43))</f>
        <v>30682</v>
      </c>
      <c r="X557" s="454">
        <f>OTC!G45</f>
        <v>44926</v>
      </c>
      <c r="Y557" s="454">
        <f>OTC!H45</f>
        <v>42005</v>
      </c>
      <c r="Z557" s="454">
        <f>OTC!H45</f>
        <v>42005</v>
      </c>
      <c r="AA557" s="454">
        <f>IFERROR(VLOOKUP($A557,'GeneratingCapabilityList sorted'!$E$9:$O$801,11,FALSE),Scenarios!$B$43)</f>
        <v>30682</v>
      </c>
      <c r="AB557" s="453"/>
      <c r="AC557" s="453"/>
    </row>
    <row r="558" spans="1:29" x14ac:dyDescent="0.25">
      <c r="A558" s="65" t="s">
        <v>761</v>
      </c>
      <c r="B558" s="65" t="s">
        <v>3915</v>
      </c>
      <c r="C558" s="66" t="s">
        <v>3468</v>
      </c>
      <c r="D558" s="66" t="s">
        <v>3488</v>
      </c>
      <c r="E558" s="67">
        <v>0</v>
      </c>
      <c r="F558" s="68">
        <v>4.2</v>
      </c>
      <c r="G558" s="68">
        <v>3.55</v>
      </c>
      <c r="H558" s="68">
        <v>4.37</v>
      </c>
      <c r="I558" s="68">
        <v>4.3099999999999996</v>
      </c>
      <c r="J558" s="68">
        <v>4.5199999999999996</v>
      </c>
      <c r="K558" s="68">
        <v>3.91</v>
      </c>
      <c r="L558" s="68">
        <v>2.9</v>
      </c>
      <c r="M558" s="68">
        <v>2.4500000000000002</v>
      </c>
      <c r="N558" s="68">
        <v>3.6</v>
      </c>
      <c r="O558" s="68">
        <v>4.04</v>
      </c>
      <c r="P558" s="68">
        <v>4.3600000000000003</v>
      </c>
      <c r="Q558" s="68">
        <v>4.74</v>
      </c>
      <c r="R558" s="69" t="s">
        <v>3470</v>
      </c>
      <c r="S558" s="69" t="s">
        <v>3489</v>
      </c>
      <c r="T558" s="70" t="s">
        <v>3502</v>
      </c>
      <c r="U558" s="452"/>
      <c r="V558" s="453" t="str">
        <f>IF(VLOOKUP($A558,'GeneratingCapabilityList sorted'!$E$9:$O$801,8,FALSE)&lt;&gt;"",VLOOKUP($A558,'GeneratingCapabilityList sorted'!$E$9:$O$801,8,FALSE),"NoneListed")</f>
        <v>WATER</v>
      </c>
      <c r="W558" s="454">
        <f>IF($AB558,$AB558,IF($AA558,$AA558,Scenarios!$B$43))</f>
        <v>28856</v>
      </c>
      <c r="X558" s="454"/>
      <c r="Y558" s="454"/>
      <c r="Z558" s="454"/>
      <c r="AA558" s="454">
        <f>IFERROR(VLOOKUP($A558,'GeneratingCapabilityList sorted'!$E$9:$O$801,11,FALSE),Scenarios!$B$43)</f>
        <v>28856</v>
      </c>
      <c r="AB558" s="453"/>
      <c r="AC558" s="453"/>
    </row>
    <row r="559" spans="1:29" x14ac:dyDescent="0.25">
      <c r="A559" s="65" t="s">
        <v>275</v>
      </c>
      <c r="B559" s="65" t="s">
        <v>3916</v>
      </c>
      <c r="C559" s="66" t="s">
        <v>3468</v>
      </c>
      <c r="D559" s="66" t="s">
        <v>3510</v>
      </c>
      <c r="E559" s="67">
        <v>0</v>
      </c>
      <c r="F559" s="68">
        <v>1.2</v>
      </c>
      <c r="G559" s="68">
        <v>1.31</v>
      </c>
      <c r="H559" s="68">
        <v>4.0199999999999996</v>
      </c>
      <c r="I559" s="68">
        <v>2.74</v>
      </c>
      <c r="J559" s="68">
        <v>4.07</v>
      </c>
      <c r="K559" s="68">
        <v>3.42</v>
      </c>
      <c r="L559" s="68">
        <v>5.39</v>
      </c>
      <c r="M559" s="68">
        <v>5.8</v>
      </c>
      <c r="N559" s="68">
        <v>5.03</v>
      </c>
      <c r="O559" s="68">
        <v>3.76</v>
      </c>
      <c r="P559" s="68">
        <v>2.69</v>
      </c>
      <c r="Q559" s="68">
        <v>2.16</v>
      </c>
      <c r="R559" s="69" t="s">
        <v>3470</v>
      </c>
      <c r="S559" s="69" t="s">
        <v>3489</v>
      </c>
      <c r="T559" s="70" t="s">
        <v>3502</v>
      </c>
      <c r="U559" s="452"/>
      <c r="V559" s="453" t="str">
        <f>IF(VLOOKUP($A559,'GeneratingCapabilityList sorted'!$E$9:$O$801,8,FALSE)&lt;&gt;"",VLOOKUP($A559,'GeneratingCapabilityList sorted'!$E$9:$O$801,8,FALSE),"NoneListed")</f>
        <v>WATER</v>
      </c>
      <c r="W559" s="454">
        <f>IF($AB559,$AB559,IF($AA559,$AA559,Scenarios!$B$43))</f>
        <v>10228</v>
      </c>
      <c r="X559" s="454"/>
      <c r="Y559" s="454"/>
      <c r="Z559" s="454"/>
      <c r="AA559" s="454">
        <f>IFERROR(VLOOKUP($A559,'GeneratingCapabilityList sorted'!$E$9:$O$801,11,FALSE),Scenarios!$B$43)</f>
        <v>10228</v>
      </c>
      <c r="AB559" s="453"/>
      <c r="AC559" s="453"/>
    </row>
    <row r="560" spans="1:29" x14ac:dyDescent="0.25">
      <c r="A560" s="65" t="s">
        <v>282</v>
      </c>
      <c r="B560" s="65" t="s">
        <v>3917</v>
      </c>
      <c r="C560" s="66" t="s">
        <v>3468</v>
      </c>
      <c r="D560" s="66" t="s">
        <v>3510</v>
      </c>
      <c r="E560" s="67">
        <v>0</v>
      </c>
      <c r="F560" s="68">
        <v>5.93</v>
      </c>
      <c r="G560" s="68">
        <v>6.14</v>
      </c>
      <c r="H560" s="68">
        <v>9.43</v>
      </c>
      <c r="I560" s="68">
        <v>11.12</v>
      </c>
      <c r="J560" s="68">
        <v>11.4</v>
      </c>
      <c r="K560" s="68">
        <v>11.4</v>
      </c>
      <c r="L560" s="68">
        <v>11.4</v>
      </c>
      <c r="M560" s="68">
        <v>9.91</v>
      </c>
      <c r="N560" s="68">
        <v>7.73</v>
      </c>
      <c r="O560" s="68">
        <v>9.06</v>
      </c>
      <c r="P560" s="68">
        <v>9.5399999999999991</v>
      </c>
      <c r="Q560" s="68">
        <v>7.93</v>
      </c>
      <c r="R560" s="69" t="s">
        <v>3470</v>
      </c>
      <c r="S560" s="69" t="s">
        <v>3489</v>
      </c>
      <c r="T560" s="70" t="s">
        <v>3484</v>
      </c>
      <c r="U560" s="452"/>
      <c r="V560" s="453" t="str">
        <f>IF(VLOOKUP($A560,'GeneratingCapabilityList sorted'!$E$9:$O$801,8,FALSE)&lt;&gt;"",VLOOKUP($A560,'GeneratingCapabilityList sorted'!$E$9:$O$801,8,FALSE),"NoneListed")</f>
        <v>WATER</v>
      </c>
      <c r="W560" s="454">
        <f>IF($AB560,$AB560,IF($AA560,$AA560,Scenarios!$B$43))</f>
        <v>10594</v>
      </c>
      <c r="X560" s="454"/>
      <c r="Y560" s="454"/>
      <c r="Z560" s="454"/>
      <c r="AA560" s="454">
        <f>IFERROR(VLOOKUP($A560,'GeneratingCapabilityList sorted'!$E$9:$O$801,11,FALSE),Scenarios!$B$43)</f>
        <v>10594</v>
      </c>
      <c r="AB560" s="453"/>
      <c r="AC560" s="453"/>
    </row>
    <row r="561" spans="1:29" x14ac:dyDescent="0.25">
      <c r="A561" s="65" t="s">
        <v>1349</v>
      </c>
      <c r="B561" s="65" t="s">
        <v>3918</v>
      </c>
      <c r="C561" s="66" t="s">
        <v>3468</v>
      </c>
      <c r="D561" s="66" t="s">
        <v>3488</v>
      </c>
      <c r="E561" s="67">
        <v>0</v>
      </c>
      <c r="F561" s="68">
        <v>9.01</v>
      </c>
      <c r="G561" s="68">
        <v>9.31</v>
      </c>
      <c r="H561" s="68">
        <v>9.84</v>
      </c>
      <c r="I561" s="68">
        <v>8.8699999999999992</v>
      </c>
      <c r="J561" s="68">
        <v>10.85</v>
      </c>
      <c r="K561" s="68">
        <v>13.74</v>
      </c>
      <c r="L561" s="68">
        <v>13.78</v>
      </c>
      <c r="M561" s="68">
        <v>13.5</v>
      </c>
      <c r="N561" s="68">
        <v>12.68</v>
      </c>
      <c r="O561" s="68">
        <v>8.89</v>
      </c>
      <c r="P561" s="68">
        <v>9.85</v>
      </c>
      <c r="Q561" s="68">
        <v>10.78</v>
      </c>
      <c r="R561" s="69" t="s">
        <v>3470</v>
      </c>
      <c r="S561" s="69" t="s">
        <v>3489</v>
      </c>
      <c r="T561" s="70" t="s">
        <v>3497</v>
      </c>
      <c r="U561" s="452"/>
      <c r="V561" s="453" t="str">
        <f>IF(VLOOKUP($A561,'GeneratingCapabilityList sorted'!$E$9:$O$801,8,FALSE)&lt;&gt;"",VLOOKUP($A561,'GeneratingCapabilityList sorted'!$E$9:$O$801,8,FALSE),"NoneListed")</f>
        <v>WOOD WASTE</v>
      </c>
      <c r="W561" s="454">
        <f>IF($AB561,$AB561,IF($AA561,$AA561,Scenarios!$B$43))</f>
        <v>31413</v>
      </c>
      <c r="X561" s="454"/>
      <c r="Y561" s="454"/>
      <c r="Z561" s="454"/>
      <c r="AA561" s="454">
        <f>IFERROR(VLOOKUP($A561,'GeneratingCapabilityList sorted'!$E$9:$O$801,11,FALSE),Scenarios!$B$43)</f>
        <v>31413</v>
      </c>
      <c r="AB561" s="453"/>
      <c r="AC561" s="453"/>
    </row>
    <row r="562" spans="1:29" x14ac:dyDescent="0.25">
      <c r="A562" s="65" t="s">
        <v>2035</v>
      </c>
      <c r="B562" s="65" t="s">
        <v>2035</v>
      </c>
      <c r="C562" s="66" t="s">
        <v>3468</v>
      </c>
      <c r="D562" s="66" t="s">
        <v>3488</v>
      </c>
      <c r="E562" s="67">
        <v>0</v>
      </c>
      <c r="F562" s="68">
        <v>0.08</v>
      </c>
      <c r="G562" s="68">
        <v>0.18</v>
      </c>
      <c r="H562" s="68">
        <v>0.82</v>
      </c>
      <c r="I562" s="68">
        <v>1.1200000000000001</v>
      </c>
      <c r="J562" s="68">
        <v>1.76</v>
      </c>
      <c r="K562" s="68">
        <v>0.35</v>
      </c>
      <c r="L562" s="68">
        <v>0</v>
      </c>
      <c r="M562" s="68">
        <v>0</v>
      </c>
      <c r="N562" s="68">
        <v>0</v>
      </c>
      <c r="O562" s="68">
        <v>0.01</v>
      </c>
      <c r="P562" s="68">
        <v>0</v>
      </c>
      <c r="Q562" s="68">
        <v>0.37</v>
      </c>
      <c r="R562" s="69" t="s">
        <v>3470</v>
      </c>
      <c r="S562" s="69" t="s">
        <v>3489</v>
      </c>
      <c r="T562" s="70" t="s">
        <v>3502</v>
      </c>
      <c r="U562" s="452"/>
      <c r="V562" s="453" t="str">
        <f>IF(VLOOKUP($A562,'GeneratingCapabilityList sorted'!$E$9:$O$801,8,FALSE)&lt;&gt;"",VLOOKUP($A562,'GeneratingCapabilityList sorted'!$E$9:$O$801,8,FALSE),"NoneListed")</f>
        <v>WATER</v>
      </c>
      <c r="W562" s="454">
        <f>IF($AB562,$AB562,IF($AA562,$AA562,Scenarios!$B$43))</f>
        <v>32960</v>
      </c>
      <c r="X562" s="454"/>
      <c r="Y562" s="454"/>
      <c r="Z562" s="454"/>
      <c r="AA562" s="454">
        <f>IFERROR(VLOOKUP($A562,'GeneratingCapabilityList sorted'!$E$9:$O$801,11,FALSE),Scenarios!$B$43)</f>
        <v>32960</v>
      </c>
      <c r="AB562" s="453"/>
      <c r="AC562" s="453"/>
    </row>
    <row r="563" spans="1:29" x14ac:dyDescent="0.25">
      <c r="A563" s="65" t="s">
        <v>1433</v>
      </c>
      <c r="B563" s="65" t="s">
        <v>3919</v>
      </c>
      <c r="C563" s="66" t="s">
        <v>3468</v>
      </c>
      <c r="D563" s="66" t="s">
        <v>3510</v>
      </c>
      <c r="E563" s="67">
        <v>0</v>
      </c>
      <c r="F563" s="68">
        <v>8.61</v>
      </c>
      <c r="G563" s="68">
        <v>8.74</v>
      </c>
      <c r="H563" s="68">
        <v>8.99</v>
      </c>
      <c r="I563" s="68">
        <v>7.46</v>
      </c>
      <c r="J563" s="68">
        <v>10.029999999999999</v>
      </c>
      <c r="K563" s="68">
        <v>10.26</v>
      </c>
      <c r="L563" s="68">
        <v>10.85</v>
      </c>
      <c r="M563" s="68">
        <v>10.49</v>
      </c>
      <c r="N563" s="68">
        <v>9.7100000000000009</v>
      </c>
      <c r="O563" s="68">
        <v>9.9499999999999993</v>
      </c>
      <c r="P563" s="68">
        <v>8.3800000000000008</v>
      </c>
      <c r="Q563" s="68">
        <v>8.7899999999999991</v>
      </c>
      <c r="R563" s="69" t="s">
        <v>3470</v>
      </c>
      <c r="S563" s="69" t="s">
        <v>3489</v>
      </c>
      <c r="T563" s="70" t="s">
        <v>3497</v>
      </c>
      <c r="U563" s="452"/>
      <c r="V563" s="453" t="str">
        <f>IF(VLOOKUP($A563,'GeneratingCapabilityList sorted'!$E$9:$O$801,8,FALSE)&lt;&gt;"",VLOOKUP($A563,'GeneratingCapabilityList sorted'!$E$9:$O$801,8,FALSE),"NoneListed")</f>
        <v>WOOD WASTE</v>
      </c>
      <c r="W563" s="454">
        <f>IF($AB563,$AB563,IF($AA563,$AA563,Scenarios!$B$43))</f>
        <v>31566</v>
      </c>
      <c r="X563" s="454"/>
      <c r="Y563" s="454"/>
      <c r="Z563" s="454"/>
      <c r="AA563" s="454">
        <f>IFERROR(VLOOKUP($A563,'GeneratingCapabilityList sorted'!$E$9:$O$801,11,FALSE),Scenarios!$B$43)</f>
        <v>31566</v>
      </c>
      <c r="AB563" s="453"/>
      <c r="AC563" s="453"/>
    </row>
    <row r="564" spans="1:29" x14ac:dyDescent="0.25">
      <c r="A564" s="65" t="s">
        <v>1465</v>
      </c>
      <c r="B564" s="65" t="s">
        <v>3920</v>
      </c>
      <c r="C564" s="66" t="s">
        <v>3468</v>
      </c>
      <c r="D564" s="66" t="s">
        <v>3488</v>
      </c>
      <c r="E564" s="67">
        <v>0</v>
      </c>
      <c r="F564" s="68">
        <v>0.56999999999999995</v>
      </c>
      <c r="G564" s="68">
        <v>0.6</v>
      </c>
      <c r="H564" s="68">
        <v>0.64</v>
      </c>
      <c r="I564" s="68">
        <v>0.82</v>
      </c>
      <c r="J564" s="68">
        <v>0.82</v>
      </c>
      <c r="K564" s="68">
        <v>0.89</v>
      </c>
      <c r="L564" s="68">
        <v>0.96</v>
      </c>
      <c r="M564" s="68">
        <v>0.87</v>
      </c>
      <c r="N564" s="68">
        <v>0.71</v>
      </c>
      <c r="O564" s="68">
        <v>0.59</v>
      </c>
      <c r="P564" s="68">
        <v>0.55000000000000004</v>
      </c>
      <c r="Q564" s="68">
        <v>0.55000000000000004</v>
      </c>
      <c r="R564" s="69" t="s">
        <v>3470</v>
      </c>
      <c r="S564" s="69" t="s">
        <v>3489</v>
      </c>
      <c r="T564" s="70" t="s">
        <v>3497</v>
      </c>
      <c r="U564" s="452"/>
      <c r="V564" s="453" t="str">
        <f>IF(VLOOKUP($A564,'GeneratingCapabilityList sorted'!$E$9:$O$801,8,FALSE)&lt;&gt;"",VLOOKUP($A564,'GeneratingCapabilityList sorted'!$E$9:$O$801,8,FALSE),"NoneListed")</f>
        <v>WOOD WASTE</v>
      </c>
      <c r="W564" s="454">
        <f>IF($AB564,$AB564,IF($AA564,$AA564,Scenarios!$B$43))</f>
        <v>31720</v>
      </c>
      <c r="X564" s="454"/>
      <c r="Y564" s="454"/>
      <c r="Z564" s="454"/>
      <c r="AA564" s="454">
        <f>IFERROR(VLOOKUP($A564,'GeneratingCapabilityList sorted'!$E$9:$O$801,11,FALSE),Scenarios!$B$43)</f>
        <v>31720</v>
      </c>
      <c r="AB564" s="453"/>
      <c r="AC564" s="453"/>
    </row>
    <row r="565" spans="1:29" x14ac:dyDescent="0.25">
      <c r="A565" s="65" t="s">
        <v>1978</v>
      </c>
      <c r="B565" s="65" t="s">
        <v>3921</v>
      </c>
      <c r="C565" s="66" t="s">
        <v>3468</v>
      </c>
      <c r="D565" s="66" t="s">
        <v>3488</v>
      </c>
      <c r="E565" s="67">
        <v>6</v>
      </c>
      <c r="F565" s="68">
        <v>0</v>
      </c>
      <c r="G565" s="68">
        <v>0</v>
      </c>
      <c r="H565" s="68">
        <v>0</v>
      </c>
      <c r="I565" s="68">
        <v>0</v>
      </c>
      <c r="J565" s="68">
        <v>0</v>
      </c>
      <c r="K565" s="68">
        <v>0</v>
      </c>
      <c r="L565" s="68">
        <v>0</v>
      </c>
      <c r="M565" s="68">
        <v>0</v>
      </c>
      <c r="N565" s="68">
        <v>0</v>
      </c>
      <c r="O565" s="68">
        <v>0</v>
      </c>
      <c r="P565" s="68">
        <v>0</v>
      </c>
      <c r="Q565" s="68">
        <v>0</v>
      </c>
      <c r="R565" s="69" t="s">
        <v>3470</v>
      </c>
      <c r="S565" s="69" t="s">
        <v>879</v>
      </c>
      <c r="T565" s="70" t="s">
        <v>3502</v>
      </c>
      <c r="U565" s="452"/>
      <c r="V565" s="453" t="str">
        <f>IF(VLOOKUP($A565,'GeneratingCapabilityList sorted'!$E$9:$O$801,8,FALSE)&lt;&gt;"",VLOOKUP($A565,'GeneratingCapabilityList sorted'!$E$9:$O$801,8,FALSE),"NoneListed")</f>
        <v>WATER</v>
      </c>
      <c r="W565" s="454">
        <f>IF($AB565,$AB565,IF($AA565,$AA565,Scenarios!$B$43))</f>
        <v>32874</v>
      </c>
      <c r="X565" s="454"/>
      <c r="Y565" s="454"/>
      <c r="Z565" s="454"/>
      <c r="AA565" s="454">
        <f>IFERROR(VLOOKUP($A565,'GeneratingCapabilityList sorted'!$E$9:$O$801,11,FALSE),Scenarios!$B$43)</f>
        <v>32874</v>
      </c>
      <c r="AB565" s="453"/>
      <c r="AC565" s="453"/>
    </row>
    <row r="566" spans="1:29" x14ac:dyDescent="0.25">
      <c r="A566" s="65" t="s">
        <v>2362</v>
      </c>
      <c r="B566" s="65" t="s">
        <v>3922</v>
      </c>
      <c r="C566" s="65" t="s">
        <v>3468</v>
      </c>
      <c r="D566" s="66" t="s">
        <v>3508</v>
      </c>
      <c r="E566" s="67">
        <v>0</v>
      </c>
      <c r="F566" s="68">
        <v>1.21</v>
      </c>
      <c r="G566" s="68">
        <v>1.1299999999999999</v>
      </c>
      <c r="H566" s="68">
        <v>1.18</v>
      </c>
      <c r="I566" s="68">
        <v>1.1499999999999999</v>
      </c>
      <c r="J566" s="68">
        <v>1.2</v>
      </c>
      <c r="K566" s="68">
        <v>1.1200000000000001</v>
      </c>
      <c r="L566" s="68">
        <v>1.58</v>
      </c>
      <c r="M566" s="68">
        <v>1.91</v>
      </c>
      <c r="N566" s="68">
        <v>2.0299999999999998</v>
      </c>
      <c r="O566" s="68">
        <v>0.9</v>
      </c>
      <c r="P566" s="68">
        <v>0.85</v>
      </c>
      <c r="Q566" s="68">
        <v>0.69</v>
      </c>
      <c r="R566" s="69" t="s">
        <v>3470</v>
      </c>
      <c r="S566" s="69" t="s">
        <v>3489</v>
      </c>
      <c r="T566" s="70" t="s">
        <v>3497</v>
      </c>
      <c r="U566" s="452"/>
      <c r="V566" s="453" t="str">
        <f>IF(VLOOKUP($A566,'GeneratingCapabilityList sorted'!$E$9:$O$801,8,FALSE)&lt;&gt;"",VLOOKUP($A566,'GeneratingCapabilityList sorted'!$E$9:$O$801,8,FALSE),"NoneListed")</f>
        <v>WOOD WASTE</v>
      </c>
      <c r="W566" s="454">
        <f>IF($AB566,$AB566,IF($AA566,$AA566,Scenarios!$B$43))</f>
        <v>37040</v>
      </c>
      <c r="X566" s="454"/>
      <c r="Y566" s="454"/>
      <c r="Z566" s="454"/>
      <c r="AA566" s="454">
        <f>IFERROR(VLOOKUP($A566,'GeneratingCapabilityList sorted'!$E$9:$O$801,11,FALSE),Scenarios!$B$43)</f>
        <v>37040</v>
      </c>
      <c r="AB566" s="453"/>
      <c r="AC566" s="453"/>
    </row>
    <row r="567" spans="1:29" x14ac:dyDescent="0.25">
      <c r="A567" s="65" t="s">
        <v>932</v>
      </c>
      <c r="B567" s="65" t="s">
        <v>3923</v>
      </c>
      <c r="C567" s="66" t="s">
        <v>3468</v>
      </c>
      <c r="D567" s="66" t="s">
        <v>3488</v>
      </c>
      <c r="E567" s="67">
        <v>0</v>
      </c>
      <c r="F567" s="68">
        <v>12.6</v>
      </c>
      <c r="G567" s="68">
        <v>13.73</v>
      </c>
      <c r="H567" s="68">
        <v>11.88</v>
      </c>
      <c r="I567" s="68">
        <v>10.48</v>
      </c>
      <c r="J567" s="68">
        <v>12.78</v>
      </c>
      <c r="K567" s="68">
        <v>17.920000000000002</v>
      </c>
      <c r="L567" s="68">
        <v>18.89</v>
      </c>
      <c r="M567" s="68">
        <v>18.579999999999998</v>
      </c>
      <c r="N567" s="68">
        <v>17.920000000000002</v>
      </c>
      <c r="O567" s="68">
        <v>16.11</v>
      </c>
      <c r="P567" s="68">
        <v>10.029999999999999</v>
      </c>
      <c r="Q567" s="68">
        <v>12.47</v>
      </c>
      <c r="R567" s="69" t="s">
        <v>3470</v>
      </c>
      <c r="S567" s="69" t="s">
        <v>3489</v>
      </c>
      <c r="T567" s="70" t="s">
        <v>3497</v>
      </c>
      <c r="U567" s="452"/>
      <c r="V567" s="453" t="str">
        <f>IF(VLOOKUP($A567,'GeneratingCapabilityList sorted'!$E$9:$O$801,8,FALSE)&lt;&gt;"",VLOOKUP($A567,'GeneratingCapabilityList sorted'!$E$9:$O$801,8,FALSE),"NoneListed")</f>
        <v>WOOD WASTE</v>
      </c>
      <c r="W567" s="454">
        <f>IF($AB567,$AB567,IF($AA567,$AA567,Scenarios!$B$43))</f>
        <v>30330</v>
      </c>
      <c r="X567" s="454"/>
      <c r="Y567" s="454"/>
      <c r="Z567" s="454"/>
      <c r="AA567" s="454">
        <f>IFERROR(VLOOKUP($A567,'GeneratingCapabilityList sorted'!$E$9:$O$801,11,FALSE),Scenarios!$B$43)</f>
        <v>30330</v>
      </c>
      <c r="AB567" s="453"/>
      <c r="AC567" s="453"/>
    </row>
    <row r="568" spans="1:29" x14ac:dyDescent="0.25">
      <c r="A568" s="65" t="s">
        <v>219</v>
      </c>
      <c r="B568" s="65" t="s">
        <v>3924</v>
      </c>
      <c r="C568" s="65" t="s">
        <v>3468</v>
      </c>
      <c r="D568" s="66" t="s">
        <v>3508</v>
      </c>
      <c r="E568" s="67">
        <v>0</v>
      </c>
      <c r="F568" s="68">
        <v>4.3600000000000003</v>
      </c>
      <c r="G568" s="68">
        <v>5.07</v>
      </c>
      <c r="H568" s="68">
        <v>5.86</v>
      </c>
      <c r="I568" s="68">
        <v>5.91</v>
      </c>
      <c r="J568" s="68">
        <v>6.43</v>
      </c>
      <c r="K568" s="68">
        <v>6.57</v>
      </c>
      <c r="L568" s="68">
        <v>2.39</v>
      </c>
      <c r="M568" s="68">
        <v>0.04</v>
      </c>
      <c r="N568" s="68">
        <v>2.09</v>
      </c>
      <c r="O568" s="68">
        <v>3.56</v>
      </c>
      <c r="P568" s="68">
        <v>4.74</v>
      </c>
      <c r="Q568" s="68">
        <v>5.3</v>
      </c>
      <c r="R568" s="69" t="s">
        <v>3470</v>
      </c>
      <c r="S568" s="69" t="s">
        <v>3489</v>
      </c>
      <c r="T568" s="70" t="s">
        <v>3502</v>
      </c>
      <c r="U568" s="452"/>
      <c r="V568" s="453" t="str">
        <f>IF(VLOOKUP($A568,'GeneratingCapabilityList sorted'!$E$9:$O$801,8,FALSE)&lt;&gt;"",VLOOKUP($A568,'GeneratingCapabilityList sorted'!$E$9:$O$801,8,FALSE),"NoneListed")</f>
        <v>WATER</v>
      </c>
      <c r="W568" s="454">
        <f>IF($AB568,$AB568,IF($AA568,$AA568,Scenarios!$B$43))</f>
        <v>7672</v>
      </c>
      <c r="X568" s="454"/>
      <c r="Y568" s="454"/>
      <c r="Z568" s="454"/>
      <c r="AA568" s="454">
        <f>IFERROR(VLOOKUP($A568,'GeneratingCapabilityList sorted'!$E$9:$O$801,11,FALSE),Scenarios!$B$43)</f>
        <v>7672</v>
      </c>
      <c r="AB568" s="453"/>
      <c r="AC568" s="453"/>
    </row>
    <row r="569" spans="1:29" x14ac:dyDescent="0.25">
      <c r="A569" s="65" t="s">
        <v>107</v>
      </c>
      <c r="B569" s="65" t="s">
        <v>3925</v>
      </c>
      <c r="C569" s="66" t="s">
        <v>3477</v>
      </c>
      <c r="D569" s="66" t="s">
        <v>3388</v>
      </c>
      <c r="E569" s="67">
        <v>0</v>
      </c>
      <c r="F569" s="68">
        <v>0.28999999999999998</v>
      </c>
      <c r="G569" s="68">
        <v>0.32</v>
      </c>
      <c r="H569" s="68">
        <v>0.4</v>
      </c>
      <c r="I569" s="68">
        <v>0.23</v>
      </c>
      <c r="J569" s="68">
        <v>0.77</v>
      </c>
      <c r="K569" s="68">
        <v>0.59</v>
      </c>
      <c r="L569" s="68">
        <v>0.51</v>
      </c>
      <c r="M569" s="68">
        <v>0.25</v>
      </c>
      <c r="N569" s="68">
        <v>0.12</v>
      </c>
      <c r="O569" s="68">
        <v>0.12</v>
      </c>
      <c r="P569" s="68">
        <v>0.12</v>
      </c>
      <c r="Q569" s="68">
        <v>0.19</v>
      </c>
      <c r="R569" s="69" t="s">
        <v>3470</v>
      </c>
      <c r="S569" s="69" t="s">
        <v>3489</v>
      </c>
      <c r="T569" s="70" t="s">
        <v>3497</v>
      </c>
      <c r="U569" s="452"/>
      <c r="V569" s="453" t="str">
        <f>IF(VLOOKUP($A569,'GeneratingCapabilityList sorted'!$E$9:$O$801,8,FALSE)&lt;&gt;"",VLOOKUP($A569,'GeneratingCapabilityList sorted'!$E$9:$O$801,8,FALSE),"NoneListed")</f>
        <v>WATER</v>
      </c>
      <c r="W569" s="454">
        <f>IF($AB569,$AB569,IF($AA569,$AA569,Scenarios!$B$43))</f>
        <v>3289</v>
      </c>
      <c r="X569" s="454"/>
      <c r="Y569" s="454"/>
      <c r="Z569" s="454"/>
      <c r="AA569" s="454">
        <f>IFERROR(VLOOKUP($A569,'GeneratingCapabilityList sorted'!$E$9:$O$801,11,FALSE),Scenarios!$B$43)</f>
        <v>3289</v>
      </c>
      <c r="AB569" s="453"/>
      <c r="AC569" s="453"/>
    </row>
    <row r="570" spans="1:29" x14ac:dyDescent="0.25">
      <c r="A570" s="65" t="s">
        <v>159</v>
      </c>
      <c r="B570" s="65" t="s">
        <v>3926</v>
      </c>
      <c r="C570" s="66" t="s">
        <v>3477</v>
      </c>
      <c r="D570" s="66" t="s">
        <v>3388</v>
      </c>
      <c r="E570" s="67">
        <v>0</v>
      </c>
      <c r="F570" s="68">
        <v>1.81</v>
      </c>
      <c r="G570" s="68">
        <v>2.87</v>
      </c>
      <c r="H570" s="68">
        <v>4.3600000000000003</v>
      </c>
      <c r="I570" s="68">
        <v>5.13</v>
      </c>
      <c r="J570" s="68">
        <v>6.02</v>
      </c>
      <c r="K570" s="68">
        <v>4.38</v>
      </c>
      <c r="L570" s="68">
        <v>1.93</v>
      </c>
      <c r="M570" s="68">
        <v>0.63</v>
      </c>
      <c r="N570" s="68">
        <v>0.05</v>
      </c>
      <c r="O570" s="68">
        <v>0.21</v>
      </c>
      <c r="P570" s="68">
        <v>0.37</v>
      </c>
      <c r="Q570" s="68">
        <v>1.52</v>
      </c>
      <c r="R570" s="69" t="s">
        <v>3470</v>
      </c>
      <c r="S570" s="69" t="s">
        <v>3489</v>
      </c>
      <c r="T570" s="70" t="s">
        <v>3502</v>
      </c>
      <c r="U570" s="452"/>
      <c r="V570" s="453" t="str">
        <f>IF(VLOOKUP($A570,'GeneratingCapabilityList sorted'!$E$9:$O$801,8,FALSE)&lt;&gt;"",VLOOKUP($A570,'GeneratingCapabilityList sorted'!$E$9:$O$801,8,FALSE),"NoneListed")</f>
        <v>WATER</v>
      </c>
      <c r="W570" s="454">
        <f>IF($AB570,$AB570,IF($AA570,$AA570,Scenarios!$B$43))</f>
        <v>5115</v>
      </c>
      <c r="X570" s="454"/>
      <c r="Y570" s="454"/>
      <c r="Z570" s="454"/>
      <c r="AA570" s="454">
        <f>IFERROR(VLOOKUP($A570,'GeneratingCapabilityList sorted'!$E$9:$O$801,11,FALSE),Scenarios!$B$43)</f>
        <v>5115</v>
      </c>
      <c r="AB570" s="453"/>
      <c r="AC570" s="453"/>
    </row>
    <row r="571" spans="1:29" x14ac:dyDescent="0.25">
      <c r="A571" s="65" t="s">
        <v>104</v>
      </c>
      <c r="B571" s="65" t="s">
        <v>3927</v>
      </c>
      <c r="C571" s="66" t="s">
        <v>3477</v>
      </c>
      <c r="D571" s="66" t="s">
        <v>3388</v>
      </c>
      <c r="E571" s="67">
        <v>0</v>
      </c>
      <c r="F571" s="68">
        <v>1.25</v>
      </c>
      <c r="G571" s="68">
        <v>1.56</v>
      </c>
      <c r="H571" s="68">
        <v>1.57</v>
      </c>
      <c r="I571" s="68">
        <v>1.57</v>
      </c>
      <c r="J571" s="68">
        <v>1.54</v>
      </c>
      <c r="K571" s="68">
        <v>1.39</v>
      </c>
      <c r="L571" s="68">
        <v>0.67</v>
      </c>
      <c r="M571" s="68">
        <v>0.39</v>
      </c>
      <c r="N571" s="68">
        <v>0.22</v>
      </c>
      <c r="O571" s="68">
        <v>0.34</v>
      </c>
      <c r="P571" s="68">
        <v>0.38</v>
      </c>
      <c r="Q571" s="68">
        <v>0.51</v>
      </c>
      <c r="R571" s="69" t="s">
        <v>3470</v>
      </c>
      <c r="S571" s="69" t="s">
        <v>3489</v>
      </c>
      <c r="T571" s="70" t="s">
        <v>3502</v>
      </c>
      <c r="U571" s="452"/>
      <c r="V571" s="453" t="str">
        <f>IF(VLOOKUP($A571,'GeneratingCapabilityList sorted'!$E$9:$O$801,8,FALSE)&lt;&gt;"",VLOOKUP($A571,'GeneratingCapabilityList sorted'!$E$9:$O$801,8,FALSE),"NoneListed")</f>
        <v>WATER</v>
      </c>
      <c r="W571" s="454">
        <f>IF($AB571,$AB571,IF($AA571,$AA571,Scenarios!$B$43))</f>
        <v>3289</v>
      </c>
      <c r="X571" s="454"/>
      <c r="Y571" s="454"/>
      <c r="Z571" s="454"/>
      <c r="AA571" s="454">
        <f>IFERROR(VLOOKUP($A571,'GeneratingCapabilityList sorted'!$E$9:$O$801,11,FALSE),Scenarios!$B$43)</f>
        <v>3289</v>
      </c>
      <c r="AB571" s="453"/>
      <c r="AC571" s="453"/>
    </row>
    <row r="572" spans="1:29" x14ac:dyDescent="0.25">
      <c r="A572" s="65" t="s">
        <v>1571</v>
      </c>
      <c r="B572" s="65" t="s">
        <v>1572</v>
      </c>
      <c r="C572" s="66" t="s">
        <v>3468</v>
      </c>
      <c r="D572" s="66" t="s">
        <v>3382</v>
      </c>
      <c r="E572" s="67">
        <v>0</v>
      </c>
      <c r="F572" s="68">
        <v>1.1000000000000001</v>
      </c>
      <c r="G572" s="68">
        <v>1.06</v>
      </c>
      <c r="H572" s="68">
        <v>1.04</v>
      </c>
      <c r="I572" s="68">
        <v>0.5</v>
      </c>
      <c r="J572" s="68">
        <v>1.48</v>
      </c>
      <c r="K572" s="68">
        <v>1.03</v>
      </c>
      <c r="L572" s="68">
        <v>0.83</v>
      </c>
      <c r="M572" s="68">
        <v>0.76</v>
      </c>
      <c r="N572" s="68">
        <v>0.82</v>
      </c>
      <c r="O572" s="68">
        <v>0.79</v>
      </c>
      <c r="P572" s="68">
        <v>1</v>
      </c>
      <c r="Q572" s="68">
        <v>1.08</v>
      </c>
      <c r="R572" s="69" t="s">
        <v>3470</v>
      </c>
      <c r="S572" s="69" t="s">
        <v>3489</v>
      </c>
      <c r="T572" s="70" t="s">
        <v>3497</v>
      </c>
      <c r="U572" s="452"/>
      <c r="V572" s="453" t="str">
        <f>IF(VLOOKUP($A572,'GeneratingCapabilityList sorted'!$E$9:$O$801,8,FALSE)&lt;&gt;"",VLOOKUP($A572,'GeneratingCapabilityList sorted'!$E$9:$O$801,8,FALSE),"NoneListed")</f>
        <v>NATURAL GAS</v>
      </c>
      <c r="W572" s="454">
        <f>IF($AB572,$AB572,IF($AA572,$AA572,Scenarios!$B$43))</f>
        <v>31846</v>
      </c>
      <c r="X572" s="454"/>
      <c r="Y572" s="454"/>
      <c r="Z572" s="454"/>
      <c r="AA572" s="454">
        <f>IFERROR(VLOOKUP($A572,'GeneratingCapabilityList sorted'!$E$9:$O$801,11,FALSE),Scenarios!$B$43)</f>
        <v>31846</v>
      </c>
      <c r="AB572" s="453"/>
      <c r="AC572" s="453"/>
    </row>
    <row r="573" spans="1:29" x14ac:dyDescent="0.25">
      <c r="A573" s="65" t="s">
        <v>486</v>
      </c>
      <c r="B573" s="65" t="s">
        <v>3928</v>
      </c>
      <c r="C573" s="65" t="s">
        <v>3468</v>
      </c>
      <c r="D573" s="66" t="s">
        <v>3508</v>
      </c>
      <c r="E573" s="67">
        <v>0</v>
      </c>
      <c r="F573" s="68">
        <v>91</v>
      </c>
      <c r="G573" s="68">
        <v>91</v>
      </c>
      <c r="H573" s="68">
        <v>91</v>
      </c>
      <c r="I573" s="68">
        <v>91</v>
      </c>
      <c r="J573" s="68">
        <v>91</v>
      </c>
      <c r="K573" s="68">
        <v>91</v>
      </c>
      <c r="L573" s="68">
        <v>91</v>
      </c>
      <c r="M573" s="68">
        <v>91</v>
      </c>
      <c r="N573" s="68">
        <v>91</v>
      </c>
      <c r="O573" s="68">
        <v>91</v>
      </c>
      <c r="P573" s="68">
        <v>91</v>
      </c>
      <c r="Q573" s="68">
        <v>91</v>
      </c>
      <c r="R573" s="69" t="s">
        <v>3470</v>
      </c>
      <c r="S573" s="69" t="s">
        <v>3489</v>
      </c>
      <c r="T573" s="70" t="s">
        <v>3484</v>
      </c>
      <c r="U573" s="452"/>
      <c r="V573" s="453" t="str">
        <f>IF(VLOOKUP($A573,'GeneratingCapabilityList sorted'!$E$9:$O$801,8,FALSE)&lt;&gt;"",VLOOKUP($A573,'GeneratingCapabilityList sorted'!$E$9:$O$801,8,FALSE),"NoneListed")</f>
        <v>WATER</v>
      </c>
      <c r="W573" s="454">
        <f>IF($AB573,$AB573,IF($AA573,$AA573,Scenarios!$B$43))</f>
        <v>23012</v>
      </c>
      <c r="X573" s="454"/>
      <c r="Y573" s="454"/>
      <c r="Z573" s="454"/>
      <c r="AA573" s="454">
        <f>IFERROR(VLOOKUP($A573,'GeneratingCapabilityList sorted'!$E$9:$O$801,11,FALSE),Scenarios!$B$43)</f>
        <v>23012</v>
      </c>
      <c r="AB573" s="453"/>
      <c r="AC573" s="453"/>
    </row>
    <row r="574" spans="1:29" x14ac:dyDescent="0.25">
      <c r="A574" s="65" t="s">
        <v>718</v>
      </c>
      <c r="B574" s="65" t="s">
        <v>719</v>
      </c>
      <c r="C574" s="66" t="s">
        <v>3468</v>
      </c>
      <c r="D574" s="66" t="s">
        <v>3382</v>
      </c>
      <c r="E574" s="67">
        <v>0</v>
      </c>
      <c r="F574" s="68">
        <v>0.13</v>
      </c>
      <c r="G574" s="68">
        <v>0.25</v>
      </c>
      <c r="H574" s="68">
        <v>0.16</v>
      </c>
      <c r="I574" s="68">
        <v>0.17</v>
      </c>
      <c r="J574" s="68">
        <v>0.04</v>
      </c>
      <c r="K574" s="68">
        <v>0.04</v>
      </c>
      <c r="L574" s="68">
        <v>0.02</v>
      </c>
      <c r="M574" s="68">
        <v>0.01</v>
      </c>
      <c r="N574" s="68">
        <v>0.01</v>
      </c>
      <c r="O574" s="68">
        <v>0.03</v>
      </c>
      <c r="P574" s="68">
        <v>0.11</v>
      </c>
      <c r="Q574" s="68">
        <v>0.03</v>
      </c>
      <c r="R574" s="69" t="s">
        <v>3470</v>
      </c>
      <c r="S574" s="69" t="s">
        <v>3489</v>
      </c>
      <c r="T574" s="70" t="s">
        <v>3497</v>
      </c>
      <c r="U574" s="452"/>
      <c r="V574" s="453" t="str">
        <f>IF(VLOOKUP($A574,'GeneratingCapabilityList sorted'!$E$9:$O$801,8,FALSE)&lt;&gt;"",VLOOKUP($A574,'GeneratingCapabilityList sorted'!$E$9:$O$801,8,FALSE),"NoneListed")</f>
        <v>NATURAL GAS</v>
      </c>
      <c r="W574" s="454">
        <f>IF($AB574,$AB574,IF($AA574,$AA574,Scenarios!$B$43))</f>
        <v>28277</v>
      </c>
      <c r="X574" s="454"/>
      <c r="Y574" s="454"/>
      <c r="Z574" s="454"/>
      <c r="AA574" s="454">
        <f>IFERROR(VLOOKUP($A574,'GeneratingCapabilityList sorted'!$E$9:$O$801,11,FALSE),Scenarios!$B$43)</f>
        <v>28277</v>
      </c>
      <c r="AB574" s="453"/>
      <c r="AC574" s="453"/>
    </row>
    <row r="575" spans="1:29" x14ac:dyDescent="0.25">
      <c r="A575" s="65" t="s">
        <v>2241</v>
      </c>
      <c r="B575" s="65" t="s">
        <v>3929</v>
      </c>
      <c r="C575" s="66" t="s">
        <v>3468</v>
      </c>
      <c r="D575" s="66" t="s">
        <v>3510</v>
      </c>
      <c r="E575" s="67">
        <v>49.5</v>
      </c>
      <c r="F575" s="68">
        <v>0</v>
      </c>
      <c r="G575" s="68">
        <v>0</v>
      </c>
      <c r="H575" s="68">
        <v>0</v>
      </c>
      <c r="I575" s="68">
        <v>0</v>
      </c>
      <c r="J575" s="68">
        <v>0</v>
      </c>
      <c r="K575" s="68">
        <v>0</v>
      </c>
      <c r="L575" s="68">
        <v>0</v>
      </c>
      <c r="M575" s="68">
        <v>0</v>
      </c>
      <c r="N575" s="68">
        <v>0</v>
      </c>
      <c r="O575" s="68">
        <v>0</v>
      </c>
      <c r="P575" s="68">
        <v>0</v>
      </c>
      <c r="Q575" s="68">
        <v>0</v>
      </c>
      <c r="R575" s="69" t="s">
        <v>3470</v>
      </c>
      <c r="S575" s="69" t="s">
        <v>879</v>
      </c>
      <c r="T575" s="70" t="s">
        <v>3472</v>
      </c>
      <c r="U575" s="452"/>
      <c r="V575" s="453" t="str">
        <f>IF(VLOOKUP($A575,'GeneratingCapabilityList sorted'!$E$9:$O$801,8,FALSE)&lt;&gt;"",VLOOKUP($A575,'GeneratingCapabilityList sorted'!$E$9:$O$801,8,FALSE),"NoneListed")</f>
        <v>NATURAL GAS</v>
      </c>
      <c r="W575" s="454">
        <f>IF($AB575,$AB575,IF($AA575,$AA575,Scenarios!$B$43))</f>
        <v>35065</v>
      </c>
      <c r="X575" s="454"/>
      <c r="Y575" s="454"/>
      <c r="Z575" s="454"/>
      <c r="AA575" s="454">
        <f>IFERROR(VLOOKUP($A575,'GeneratingCapabilityList sorted'!$E$9:$O$801,11,FALSE),Scenarios!$B$43)</f>
        <v>35065</v>
      </c>
      <c r="AB575" s="453"/>
      <c r="AC575" s="453"/>
    </row>
    <row r="576" spans="1:29" x14ac:dyDescent="0.25">
      <c r="A576" s="65" t="s">
        <v>1764</v>
      </c>
      <c r="B576" s="65" t="s">
        <v>1765</v>
      </c>
      <c r="C576" s="65" t="s">
        <v>3468</v>
      </c>
      <c r="D576" s="66" t="s">
        <v>3508</v>
      </c>
      <c r="E576" s="67">
        <v>0</v>
      </c>
      <c r="F576" s="68">
        <v>12.71</v>
      </c>
      <c r="G576" s="68">
        <v>15.46</v>
      </c>
      <c r="H576" s="68">
        <v>13.29</v>
      </c>
      <c r="I576" s="68">
        <v>15.17</v>
      </c>
      <c r="J576" s="68">
        <v>14.75</v>
      </c>
      <c r="K576" s="68">
        <v>14.42</v>
      </c>
      <c r="L576" s="68">
        <v>16.16</v>
      </c>
      <c r="M576" s="68">
        <v>15.98</v>
      </c>
      <c r="N576" s="68">
        <v>11.69</v>
      </c>
      <c r="O576" s="68">
        <v>16.63</v>
      </c>
      <c r="P576" s="68">
        <v>11.45</v>
      </c>
      <c r="Q576" s="68">
        <v>15.12</v>
      </c>
      <c r="R576" s="69" t="s">
        <v>3470</v>
      </c>
      <c r="S576" s="69" t="s">
        <v>3489</v>
      </c>
      <c r="T576" s="70" t="s">
        <v>3497</v>
      </c>
      <c r="U576" s="452"/>
      <c r="V576" s="453" t="str">
        <f>IF(VLOOKUP($A576,'GeneratingCapabilityList sorted'!$E$9:$O$801,8,FALSE)&lt;&gt;"",VLOOKUP($A576,'GeneratingCapabilityList sorted'!$E$9:$O$801,8,FALSE),"NoneListed")</f>
        <v>MUNICIPAL WASTE</v>
      </c>
      <c r="W576" s="454">
        <f>IF($AB576,$AB576,IF($AA576,$AA576,Scenarios!$B$43))</f>
        <v>32392</v>
      </c>
      <c r="X576" s="454"/>
      <c r="Y576" s="454"/>
      <c r="Z576" s="454"/>
      <c r="AA576" s="454">
        <f>IFERROR(VLOOKUP($A576,'GeneratingCapabilityList sorted'!$E$9:$O$801,11,FALSE),Scenarios!$B$43)</f>
        <v>32392</v>
      </c>
      <c r="AB576" s="453"/>
      <c r="AC576" s="453"/>
    </row>
    <row r="577" spans="1:29" x14ac:dyDescent="0.25">
      <c r="A577" s="65" t="s">
        <v>2156</v>
      </c>
      <c r="B577" s="65" t="s">
        <v>2157</v>
      </c>
      <c r="C577" s="66" t="s">
        <v>3468</v>
      </c>
      <c r="D577" s="66" t="s">
        <v>3382</v>
      </c>
      <c r="E577" s="67">
        <v>0</v>
      </c>
      <c r="F577" s="68">
        <v>3.93</v>
      </c>
      <c r="G577" s="68">
        <v>5.89</v>
      </c>
      <c r="H577" s="68">
        <v>6.81</v>
      </c>
      <c r="I577" s="68">
        <v>1.33</v>
      </c>
      <c r="J577" s="68">
        <v>0.69</v>
      </c>
      <c r="K577" s="68">
        <v>0.33</v>
      </c>
      <c r="L577" s="68">
        <v>3.23</v>
      </c>
      <c r="M577" s="68">
        <v>2.82</v>
      </c>
      <c r="N577" s="68">
        <v>0</v>
      </c>
      <c r="O577" s="68">
        <v>1.68</v>
      </c>
      <c r="P577" s="68">
        <v>2.19</v>
      </c>
      <c r="Q577" s="68">
        <v>0.73</v>
      </c>
      <c r="R577" s="69" t="s">
        <v>3470</v>
      </c>
      <c r="S577" s="69" t="s">
        <v>3489</v>
      </c>
      <c r="T577" s="70" t="s">
        <v>3497</v>
      </c>
      <c r="U577" s="452"/>
      <c r="V577" s="453" t="str">
        <f>IF(VLOOKUP($A577,'GeneratingCapabilityList sorted'!$E$9:$O$801,8,FALSE)&lt;&gt;"",VLOOKUP($A577,'GeneratingCapabilityList sorted'!$E$9:$O$801,8,FALSE),"NoneListed")</f>
        <v>NATURAL GAS</v>
      </c>
      <c r="W577" s="454">
        <f>IF($AB577,$AB577,IF($AA577,$AA577,Scenarios!$B$43))</f>
        <v>33847</v>
      </c>
      <c r="X577" s="454"/>
      <c r="Y577" s="454"/>
      <c r="Z577" s="454"/>
      <c r="AA577" s="454">
        <f>IFERROR(VLOOKUP($A577,'GeneratingCapabilityList sorted'!$E$9:$O$801,11,FALSE),Scenarios!$B$43)</f>
        <v>33847</v>
      </c>
      <c r="AB577" s="453"/>
      <c r="AC577" s="453"/>
    </row>
    <row r="578" spans="1:29" x14ac:dyDescent="0.25">
      <c r="A578" s="65" t="s">
        <v>1702</v>
      </c>
      <c r="B578" s="65" t="s">
        <v>1703</v>
      </c>
      <c r="C578" s="65" t="s">
        <v>3468</v>
      </c>
      <c r="D578" s="66" t="s">
        <v>3508</v>
      </c>
      <c r="E578" s="67">
        <v>0</v>
      </c>
      <c r="F578" s="68">
        <v>44.73</v>
      </c>
      <c r="G578" s="68">
        <v>46.28</v>
      </c>
      <c r="H578" s="68">
        <v>47.88</v>
      </c>
      <c r="I578" s="68">
        <v>30.84</v>
      </c>
      <c r="J578" s="68">
        <v>19.760000000000002</v>
      </c>
      <c r="K578" s="68">
        <v>41.22</v>
      </c>
      <c r="L578" s="68">
        <v>42.9</v>
      </c>
      <c r="M578" s="68">
        <v>34.909999999999997</v>
      </c>
      <c r="N578" s="68">
        <v>43.37</v>
      </c>
      <c r="O578" s="68">
        <v>43.85</v>
      </c>
      <c r="P578" s="68">
        <v>45.42</v>
      </c>
      <c r="Q578" s="68">
        <v>43.64</v>
      </c>
      <c r="R578" s="69" t="s">
        <v>3470</v>
      </c>
      <c r="S578" s="69" t="s">
        <v>3489</v>
      </c>
      <c r="T578" s="70" t="s">
        <v>3497</v>
      </c>
      <c r="U578" s="452"/>
      <c r="V578" s="453" t="str">
        <f>IF(VLOOKUP($A578,'GeneratingCapabilityList sorted'!$E$9:$O$801,8,FALSE)&lt;&gt;"",VLOOKUP($A578,'GeneratingCapabilityList sorted'!$E$9:$O$801,8,FALSE),"NoneListed")</f>
        <v>COAL</v>
      </c>
      <c r="W578" s="454">
        <f>IF($AB578,$AB578,IF($AA578,$AA578,Scenarios!$B$43))</f>
        <v>32200</v>
      </c>
      <c r="X578" s="454"/>
      <c r="Y578" s="454"/>
      <c r="Z578" s="454"/>
      <c r="AA578" s="454">
        <f>IFERROR(VLOOKUP($A578,'GeneratingCapabilityList sorted'!$E$9:$O$801,11,FALSE),Scenarios!$B$43)</f>
        <v>32200</v>
      </c>
      <c r="AB578" s="453"/>
      <c r="AC578" s="453"/>
    </row>
    <row r="579" spans="1:29" x14ac:dyDescent="0.25">
      <c r="A579" s="65" t="s">
        <v>1215</v>
      </c>
      <c r="B579" s="65" t="s">
        <v>3930</v>
      </c>
      <c r="C579" s="66" t="s">
        <v>3468</v>
      </c>
      <c r="D579" s="66" t="s">
        <v>3474</v>
      </c>
      <c r="E579" s="67">
        <v>0</v>
      </c>
      <c r="F579" s="68">
        <v>0</v>
      </c>
      <c r="G579" s="68">
        <v>0</v>
      </c>
      <c r="H579" s="68">
        <v>0.02</v>
      </c>
      <c r="I579" s="68">
        <v>0.5</v>
      </c>
      <c r="J579" s="68">
        <v>1.24</v>
      </c>
      <c r="K579" s="68">
        <v>1.56</v>
      </c>
      <c r="L579" s="68">
        <v>1.69</v>
      </c>
      <c r="M579" s="68">
        <v>1.18</v>
      </c>
      <c r="N579" s="68">
        <v>0.39</v>
      </c>
      <c r="O579" s="68">
        <v>0.15</v>
      </c>
      <c r="P579" s="68">
        <v>0.16</v>
      </c>
      <c r="Q579" s="68">
        <v>0</v>
      </c>
      <c r="R579" s="69" t="s">
        <v>3470</v>
      </c>
      <c r="S579" s="69" t="s">
        <v>3489</v>
      </c>
      <c r="T579" s="70" t="s">
        <v>3502</v>
      </c>
      <c r="U579" s="452"/>
      <c r="V579" s="453" t="str">
        <f>IF(VLOOKUP($A579,'GeneratingCapabilityList sorted'!$E$9:$O$801,8,FALSE)&lt;&gt;"",VLOOKUP($A579,'GeneratingCapabilityList sorted'!$E$9:$O$801,8,FALSE),"NoneListed")</f>
        <v>WATER</v>
      </c>
      <c r="W579" s="454">
        <f>IF($AB579,$AB579,IF($AA579,$AA579,Scenarios!$B$43))</f>
        <v>31080</v>
      </c>
      <c r="X579" s="454"/>
      <c r="Y579" s="454"/>
      <c r="Z579" s="454"/>
      <c r="AA579" s="454">
        <f>IFERROR(VLOOKUP($A579,'GeneratingCapabilityList sorted'!$E$9:$O$801,11,FALSE),Scenarios!$B$43)</f>
        <v>31080</v>
      </c>
      <c r="AB579" s="453"/>
      <c r="AC579" s="453"/>
    </row>
    <row r="580" spans="1:29" x14ac:dyDescent="0.25">
      <c r="A580" s="65" t="s">
        <v>1099</v>
      </c>
      <c r="B580" s="65" t="s">
        <v>3931</v>
      </c>
      <c r="C580" s="66" t="s">
        <v>3468</v>
      </c>
      <c r="D580" s="66" t="s">
        <v>3488</v>
      </c>
      <c r="E580" s="67">
        <v>0</v>
      </c>
      <c r="F580" s="68">
        <v>0.01</v>
      </c>
      <c r="G580" s="68">
        <v>0.01</v>
      </c>
      <c r="H580" s="68">
        <v>0.01</v>
      </c>
      <c r="I580" s="68">
        <v>0.01</v>
      </c>
      <c r="J580" s="68">
        <v>0.01</v>
      </c>
      <c r="K580" s="68">
        <v>0.01</v>
      </c>
      <c r="L580" s="68">
        <v>0.01</v>
      </c>
      <c r="M580" s="68">
        <v>0.01</v>
      </c>
      <c r="N580" s="68">
        <v>0.01</v>
      </c>
      <c r="O580" s="68">
        <v>0.01</v>
      </c>
      <c r="P580" s="68">
        <v>0.01</v>
      </c>
      <c r="Q580" s="68">
        <v>0.01</v>
      </c>
      <c r="R580" s="69" t="s">
        <v>3470</v>
      </c>
      <c r="S580" s="69" t="s">
        <v>3489</v>
      </c>
      <c r="T580" s="70" t="s">
        <v>3497</v>
      </c>
      <c r="U580" s="452"/>
      <c r="V580" s="453" t="str">
        <f>IF(VLOOKUP($A580,'GeneratingCapabilityList sorted'!$E$9:$O$801,8,FALSE)&lt;&gt;"",VLOOKUP($A580,'GeneratingCapabilityList sorted'!$E$9:$O$801,8,FALSE),"NoneListed")</f>
        <v>NATURAL GAS</v>
      </c>
      <c r="W580" s="454">
        <f>IF($AB580,$AB580,IF($AA580,$AA580,Scenarios!$B$43))</f>
        <v>30909</v>
      </c>
      <c r="X580" s="454"/>
      <c r="Y580" s="454"/>
      <c r="Z580" s="454"/>
      <c r="AA580" s="454">
        <f>IFERROR(VLOOKUP($A580,'GeneratingCapabilityList sorted'!$E$9:$O$801,11,FALSE),Scenarios!$B$43)</f>
        <v>30909</v>
      </c>
      <c r="AB580" s="453"/>
      <c r="AC580" s="453"/>
    </row>
    <row r="581" spans="1:29" x14ac:dyDescent="0.25">
      <c r="A581" s="65" t="s">
        <v>2365</v>
      </c>
      <c r="B581" s="65" t="s">
        <v>3932</v>
      </c>
      <c r="C581" s="66" t="s">
        <v>3468</v>
      </c>
      <c r="D581" s="66" t="s">
        <v>3488</v>
      </c>
      <c r="E581" s="67">
        <v>590</v>
      </c>
      <c r="F581" s="68">
        <v>0</v>
      </c>
      <c r="G581" s="68">
        <v>0</v>
      </c>
      <c r="H581" s="68">
        <v>0</v>
      </c>
      <c r="I581" s="68">
        <v>0</v>
      </c>
      <c r="J581" s="68">
        <v>0</v>
      </c>
      <c r="K581" s="68">
        <v>0</v>
      </c>
      <c r="L581" s="68">
        <v>0</v>
      </c>
      <c r="M581" s="68">
        <v>0</v>
      </c>
      <c r="N581" s="68">
        <v>0</v>
      </c>
      <c r="O581" s="68">
        <v>0</v>
      </c>
      <c r="P581" s="68">
        <v>0</v>
      </c>
      <c r="Q581" s="68">
        <v>0</v>
      </c>
      <c r="R581" s="69" t="s">
        <v>3470</v>
      </c>
      <c r="S581" s="69" t="s">
        <v>3471</v>
      </c>
      <c r="T581" s="70" t="s">
        <v>3472</v>
      </c>
      <c r="U581" s="452"/>
      <c r="V581" s="453" t="str">
        <f>IF(VLOOKUP($A581,'GeneratingCapabilityList sorted'!$E$9:$O$801,8,FALSE)&lt;&gt;"",VLOOKUP($A581,'GeneratingCapabilityList sorted'!$E$9:$O$801,8,FALSE),"NoneListed")</f>
        <v>NATURAL GAS</v>
      </c>
      <c r="W581" s="454">
        <f>IF($AB581,$AB581,IF($AA581,$AA581,Scenarios!$B$43))</f>
        <v>37049</v>
      </c>
      <c r="X581" s="454"/>
      <c r="Y581" s="454"/>
      <c r="Z581" s="454"/>
      <c r="AA581" s="454">
        <f>IFERROR(VLOOKUP($A581,'GeneratingCapabilityList sorted'!$E$9:$O$801,11,FALSE),Scenarios!$B$43)</f>
        <v>37049</v>
      </c>
      <c r="AB581" s="453"/>
      <c r="AC581" s="453"/>
    </row>
    <row r="582" spans="1:29" x14ac:dyDescent="0.25">
      <c r="A582" s="72" t="s">
        <v>1931</v>
      </c>
      <c r="B582" s="72" t="s">
        <v>3933</v>
      </c>
      <c r="C582" s="73" t="s">
        <v>3468</v>
      </c>
      <c r="D582" s="73" t="s">
        <v>3488</v>
      </c>
      <c r="E582" s="67">
        <v>0</v>
      </c>
      <c r="F582" s="68">
        <v>149</v>
      </c>
      <c r="G582" s="68">
        <v>147</v>
      </c>
      <c r="H582" s="68">
        <v>145</v>
      </c>
      <c r="I582" s="68">
        <v>143</v>
      </c>
      <c r="J582" s="68">
        <v>139</v>
      </c>
      <c r="K582" s="68">
        <v>135</v>
      </c>
      <c r="L582" s="68">
        <v>131</v>
      </c>
      <c r="M582" s="68">
        <v>131</v>
      </c>
      <c r="N582" s="68">
        <v>133</v>
      </c>
      <c r="O582" s="68">
        <v>141</v>
      </c>
      <c r="P582" s="68">
        <v>143</v>
      </c>
      <c r="Q582" s="68">
        <v>151</v>
      </c>
      <c r="R582" s="69" t="s">
        <v>3470</v>
      </c>
      <c r="S582" s="69" t="s">
        <v>3489</v>
      </c>
      <c r="T582" s="70" t="s">
        <v>3497</v>
      </c>
      <c r="U582" s="452"/>
      <c r="V582" s="453" t="str">
        <f>IF(VLOOKUP($A582,'GeneratingCapabilityList sorted'!$E$9:$O$801,8,FALSE)&lt;&gt;"",VLOOKUP($A582,'GeneratingCapabilityList sorted'!$E$9:$O$801,8,FALSE),"NoneListed")</f>
        <v>NATURAL GAS</v>
      </c>
      <c r="W582" s="454">
        <f>IF($AB582,$AB582,IF($AA582,$AA582,Scenarios!$B$43))</f>
        <v>32860</v>
      </c>
      <c r="X582" s="454"/>
      <c r="Y582" s="454"/>
      <c r="Z582" s="454"/>
      <c r="AA582" s="454">
        <f>IFERROR(VLOOKUP($A582,'GeneratingCapabilityList sorted'!$E$9:$O$801,11,FALSE),Scenarios!$B$43)</f>
        <v>32860</v>
      </c>
      <c r="AB582" s="453"/>
      <c r="AC582" s="453"/>
    </row>
    <row r="583" spans="1:29" x14ac:dyDescent="0.25">
      <c r="A583" s="72" t="s">
        <v>2348</v>
      </c>
      <c r="B583" s="65" t="s">
        <v>3934</v>
      </c>
      <c r="C583" s="66" t="s">
        <v>3468</v>
      </c>
      <c r="D583" s="66" t="s">
        <v>3488</v>
      </c>
      <c r="E583" s="67">
        <v>0</v>
      </c>
      <c r="F583" s="68">
        <v>525</v>
      </c>
      <c r="G583" s="68">
        <v>525</v>
      </c>
      <c r="H583" s="68">
        <v>525</v>
      </c>
      <c r="I583" s="68">
        <v>525</v>
      </c>
      <c r="J583" s="68">
        <v>525</v>
      </c>
      <c r="K583" s="68">
        <v>515</v>
      </c>
      <c r="L583" s="68">
        <v>505</v>
      </c>
      <c r="M583" s="68">
        <v>500</v>
      </c>
      <c r="N583" s="68">
        <v>515</v>
      </c>
      <c r="O583" s="68">
        <v>520</v>
      </c>
      <c r="P583" s="68">
        <v>525</v>
      </c>
      <c r="Q583" s="68">
        <v>525</v>
      </c>
      <c r="R583" s="69" t="s">
        <v>3470</v>
      </c>
      <c r="S583" s="69" t="s">
        <v>3471</v>
      </c>
      <c r="T583" s="70" t="s">
        <v>3472</v>
      </c>
      <c r="U583" s="452"/>
      <c r="V583" s="453" t="str">
        <f>IF(VLOOKUP($A583,'GeneratingCapabilityList sorted'!$E$9:$O$801,8,FALSE)&lt;&gt;"",VLOOKUP($A583,'GeneratingCapabilityList sorted'!$E$9:$O$801,8,FALSE),"NoneListed")</f>
        <v>NATURAL GAS</v>
      </c>
      <c r="W583" s="454">
        <f>IF($AB583,$AB583,IF($AA583,$AA583,Scenarios!$B$43))</f>
        <v>37015</v>
      </c>
      <c r="X583" s="454"/>
      <c r="Y583" s="454"/>
      <c r="Z583" s="454"/>
      <c r="AA583" s="454">
        <f>IFERROR(VLOOKUP($A583,'GeneratingCapabilityList sorted'!$E$9:$O$801,11,FALSE),Scenarios!$B$43)</f>
        <v>37015</v>
      </c>
      <c r="AB583" s="453"/>
      <c r="AC583" s="453"/>
    </row>
    <row r="584" spans="1:29" x14ac:dyDescent="0.25">
      <c r="A584" s="65" t="s">
        <v>1635</v>
      </c>
      <c r="B584" s="65" t="s">
        <v>3935</v>
      </c>
      <c r="C584" s="66" t="s">
        <v>3477</v>
      </c>
      <c r="D584" s="66" t="s">
        <v>3388</v>
      </c>
      <c r="E584" s="67">
        <v>0</v>
      </c>
      <c r="F584" s="68">
        <v>249.97</v>
      </c>
      <c r="G584" s="68">
        <v>229.55</v>
      </c>
      <c r="H584" s="68">
        <v>232.2</v>
      </c>
      <c r="I584" s="68">
        <v>214.26</v>
      </c>
      <c r="J584" s="68">
        <v>208.77</v>
      </c>
      <c r="K584" s="68">
        <v>234.14</v>
      </c>
      <c r="L584" s="68">
        <v>228.49</v>
      </c>
      <c r="M584" s="68">
        <v>230.23</v>
      </c>
      <c r="N584" s="68">
        <v>228.41</v>
      </c>
      <c r="O584" s="68">
        <v>202.61</v>
      </c>
      <c r="P584" s="68">
        <v>215.08</v>
      </c>
      <c r="Q584" s="68">
        <v>226.73</v>
      </c>
      <c r="R584" s="69" t="s">
        <v>3470</v>
      </c>
      <c r="S584" s="69" t="s">
        <v>3489</v>
      </c>
      <c r="T584" s="70" t="s">
        <v>3497</v>
      </c>
      <c r="U584" s="452"/>
      <c r="V584" s="453" t="str">
        <f>IF(VLOOKUP($A584,'GeneratingCapabilityList sorted'!$E$9:$O$801,8,FALSE)&lt;&gt;"",VLOOKUP($A584,'GeneratingCapabilityList sorted'!$E$9:$O$801,8,FALSE),"NoneListed")</f>
        <v>NATURAL GAS</v>
      </c>
      <c r="W584" s="454">
        <f>IF($AB584,$AB584,IF($AA584,$AA584,Scenarios!$B$43))</f>
        <v>32106</v>
      </c>
      <c r="X584" s="454"/>
      <c r="Y584" s="454"/>
      <c r="Z584" s="454"/>
      <c r="AA584" s="454">
        <f>IFERROR(VLOOKUP($A584,'GeneratingCapabilityList sorted'!$E$9:$O$801,11,FALSE),Scenarios!$B$43)</f>
        <v>32106</v>
      </c>
      <c r="AB584" s="453"/>
      <c r="AC584" s="453"/>
    </row>
    <row r="585" spans="1:29" x14ac:dyDescent="0.25">
      <c r="A585" s="65" t="s">
        <v>1324</v>
      </c>
      <c r="B585" s="65" t="s">
        <v>3936</v>
      </c>
      <c r="C585" s="66" t="s">
        <v>3468</v>
      </c>
      <c r="D585" s="66" t="s">
        <v>3505</v>
      </c>
      <c r="E585" s="67">
        <v>0</v>
      </c>
      <c r="F585" s="68">
        <v>9.4</v>
      </c>
      <c r="G585" s="68">
        <v>10.039999999999999</v>
      </c>
      <c r="H585" s="68">
        <v>10.51</v>
      </c>
      <c r="I585" s="68">
        <v>8.3000000000000007</v>
      </c>
      <c r="J585" s="68">
        <v>10.78</v>
      </c>
      <c r="K585" s="68">
        <v>10.55</v>
      </c>
      <c r="L585" s="68">
        <v>9.7200000000000006</v>
      </c>
      <c r="M585" s="68">
        <v>10.18</v>
      </c>
      <c r="N585" s="68">
        <v>10.36</v>
      </c>
      <c r="O585" s="68">
        <v>10.5</v>
      </c>
      <c r="P585" s="68">
        <v>9.98</v>
      </c>
      <c r="Q585" s="68">
        <v>11.14</v>
      </c>
      <c r="R585" s="69" t="s">
        <v>3470</v>
      </c>
      <c r="S585" s="69" t="s">
        <v>3489</v>
      </c>
      <c r="T585" s="70" t="s">
        <v>3497</v>
      </c>
      <c r="U585" s="452"/>
      <c r="V585" s="453" t="str">
        <f>IF(VLOOKUP($A585,'GeneratingCapabilityList sorted'!$E$9:$O$801,8,FALSE)&lt;&gt;"",VLOOKUP($A585,'GeneratingCapabilityList sorted'!$E$9:$O$801,8,FALSE),"NoneListed")</f>
        <v>NATURAL GAS</v>
      </c>
      <c r="W585" s="454">
        <f>IF($AB585,$AB585,IF($AA585,$AA585,Scenarios!$B$43))</f>
        <v>31413</v>
      </c>
      <c r="X585" s="454"/>
      <c r="Y585" s="454"/>
      <c r="Z585" s="454"/>
      <c r="AA585" s="454">
        <f>IFERROR(VLOOKUP($A585,'GeneratingCapabilityList sorted'!$E$9:$O$801,11,FALSE),Scenarios!$B$43)</f>
        <v>31413</v>
      </c>
      <c r="AB585" s="453"/>
      <c r="AC585" s="453"/>
    </row>
    <row r="586" spans="1:29" x14ac:dyDescent="0.25">
      <c r="A586" s="65" t="s">
        <v>923</v>
      </c>
      <c r="B586" s="65" t="s">
        <v>3937</v>
      </c>
      <c r="C586" s="66" t="s">
        <v>3468</v>
      </c>
      <c r="D586" s="66" t="s">
        <v>3488</v>
      </c>
      <c r="E586" s="67">
        <v>0</v>
      </c>
      <c r="F586" s="68">
        <v>0.64</v>
      </c>
      <c r="G586" s="68">
        <v>1.1599999999999999</v>
      </c>
      <c r="H586" s="68">
        <v>1.35</v>
      </c>
      <c r="I586" s="68">
        <v>1.54</v>
      </c>
      <c r="J586" s="68">
        <v>1.51</v>
      </c>
      <c r="K586" s="68">
        <v>1.41</v>
      </c>
      <c r="L586" s="68">
        <v>1.1499999999999999</v>
      </c>
      <c r="M586" s="68">
        <v>0.9</v>
      </c>
      <c r="N586" s="68">
        <v>0.62</v>
      </c>
      <c r="O586" s="68">
        <v>0.39</v>
      </c>
      <c r="P586" s="68">
        <v>0.41</v>
      </c>
      <c r="Q586" s="68">
        <v>0.69</v>
      </c>
      <c r="R586" s="69" t="s">
        <v>3470</v>
      </c>
      <c r="S586" s="69" t="s">
        <v>3489</v>
      </c>
      <c r="T586" s="70" t="s">
        <v>3502</v>
      </c>
      <c r="U586" s="452"/>
      <c r="V586" s="453" t="str">
        <f>IF(VLOOKUP($A586,'GeneratingCapabilityList sorted'!$E$9:$O$801,8,FALSE)&lt;&gt;"",VLOOKUP($A586,'GeneratingCapabilityList sorted'!$E$9:$O$801,8,FALSE),"NoneListed")</f>
        <v>WATER</v>
      </c>
      <c r="W586" s="454">
        <f>IF($AB586,$AB586,IF($AA586,$AA586,Scenarios!$B$43))</f>
        <v>30317</v>
      </c>
      <c r="X586" s="454"/>
      <c r="Y586" s="454"/>
      <c r="Z586" s="454"/>
      <c r="AA586" s="454">
        <f>IFERROR(VLOOKUP($A586,'GeneratingCapabilityList sorted'!$E$9:$O$801,11,FALSE),Scenarios!$B$43)</f>
        <v>30317</v>
      </c>
      <c r="AB586" s="453"/>
      <c r="AC586" s="453"/>
    </row>
    <row r="587" spans="1:29" x14ac:dyDescent="0.25">
      <c r="A587" s="65" t="s">
        <v>2003</v>
      </c>
      <c r="B587" s="65" t="s">
        <v>3938</v>
      </c>
      <c r="C587" s="66" t="s">
        <v>3468</v>
      </c>
      <c r="D587" s="66" t="s">
        <v>3505</v>
      </c>
      <c r="E587" s="67">
        <v>0</v>
      </c>
      <c r="F587" s="68">
        <v>0.52</v>
      </c>
      <c r="G587" s="68">
        <v>0.59</v>
      </c>
      <c r="H587" s="68">
        <v>0.49</v>
      </c>
      <c r="I587" s="68">
        <v>0.47</v>
      </c>
      <c r="J587" s="68">
        <v>0.38</v>
      </c>
      <c r="K587" s="68">
        <v>0.32</v>
      </c>
      <c r="L587" s="68">
        <v>0.2</v>
      </c>
      <c r="M587" s="68">
        <v>0.26</v>
      </c>
      <c r="N587" s="68">
        <v>0.38</v>
      </c>
      <c r="O587" s="68">
        <v>0.46</v>
      </c>
      <c r="P587" s="68">
        <v>0.65</v>
      </c>
      <c r="Q587" s="68">
        <v>0.74</v>
      </c>
      <c r="R587" s="69" t="s">
        <v>3470</v>
      </c>
      <c r="S587" s="69" t="s">
        <v>3489</v>
      </c>
      <c r="T587" s="70" t="s">
        <v>3497</v>
      </c>
      <c r="U587" s="452"/>
      <c r="V587" s="453" t="str">
        <f>IF(VLOOKUP($A587,'GeneratingCapabilityList sorted'!$E$9:$O$801,8,FALSE)&lt;&gt;"",VLOOKUP($A587,'GeneratingCapabilityList sorted'!$E$9:$O$801,8,FALSE),"NoneListed")</f>
        <v>NATURAL GAS</v>
      </c>
      <c r="W587" s="454">
        <f>IF($AB587,$AB587,IF($AA587,$AA587,Scenarios!$B$43))</f>
        <v>32900</v>
      </c>
      <c r="X587" s="454"/>
      <c r="Y587" s="454"/>
      <c r="Z587" s="454"/>
      <c r="AA587" s="454">
        <f>IFERROR(VLOOKUP($A587,'GeneratingCapabilityList sorted'!$E$9:$O$801,11,FALSE),Scenarios!$B$43)</f>
        <v>32900</v>
      </c>
      <c r="AB587" s="453"/>
      <c r="AC587" s="453"/>
    </row>
    <row r="588" spans="1:29" x14ac:dyDescent="0.25">
      <c r="A588" s="84" t="s">
        <v>2016</v>
      </c>
      <c r="B588" s="84" t="s">
        <v>2017</v>
      </c>
      <c r="C588" s="66" t="s">
        <v>3477</v>
      </c>
      <c r="D588" s="66" t="s">
        <v>3388</v>
      </c>
      <c r="E588" s="67"/>
      <c r="F588" s="68">
        <v>37.22</v>
      </c>
      <c r="G588" s="68">
        <v>36.92</v>
      </c>
      <c r="H588" s="68">
        <v>33.85</v>
      </c>
      <c r="I588" s="68">
        <v>29.22</v>
      </c>
      <c r="J588" s="68">
        <v>28.58</v>
      </c>
      <c r="K588" s="68">
        <v>37.06</v>
      </c>
      <c r="L588" s="68">
        <v>36.909999999999997</v>
      </c>
      <c r="M588" s="68">
        <v>36.700000000000003</v>
      </c>
      <c r="N588" s="68">
        <v>36.900000000000006</v>
      </c>
      <c r="O588" s="68">
        <v>37.120000000000005</v>
      </c>
      <c r="P588" s="68">
        <v>35.18</v>
      </c>
      <c r="Q588" s="68">
        <v>36.61</v>
      </c>
      <c r="R588" s="69" t="s">
        <v>3470</v>
      </c>
      <c r="S588" s="69" t="s">
        <v>3489</v>
      </c>
      <c r="T588" s="70" t="s">
        <v>3497</v>
      </c>
      <c r="U588" s="452"/>
      <c r="V588" s="453" t="str">
        <f>IF(VLOOKUP($A588,'GeneratingCapabilityList sorted'!$E$9:$O$801,8,FALSE)&lt;&gt;"",VLOOKUP($A588,'GeneratingCapabilityList sorted'!$E$9:$O$801,8,FALSE),"NoneListed")</f>
        <v>NATURAL GAS</v>
      </c>
      <c r="W588" s="454">
        <f>IF($AB588,$AB588,IF($AA588,$AA588,Scenarios!$B$43))</f>
        <v>32938</v>
      </c>
      <c r="X588" s="454"/>
      <c r="Y588" s="454"/>
      <c r="Z588" s="454"/>
      <c r="AA588" s="454">
        <f>IFERROR(VLOOKUP($A588,'GeneratingCapabilityList sorted'!$E$9:$O$801,11,FALSE),Scenarios!$B$43)</f>
        <v>32938</v>
      </c>
      <c r="AB588" s="453"/>
      <c r="AC588" s="453"/>
    </row>
    <row r="589" spans="1:29" x14ac:dyDescent="0.25">
      <c r="A589" s="65" t="s">
        <v>2697</v>
      </c>
      <c r="B589" s="65" t="s">
        <v>3939</v>
      </c>
      <c r="C589" s="66" t="s">
        <v>3477</v>
      </c>
      <c r="D589" s="66" t="s">
        <v>3488</v>
      </c>
      <c r="E589" s="67">
        <v>0</v>
      </c>
      <c r="F589" s="68">
        <v>605</v>
      </c>
      <c r="G589" s="68">
        <v>605</v>
      </c>
      <c r="H589" s="68">
        <v>605</v>
      </c>
      <c r="I589" s="68">
        <v>605</v>
      </c>
      <c r="J589" s="68">
        <v>601</v>
      </c>
      <c r="K589" s="68">
        <v>593</v>
      </c>
      <c r="L589" s="68">
        <v>591</v>
      </c>
      <c r="M589" s="68">
        <v>593</v>
      </c>
      <c r="N589" s="68">
        <v>596</v>
      </c>
      <c r="O589" s="68">
        <v>605</v>
      </c>
      <c r="P589" s="68">
        <v>605</v>
      </c>
      <c r="Q589" s="68">
        <v>605</v>
      </c>
      <c r="R589" s="69" t="s">
        <v>3470</v>
      </c>
      <c r="S589" s="69" t="s">
        <v>3471</v>
      </c>
      <c r="T589" s="70" t="s">
        <v>3472</v>
      </c>
      <c r="U589" s="452"/>
      <c r="V589" s="453" t="str">
        <f>IF(VLOOKUP($A589,'GeneratingCapabilityList sorted'!$E$9:$O$801,8,FALSE)&lt;&gt;"",VLOOKUP($A589,'GeneratingCapabilityList sorted'!$E$9:$O$801,8,FALSE),"NoneListed")</f>
        <v>NATURAL GAS</v>
      </c>
      <c r="W589" s="454">
        <f>IF($AB589,$AB589,IF($AA589,$AA589,Scenarios!$B$43))</f>
        <v>37832</v>
      </c>
      <c r="X589" s="454"/>
      <c r="Y589" s="454"/>
      <c r="Z589" s="454"/>
      <c r="AA589" s="454">
        <f>IFERROR(VLOOKUP($A589,'GeneratingCapabilityList sorted'!$E$9:$O$801,11,FALSE),Scenarios!$B$43)</f>
        <v>37832</v>
      </c>
      <c r="AB589" s="453"/>
      <c r="AC589" s="453"/>
    </row>
    <row r="590" spans="1:29" x14ac:dyDescent="0.25">
      <c r="A590" s="65" t="s">
        <v>829</v>
      </c>
      <c r="B590" s="65" t="s">
        <v>3940</v>
      </c>
      <c r="C590" s="66" t="s">
        <v>3468</v>
      </c>
      <c r="D590" s="66" t="s">
        <v>3488</v>
      </c>
      <c r="E590" s="67">
        <v>0</v>
      </c>
      <c r="F590" s="68">
        <v>0.69</v>
      </c>
      <c r="G590" s="68">
        <v>0.69</v>
      </c>
      <c r="H590" s="68">
        <v>0.63</v>
      </c>
      <c r="I590" s="68">
        <v>1.01</v>
      </c>
      <c r="J590" s="68">
        <v>1.06</v>
      </c>
      <c r="K590" s="68">
        <v>1.06</v>
      </c>
      <c r="L590" s="68">
        <v>1.1200000000000001</v>
      </c>
      <c r="M590" s="68">
        <v>1.01</v>
      </c>
      <c r="N590" s="68">
        <v>0.96</v>
      </c>
      <c r="O590" s="68">
        <v>0.84</v>
      </c>
      <c r="P590" s="68">
        <v>0.76</v>
      </c>
      <c r="Q590" s="68">
        <v>0.8</v>
      </c>
      <c r="R590" s="69" t="s">
        <v>3470</v>
      </c>
      <c r="S590" s="69" t="s">
        <v>3489</v>
      </c>
      <c r="T590" s="70" t="s">
        <v>3497</v>
      </c>
      <c r="U590" s="452"/>
      <c r="V590" s="453" t="str">
        <f>IF(VLOOKUP($A590,'GeneratingCapabilityList sorted'!$E$9:$O$801,8,FALSE)&lt;&gt;"",VLOOKUP($A590,'GeneratingCapabilityList sorted'!$E$9:$O$801,8,FALSE),"NoneListed")</f>
        <v>WATER</v>
      </c>
      <c r="W590" s="454">
        <f>IF($AB590,$AB590,IF($AA590,$AA590,Scenarios!$B$43))</f>
        <v>29952</v>
      </c>
      <c r="X590" s="454"/>
      <c r="Y590" s="454"/>
      <c r="Z590" s="454"/>
      <c r="AA590" s="454">
        <f>IFERROR(VLOOKUP($A590,'GeneratingCapabilityList sorted'!$E$9:$O$801,11,FALSE),Scenarios!$B$43)</f>
        <v>29952</v>
      </c>
      <c r="AB590" s="453"/>
      <c r="AC590" s="453"/>
    </row>
    <row r="591" spans="1:29" x14ac:dyDescent="0.25">
      <c r="A591" s="65" t="s">
        <v>2050</v>
      </c>
      <c r="B591" s="65" t="s">
        <v>2051</v>
      </c>
      <c r="C591" s="66" t="s">
        <v>3468</v>
      </c>
      <c r="D591" s="66" t="s">
        <v>3488</v>
      </c>
      <c r="E591" s="67">
        <v>0</v>
      </c>
      <c r="F591" s="68">
        <v>17.04</v>
      </c>
      <c r="G591" s="68">
        <v>15.41</v>
      </c>
      <c r="H591" s="68">
        <v>15.4</v>
      </c>
      <c r="I591" s="68">
        <v>16.98</v>
      </c>
      <c r="J591" s="68">
        <v>9.2899999999999991</v>
      </c>
      <c r="K591" s="68">
        <v>17.11</v>
      </c>
      <c r="L591" s="68">
        <v>18.18</v>
      </c>
      <c r="M591" s="68">
        <v>17.09</v>
      </c>
      <c r="N591" s="68">
        <v>18.32</v>
      </c>
      <c r="O591" s="68">
        <v>11.25</v>
      </c>
      <c r="P591" s="68">
        <v>18.05</v>
      </c>
      <c r="Q591" s="68">
        <v>16.89</v>
      </c>
      <c r="R591" s="69" t="s">
        <v>3470</v>
      </c>
      <c r="S591" s="69" t="s">
        <v>3489</v>
      </c>
      <c r="T591" s="70" t="s">
        <v>3497</v>
      </c>
      <c r="U591" s="452"/>
      <c r="V591" s="453" t="str">
        <f>IF(VLOOKUP($A591,'GeneratingCapabilityList sorted'!$E$9:$O$801,8,FALSE)&lt;&gt;"",VLOOKUP($A591,'GeneratingCapabilityList sorted'!$E$9:$O$801,8,FALSE),"NoneListed")</f>
        <v>WOOD WASTE</v>
      </c>
      <c r="W591" s="454">
        <f>IF($AB591,$AB591,IF($AA591,$AA591,Scenarios!$B$43))</f>
        <v>32989</v>
      </c>
      <c r="X591" s="454"/>
      <c r="Y591" s="454"/>
      <c r="Z591" s="454"/>
      <c r="AA591" s="454">
        <f>IFERROR(VLOOKUP($A591,'GeneratingCapabilityList sorted'!$E$9:$O$801,11,FALSE),Scenarios!$B$43)</f>
        <v>32989</v>
      </c>
      <c r="AB591" s="453"/>
      <c r="AC591" s="453"/>
    </row>
    <row r="592" spans="1:29" x14ac:dyDescent="0.25">
      <c r="A592" s="65" t="s">
        <v>1560</v>
      </c>
      <c r="B592" s="65" t="s">
        <v>1564</v>
      </c>
      <c r="C592" s="66" t="s">
        <v>3468</v>
      </c>
      <c r="D592" s="66" t="s">
        <v>3382</v>
      </c>
      <c r="E592" s="67">
        <v>0</v>
      </c>
      <c r="F592" s="68">
        <v>23.65</v>
      </c>
      <c r="G592" s="68">
        <v>17.32</v>
      </c>
      <c r="H592" s="68">
        <v>10.86</v>
      </c>
      <c r="I592" s="68">
        <v>23.25</v>
      </c>
      <c r="J592" s="68">
        <v>26.22</v>
      </c>
      <c r="K592" s="68">
        <v>25.46</v>
      </c>
      <c r="L592" s="68">
        <v>19.86</v>
      </c>
      <c r="M592" s="68">
        <v>17.79</v>
      </c>
      <c r="N592" s="68">
        <v>19.190000000000001</v>
      </c>
      <c r="O592" s="68">
        <v>24.85</v>
      </c>
      <c r="P592" s="68">
        <v>26.39</v>
      </c>
      <c r="Q592" s="68">
        <v>25.08</v>
      </c>
      <c r="R592" s="69" t="s">
        <v>3470</v>
      </c>
      <c r="S592" s="69" t="s">
        <v>3489</v>
      </c>
      <c r="T592" s="70" t="s">
        <v>3497</v>
      </c>
      <c r="U592" s="452"/>
      <c r="V592" s="453" t="str">
        <f>IF(VLOOKUP($A592,'GeneratingCapabilityList sorted'!$E$9:$O$801,8,FALSE)&lt;&gt;"",VLOOKUP($A592,'GeneratingCapabilityList sorted'!$E$9:$O$801,8,FALSE),"NoneListed")</f>
        <v>NATURAL GAS</v>
      </c>
      <c r="W592" s="454">
        <f>IF($AB592,$AB592,IF($AA592,$AA592,Scenarios!$B$43))</f>
        <v>31831</v>
      </c>
      <c r="X592" s="454"/>
      <c r="Y592" s="454"/>
      <c r="Z592" s="454"/>
      <c r="AA592" s="454">
        <f>IFERROR(VLOOKUP($A592,'GeneratingCapabilityList sorted'!$E$9:$O$801,11,FALSE),Scenarios!$B$43)</f>
        <v>31831</v>
      </c>
      <c r="AB592" s="453"/>
      <c r="AC592" s="453"/>
    </row>
    <row r="593" spans="1:29" x14ac:dyDescent="0.25">
      <c r="A593" s="65" t="s">
        <v>2911</v>
      </c>
      <c r="B593" s="65" t="s">
        <v>2911</v>
      </c>
      <c r="C593" s="66" t="s">
        <v>3477</v>
      </c>
      <c r="D593" s="66" t="s">
        <v>3387</v>
      </c>
      <c r="E593" s="67">
        <v>0</v>
      </c>
      <c r="F593" s="68">
        <v>2.04</v>
      </c>
      <c r="G593" s="68">
        <v>9.09</v>
      </c>
      <c r="H593" s="68">
        <v>8.17</v>
      </c>
      <c r="I593" s="68">
        <v>9.85</v>
      </c>
      <c r="J593" s="68">
        <v>17.02</v>
      </c>
      <c r="K593" s="68">
        <v>18.989999999999998</v>
      </c>
      <c r="L593" s="68">
        <v>10.33</v>
      </c>
      <c r="M593" s="68">
        <v>5.63</v>
      </c>
      <c r="N593" s="68">
        <v>2.2000000000000002</v>
      </c>
      <c r="O593" s="68">
        <v>4</v>
      </c>
      <c r="P593" s="68">
        <v>3.97</v>
      </c>
      <c r="Q593" s="68">
        <v>2.15</v>
      </c>
      <c r="R593" s="69" t="s">
        <v>3470</v>
      </c>
      <c r="S593" s="69" t="s">
        <v>3489</v>
      </c>
      <c r="T593" s="70" t="s">
        <v>3425</v>
      </c>
      <c r="U593" s="452"/>
      <c r="V593" s="453" t="str">
        <f>IF(VLOOKUP($A593,'GeneratingCapabilityList sorted'!$E$9:$O$801,8,FALSE)&lt;&gt;"",VLOOKUP($A593,'GeneratingCapabilityList sorted'!$E$9:$O$801,8,FALSE),"NoneListed")</f>
        <v>WIND</v>
      </c>
      <c r="W593" s="454">
        <f>IF($AB593,$AB593,IF($AA593,$AA593,Scenarios!$B$43))</f>
        <v>39556</v>
      </c>
      <c r="X593" s="454"/>
      <c r="Y593" s="454"/>
      <c r="Z593" s="454"/>
      <c r="AA593" s="454">
        <f>IFERROR(VLOOKUP($A593,'GeneratingCapabilityList sorted'!$E$9:$O$801,11,FALSE),Scenarios!$B$43)</f>
        <v>39556</v>
      </c>
      <c r="AB593" s="453"/>
      <c r="AC593" s="453"/>
    </row>
    <row r="594" spans="1:29" x14ac:dyDescent="0.25">
      <c r="A594" s="65" t="s">
        <v>304</v>
      </c>
      <c r="B594" s="65" t="s">
        <v>3941</v>
      </c>
      <c r="C594" s="66" t="s">
        <v>3468</v>
      </c>
      <c r="D594" s="66" t="s">
        <v>3488</v>
      </c>
      <c r="E594" s="67">
        <v>0</v>
      </c>
      <c r="F594" s="68">
        <v>1.48</v>
      </c>
      <c r="G594" s="68">
        <v>7.09</v>
      </c>
      <c r="H594" s="68">
        <v>6.85</v>
      </c>
      <c r="I594" s="68">
        <v>14.45</v>
      </c>
      <c r="J594" s="68">
        <v>16.73</v>
      </c>
      <c r="K594" s="68">
        <v>35.950000000000003</v>
      </c>
      <c r="L594" s="68">
        <v>41.84</v>
      </c>
      <c r="M594" s="68">
        <v>37.78</v>
      </c>
      <c r="N594" s="68">
        <v>40.049999999999997</v>
      </c>
      <c r="O594" s="68">
        <v>41.29</v>
      </c>
      <c r="P594" s="68">
        <v>45.52</v>
      </c>
      <c r="Q594" s="68">
        <v>39.18</v>
      </c>
      <c r="R594" s="69" t="s">
        <v>3470</v>
      </c>
      <c r="S594" s="69" t="s">
        <v>3489</v>
      </c>
      <c r="T594" s="70" t="s">
        <v>3484</v>
      </c>
      <c r="U594" s="452"/>
      <c r="V594" s="453" t="str">
        <f>IF(VLOOKUP($A594,'GeneratingCapabilityList sorted'!$E$9:$O$801,8,FALSE)&lt;&gt;"",VLOOKUP($A594,'GeneratingCapabilityList sorted'!$E$9:$O$801,8,FALSE),"NoneListed")</f>
        <v>WATER</v>
      </c>
      <c r="W594" s="454">
        <f>IF($AB594,$AB594,IF($AA594,$AA594,Scenarios!$B$43))</f>
        <v>11324</v>
      </c>
      <c r="X594" s="454"/>
      <c r="Y594" s="454"/>
      <c r="Z594" s="454"/>
      <c r="AA594" s="454">
        <f>IFERROR(VLOOKUP($A594,'GeneratingCapabilityList sorted'!$E$9:$O$801,11,FALSE),Scenarios!$B$43)</f>
        <v>11324</v>
      </c>
      <c r="AB594" s="453"/>
      <c r="AC594" s="453"/>
    </row>
    <row r="595" spans="1:29" x14ac:dyDescent="0.25">
      <c r="A595" s="65" t="s">
        <v>1370</v>
      </c>
      <c r="B595" s="65" t="s">
        <v>3942</v>
      </c>
      <c r="C595" s="66" t="s">
        <v>3468</v>
      </c>
      <c r="D595" s="66" t="s">
        <v>3488</v>
      </c>
      <c r="E595" s="67">
        <v>0</v>
      </c>
      <c r="F595" s="68">
        <v>0.27</v>
      </c>
      <c r="G595" s="68">
        <v>0.65</v>
      </c>
      <c r="H595" s="68">
        <v>0.85</v>
      </c>
      <c r="I595" s="68">
        <v>0.15</v>
      </c>
      <c r="J595" s="68">
        <v>0.2</v>
      </c>
      <c r="K595" s="68">
        <v>0.02</v>
      </c>
      <c r="L595" s="68">
        <v>0</v>
      </c>
      <c r="M595" s="68">
        <v>0</v>
      </c>
      <c r="N595" s="68">
        <v>0</v>
      </c>
      <c r="O595" s="68">
        <v>0</v>
      </c>
      <c r="P595" s="68">
        <v>0</v>
      </c>
      <c r="Q595" s="68">
        <v>0.62</v>
      </c>
      <c r="R595" s="69" t="s">
        <v>3470</v>
      </c>
      <c r="S595" s="69" t="s">
        <v>3489</v>
      </c>
      <c r="T595" s="70" t="s">
        <v>3502</v>
      </c>
      <c r="U595" s="452"/>
      <c r="V595" s="453" t="str">
        <f>IF(VLOOKUP($A595,'GeneratingCapabilityList sorted'!$E$9:$O$801,8,FALSE)&lt;&gt;"",VLOOKUP($A595,'GeneratingCapabilityList sorted'!$E$9:$O$801,8,FALSE),"NoneListed")</f>
        <v>WATER</v>
      </c>
      <c r="W595" s="454">
        <f>IF($AB595,$AB595,IF($AA595,$AA595,Scenarios!$B$43))</f>
        <v>31427</v>
      </c>
      <c r="X595" s="454"/>
      <c r="Y595" s="454"/>
      <c r="Z595" s="454"/>
      <c r="AA595" s="454">
        <f>IFERROR(VLOOKUP($A595,'GeneratingCapabilityList sorted'!$E$9:$O$801,11,FALSE),Scenarios!$B$43)</f>
        <v>31427</v>
      </c>
      <c r="AB595" s="453"/>
      <c r="AC595" s="453"/>
    </row>
    <row r="596" spans="1:29" x14ac:dyDescent="0.25">
      <c r="A596" s="65" t="s">
        <v>1320</v>
      </c>
      <c r="B596" s="65" t="s">
        <v>3943</v>
      </c>
      <c r="C596" s="66" t="s">
        <v>3468</v>
      </c>
      <c r="D596" s="66" t="s">
        <v>3488</v>
      </c>
      <c r="E596" s="67">
        <v>0</v>
      </c>
      <c r="F596" s="68">
        <v>0.27</v>
      </c>
      <c r="G596" s="68">
        <v>0.46</v>
      </c>
      <c r="H596" s="68">
        <v>0.94</v>
      </c>
      <c r="I596" s="68">
        <v>0.63</v>
      </c>
      <c r="J596" s="68">
        <v>0.51</v>
      </c>
      <c r="K596" s="68">
        <v>0.98</v>
      </c>
      <c r="L596" s="68">
        <v>0.64</v>
      </c>
      <c r="M596" s="68">
        <v>0.47</v>
      </c>
      <c r="N596" s="68">
        <v>0.31</v>
      </c>
      <c r="O596" s="68">
        <v>0.02</v>
      </c>
      <c r="P596" s="68">
        <v>0.12</v>
      </c>
      <c r="Q596" s="68">
        <v>0.23</v>
      </c>
      <c r="R596" s="69" t="s">
        <v>3470</v>
      </c>
      <c r="S596" s="69" t="s">
        <v>3489</v>
      </c>
      <c r="T596" s="70" t="s">
        <v>3502</v>
      </c>
      <c r="U596" s="452"/>
      <c r="V596" s="453" t="str">
        <f>IF(VLOOKUP($A596,'GeneratingCapabilityList sorted'!$E$9:$O$801,8,FALSE)&lt;&gt;"",VLOOKUP($A596,'GeneratingCapabilityList sorted'!$E$9:$O$801,8,FALSE),"NoneListed")</f>
        <v>WATER</v>
      </c>
      <c r="W596" s="454">
        <f>IF($AB596,$AB596,IF($AA596,$AA596,Scenarios!$B$43))</f>
        <v>31413</v>
      </c>
      <c r="X596" s="454"/>
      <c r="Y596" s="454"/>
      <c r="Z596" s="454"/>
      <c r="AA596" s="454">
        <f>IFERROR(VLOOKUP($A596,'GeneratingCapabilityList sorted'!$E$9:$O$801,11,FALSE),Scenarios!$B$43)</f>
        <v>31413</v>
      </c>
      <c r="AB596" s="453"/>
      <c r="AC596" s="453"/>
    </row>
    <row r="597" spans="1:29" x14ac:dyDescent="0.25">
      <c r="A597" s="65" t="s">
        <v>437</v>
      </c>
      <c r="B597" s="65" t="s">
        <v>3944</v>
      </c>
      <c r="C597" s="65" t="s">
        <v>3468</v>
      </c>
      <c r="D597" s="66" t="s">
        <v>3508</v>
      </c>
      <c r="E597" s="67">
        <v>0</v>
      </c>
      <c r="F597" s="68">
        <v>3.44</v>
      </c>
      <c r="G597" s="68">
        <v>1.7</v>
      </c>
      <c r="H597" s="68">
        <v>0.87</v>
      </c>
      <c r="I597" s="68">
        <v>9.99</v>
      </c>
      <c r="J597" s="68">
        <v>15.18</v>
      </c>
      <c r="K597" s="68">
        <v>14.08</v>
      </c>
      <c r="L597" s="68">
        <v>17.28</v>
      </c>
      <c r="M597" s="68">
        <v>16.47</v>
      </c>
      <c r="N597" s="68">
        <v>11.2</v>
      </c>
      <c r="O597" s="68">
        <v>2.31</v>
      </c>
      <c r="P597" s="68">
        <v>3.61</v>
      </c>
      <c r="Q597" s="68">
        <v>0.98</v>
      </c>
      <c r="R597" s="69" t="s">
        <v>3470</v>
      </c>
      <c r="S597" s="69" t="s">
        <v>3489</v>
      </c>
      <c r="T597" s="70" t="s">
        <v>3484</v>
      </c>
      <c r="U597" s="452"/>
      <c r="V597" s="453" t="str">
        <f>IF(VLOOKUP($A597,'GeneratingCapabilityList sorted'!$E$9:$O$801,8,FALSE)&lt;&gt;"",VLOOKUP($A597,'GeneratingCapabilityList sorted'!$E$9:$O$801,8,FALSE),"NoneListed")</f>
        <v>WATER</v>
      </c>
      <c r="W597" s="454">
        <f>IF($AB597,$AB597,IF($AA597,$AA597,Scenarios!$B$43))</f>
        <v>21186</v>
      </c>
      <c r="X597" s="454"/>
      <c r="Y597" s="454"/>
      <c r="Z597" s="454"/>
      <c r="AA597" s="454">
        <f>IFERROR(VLOOKUP($A597,'GeneratingCapabilityList sorted'!$E$9:$O$801,11,FALSE),Scenarios!$B$43)</f>
        <v>21186</v>
      </c>
      <c r="AB597" s="453"/>
      <c r="AC597" s="453"/>
    </row>
    <row r="598" spans="1:29" x14ac:dyDescent="0.25">
      <c r="A598" s="65" t="s">
        <v>2211</v>
      </c>
      <c r="B598" s="65" t="s">
        <v>2212</v>
      </c>
      <c r="C598" s="66" t="s">
        <v>3468</v>
      </c>
      <c r="D598" s="66" t="s">
        <v>3505</v>
      </c>
      <c r="E598" s="67">
        <v>0</v>
      </c>
      <c r="F598" s="68">
        <v>5.4</v>
      </c>
      <c r="G598" s="68">
        <v>5.22</v>
      </c>
      <c r="H598" s="68">
        <v>3.21</v>
      </c>
      <c r="I598" s="68">
        <v>3.96</v>
      </c>
      <c r="J598" s="68">
        <v>4.46</v>
      </c>
      <c r="K598" s="68">
        <v>4.51</v>
      </c>
      <c r="L598" s="68">
        <v>4.41</v>
      </c>
      <c r="M598" s="68">
        <v>4.04</v>
      </c>
      <c r="N598" s="68">
        <v>4.1399999999999997</v>
      </c>
      <c r="O598" s="68">
        <v>3.33</v>
      </c>
      <c r="P598" s="68">
        <v>3.59</v>
      </c>
      <c r="Q598" s="68">
        <v>3.51</v>
      </c>
      <c r="R598" s="69" t="s">
        <v>3470</v>
      </c>
      <c r="S598" s="69" t="s">
        <v>3489</v>
      </c>
      <c r="T598" s="70" t="s">
        <v>3497</v>
      </c>
      <c r="U598" s="452"/>
      <c r="V598" s="453" t="str">
        <f>IF(VLOOKUP($A598,'GeneratingCapabilityList sorted'!$E$9:$O$801,8,FALSE)&lt;&gt;"",VLOOKUP($A598,'GeneratingCapabilityList sorted'!$E$9:$O$801,8,FALSE),"NoneListed")</f>
        <v>NATURAL GAS</v>
      </c>
      <c r="W598" s="454">
        <f>IF($AB598,$AB598,IF($AA598,$AA598,Scenarios!$B$43))</f>
        <v>34608</v>
      </c>
      <c r="X598" s="454"/>
      <c r="Y598" s="454"/>
      <c r="Z598" s="454"/>
      <c r="AA598" s="454">
        <f>IFERROR(VLOOKUP($A598,'GeneratingCapabilityList sorted'!$E$9:$O$801,11,FALSE),Scenarios!$B$43)</f>
        <v>34608</v>
      </c>
      <c r="AB598" s="453"/>
      <c r="AC598" s="453"/>
    </row>
    <row r="599" spans="1:29" x14ac:dyDescent="0.25">
      <c r="A599" s="65" t="s">
        <v>2880</v>
      </c>
      <c r="B599" s="65" t="s">
        <v>3945</v>
      </c>
      <c r="C599" s="66" t="s">
        <v>3468</v>
      </c>
      <c r="D599" s="66" t="s">
        <v>3469</v>
      </c>
      <c r="E599" s="67">
        <v>1.7</v>
      </c>
      <c r="F599" s="68">
        <v>0</v>
      </c>
      <c r="G599" s="68">
        <v>0</v>
      </c>
      <c r="H599" s="68">
        <v>0</v>
      </c>
      <c r="I599" s="68">
        <v>0</v>
      </c>
      <c r="J599" s="68">
        <v>0</v>
      </c>
      <c r="K599" s="68">
        <v>0</v>
      </c>
      <c r="L599" s="68">
        <v>0</v>
      </c>
      <c r="M599" s="68">
        <v>0</v>
      </c>
      <c r="N599" s="68">
        <v>0</v>
      </c>
      <c r="O599" s="68">
        <v>0</v>
      </c>
      <c r="P599" s="68">
        <v>0</v>
      </c>
      <c r="Q599" s="68">
        <v>0</v>
      </c>
      <c r="R599" s="69" t="s">
        <v>3470</v>
      </c>
      <c r="S599" s="69" t="s">
        <v>879</v>
      </c>
      <c r="T599" s="70" t="s">
        <v>3502</v>
      </c>
      <c r="U599" s="452"/>
      <c r="V599" s="453" t="str">
        <f>IF(VLOOKUP($A599,'GeneratingCapabilityList sorted'!$E$9:$O$801,8,FALSE)&lt;&gt;"",VLOOKUP($A599,'GeneratingCapabilityList sorted'!$E$9:$O$801,8,FALSE),"NoneListed")</f>
        <v>WATER</v>
      </c>
      <c r="W599" s="454">
        <f>IF($AB599,$AB599,IF($AA599,$AA599,Scenarios!$B$43))</f>
        <v>39265</v>
      </c>
      <c r="X599" s="454"/>
      <c r="Y599" s="454"/>
      <c r="Z599" s="454"/>
      <c r="AA599" s="454">
        <f>IFERROR(VLOOKUP($A599,'GeneratingCapabilityList sorted'!$E$9:$O$801,11,FALSE),Scenarios!$B$43)</f>
        <v>39265</v>
      </c>
      <c r="AB599" s="453"/>
      <c r="AC599" s="453"/>
    </row>
    <row r="600" spans="1:29" x14ac:dyDescent="0.25">
      <c r="A600" s="65" t="s">
        <v>1907</v>
      </c>
      <c r="B600" s="65" t="s">
        <v>3946</v>
      </c>
      <c r="C600" s="66" t="s">
        <v>3468</v>
      </c>
      <c r="D600" s="66" t="s">
        <v>3505</v>
      </c>
      <c r="E600" s="67">
        <v>0</v>
      </c>
      <c r="F600" s="68">
        <v>34.08</v>
      </c>
      <c r="G600" s="68">
        <v>33.950000000000003</v>
      </c>
      <c r="H600" s="68">
        <v>35.17</v>
      </c>
      <c r="I600" s="68">
        <v>35.130000000000003</v>
      </c>
      <c r="J600" s="68">
        <v>14.89</v>
      </c>
      <c r="K600" s="68">
        <v>35</v>
      </c>
      <c r="L600" s="68">
        <v>33.61</v>
      </c>
      <c r="M600" s="68">
        <v>34.729999999999997</v>
      </c>
      <c r="N600" s="68">
        <v>32.97</v>
      </c>
      <c r="O600" s="68">
        <v>32.89</v>
      </c>
      <c r="P600" s="68">
        <v>34</v>
      </c>
      <c r="Q600" s="68">
        <v>35.479999999999997</v>
      </c>
      <c r="R600" s="69" t="s">
        <v>3470</v>
      </c>
      <c r="S600" s="69" t="s">
        <v>3489</v>
      </c>
      <c r="T600" s="70" t="s">
        <v>3497</v>
      </c>
      <c r="U600" s="452"/>
      <c r="V600" s="453" t="str">
        <f>IF(VLOOKUP($A600,'GeneratingCapabilityList sorted'!$E$9:$O$801,8,FALSE)&lt;&gt;"",VLOOKUP($A600,'GeneratingCapabilityList sorted'!$E$9:$O$801,8,FALSE),"NoneListed")</f>
        <v>COAL</v>
      </c>
      <c r="W600" s="454">
        <f>IF($AB600,$AB600,IF($AA600,$AA600,Scenarios!$B$43))</f>
        <v>32778</v>
      </c>
      <c r="X600" s="454"/>
      <c r="Y600" s="454"/>
      <c r="Z600" s="454"/>
      <c r="AA600" s="454">
        <f>IFERROR(VLOOKUP($A600,'GeneratingCapabilityList sorted'!$E$9:$O$801,11,FALSE),Scenarios!$B$43)</f>
        <v>32778</v>
      </c>
      <c r="AB600" s="453"/>
      <c r="AC600" s="453"/>
    </row>
    <row r="601" spans="1:29" x14ac:dyDescent="0.25">
      <c r="A601" s="65" t="s">
        <v>1437</v>
      </c>
      <c r="B601" s="65" t="s">
        <v>3947</v>
      </c>
      <c r="C601" s="65" t="s">
        <v>3468</v>
      </c>
      <c r="D601" s="66" t="s">
        <v>3508</v>
      </c>
      <c r="E601" s="67">
        <v>0</v>
      </c>
      <c r="F601" s="68">
        <v>14.43</v>
      </c>
      <c r="G601" s="68">
        <v>11.05</v>
      </c>
      <c r="H601" s="68">
        <v>10.78</v>
      </c>
      <c r="I601" s="68">
        <v>15.46</v>
      </c>
      <c r="J601" s="68">
        <v>3.68</v>
      </c>
      <c r="K601" s="68">
        <v>15.37</v>
      </c>
      <c r="L601" s="68">
        <v>14.6</v>
      </c>
      <c r="M601" s="68">
        <v>15.17</v>
      </c>
      <c r="N601" s="68">
        <v>11.29</v>
      </c>
      <c r="O601" s="68">
        <v>18.940000000000001</v>
      </c>
      <c r="P601" s="68">
        <v>16.8</v>
      </c>
      <c r="Q601" s="68">
        <v>16.54</v>
      </c>
      <c r="R601" s="69" t="s">
        <v>3470</v>
      </c>
      <c r="S601" s="69" t="s">
        <v>3489</v>
      </c>
      <c r="T601" s="70" t="s">
        <v>3497</v>
      </c>
      <c r="U601" s="452"/>
      <c r="V601" s="453" t="str">
        <f>IF(VLOOKUP($A601,'GeneratingCapabilityList sorted'!$E$9:$O$801,8,FALSE)&lt;&gt;"",VLOOKUP($A601,'GeneratingCapabilityList sorted'!$E$9:$O$801,8,FALSE),"NoneListed")</f>
        <v>WOOD WASTE</v>
      </c>
      <c r="W601" s="454">
        <f>IF($AB601,$AB601,IF($AA601,$AA601,Scenarios!$B$43))</f>
        <v>31567</v>
      </c>
      <c r="X601" s="454"/>
      <c r="Y601" s="454"/>
      <c r="Z601" s="454"/>
      <c r="AA601" s="454">
        <f>IFERROR(VLOOKUP($A601,'GeneratingCapabilityList sorted'!$E$9:$O$801,11,FALSE),Scenarios!$B$43)</f>
        <v>31567</v>
      </c>
      <c r="AB601" s="453"/>
      <c r="AC601" s="453"/>
    </row>
    <row r="602" spans="1:29" x14ac:dyDescent="0.25">
      <c r="A602" s="65" t="s">
        <v>1748</v>
      </c>
      <c r="B602" s="65" t="s">
        <v>3948</v>
      </c>
      <c r="C602" s="66" t="s">
        <v>3468</v>
      </c>
      <c r="D602" s="66" t="s">
        <v>3474</v>
      </c>
      <c r="E602" s="67">
        <v>0</v>
      </c>
      <c r="F602" s="68">
        <v>19.149999999999999</v>
      </c>
      <c r="G602" s="68">
        <v>20.28</v>
      </c>
      <c r="H602" s="68">
        <v>20.21</v>
      </c>
      <c r="I602" s="68">
        <v>17.41</v>
      </c>
      <c r="J602" s="68">
        <v>13.11</v>
      </c>
      <c r="K602" s="68">
        <v>21.77</v>
      </c>
      <c r="L602" s="68">
        <v>21.4</v>
      </c>
      <c r="M602" s="68">
        <v>18.309999999999999</v>
      </c>
      <c r="N602" s="68">
        <v>20.67</v>
      </c>
      <c r="O602" s="68">
        <v>12.98</v>
      </c>
      <c r="P602" s="68">
        <v>23.35</v>
      </c>
      <c r="Q602" s="68">
        <v>23.05</v>
      </c>
      <c r="R602" s="69" t="s">
        <v>3470</v>
      </c>
      <c r="S602" s="69" t="s">
        <v>3489</v>
      </c>
      <c r="T602" s="70" t="s">
        <v>3497</v>
      </c>
      <c r="U602" s="452"/>
      <c r="V602" s="453" t="str">
        <f>IF(VLOOKUP($A602,'GeneratingCapabilityList sorted'!$E$9:$O$801,8,FALSE)&lt;&gt;"",VLOOKUP($A602,'GeneratingCapabilityList sorted'!$E$9:$O$801,8,FALSE),"NoneListed")</f>
        <v>WOOD WASTE</v>
      </c>
      <c r="W602" s="454">
        <f>IF($AB602,$AB602,IF($AA602,$AA602,Scenarios!$B$43))</f>
        <v>32344</v>
      </c>
      <c r="X602" s="454"/>
      <c r="Y602" s="454"/>
      <c r="Z602" s="454"/>
      <c r="AA602" s="454">
        <f>IFERROR(VLOOKUP($A602,'GeneratingCapabilityList sorted'!$E$9:$O$801,11,FALSE),Scenarios!$B$43)</f>
        <v>32344</v>
      </c>
      <c r="AB602" s="453"/>
      <c r="AC602" s="453"/>
    </row>
    <row r="603" spans="1:29" x14ac:dyDescent="0.25">
      <c r="A603" s="65" t="s">
        <v>1881</v>
      </c>
      <c r="B603" s="65" t="s">
        <v>3949</v>
      </c>
      <c r="C603" s="66" t="s">
        <v>3468</v>
      </c>
      <c r="D603" s="66" t="s">
        <v>3510</v>
      </c>
      <c r="E603" s="67">
        <v>0</v>
      </c>
      <c r="F603" s="68">
        <v>19.11</v>
      </c>
      <c r="G603" s="68">
        <v>21.81</v>
      </c>
      <c r="H603" s="68">
        <v>19.489999999999998</v>
      </c>
      <c r="I603" s="68">
        <v>15.31</v>
      </c>
      <c r="J603" s="68">
        <v>11.19</v>
      </c>
      <c r="K603" s="68">
        <v>22.81</v>
      </c>
      <c r="L603" s="68">
        <v>21.85</v>
      </c>
      <c r="M603" s="68">
        <v>20.74</v>
      </c>
      <c r="N603" s="68">
        <v>21.73</v>
      </c>
      <c r="O603" s="68">
        <v>20.38</v>
      </c>
      <c r="P603" s="68">
        <v>20.95</v>
      </c>
      <c r="Q603" s="68">
        <v>20.41</v>
      </c>
      <c r="R603" s="69" t="s">
        <v>3470</v>
      </c>
      <c r="S603" s="69" t="s">
        <v>3489</v>
      </c>
      <c r="T603" s="70" t="s">
        <v>3497</v>
      </c>
      <c r="U603" s="452"/>
      <c r="V603" s="453" t="str">
        <f>IF(VLOOKUP($A603,'GeneratingCapabilityList sorted'!$E$9:$O$801,8,FALSE)&lt;&gt;"",VLOOKUP($A603,'GeneratingCapabilityList sorted'!$E$9:$O$801,8,FALSE),"NoneListed")</f>
        <v>WOOD WASTE</v>
      </c>
      <c r="W603" s="454">
        <f>IF($AB603,$AB603,IF($AA603,$AA603,Scenarios!$B$43))</f>
        <v>32668</v>
      </c>
      <c r="X603" s="454"/>
      <c r="Y603" s="454"/>
      <c r="Z603" s="454"/>
      <c r="AA603" s="454">
        <f>IFERROR(VLOOKUP($A603,'GeneratingCapabilityList sorted'!$E$9:$O$801,11,FALSE),Scenarios!$B$43)</f>
        <v>32668</v>
      </c>
      <c r="AB603" s="453"/>
      <c r="AC603" s="453"/>
    </row>
    <row r="604" spans="1:29" x14ac:dyDescent="0.25">
      <c r="A604" s="65" t="s">
        <v>871</v>
      </c>
      <c r="B604" s="65" t="s">
        <v>872</v>
      </c>
      <c r="C604" s="66" t="s">
        <v>3468</v>
      </c>
      <c r="D604" s="66" t="s">
        <v>3382</v>
      </c>
      <c r="E604" s="67">
        <v>0</v>
      </c>
      <c r="F604" s="68">
        <v>16.309999999999999</v>
      </c>
      <c r="G604" s="68">
        <v>14.7</v>
      </c>
      <c r="H604" s="68">
        <v>13.82</v>
      </c>
      <c r="I604" s="68">
        <v>11.78</v>
      </c>
      <c r="J604" s="68">
        <v>9.82</v>
      </c>
      <c r="K604" s="68">
        <v>13.43</v>
      </c>
      <c r="L604" s="68">
        <v>14.62</v>
      </c>
      <c r="M604" s="68">
        <v>15.94</v>
      </c>
      <c r="N604" s="68">
        <v>15.99</v>
      </c>
      <c r="O604" s="68">
        <v>15.56</v>
      </c>
      <c r="P604" s="68">
        <v>14.86</v>
      </c>
      <c r="Q604" s="68">
        <v>15.25</v>
      </c>
      <c r="R604" s="69" t="s">
        <v>3470</v>
      </c>
      <c r="S604" s="69" t="s">
        <v>3489</v>
      </c>
      <c r="T604" s="70" t="s">
        <v>3497</v>
      </c>
      <c r="U604" s="452"/>
      <c r="V604" s="453" t="str">
        <f>IF(VLOOKUP($A604,'GeneratingCapabilityList sorted'!$E$9:$O$801,8,FALSE)&lt;&gt;"",VLOOKUP($A604,'GeneratingCapabilityList sorted'!$E$9:$O$801,8,FALSE),"NoneListed")</f>
        <v>PETROLEUM COKE</v>
      </c>
      <c r="W604" s="454">
        <f>IF($AB604,$AB604,IF($AA604,$AA604,Scenarios!$B$43))</f>
        <v>30317</v>
      </c>
      <c r="X604" s="454"/>
      <c r="Y604" s="454"/>
      <c r="Z604" s="454"/>
      <c r="AA604" s="454">
        <f>IFERROR(VLOOKUP($A604,'GeneratingCapabilityList sorted'!$E$9:$O$801,11,FALSE),Scenarios!$B$43)</f>
        <v>30317</v>
      </c>
      <c r="AB604" s="453"/>
      <c r="AC604" s="453"/>
    </row>
    <row r="605" spans="1:29" x14ac:dyDescent="0.25">
      <c r="A605" s="65" t="s">
        <v>1589</v>
      </c>
      <c r="B605" s="65" t="s">
        <v>3950</v>
      </c>
      <c r="C605" s="66" t="s">
        <v>3468</v>
      </c>
      <c r="D605" s="66" t="s">
        <v>3382</v>
      </c>
      <c r="E605" s="67">
        <v>0</v>
      </c>
      <c r="F605" s="68">
        <v>0.75</v>
      </c>
      <c r="G605" s="68">
        <v>2.71</v>
      </c>
      <c r="H605" s="68">
        <v>6.87</v>
      </c>
      <c r="I605" s="68">
        <v>4.09</v>
      </c>
      <c r="J605" s="68">
        <v>3.11</v>
      </c>
      <c r="K605" s="68">
        <v>0.13</v>
      </c>
      <c r="L605" s="68">
        <v>0.23</v>
      </c>
      <c r="M605" s="68">
        <v>0.09</v>
      </c>
      <c r="N605" s="68">
        <v>0.38</v>
      </c>
      <c r="O605" s="68">
        <v>1.32</v>
      </c>
      <c r="P605" s="68">
        <v>1.03</v>
      </c>
      <c r="Q605" s="68">
        <v>0.71</v>
      </c>
      <c r="R605" s="69" t="s">
        <v>3470</v>
      </c>
      <c r="S605" s="69" t="s">
        <v>3489</v>
      </c>
      <c r="T605" s="70" t="s">
        <v>3497</v>
      </c>
      <c r="U605" s="452"/>
      <c r="V605" s="453" t="str">
        <f>IF(VLOOKUP($A605,'GeneratingCapabilityList sorted'!$E$9:$O$801,8,FALSE)&lt;&gt;"",VLOOKUP($A605,'GeneratingCapabilityList sorted'!$E$9:$O$801,8,FALSE),"NoneListed")</f>
        <v>NATURAL GAS</v>
      </c>
      <c r="W605" s="454">
        <f>IF($AB605,$AB605,IF($AA605,$AA605,Scenarios!$B$43))</f>
        <v>31918</v>
      </c>
      <c r="X605" s="454"/>
      <c r="Y605" s="454"/>
      <c r="Z605" s="454"/>
      <c r="AA605" s="454">
        <f>IFERROR(VLOOKUP($A605,'GeneratingCapabilityList sorted'!$E$9:$O$801,11,FALSE),Scenarios!$B$43)</f>
        <v>31918</v>
      </c>
      <c r="AB605" s="453"/>
      <c r="AC605" s="453"/>
    </row>
    <row r="606" spans="1:29" x14ac:dyDescent="0.25">
      <c r="A606" s="65" t="s">
        <v>1452</v>
      </c>
      <c r="B606" s="65" t="s">
        <v>1453</v>
      </c>
      <c r="C606" s="66" t="s">
        <v>3468</v>
      </c>
      <c r="D606" s="66" t="s">
        <v>3382</v>
      </c>
      <c r="E606" s="67">
        <v>0</v>
      </c>
      <c r="F606" s="68">
        <v>24.42</v>
      </c>
      <c r="G606" s="68">
        <v>21.72</v>
      </c>
      <c r="H606" s="68">
        <v>20.41</v>
      </c>
      <c r="I606" s="68">
        <v>22.23</v>
      </c>
      <c r="J606" s="68">
        <v>13.88</v>
      </c>
      <c r="K606" s="68">
        <v>21.78</v>
      </c>
      <c r="L606" s="68">
        <v>22.05</v>
      </c>
      <c r="M606" s="68">
        <v>22.81</v>
      </c>
      <c r="N606" s="68">
        <v>22.01</v>
      </c>
      <c r="O606" s="68">
        <v>22.61</v>
      </c>
      <c r="P606" s="68">
        <v>22.6</v>
      </c>
      <c r="Q606" s="68">
        <v>22.61</v>
      </c>
      <c r="R606" s="69" t="s">
        <v>3470</v>
      </c>
      <c r="S606" s="69" t="s">
        <v>3489</v>
      </c>
      <c r="T606" s="70" t="s">
        <v>3497</v>
      </c>
      <c r="U606" s="452"/>
      <c r="V606" s="453" t="str">
        <f>IF(VLOOKUP($A606,'GeneratingCapabilityList sorted'!$E$9:$O$801,8,FALSE)&lt;&gt;"",VLOOKUP($A606,'GeneratingCapabilityList sorted'!$E$9:$O$801,8,FALSE),"NoneListed")</f>
        <v>NATURAL GAS</v>
      </c>
      <c r="W606" s="454">
        <f>IF($AB606,$AB606,IF($AA606,$AA606,Scenarios!$B$43))</f>
        <v>31667</v>
      </c>
      <c r="X606" s="454"/>
      <c r="Y606" s="454"/>
      <c r="Z606" s="454"/>
      <c r="AA606" s="454">
        <f>IFERROR(VLOOKUP($A606,'GeneratingCapabilityList sorted'!$E$9:$O$801,11,FALSE),Scenarios!$B$43)</f>
        <v>31667</v>
      </c>
      <c r="AB606" s="453"/>
      <c r="AC606" s="453"/>
    </row>
    <row r="607" spans="1:29" x14ac:dyDescent="0.25">
      <c r="A607" s="65" t="s">
        <v>1327</v>
      </c>
      <c r="B607" s="65" t="s">
        <v>1328</v>
      </c>
      <c r="C607" s="66" t="s">
        <v>3468</v>
      </c>
      <c r="D607" s="66" t="s">
        <v>3505</v>
      </c>
      <c r="E607" s="67">
        <v>0</v>
      </c>
      <c r="F607" s="68">
        <v>36.229999999999997</v>
      </c>
      <c r="G607" s="68">
        <v>36.229999999999997</v>
      </c>
      <c r="H607" s="68">
        <v>34.42</v>
      </c>
      <c r="I607" s="68">
        <v>30.6</v>
      </c>
      <c r="J607" s="68">
        <v>34.619999999999997</v>
      </c>
      <c r="K607" s="68">
        <v>33.630000000000003</v>
      </c>
      <c r="L607" s="68">
        <v>33.17</v>
      </c>
      <c r="M607" s="68">
        <v>32.229999999999997</v>
      </c>
      <c r="N607" s="68">
        <v>33.24</v>
      </c>
      <c r="O607" s="68">
        <v>35.630000000000003</v>
      </c>
      <c r="P607" s="68">
        <v>32.17</v>
      </c>
      <c r="Q607" s="68">
        <v>33.700000000000003</v>
      </c>
      <c r="R607" s="69" t="s">
        <v>3470</v>
      </c>
      <c r="S607" s="69" t="s">
        <v>3489</v>
      </c>
      <c r="T607" s="70" t="s">
        <v>3497</v>
      </c>
      <c r="U607" s="452"/>
      <c r="V607" s="453" t="str">
        <f>IF(VLOOKUP($A607,'GeneratingCapabilityList sorted'!$E$9:$O$801,8,FALSE)&lt;&gt;"",VLOOKUP($A607,'GeneratingCapabilityList sorted'!$E$9:$O$801,8,FALSE),"NoneListed")</f>
        <v>NATURAL GAS</v>
      </c>
      <c r="W607" s="454">
        <f>IF($AB607,$AB607,IF($AA607,$AA607,Scenarios!$B$43))</f>
        <v>31413</v>
      </c>
      <c r="X607" s="454"/>
      <c r="Y607" s="454"/>
      <c r="Z607" s="454"/>
      <c r="AA607" s="454">
        <f>IFERROR(VLOOKUP($A607,'GeneratingCapabilityList sorted'!$E$9:$O$801,11,FALSE),Scenarios!$B$43)</f>
        <v>31413</v>
      </c>
      <c r="AB607" s="453"/>
      <c r="AC607" s="453"/>
    </row>
    <row r="608" spans="1:29" x14ac:dyDescent="0.25">
      <c r="A608" s="65" t="s">
        <v>1679</v>
      </c>
      <c r="B608" s="65" t="s">
        <v>3951</v>
      </c>
      <c r="C608" s="66" t="s">
        <v>3468</v>
      </c>
      <c r="D608" s="66" t="s">
        <v>3488</v>
      </c>
      <c r="E608" s="67">
        <v>0</v>
      </c>
      <c r="F608" s="68">
        <v>0.22</v>
      </c>
      <c r="G608" s="68">
        <v>0.56000000000000005</v>
      </c>
      <c r="H608" s="68">
        <v>2.35</v>
      </c>
      <c r="I608" s="68">
        <v>1.79</v>
      </c>
      <c r="J608" s="68">
        <v>3.63</v>
      </c>
      <c r="K608" s="68">
        <v>5.17</v>
      </c>
      <c r="L608" s="68">
        <v>7.08</v>
      </c>
      <c r="M608" s="68">
        <v>2.85</v>
      </c>
      <c r="N608" s="68">
        <v>0.8</v>
      </c>
      <c r="O608" s="68">
        <v>0.78</v>
      </c>
      <c r="P608" s="68">
        <v>0.03</v>
      </c>
      <c r="Q608" s="68">
        <v>0</v>
      </c>
      <c r="R608" s="69" t="s">
        <v>3470</v>
      </c>
      <c r="S608" s="69" t="s">
        <v>3489</v>
      </c>
      <c r="T608" s="70" t="s">
        <v>3425</v>
      </c>
      <c r="U608" s="452"/>
      <c r="V608" s="453" t="str">
        <f>IF(VLOOKUP($A608,'GeneratingCapabilityList sorted'!$E$9:$O$801,8,FALSE)&lt;&gt;"",VLOOKUP($A608,'GeneratingCapabilityList sorted'!$E$9:$O$801,8,FALSE),"NoneListed")</f>
        <v>WIND</v>
      </c>
      <c r="W608" s="454">
        <f>IF($AB608,$AB608,IF($AA608,$AA608,Scenarios!$B$43))</f>
        <v>32143</v>
      </c>
      <c r="X608" s="454"/>
      <c r="Y608" s="454"/>
      <c r="Z608" s="454"/>
      <c r="AA608" s="454">
        <f>IFERROR(VLOOKUP($A608,'GeneratingCapabilityList sorted'!$E$9:$O$801,11,FALSE),Scenarios!$B$43)</f>
        <v>32143</v>
      </c>
      <c r="AB608" s="453"/>
      <c r="AC608" s="453"/>
    </row>
    <row r="609" spans="1:261" x14ac:dyDescent="0.25">
      <c r="A609" s="65" t="s">
        <v>1674</v>
      </c>
      <c r="B609" s="65" t="s">
        <v>3952</v>
      </c>
      <c r="C609" s="66" t="s">
        <v>3468</v>
      </c>
      <c r="D609" s="66" t="s">
        <v>3488</v>
      </c>
      <c r="E609" s="67">
        <v>0</v>
      </c>
      <c r="F609" s="68">
        <v>0.49</v>
      </c>
      <c r="G609" s="68">
        <v>1.75</v>
      </c>
      <c r="H609" s="68">
        <v>8.39</v>
      </c>
      <c r="I609" s="68">
        <v>6.2</v>
      </c>
      <c r="J609" s="68">
        <v>10.09</v>
      </c>
      <c r="K609" s="68">
        <v>10.95</v>
      </c>
      <c r="L609" s="68">
        <v>19.34</v>
      </c>
      <c r="M609" s="68">
        <v>8.6199999999999992</v>
      </c>
      <c r="N609" s="68">
        <v>2.56</v>
      </c>
      <c r="O609" s="68">
        <v>2.44</v>
      </c>
      <c r="P609" s="68">
        <v>0.32</v>
      </c>
      <c r="Q609" s="68">
        <v>0</v>
      </c>
      <c r="R609" s="69" t="s">
        <v>3470</v>
      </c>
      <c r="S609" s="69" t="s">
        <v>3489</v>
      </c>
      <c r="T609" s="70" t="s">
        <v>3425</v>
      </c>
      <c r="U609" s="452"/>
      <c r="V609" s="453" t="str">
        <f>IF(VLOOKUP($A609,'GeneratingCapabilityList sorted'!$E$9:$O$801,8,FALSE)&lt;&gt;"",VLOOKUP($A609,'GeneratingCapabilityList sorted'!$E$9:$O$801,8,FALSE),"NoneListed")</f>
        <v>WIND</v>
      </c>
      <c r="W609" s="454">
        <f>IF($AB609,$AB609,IF($AA609,$AA609,Scenarios!$B$43))</f>
        <v>32143</v>
      </c>
      <c r="X609" s="454"/>
      <c r="Y609" s="454"/>
      <c r="Z609" s="454"/>
      <c r="AA609" s="454">
        <f>IFERROR(VLOOKUP($A609,'GeneratingCapabilityList sorted'!$E$9:$O$801,11,FALSE),Scenarios!$B$43)</f>
        <v>32143</v>
      </c>
      <c r="AB609" s="453"/>
      <c r="AC609" s="453"/>
    </row>
    <row r="610" spans="1:261" x14ac:dyDescent="0.25">
      <c r="A610" s="65" t="s">
        <v>1519</v>
      </c>
      <c r="B610" s="65" t="s">
        <v>3953</v>
      </c>
      <c r="C610" s="66" t="s">
        <v>3468</v>
      </c>
      <c r="D610" s="66" t="s">
        <v>3488</v>
      </c>
      <c r="E610" s="67">
        <v>0</v>
      </c>
      <c r="F610" s="68">
        <v>6.3</v>
      </c>
      <c r="G610" s="68">
        <v>7.09</v>
      </c>
      <c r="H610" s="68">
        <v>10.039999999999999</v>
      </c>
      <c r="I610" s="68">
        <v>8.69</v>
      </c>
      <c r="J610" s="68">
        <v>10.44</v>
      </c>
      <c r="K610" s="68">
        <v>10.93</v>
      </c>
      <c r="L610" s="68">
        <v>11.97</v>
      </c>
      <c r="M610" s="68">
        <v>9.17</v>
      </c>
      <c r="N610" s="68">
        <v>6.07</v>
      </c>
      <c r="O610" s="68">
        <v>6.32</v>
      </c>
      <c r="P610" s="68">
        <v>4.87</v>
      </c>
      <c r="Q610" s="68">
        <v>6.2</v>
      </c>
      <c r="R610" s="69" t="s">
        <v>3470</v>
      </c>
      <c r="S610" s="69" t="s">
        <v>3489</v>
      </c>
      <c r="T610" s="70" t="s">
        <v>3425</v>
      </c>
      <c r="U610" s="452"/>
      <c r="V610" s="453" t="str">
        <f>IF(VLOOKUP($A610,'GeneratingCapabilityList sorted'!$E$9:$O$801,8,FALSE)&lt;&gt;"",VLOOKUP($A610,'GeneratingCapabilityList sorted'!$E$9:$O$801,8,FALSE),"NoneListed")</f>
        <v>WIND</v>
      </c>
      <c r="W610" s="454">
        <f>IF($AB610,$AB610,IF($AA610,$AA610,Scenarios!$B$43))</f>
        <v>31778</v>
      </c>
      <c r="X610" s="454"/>
      <c r="Y610" s="454"/>
      <c r="Z610" s="454"/>
      <c r="AA610" s="454">
        <f>IFERROR(VLOOKUP($A610,'GeneratingCapabilityList sorted'!$E$9:$O$801,11,FALSE),Scenarios!$B$43)</f>
        <v>31778</v>
      </c>
      <c r="AB610" s="453"/>
      <c r="AC610" s="453"/>
    </row>
    <row r="611" spans="1:261" x14ac:dyDescent="0.25">
      <c r="A611" s="65" t="s">
        <v>2207</v>
      </c>
      <c r="B611" s="65" t="s">
        <v>3954</v>
      </c>
      <c r="C611" s="66" t="s">
        <v>3468</v>
      </c>
      <c r="D611" s="66" t="s">
        <v>3382</v>
      </c>
      <c r="E611" s="67">
        <v>0</v>
      </c>
      <c r="F611" s="68">
        <v>2.67</v>
      </c>
      <c r="G611" s="68">
        <v>2.95</v>
      </c>
      <c r="H611" s="68">
        <v>6.86</v>
      </c>
      <c r="I611" s="68">
        <v>6.81</v>
      </c>
      <c r="J611" s="68">
        <v>22.04</v>
      </c>
      <c r="K611" s="68">
        <v>27.74</v>
      </c>
      <c r="L611" s="68">
        <v>30.86</v>
      </c>
      <c r="M611" s="68">
        <v>17.82</v>
      </c>
      <c r="N611" s="68">
        <v>2.61</v>
      </c>
      <c r="O611" s="68">
        <v>2.4500000000000002</v>
      </c>
      <c r="P611" s="68">
        <v>3.35</v>
      </c>
      <c r="Q611" s="68">
        <v>1.96</v>
      </c>
      <c r="R611" s="69" t="s">
        <v>3470</v>
      </c>
      <c r="S611" s="69" t="s">
        <v>3489</v>
      </c>
      <c r="T611" s="70" t="s">
        <v>3425</v>
      </c>
      <c r="U611" s="452"/>
      <c r="V611" s="453" t="str">
        <f>IF(VLOOKUP($A611,'GeneratingCapabilityList sorted'!$E$9:$O$801,8,FALSE)&lt;&gt;"",VLOOKUP($A611,'GeneratingCapabilityList sorted'!$E$9:$O$801,8,FALSE),"NoneListed")</f>
        <v>WIND</v>
      </c>
      <c r="W611" s="454">
        <f>IF($AB611,$AB611,IF($AA611,$AA611,Scenarios!$B$43))</f>
        <v>34335</v>
      </c>
      <c r="X611" s="454"/>
      <c r="Y611" s="454"/>
      <c r="Z611" s="454"/>
      <c r="AA611" s="454">
        <f>IFERROR(VLOOKUP($A611,'GeneratingCapabilityList sorted'!$E$9:$O$801,11,FALSE),Scenarios!$B$43)</f>
        <v>34335</v>
      </c>
      <c r="AB611" s="453"/>
      <c r="AC611" s="453"/>
    </row>
    <row r="612" spans="1:261" x14ac:dyDescent="0.25">
      <c r="A612" s="65" t="s">
        <v>2205</v>
      </c>
      <c r="B612" s="65" t="s">
        <v>3955</v>
      </c>
      <c r="C612" s="66" t="s">
        <v>3468</v>
      </c>
      <c r="D612" s="66" t="s">
        <v>3382</v>
      </c>
      <c r="E612" s="67">
        <v>0</v>
      </c>
      <c r="F612" s="68">
        <v>3.34</v>
      </c>
      <c r="G612" s="68">
        <v>3.71</v>
      </c>
      <c r="H612" s="68">
        <v>8.8699999999999992</v>
      </c>
      <c r="I612" s="68">
        <v>8.7100000000000009</v>
      </c>
      <c r="J612" s="68">
        <v>29.71</v>
      </c>
      <c r="K612" s="68">
        <v>40.5</v>
      </c>
      <c r="L612" s="68">
        <v>49.66</v>
      </c>
      <c r="M612" s="68">
        <v>26.27</v>
      </c>
      <c r="N612" s="68">
        <v>3.92</v>
      </c>
      <c r="O612" s="68">
        <v>3.21</v>
      </c>
      <c r="P612" s="68">
        <v>4.3099999999999996</v>
      </c>
      <c r="Q612" s="68">
        <v>2.46</v>
      </c>
      <c r="R612" s="69" t="s">
        <v>3470</v>
      </c>
      <c r="S612" s="69" t="s">
        <v>3489</v>
      </c>
      <c r="T612" s="70" t="s">
        <v>3425</v>
      </c>
      <c r="U612" s="452"/>
      <c r="V612" s="453" t="str">
        <f>IF(VLOOKUP($A612,'GeneratingCapabilityList sorted'!$E$9:$O$801,8,FALSE)&lt;&gt;"",VLOOKUP($A612,'GeneratingCapabilityList sorted'!$E$9:$O$801,8,FALSE),"NoneListed")</f>
        <v>WIND</v>
      </c>
      <c r="W612" s="454">
        <f>IF($AB612,$AB612,IF($AA612,$AA612,Scenarios!$B$43))</f>
        <v>34335</v>
      </c>
      <c r="X612" s="454"/>
      <c r="Y612" s="454"/>
      <c r="Z612" s="454"/>
      <c r="AA612" s="454">
        <f>IFERROR(VLOOKUP($A612,'GeneratingCapabilityList sorted'!$E$9:$O$801,11,FALSE),Scenarios!$B$43)</f>
        <v>34335</v>
      </c>
      <c r="AB612" s="453"/>
      <c r="AC612" s="453"/>
    </row>
    <row r="613" spans="1:261" x14ac:dyDescent="0.25">
      <c r="A613" s="65" t="s">
        <v>1340</v>
      </c>
      <c r="B613" s="65" t="s">
        <v>3956</v>
      </c>
      <c r="C613" s="66" t="s">
        <v>3468</v>
      </c>
      <c r="D613" s="66" t="s">
        <v>3382</v>
      </c>
      <c r="E613" s="67">
        <v>0</v>
      </c>
      <c r="F613" s="68">
        <v>0.05</v>
      </c>
      <c r="G613" s="68">
        <v>0.12</v>
      </c>
      <c r="H613" s="68">
        <v>0.65</v>
      </c>
      <c r="I613" s="68">
        <v>0.63</v>
      </c>
      <c r="J613" s="68">
        <v>1</v>
      </c>
      <c r="K613" s="68">
        <v>1.58</v>
      </c>
      <c r="L613" s="68">
        <v>2.39</v>
      </c>
      <c r="M613" s="68">
        <v>0.94</v>
      </c>
      <c r="N613" s="68">
        <v>0.22</v>
      </c>
      <c r="O613" s="68">
        <v>0.24</v>
      </c>
      <c r="P613" s="68">
        <v>0.03</v>
      </c>
      <c r="Q613" s="68">
        <v>0</v>
      </c>
      <c r="R613" s="69" t="s">
        <v>3470</v>
      </c>
      <c r="S613" s="69" t="s">
        <v>3489</v>
      </c>
      <c r="T613" s="70" t="s">
        <v>3425</v>
      </c>
      <c r="U613" s="452"/>
      <c r="V613" s="453" t="str">
        <f>IF(VLOOKUP($A613,'GeneratingCapabilityList sorted'!$E$9:$O$801,8,FALSE)&lt;&gt;"",VLOOKUP($A613,'GeneratingCapabilityList sorted'!$E$9:$O$801,8,FALSE),"NoneListed")</f>
        <v>WIND</v>
      </c>
      <c r="W613" s="454">
        <f>IF($AB613,$AB613,IF($AA613,$AA613,Scenarios!$B$43))</f>
        <v>31413</v>
      </c>
      <c r="X613" s="454"/>
      <c r="Y613" s="454"/>
      <c r="Z613" s="454"/>
      <c r="AA613" s="454">
        <f>IFERROR(VLOOKUP($A613,'GeneratingCapabilityList sorted'!$E$9:$O$801,11,FALSE),Scenarios!$B$43)</f>
        <v>31413</v>
      </c>
      <c r="AB613" s="453"/>
      <c r="AC613" s="453"/>
    </row>
    <row r="614" spans="1:261" x14ac:dyDescent="0.25">
      <c r="A614" s="65" t="s">
        <v>3121</v>
      </c>
      <c r="B614" s="65" t="s">
        <v>3957</v>
      </c>
      <c r="C614" s="66" t="s">
        <v>3468</v>
      </c>
      <c r="D614" s="66" t="s">
        <v>3382</v>
      </c>
      <c r="E614" s="67">
        <v>0</v>
      </c>
      <c r="F614" s="68">
        <v>0.12</v>
      </c>
      <c r="G614" s="68">
        <v>0.51</v>
      </c>
      <c r="H614" s="68">
        <v>2.33</v>
      </c>
      <c r="I614" s="68">
        <v>1.84</v>
      </c>
      <c r="J614" s="68">
        <v>2.4500000000000002</v>
      </c>
      <c r="K614" s="68">
        <v>3.43</v>
      </c>
      <c r="L614" s="68">
        <v>5.51</v>
      </c>
      <c r="M614" s="68">
        <v>2.57</v>
      </c>
      <c r="N614" s="68">
        <v>0.79</v>
      </c>
      <c r="O614" s="68">
        <v>0.84</v>
      </c>
      <c r="P614" s="68">
        <v>0.03</v>
      </c>
      <c r="Q614" s="68">
        <v>0</v>
      </c>
      <c r="R614" s="69" t="s">
        <v>3470</v>
      </c>
      <c r="S614" s="69" t="s">
        <v>3489</v>
      </c>
      <c r="T614" s="70" t="s">
        <v>3425</v>
      </c>
      <c r="U614" s="452"/>
      <c r="V614" s="453" t="str">
        <f>IF(VLOOKUP($A614,'GeneratingCapabilityList sorted'!$E$9:$O$801,8,FALSE)&lt;&gt;"",VLOOKUP($A614,'GeneratingCapabilityList sorted'!$E$9:$O$801,8,FALSE),"NoneListed")</f>
        <v>WIND</v>
      </c>
      <c r="W614" s="454">
        <f>IF($AB614,$AB614,IF($AA614,$AA614,Scenarios!$B$43))</f>
        <v>40947</v>
      </c>
      <c r="X614" s="454"/>
      <c r="Y614" s="454"/>
      <c r="Z614" s="454"/>
      <c r="AA614" s="454">
        <f>IFERROR(VLOOKUP($A614,'GeneratingCapabilityList sorted'!$E$9:$O$801,11,FALSE),Scenarios!$B$43)</f>
        <v>40947</v>
      </c>
      <c r="AB614" s="453"/>
      <c r="AC614" s="453"/>
    </row>
    <row r="615" spans="1:261" s="92" customFormat="1" x14ac:dyDescent="0.25">
      <c r="A615" s="65" t="s">
        <v>925</v>
      </c>
      <c r="B615" s="65" t="s">
        <v>3958</v>
      </c>
      <c r="C615" s="66" t="s">
        <v>3468</v>
      </c>
      <c r="D615" s="66" t="s">
        <v>3488</v>
      </c>
      <c r="E615" s="67">
        <v>0</v>
      </c>
      <c r="F615" s="68">
        <v>0</v>
      </c>
      <c r="G615" s="68">
        <v>0</v>
      </c>
      <c r="H615" s="68">
        <v>0</v>
      </c>
      <c r="I615" s="68">
        <v>0</v>
      </c>
      <c r="J615" s="68">
        <v>0</v>
      </c>
      <c r="K615" s="68">
        <v>0</v>
      </c>
      <c r="L615" s="68">
        <v>0</v>
      </c>
      <c r="M615" s="68">
        <v>0</v>
      </c>
      <c r="N615" s="68">
        <v>0</v>
      </c>
      <c r="O615" s="68">
        <v>0</v>
      </c>
      <c r="P615" s="68">
        <v>0</v>
      </c>
      <c r="Q615" s="68">
        <v>0</v>
      </c>
      <c r="R615" s="69" t="s">
        <v>3470</v>
      </c>
      <c r="S615" s="69" t="s">
        <v>3489</v>
      </c>
      <c r="T615" s="70" t="s">
        <v>3497</v>
      </c>
      <c r="U615" s="452"/>
      <c r="V615" s="453" t="str">
        <f>IF(VLOOKUP($A615,'GeneratingCapabilityList sorted'!$E$9:$O$801,8,FALSE)&lt;&gt;"",VLOOKUP($A615,'GeneratingCapabilityList sorted'!$E$9:$O$801,8,FALSE),"NoneListed")</f>
        <v>WIND</v>
      </c>
      <c r="W615" s="454">
        <f>IF($AB615,$AB615,IF($AA615,$AA615,Scenarios!$B$43))</f>
        <v>30317</v>
      </c>
      <c r="X615" s="454"/>
      <c r="Y615" s="454"/>
      <c r="Z615" s="454"/>
      <c r="AA615" s="454">
        <f>IFERROR(VLOOKUP($A615,'GeneratingCapabilityList sorted'!$E$9:$O$801,11,FALSE),Scenarios!$B$43)</f>
        <v>30317</v>
      </c>
      <c r="AB615" s="453"/>
      <c r="AC615" s="453"/>
      <c r="AD615" s="71"/>
      <c r="AE615" s="71"/>
      <c r="AF615" s="71"/>
      <c r="AG615" s="71"/>
      <c r="AH615" s="71"/>
      <c r="AI615" s="71"/>
      <c r="AJ615" s="71"/>
      <c r="AK615" s="71"/>
      <c r="AL615" s="71"/>
      <c r="AM615" s="71"/>
      <c r="AN615" s="71"/>
      <c r="AO615" s="71"/>
      <c r="AP615" s="71"/>
      <c r="AQ615" s="71"/>
      <c r="AR615" s="71"/>
      <c r="AS615" s="71"/>
      <c r="AT615" s="71"/>
      <c r="AU615" s="71"/>
      <c r="AV615" s="71"/>
      <c r="AW615" s="71"/>
      <c r="AX615" s="71"/>
      <c r="AY615" s="71"/>
      <c r="AZ615" s="71"/>
      <c r="BA615" s="71"/>
      <c r="BB615" s="71"/>
      <c r="BC615" s="71"/>
      <c r="BD615" s="71"/>
      <c r="BE615" s="71"/>
      <c r="BF615" s="71"/>
      <c r="BG615" s="71"/>
      <c r="BH615" s="71"/>
      <c r="BI615" s="71"/>
      <c r="BJ615" s="71"/>
      <c r="BK615" s="71"/>
      <c r="BL615" s="71"/>
      <c r="BM615" s="71"/>
      <c r="BN615" s="71"/>
      <c r="BO615" s="71"/>
      <c r="BP615" s="71"/>
      <c r="BQ615" s="71"/>
      <c r="BR615" s="71"/>
      <c r="BS615" s="71"/>
      <c r="BT615" s="71"/>
      <c r="BU615" s="71"/>
      <c r="BV615" s="71"/>
      <c r="BW615" s="71"/>
      <c r="BX615" s="71"/>
      <c r="BY615" s="71"/>
      <c r="BZ615" s="71"/>
      <c r="CA615" s="71"/>
      <c r="CB615" s="71"/>
      <c r="CC615" s="71"/>
      <c r="CD615" s="71"/>
      <c r="CE615" s="71"/>
      <c r="CF615" s="71"/>
      <c r="CG615" s="71"/>
      <c r="CH615" s="71"/>
      <c r="CI615" s="71"/>
      <c r="CJ615" s="71"/>
      <c r="CK615" s="71"/>
      <c r="CL615" s="71"/>
      <c r="CM615" s="71"/>
      <c r="CN615" s="71"/>
      <c r="CO615" s="71"/>
      <c r="CP615" s="71"/>
      <c r="CQ615" s="71"/>
      <c r="CR615" s="71"/>
      <c r="CS615" s="71"/>
      <c r="CT615" s="71"/>
      <c r="CU615" s="71"/>
      <c r="CV615" s="71"/>
      <c r="CW615" s="71"/>
      <c r="CX615" s="71"/>
      <c r="CY615" s="71"/>
      <c r="CZ615" s="71"/>
      <c r="DA615" s="71"/>
      <c r="DB615" s="71"/>
      <c r="DC615" s="71"/>
      <c r="DD615" s="71"/>
      <c r="DE615" s="71"/>
      <c r="DF615" s="71"/>
      <c r="DG615" s="71"/>
      <c r="DH615" s="71"/>
      <c r="DI615" s="71"/>
      <c r="DJ615" s="71"/>
      <c r="DK615" s="71"/>
      <c r="DL615" s="71"/>
      <c r="DM615" s="71"/>
      <c r="DN615" s="71"/>
      <c r="DO615" s="71"/>
      <c r="DP615" s="71"/>
      <c r="DQ615" s="71"/>
      <c r="DR615" s="71"/>
      <c r="DS615" s="71"/>
      <c r="DT615" s="71"/>
      <c r="DU615" s="71"/>
      <c r="DV615" s="71"/>
      <c r="DW615" s="71"/>
      <c r="DX615" s="71"/>
      <c r="DY615" s="71"/>
      <c r="DZ615" s="71"/>
      <c r="EA615" s="71"/>
      <c r="EB615" s="71"/>
      <c r="EC615" s="71"/>
      <c r="ED615" s="71"/>
      <c r="EE615" s="71"/>
      <c r="EF615" s="71"/>
      <c r="EG615" s="71"/>
      <c r="EH615" s="71"/>
      <c r="EI615" s="71"/>
      <c r="EJ615" s="71"/>
      <c r="EK615" s="71"/>
      <c r="EL615" s="71"/>
      <c r="EM615" s="71"/>
      <c r="EN615" s="71"/>
      <c r="EO615" s="71"/>
      <c r="EP615" s="71"/>
      <c r="EQ615" s="71"/>
      <c r="ER615" s="71"/>
      <c r="ES615" s="71"/>
      <c r="ET615" s="71"/>
      <c r="EU615" s="71"/>
      <c r="EV615" s="71"/>
      <c r="EW615" s="71"/>
      <c r="EX615" s="71"/>
      <c r="EY615" s="71"/>
      <c r="EZ615" s="71"/>
      <c r="FA615" s="71"/>
      <c r="FB615" s="71"/>
      <c r="FC615" s="71"/>
      <c r="FD615" s="71"/>
      <c r="FE615" s="71"/>
      <c r="FF615" s="71"/>
      <c r="FG615" s="71"/>
      <c r="FH615" s="71"/>
      <c r="FI615" s="71"/>
      <c r="FJ615" s="71"/>
      <c r="FK615" s="71"/>
      <c r="FL615" s="71"/>
      <c r="FM615" s="71"/>
      <c r="FN615" s="71"/>
      <c r="FO615" s="71"/>
      <c r="FP615" s="71"/>
      <c r="FQ615" s="71"/>
      <c r="FR615" s="71"/>
      <c r="FS615" s="71"/>
      <c r="FT615" s="71"/>
      <c r="FU615" s="71"/>
      <c r="FV615" s="71"/>
      <c r="FW615" s="71"/>
      <c r="FX615" s="71"/>
      <c r="FY615" s="71"/>
      <c r="FZ615" s="71"/>
      <c r="GA615" s="71"/>
      <c r="GB615" s="71"/>
      <c r="GC615" s="71"/>
      <c r="GD615" s="71"/>
      <c r="GE615" s="71"/>
      <c r="GF615" s="71"/>
      <c r="GG615" s="71"/>
      <c r="GH615" s="71"/>
      <c r="GI615" s="71"/>
      <c r="GJ615" s="71"/>
      <c r="GK615" s="71"/>
      <c r="GL615" s="71"/>
      <c r="GM615" s="71"/>
      <c r="GN615" s="71"/>
      <c r="GO615" s="71"/>
      <c r="GP615" s="71"/>
      <c r="GQ615" s="71"/>
      <c r="GR615" s="71"/>
      <c r="GS615" s="71"/>
      <c r="GT615" s="71"/>
      <c r="GU615" s="71"/>
      <c r="GV615" s="71"/>
      <c r="GW615" s="71"/>
      <c r="GX615" s="71"/>
      <c r="GY615" s="71"/>
      <c r="GZ615" s="71"/>
      <c r="HA615" s="71"/>
      <c r="HB615" s="71"/>
      <c r="HC615" s="71"/>
      <c r="HD615" s="71"/>
      <c r="HE615" s="71"/>
      <c r="HF615" s="71"/>
      <c r="HG615" s="71"/>
      <c r="HH615" s="71"/>
      <c r="HI615" s="71"/>
      <c r="HJ615" s="71"/>
      <c r="HK615" s="71"/>
      <c r="HL615" s="71"/>
      <c r="HM615" s="71"/>
      <c r="HN615" s="71"/>
      <c r="HO615" s="71"/>
      <c r="HP615" s="71"/>
      <c r="HQ615" s="71"/>
      <c r="HR615" s="71"/>
      <c r="HS615" s="71"/>
      <c r="HT615" s="71"/>
      <c r="HU615" s="71"/>
      <c r="HV615" s="71"/>
      <c r="HW615" s="71"/>
      <c r="HX615" s="71"/>
      <c r="HY615" s="71"/>
      <c r="HZ615" s="71"/>
      <c r="IA615" s="71"/>
      <c r="IB615" s="71"/>
      <c r="IC615" s="71"/>
      <c r="ID615" s="71"/>
      <c r="IE615" s="71"/>
      <c r="IF615" s="71"/>
      <c r="IG615" s="71"/>
      <c r="IH615" s="71"/>
      <c r="II615" s="71"/>
      <c r="IJ615" s="71"/>
      <c r="IK615" s="71"/>
      <c r="IL615" s="71"/>
      <c r="IM615" s="71"/>
      <c r="IN615" s="71"/>
      <c r="IO615" s="71"/>
      <c r="IP615" s="71"/>
      <c r="IQ615" s="71"/>
      <c r="IR615" s="71"/>
      <c r="IS615" s="71"/>
      <c r="IT615" s="71"/>
      <c r="IU615" s="71"/>
      <c r="IV615" s="71"/>
      <c r="IW615" s="71"/>
      <c r="IX615" s="71"/>
      <c r="IY615" s="71"/>
      <c r="IZ615" s="71"/>
      <c r="JA615" s="71"/>
    </row>
    <row r="616" spans="1:261" s="92" customFormat="1" x14ac:dyDescent="0.25">
      <c r="A616" s="77" t="s">
        <v>2964</v>
      </c>
      <c r="B616" s="65" t="s">
        <v>2965</v>
      </c>
      <c r="C616" s="66" t="s">
        <v>3468</v>
      </c>
      <c r="D616" s="66" t="s">
        <v>3488</v>
      </c>
      <c r="E616" s="67">
        <v>0</v>
      </c>
      <c r="F616" s="68">
        <v>0.09</v>
      </c>
      <c r="G616" s="68">
        <v>0.13</v>
      </c>
      <c r="H616" s="68">
        <v>0.37</v>
      </c>
      <c r="I616" s="68">
        <v>0.76</v>
      </c>
      <c r="J616" s="68">
        <v>0.93</v>
      </c>
      <c r="K616" s="68">
        <v>1.1200000000000001</v>
      </c>
      <c r="L616" s="68">
        <v>1.06</v>
      </c>
      <c r="M616" s="68">
        <v>0.94</v>
      </c>
      <c r="N616" s="68">
        <v>0.69</v>
      </c>
      <c r="O616" s="68">
        <v>0.4</v>
      </c>
      <c r="P616" s="68">
        <v>0.06</v>
      </c>
      <c r="Q616" s="68">
        <v>0.04</v>
      </c>
      <c r="R616" s="69" t="s">
        <v>3470</v>
      </c>
      <c r="S616" s="69" t="s">
        <v>3489</v>
      </c>
      <c r="T616" s="70" t="s">
        <v>3522</v>
      </c>
      <c r="U616" s="452"/>
      <c r="V616" s="453" t="str">
        <f>IF(VLOOKUP($A616,'GeneratingCapabilityList sorted'!$E$9:$O$801,8,FALSE)&lt;&gt;"",VLOOKUP($A616,'GeneratingCapabilityList sorted'!$E$9:$O$801,8,FALSE),"NoneListed")</f>
        <v>SUN</v>
      </c>
      <c r="W616" s="454">
        <f>IF($AB616,$AB616,IF($AA616,$AA616,Scenarios!$B$43))</f>
        <v>40170</v>
      </c>
      <c r="X616" s="454"/>
      <c r="Y616" s="454"/>
      <c r="Z616" s="454"/>
      <c r="AA616" s="454">
        <f>IFERROR(VLOOKUP($A616,'GeneratingCapabilityList sorted'!$E$9:$O$801,11,FALSE),Scenarios!$B$43)</f>
        <v>40170</v>
      </c>
      <c r="AB616" s="453"/>
      <c r="AC616" s="453"/>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c r="BA616" s="71"/>
      <c r="BB616" s="71"/>
      <c r="BC616" s="71"/>
      <c r="BD616" s="71"/>
      <c r="BE616" s="71"/>
      <c r="BF616" s="71"/>
      <c r="BG616" s="71"/>
      <c r="BH616" s="71"/>
      <c r="BI616" s="71"/>
      <c r="BJ616" s="71"/>
      <c r="BK616" s="71"/>
      <c r="BL616" s="71"/>
      <c r="BM616" s="71"/>
      <c r="BN616" s="71"/>
      <c r="BO616" s="71"/>
      <c r="BP616" s="71"/>
      <c r="BQ616" s="71"/>
      <c r="BR616" s="71"/>
      <c r="BS616" s="71"/>
      <c r="BT616" s="71"/>
      <c r="BU616" s="71"/>
      <c r="BV616" s="71"/>
      <c r="BW616" s="71"/>
      <c r="BX616" s="71"/>
      <c r="BY616" s="71"/>
      <c r="BZ616" s="71"/>
      <c r="CA616" s="71"/>
      <c r="CB616" s="71"/>
      <c r="CC616" s="71"/>
      <c r="CD616" s="71"/>
      <c r="CE616" s="71"/>
      <c r="CF616" s="71"/>
      <c r="CG616" s="71"/>
      <c r="CH616" s="71"/>
      <c r="CI616" s="71"/>
      <c r="CJ616" s="71"/>
      <c r="CK616" s="71"/>
      <c r="CL616" s="71"/>
      <c r="CM616" s="71"/>
      <c r="CN616" s="71"/>
      <c r="CO616" s="71"/>
      <c r="CP616" s="71"/>
      <c r="CQ616" s="71"/>
      <c r="CR616" s="71"/>
      <c r="CS616" s="71"/>
      <c r="CT616" s="71"/>
      <c r="CU616" s="71"/>
      <c r="CV616" s="71"/>
      <c r="CW616" s="71"/>
      <c r="CX616" s="71"/>
      <c r="CY616" s="71"/>
      <c r="CZ616" s="71"/>
      <c r="DA616" s="71"/>
      <c r="DB616" s="71"/>
      <c r="DC616" s="71"/>
      <c r="DD616" s="71"/>
      <c r="DE616" s="71"/>
      <c r="DF616" s="71"/>
      <c r="DG616" s="71"/>
      <c r="DH616" s="71"/>
      <c r="DI616" s="71"/>
      <c r="DJ616" s="71"/>
      <c r="DK616" s="71"/>
      <c r="DL616" s="71"/>
      <c r="DM616" s="71"/>
      <c r="DN616" s="71"/>
      <c r="DO616" s="71"/>
      <c r="DP616" s="71"/>
      <c r="DQ616" s="71"/>
      <c r="DR616" s="71"/>
      <c r="DS616" s="71"/>
      <c r="DT616" s="71"/>
      <c r="DU616" s="71"/>
      <c r="DV616" s="71"/>
      <c r="DW616" s="71"/>
      <c r="DX616" s="71"/>
      <c r="DY616" s="71"/>
      <c r="DZ616" s="71"/>
      <c r="EA616" s="71"/>
      <c r="EB616" s="71"/>
      <c r="EC616" s="71"/>
      <c r="ED616" s="71"/>
      <c r="EE616" s="71"/>
      <c r="EF616" s="71"/>
      <c r="EG616" s="71"/>
      <c r="EH616" s="71"/>
      <c r="EI616" s="71"/>
      <c r="EJ616" s="71"/>
      <c r="EK616" s="71"/>
      <c r="EL616" s="71"/>
      <c r="EM616" s="71"/>
      <c r="EN616" s="71"/>
      <c r="EO616" s="71"/>
      <c r="EP616" s="71"/>
      <c r="EQ616" s="71"/>
      <c r="ER616" s="71"/>
      <c r="ES616" s="71"/>
      <c r="ET616" s="71"/>
      <c r="EU616" s="71"/>
      <c r="EV616" s="71"/>
      <c r="EW616" s="71"/>
      <c r="EX616" s="71"/>
      <c r="EY616" s="71"/>
      <c r="EZ616" s="71"/>
      <c r="FA616" s="71"/>
      <c r="FB616" s="71"/>
      <c r="FC616" s="71"/>
      <c r="FD616" s="71"/>
      <c r="FE616" s="71"/>
      <c r="FF616" s="71"/>
      <c r="FG616" s="71"/>
      <c r="FH616" s="71"/>
      <c r="FI616" s="71"/>
      <c r="FJ616" s="71"/>
      <c r="FK616" s="71"/>
      <c r="FL616" s="71"/>
      <c r="FM616" s="71"/>
      <c r="FN616" s="71"/>
      <c r="FO616" s="71"/>
      <c r="FP616" s="71"/>
      <c r="FQ616" s="71"/>
      <c r="FR616" s="71"/>
      <c r="FS616" s="71"/>
      <c r="FT616" s="71"/>
      <c r="FU616" s="71"/>
      <c r="FV616" s="71"/>
      <c r="FW616" s="71"/>
      <c r="FX616" s="71"/>
      <c r="FY616" s="71"/>
      <c r="FZ616" s="71"/>
      <c r="GA616" s="71"/>
      <c r="GB616" s="71"/>
      <c r="GC616" s="71"/>
      <c r="GD616" s="71"/>
      <c r="GE616" s="71"/>
      <c r="GF616" s="71"/>
      <c r="GG616" s="71"/>
      <c r="GH616" s="71"/>
      <c r="GI616" s="71"/>
      <c r="GJ616" s="71"/>
      <c r="GK616" s="71"/>
      <c r="GL616" s="71"/>
      <c r="GM616" s="71"/>
      <c r="GN616" s="71"/>
      <c r="GO616" s="71"/>
      <c r="GP616" s="71"/>
      <c r="GQ616" s="71"/>
      <c r="GR616" s="71"/>
      <c r="GS616" s="71"/>
      <c r="GT616" s="71"/>
      <c r="GU616" s="71"/>
      <c r="GV616" s="71"/>
      <c r="GW616" s="71"/>
      <c r="GX616" s="71"/>
      <c r="GY616" s="71"/>
      <c r="GZ616" s="71"/>
      <c r="HA616" s="71"/>
      <c r="HB616" s="71"/>
      <c r="HC616" s="71"/>
      <c r="HD616" s="71"/>
      <c r="HE616" s="71"/>
      <c r="HF616" s="71"/>
      <c r="HG616" s="71"/>
      <c r="HH616" s="71"/>
      <c r="HI616" s="71"/>
      <c r="HJ616" s="71"/>
      <c r="HK616" s="71"/>
      <c r="HL616" s="71"/>
      <c r="HM616" s="71"/>
      <c r="HN616" s="71"/>
      <c r="HO616" s="71"/>
      <c r="HP616" s="71"/>
      <c r="HQ616" s="71"/>
      <c r="HR616" s="71"/>
      <c r="HS616" s="71"/>
      <c r="HT616" s="71"/>
      <c r="HU616" s="71"/>
      <c r="HV616" s="71"/>
      <c r="HW616" s="71"/>
      <c r="HX616" s="71"/>
      <c r="HY616" s="71"/>
      <c r="HZ616" s="71"/>
      <c r="IA616" s="71"/>
      <c r="IB616" s="71"/>
      <c r="IC616" s="71"/>
      <c r="ID616" s="71"/>
      <c r="IE616" s="71"/>
      <c r="IF616" s="71"/>
      <c r="IG616" s="71"/>
      <c r="IH616" s="71"/>
      <c r="II616" s="71"/>
      <c r="IJ616" s="71"/>
      <c r="IK616" s="71"/>
      <c r="IL616" s="71"/>
      <c r="IM616" s="71"/>
      <c r="IN616" s="71"/>
      <c r="IO616" s="71"/>
      <c r="IP616" s="71"/>
      <c r="IQ616" s="71"/>
      <c r="IR616" s="71"/>
      <c r="IS616" s="71"/>
      <c r="IT616" s="71"/>
      <c r="IU616" s="71"/>
      <c r="IV616" s="71"/>
      <c r="IW616" s="71"/>
      <c r="IX616" s="71"/>
      <c r="IY616" s="71"/>
      <c r="IZ616" s="71"/>
      <c r="JA616" s="71"/>
    </row>
    <row r="617" spans="1:261" s="92" customFormat="1" x14ac:dyDescent="0.25">
      <c r="A617" s="65" t="s">
        <v>2563</v>
      </c>
      <c r="B617" s="65" t="s">
        <v>3959</v>
      </c>
      <c r="C617" s="66" t="s">
        <v>3468</v>
      </c>
      <c r="D617" s="66" t="s">
        <v>3488</v>
      </c>
      <c r="E617" s="67">
        <v>42.04</v>
      </c>
      <c r="F617" s="68">
        <v>0</v>
      </c>
      <c r="G617" s="68">
        <v>0</v>
      </c>
      <c r="H617" s="68">
        <v>0</v>
      </c>
      <c r="I617" s="68">
        <v>0</v>
      </c>
      <c r="J617" s="68">
        <v>0</v>
      </c>
      <c r="K617" s="68">
        <v>0</v>
      </c>
      <c r="L617" s="68">
        <v>0</v>
      </c>
      <c r="M617" s="68">
        <v>0</v>
      </c>
      <c r="N617" s="68">
        <v>0</v>
      </c>
      <c r="O617" s="68">
        <v>0</v>
      </c>
      <c r="P617" s="68">
        <v>0</v>
      </c>
      <c r="Q617" s="68">
        <v>0</v>
      </c>
      <c r="R617" s="69" t="s">
        <v>3470</v>
      </c>
      <c r="S617" s="69" t="s">
        <v>3471</v>
      </c>
      <c r="T617" s="70" t="s">
        <v>3472</v>
      </c>
      <c r="U617" s="452"/>
      <c r="V617" s="453" t="str">
        <f>IF(VLOOKUP($A617,'GeneratingCapabilityList sorted'!$E$9:$O$801,8,FALSE)&lt;&gt;"",VLOOKUP($A617,'GeneratingCapabilityList sorted'!$E$9:$O$801,8,FALSE),"NoneListed")</f>
        <v>NATURAL GAS</v>
      </c>
      <c r="W617" s="454">
        <f>IF($AB617,$AB617,IF($AA617,$AA617,Scenarios!$B$43))</f>
        <v>37428</v>
      </c>
      <c r="X617" s="454"/>
      <c r="Y617" s="454"/>
      <c r="Z617" s="454"/>
      <c r="AA617" s="454">
        <f>IFERROR(VLOOKUP($A617,'GeneratingCapabilityList sorted'!$E$9:$O$801,11,FALSE),Scenarios!$B$43)</f>
        <v>37428</v>
      </c>
      <c r="AB617" s="453"/>
      <c r="AC617" s="453"/>
      <c r="AD617" s="71"/>
      <c r="AE617" s="71"/>
      <c r="AF617" s="71"/>
      <c r="AG617" s="71"/>
      <c r="AH617" s="71"/>
      <c r="AI617" s="71"/>
      <c r="AJ617" s="71"/>
      <c r="AK617" s="71"/>
      <c r="AL617" s="71"/>
      <c r="AM617" s="71"/>
      <c r="AN617" s="71"/>
      <c r="AO617" s="71"/>
      <c r="AP617" s="71"/>
      <c r="AQ617" s="71"/>
      <c r="AR617" s="71"/>
      <c r="AS617" s="71"/>
      <c r="AT617" s="71"/>
      <c r="AU617" s="71"/>
      <c r="AV617" s="71"/>
      <c r="AW617" s="71"/>
      <c r="AX617" s="71"/>
      <c r="AY617" s="71"/>
      <c r="AZ617" s="71"/>
      <c r="BA617" s="71"/>
      <c r="BB617" s="71"/>
      <c r="BC617" s="71"/>
      <c r="BD617" s="71"/>
      <c r="BE617" s="71"/>
      <c r="BF617" s="71"/>
      <c r="BG617" s="71"/>
      <c r="BH617" s="71"/>
      <c r="BI617" s="71"/>
      <c r="BJ617" s="71"/>
      <c r="BK617" s="71"/>
      <c r="BL617" s="71"/>
      <c r="BM617" s="71"/>
      <c r="BN617" s="71"/>
      <c r="BO617" s="71"/>
      <c r="BP617" s="71"/>
      <c r="BQ617" s="71"/>
      <c r="BR617" s="71"/>
      <c r="BS617" s="71"/>
      <c r="BT617" s="71"/>
      <c r="BU617" s="71"/>
      <c r="BV617" s="71"/>
      <c r="BW617" s="71"/>
      <c r="BX617" s="71"/>
      <c r="BY617" s="71"/>
      <c r="BZ617" s="71"/>
      <c r="CA617" s="71"/>
      <c r="CB617" s="71"/>
      <c r="CC617" s="71"/>
      <c r="CD617" s="71"/>
      <c r="CE617" s="71"/>
      <c r="CF617" s="71"/>
      <c r="CG617" s="71"/>
      <c r="CH617" s="71"/>
      <c r="CI617" s="71"/>
      <c r="CJ617" s="71"/>
      <c r="CK617" s="71"/>
      <c r="CL617" s="71"/>
      <c r="CM617" s="71"/>
      <c r="CN617" s="71"/>
      <c r="CO617" s="71"/>
      <c r="CP617" s="71"/>
      <c r="CQ617" s="71"/>
      <c r="CR617" s="71"/>
      <c r="CS617" s="71"/>
      <c r="CT617" s="71"/>
      <c r="CU617" s="71"/>
      <c r="CV617" s="71"/>
      <c r="CW617" s="71"/>
      <c r="CX617" s="71"/>
      <c r="CY617" s="71"/>
      <c r="CZ617" s="71"/>
      <c r="DA617" s="71"/>
      <c r="DB617" s="71"/>
      <c r="DC617" s="71"/>
      <c r="DD617" s="71"/>
      <c r="DE617" s="71"/>
      <c r="DF617" s="71"/>
      <c r="DG617" s="71"/>
      <c r="DH617" s="71"/>
      <c r="DI617" s="71"/>
      <c r="DJ617" s="71"/>
      <c r="DK617" s="71"/>
      <c r="DL617" s="71"/>
      <c r="DM617" s="71"/>
      <c r="DN617" s="71"/>
      <c r="DO617" s="71"/>
      <c r="DP617" s="71"/>
      <c r="DQ617" s="71"/>
      <c r="DR617" s="71"/>
      <c r="DS617" s="71"/>
      <c r="DT617" s="71"/>
      <c r="DU617" s="71"/>
      <c r="DV617" s="71"/>
      <c r="DW617" s="71"/>
      <c r="DX617" s="71"/>
      <c r="DY617" s="71"/>
      <c r="DZ617" s="71"/>
      <c r="EA617" s="71"/>
      <c r="EB617" s="71"/>
      <c r="EC617" s="71"/>
      <c r="ED617" s="71"/>
      <c r="EE617" s="71"/>
      <c r="EF617" s="71"/>
      <c r="EG617" s="71"/>
      <c r="EH617" s="71"/>
      <c r="EI617" s="71"/>
      <c r="EJ617" s="71"/>
      <c r="EK617" s="71"/>
      <c r="EL617" s="71"/>
      <c r="EM617" s="71"/>
      <c r="EN617" s="71"/>
      <c r="EO617" s="71"/>
      <c r="EP617" s="71"/>
      <c r="EQ617" s="71"/>
      <c r="ER617" s="71"/>
      <c r="ES617" s="71"/>
      <c r="ET617" s="71"/>
      <c r="EU617" s="71"/>
      <c r="EV617" s="71"/>
      <c r="EW617" s="71"/>
      <c r="EX617" s="71"/>
      <c r="EY617" s="71"/>
      <c r="EZ617" s="71"/>
      <c r="FA617" s="71"/>
      <c r="FB617" s="71"/>
      <c r="FC617" s="71"/>
      <c r="FD617" s="71"/>
      <c r="FE617" s="71"/>
      <c r="FF617" s="71"/>
      <c r="FG617" s="71"/>
      <c r="FH617" s="71"/>
      <c r="FI617" s="71"/>
      <c r="FJ617" s="71"/>
      <c r="FK617" s="71"/>
      <c r="FL617" s="71"/>
      <c r="FM617" s="71"/>
      <c r="FN617" s="71"/>
      <c r="FO617" s="71"/>
      <c r="FP617" s="71"/>
      <c r="FQ617" s="71"/>
      <c r="FR617" s="71"/>
      <c r="FS617" s="71"/>
      <c r="FT617" s="71"/>
      <c r="FU617" s="71"/>
      <c r="FV617" s="71"/>
      <c r="FW617" s="71"/>
      <c r="FX617" s="71"/>
      <c r="FY617" s="71"/>
      <c r="FZ617" s="71"/>
      <c r="GA617" s="71"/>
      <c r="GB617" s="71"/>
      <c r="GC617" s="71"/>
      <c r="GD617" s="71"/>
      <c r="GE617" s="71"/>
      <c r="GF617" s="71"/>
      <c r="GG617" s="71"/>
      <c r="GH617" s="71"/>
      <c r="GI617" s="71"/>
      <c r="GJ617" s="71"/>
      <c r="GK617" s="71"/>
      <c r="GL617" s="71"/>
      <c r="GM617" s="71"/>
      <c r="GN617" s="71"/>
      <c r="GO617" s="71"/>
      <c r="GP617" s="71"/>
      <c r="GQ617" s="71"/>
      <c r="GR617" s="71"/>
      <c r="GS617" s="71"/>
      <c r="GT617" s="71"/>
      <c r="GU617" s="71"/>
      <c r="GV617" s="71"/>
      <c r="GW617" s="71"/>
      <c r="GX617" s="71"/>
      <c r="GY617" s="71"/>
      <c r="GZ617" s="71"/>
      <c r="HA617" s="71"/>
      <c r="HB617" s="71"/>
      <c r="HC617" s="71"/>
      <c r="HD617" s="71"/>
      <c r="HE617" s="71"/>
      <c r="HF617" s="71"/>
      <c r="HG617" s="71"/>
      <c r="HH617" s="71"/>
      <c r="HI617" s="71"/>
      <c r="HJ617" s="71"/>
      <c r="HK617" s="71"/>
      <c r="HL617" s="71"/>
      <c r="HM617" s="71"/>
      <c r="HN617" s="71"/>
      <c r="HO617" s="71"/>
      <c r="HP617" s="71"/>
      <c r="HQ617" s="71"/>
      <c r="HR617" s="71"/>
      <c r="HS617" s="71"/>
      <c r="HT617" s="71"/>
      <c r="HU617" s="71"/>
      <c r="HV617" s="71"/>
      <c r="HW617" s="71"/>
      <c r="HX617" s="71"/>
      <c r="HY617" s="71"/>
      <c r="HZ617" s="71"/>
      <c r="IA617" s="71"/>
      <c r="IB617" s="71"/>
      <c r="IC617" s="71"/>
      <c r="ID617" s="71"/>
      <c r="IE617" s="71"/>
      <c r="IF617" s="71"/>
      <c r="IG617" s="71"/>
      <c r="IH617" s="71"/>
      <c r="II617" s="71"/>
      <c r="IJ617" s="71"/>
      <c r="IK617" s="71"/>
      <c r="IL617" s="71"/>
      <c r="IM617" s="71"/>
      <c r="IN617" s="71"/>
      <c r="IO617" s="71"/>
      <c r="IP617" s="71"/>
      <c r="IQ617" s="71"/>
      <c r="IR617" s="71"/>
      <c r="IS617" s="71"/>
      <c r="IT617" s="71"/>
      <c r="IU617" s="71"/>
      <c r="IV617" s="71"/>
      <c r="IW617" s="71"/>
      <c r="IX617" s="71"/>
      <c r="IY617" s="71"/>
      <c r="IZ617" s="71"/>
      <c r="JA617" s="71"/>
    </row>
    <row r="618" spans="1:261" s="92" customFormat="1" x14ac:dyDescent="0.25">
      <c r="A618" s="65" t="s">
        <v>886</v>
      </c>
      <c r="B618" s="65" t="s">
        <v>887</v>
      </c>
      <c r="C618" s="66" t="s">
        <v>3477</v>
      </c>
      <c r="D618" s="66" t="s">
        <v>3387</v>
      </c>
      <c r="E618" s="67">
        <v>7.94</v>
      </c>
      <c r="F618" s="68">
        <v>0</v>
      </c>
      <c r="G618" s="68">
        <v>0</v>
      </c>
      <c r="H618" s="68">
        <v>0</v>
      </c>
      <c r="I618" s="68">
        <v>0</v>
      </c>
      <c r="J618" s="68">
        <v>0</v>
      </c>
      <c r="K618" s="68">
        <v>0</v>
      </c>
      <c r="L618" s="68">
        <v>0</v>
      </c>
      <c r="M618" s="68">
        <v>0</v>
      </c>
      <c r="N618" s="68">
        <v>0</v>
      </c>
      <c r="O618" s="68">
        <v>0</v>
      </c>
      <c r="P618" s="68">
        <v>0</v>
      </c>
      <c r="Q618" s="68">
        <v>0</v>
      </c>
      <c r="R618" s="69" t="s">
        <v>3470</v>
      </c>
      <c r="S618" s="69" t="s">
        <v>3491</v>
      </c>
      <c r="T618" s="70" t="s">
        <v>3484</v>
      </c>
      <c r="U618" s="452"/>
      <c r="V618" s="453" t="str">
        <f>IF(VLOOKUP($A618,'GeneratingCapabilityList sorted'!$E$9:$O$801,8,FALSE)&lt;&gt;"",VLOOKUP($A618,'GeneratingCapabilityList sorted'!$E$9:$O$801,8,FALSE),"NoneListed")</f>
        <v>WATER</v>
      </c>
      <c r="W618" s="454">
        <f>IF($AB618,$AB618,IF($AA618,$AA618,Scenarios!$B$43))</f>
        <v>30317</v>
      </c>
      <c r="X618" s="454"/>
      <c r="Y618" s="454"/>
      <c r="Z618" s="454"/>
      <c r="AA618" s="454">
        <f>IFERROR(VLOOKUP($A618,'GeneratingCapabilityList sorted'!$E$9:$O$801,11,FALSE),Scenarios!$B$43)</f>
        <v>30317</v>
      </c>
      <c r="AB618" s="453"/>
      <c r="AC618" s="453"/>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c r="BA618" s="71"/>
      <c r="BB618" s="71"/>
      <c r="BC618" s="71"/>
      <c r="BD618" s="71"/>
      <c r="BE618" s="71"/>
      <c r="BF618" s="71"/>
      <c r="BG618" s="71"/>
      <c r="BH618" s="71"/>
      <c r="BI618" s="71"/>
      <c r="BJ618" s="71"/>
      <c r="BK618" s="71"/>
      <c r="BL618" s="71"/>
      <c r="BM618" s="71"/>
      <c r="BN618" s="71"/>
      <c r="BO618" s="71"/>
      <c r="BP618" s="71"/>
      <c r="BQ618" s="71"/>
      <c r="BR618" s="71"/>
      <c r="BS618" s="71"/>
      <c r="BT618" s="71"/>
      <c r="BU618" s="71"/>
      <c r="BV618" s="71"/>
      <c r="BW618" s="71"/>
      <c r="BX618" s="71"/>
      <c r="BY618" s="71"/>
      <c r="BZ618" s="71"/>
      <c r="CA618" s="71"/>
      <c r="CB618" s="71"/>
      <c r="CC618" s="71"/>
      <c r="CD618" s="71"/>
      <c r="CE618" s="71"/>
      <c r="CF618" s="71"/>
      <c r="CG618" s="71"/>
      <c r="CH618" s="71"/>
      <c r="CI618" s="71"/>
      <c r="CJ618" s="71"/>
      <c r="CK618" s="71"/>
      <c r="CL618" s="71"/>
      <c r="CM618" s="71"/>
      <c r="CN618" s="71"/>
      <c r="CO618" s="71"/>
      <c r="CP618" s="71"/>
      <c r="CQ618" s="71"/>
      <c r="CR618" s="71"/>
      <c r="CS618" s="71"/>
      <c r="CT618" s="71"/>
      <c r="CU618" s="71"/>
      <c r="CV618" s="71"/>
      <c r="CW618" s="71"/>
      <c r="CX618" s="71"/>
      <c r="CY618" s="71"/>
      <c r="CZ618" s="71"/>
      <c r="DA618" s="71"/>
      <c r="DB618" s="71"/>
      <c r="DC618" s="71"/>
      <c r="DD618" s="71"/>
      <c r="DE618" s="71"/>
      <c r="DF618" s="71"/>
      <c r="DG618" s="71"/>
      <c r="DH618" s="71"/>
      <c r="DI618" s="71"/>
      <c r="DJ618" s="71"/>
      <c r="DK618" s="71"/>
      <c r="DL618" s="71"/>
      <c r="DM618" s="71"/>
      <c r="DN618" s="71"/>
      <c r="DO618" s="71"/>
      <c r="DP618" s="71"/>
      <c r="DQ618" s="71"/>
      <c r="DR618" s="71"/>
      <c r="DS618" s="71"/>
      <c r="DT618" s="71"/>
      <c r="DU618" s="71"/>
      <c r="DV618" s="71"/>
      <c r="DW618" s="71"/>
      <c r="DX618" s="71"/>
      <c r="DY618" s="71"/>
      <c r="DZ618" s="71"/>
      <c r="EA618" s="71"/>
      <c r="EB618" s="71"/>
      <c r="EC618" s="71"/>
      <c r="ED618" s="71"/>
      <c r="EE618" s="71"/>
      <c r="EF618" s="71"/>
      <c r="EG618" s="71"/>
      <c r="EH618" s="71"/>
      <c r="EI618" s="71"/>
      <c r="EJ618" s="71"/>
      <c r="EK618" s="71"/>
      <c r="EL618" s="71"/>
      <c r="EM618" s="71"/>
      <c r="EN618" s="71"/>
      <c r="EO618" s="71"/>
      <c r="EP618" s="71"/>
      <c r="EQ618" s="71"/>
      <c r="ER618" s="71"/>
      <c r="ES618" s="71"/>
      <c r="ET618" s="71"/>
      <c r="EU618" s="71"/>
      <c r="EV618" s="71"/>
      <c r="EW618" s="71"/>
      <c r="EX618" s="71"/>
      <c r="EY618" s="71"/>
      <c r="EZ618" s="71"/>
      <c r="FA618" s="71"/>
      <c r="FB618" s="71"/>
      <c r="FC618" s="71"/>
      <c r="FD618" s="71"/>
      <c r="FE618" s="71"/>
      <c r="FF618" s="71"/>
      <c r="FG618" s="71"/>
      <c r="FH618" s="71"/>
      <c r="FI618" s="71"/>
      <c r="FJ618" s="71"/>
      <c r="FK618" s="71"/>
      <c r="FL618" s="71"/>
      <c r="FM618" s="71"/>
      <c r="FN618" s="71"/>
      <c r="FO618" s="71"/>
      <c r="FP618" s="71"/>
      <c r="FQ618" s="71"/>
      <c r="FR618" s="71"/>
      <c r="FS618" s="71"/>
      <c r="FT618" s="71"/>
      <c r="FU618" s="71"/>
      <c r="FV618" s="71"/>
      <c r="FW618" s="71"/>
      <c r="FX618" s="71"/>
      <c r="FY618" s="71"/>
      <c r="FZ618" s="71"/>
      <c r="GA618" s="71"/>
      <c r="GB618" s="71"/>
      <c r="GC618" s="71"/>
      <c r="GD618" s="71"/>
      <c r="GE618" s="71"/>
      <c r="GF618" s="71"/>
      <c r="GG618" s="71"/>
      <c r="GH618" s="71"/>
      <c r="GI618" s="71"/>
      <c r="GJ618" s="71"/>
      <c r="GK618" s="71"/>
      <c r="GL618" s="71"/>
      <c r="GM618" s="71"/>
      <c r="GN618" s="71"/>
      <c r="GO618" s="71"/>
      <c r="GP618" s="71"/>
      <c r="GQ618" s="71"/>
      <c r="GR618" s="71"/>
      <c r="GS618" s="71"/>
      <c r="GT618" s="71"/>
      <c r="GU618" s="71"/>
      <c r="GV618" s="71"/>
      <c r="GW618" s="71"/>
      <c r="GX618" s="71"/>
      <c r="GY618" s="71"/>
      <c r="GZ618" s="71"/>
      <c r="HA618" s="71"/>
      <c r="HB618" s="71"/>
      <c r="HC618" s="71"/>
      <c r="HD618" s="71"/>
      <c r="HE618" s="71"/>
      <c r="HF618" s="71"/>
      <c r="HG618" s="71"/>
      <c r="HH618" s="71"/>
      <c r="HI618" s="71"/>
      <c r="HJ618" s="71"/>
      <c r="HK618" s="71"/>
      <c r="HL618" s="71"/>
      <c r="HM618" s="71"/>
      <c r="HN618" s="71"/>
      <c r="HO618" s="71"/>
      <c r="HP618" s="71"/>
      <c r="HQ618" s="71"/>
      <c r="HR618" s="71"/>
      <c r="HS618" s="71"/>
      <c r="HT618" s="71"/>
      <c r="HU618" s="71"/>
      <c r="HV618" s="71"/>
      <c r="HW618" s="71"/>
      <c r="HX618" s="71"/>
      <c r="HY618" s="71"/>
      <c r="HZ618" s="71"/>
      <c r="IA618" s="71"/>
      <c r="IB618" s="71"/>
      <c r="IC618" s="71"/>
      <c r="ID618" s="71"/>
      <c r="IE618" s="71"/>
      <c r="IF618" s="71"/>
      <c r="IG618" s="71"/>
      <c r="IH618" s="71"/>
      <c r="II618" s="71"/>
      <c r="IJ618" s="71"/>
      <c r="IK618" s="71"/>
      <c r="IL618" s="71"/>
      <c r="IM618" s="71"/>
      <c r="IN618" s="71"/>
      <c r="IO618" s="71"/>
      <c r="IP618" s="71"/>
      <c r="IQ618" s="71"/>
      <c r="IR618" s="71"/>
      <c r="IS618" s="71"/>
      <c r="IT618" s="71"/>
      <c r="IU618" s="71"/>
      <c r="IV618" s="71"/>
      <c r="IW618" s="71"/>
      <c r="IX618" s="71"/>
      <c r="IY618" s="71"/>
      <c r="IZ618" s="71"/>
      <c r="JA618" s="71"/>
    </row>
    <row r="619" spans="1:261" s="92" customFormat="1" x14ac:dyDescent="0.25">
      <c r="A619" s="65" t="s">
        <v>1171</v>
      </c>
      <c r="B619" s="65" t="s">
        <v>3960</v>
      </c>
      <c r="C619" s="66" t="s">
        <v>3477</v>
      </c>
      <c r="D619" s="66" t="s">
        <v>3387</v>
      </c>
      <c r="E619" s="67">
        <v>0</v>
      </c>
      <c r="F619" s="68">
        <v>2.75</v>
      </c>
      <c r="G619" s="68">
        <v>4.1100000000000003</v>
      </c>
      <c r="H619" s="68">
        <v>3.92</v>
      </c>
      <c r="I619" s="68">
        <v>3.12</v>
      </c>
      <c r="J619" s="68">
        <v>1.55</v>
      </c>
      <c r="K619" s="68">
        <v>1.69</v>
      </c>
      <c r="L619" s="68">
        <v>1.72</v>
      </c>
      <c r="M619" s="68">
        <v>2</v>
      </c>
      <c r="N619" s="68">
        <v>2.69</v>
      </c>
      <c r="O619" s="68">
        <v>3.21</v>
      </c>
      <c r="P619" s="68">
        <v>2.0099999999999998</v>
      </c>
      <c r="Q619" s="68">
        <v>3.83</v>
      </c>
      <c r="R619" s="69" t="s">
        <v>3470</v>
      </c>
      <c r="S619" s="69" t="s">
        <v>3489</v>
      </c>
      <c r="T619" s="70" t="s">
        <v>3502</v>
      </c>
      <c r="U619" s="452"/>
      <c r="V619" s="453" t="str">
        <f>IF(VLOOKUP($A619,'GeneratingCapabilityList sorted'!$E$9:$O$801,8,FALSE)&lt;&gt;"",VLOOKUP($A619,'GeneratingCapabilityList sorted'!$E$9:$O$801,8,FALSE),"NoneListed")</f>
        <v>WATER</v>
      </c>
      <c r="W619" s="454">
        <f>IF($AB619,$AB619,IF($AA619,$AA619,Scenarios!$B$43))</f>
        <v>31048</v>
      </c>
      <c r="X619" s="454"/>
      <c r="Y619" s="454"/>
      <c r="Z619" s="454"/>
      <c r="AA619" s="454">
        <f>IFERROR(VLOOKUP($A619,'GeneratingCapabilityList sorted'!$E$9:$O$801,11,FALSE),Scenarios!$B$43)</f>
        <v>31048</v>
      </c>
      <c r="AB619" s="453"/>
      <c r="AC619" s="453"/>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c r="BV619" s="71"/>
      <c r="BW619" s="71"/>
      <c r="BX619" s="71"/>
      <c r="BY619" s="71"/>
      <c r="BZ619" s="71"/>
      <c r="CA619" s="71"/>
      <c r="CB619" s="71"/>
      <c r="CC619" s="71"/>
      <c r="CD619" s="71"/>
      <c r="CE619" s="71"/>
      <c r="CF619" s="71"/>
      <c r="CG619" s="71"/>
      <c r="CH619" s="71"/>
      <c r="CI619" s="71"/>
      <c r="CJ619" s="71"/>
      <c r="CK619" s="71"/>
      <c r="CL619" s="71"/>
      <c r="CM619" s="71"/>
      <c r="CN619" s="71"/>
      <c r="CO619" s="71"/>
      <c r="CP619" s="71"/>
      <c r="CQ619" s="71"/>
      <c r="CR619" s="71"/>
      <c r="CS619" s="71"/>
      <c r="CT619" s="71"/>
      <c r="CU619" s="71"/>
      <c r="CV619" s="71"/>
      <c r="CW619" s="71"/>
      <c r="CX619" s="71"/>
      <c r="CY619" s="71"/>
      <c r="CZ619" s="71"/>
      <c r="DA619" s="71"/>
      <c r="DB619" s="71"/>
      <c r="DC619" s="71"/>
      <c r="DD619" s="71"/>
      <c r="DE619" s="71"/>
      <c r="DF619" s="71"/>
      <c r="DG619" s="71"/>
      <c r="DH619" s="71"/>
      <c r="DI619" s="71"/>
      <c r="DJ619" s="71"/>
      <c r="DK619" s="71"/>
      <c r="DL619" s="71"/>
      <c r="DM619" s="71"/>
      <c r="DN619" s="71"/>
      <c r="DO619" s="71"/>
      <c r="DP619" s="71"/>
      <c r="DQ619" s="71"/>
      <c r="DR619" s="71"/>
      <c r="DS619" s="71"/>
      <c r="DT619" s="71"/>
      <c r="DU619" s="71"/>
      <c r="DV619" s="71"/>
      <c r="DW619" s="71"/>
      <c r="DX619" s="71"/>
      <c r="DY619" s="71"/>
      <c r="DZ619" s="71"/>
      <c r="EA619" s="71"/>
      <c r="EB619" s="71"/>
      <c r="EC619" s="71"/>
      <c r="ED619" s="71"/>
      <c r="EE619" s="71"/>
      <c r="EF619" s="71"/>
      <c r="EG619" s="71"/>
      <c r="EH619" s="71"/>
      <c r="EI619" s="71"/>
      <c r="EJ619" s="71"/>
      <c r="EK619" s="71"/>
      <c r="EL619" s="71"/>
      <c r="EM619" s="71"/>
      <c r="EN619" s="71"/>
      <c r="EO619" s="71"/>
      <c r="EP619" s="71"/>
      <c r="EQ619" s="71"/>
      <c r="ER619" s="71"/>
      <c r="ES619" s="71"/>
      <c r="ET619" s="71"/>
      <c r="EU619" s="71"/>
      <c r="EV619" s="71"/>
      <c r="EW619" s="71"/>
      <c r="EX619" s="71"/>
      <c r="EY619" s="71"/>
      <c r="EZ619" s="71"/>
      <c r="FA619" s="71"/>
      <c r="FB619" s="71"/>
      <c r="FC619" s="71"/>
      <c r="FD619" s="71"/>
      <c r="FE619" s="71"/>
      <c r="FF619" s="71"/>
      <c r="FG619" s="71"/>
      <c r="FH619" s="71"/>
      <c r="FI619" s="71"/>
      <c r="FJ619" s="71"/>
      <c r="FK619" s="71"/>
      <c r="FL619" s="71"/>
      <c r="FM619" s="71"/>
      <c r="FN619" s="71"/>
      <c r="FO619" s="71"/>
      <c r="FP619" s="71"/>
      <c r="FQ619" s="71"/>
      <c r="FR619" s="71"/>
      <c r="FS619" s="71"/>
      <c r="FT619" s="71"/>
      <c r="FU619" s="71"/>
      <c r="FV619" s="71"/>
      <c r="FW619" s="71"/>
      <c r="FX619" s="71"/>
      <c r="FY619" s="71"/>
      <c r="FZ619" s="71"/>
      <c r="GA619" s="71"/>
      <c r="GB619" s="71"/>
      <c r="GC619" s="71"/>
      <c r="GD619" s="71"/>
      <c r="GE619" s="71"/>
      <c r="GF619" s="71"/>
      <c r="GG619" s="71"/>
      <c r="GH619" s="71"/>
      <c r="GI619" s="71"/>
      <c r="GJ619" s="71"/>
      <c r="GK619" s="71"/>
      <c r="GL619" s="71"/>
      <c r="GM619" s="71"/>
      <c r="GN619" s="71"/>
      <c r="GO619" s="71"/>
      <c r="GP619" s="71"/>
      <c r="GQ619" s="71"/>
      <c r="GR619" s="71"/>
      <c r="GS619" s="71"/>
      <c r="GT619" s="71"/>
      <c r="GU619" s="71"/>
      <c r="GV619" s="71"/>
      <c r="GW619" s="71"/>
      <c r="GX619" s="71"/>
      <c r="GY619" s="71"/>
      <c r="GZ619" s="71"/>
      <c r="HA619" s="71"/>
      <c r="HB619" s="71"/>
      <c r="HC619" s="71"/>
      <c r="HD619" s="71"/>
      <c r="HE619" s="71"/>
      <c r="HF619" s="71"/>
      <c r="HG619" s="71"/>
      <c r="HH619" s="71"/>
      <c r="HI619" s="71"/>
      <c r="HJ619" s="71"/>
      <c r="HK619" s="71"/>
      <c r="HL619" s="71"/>
      <c r="HM619" s="71"/>
      <c r="HN619" s="71"/>
      <c r="HO619" s="71"/>
      <c r="HP619" s="71"/>
      <c r="HQ619" s="71"/>
      <c r="HR619" s="71"/>
      <c r="HS619" s="71"/>
      <c r="HT619" s="71"/>
      <c r="HU619" s="71"/>
      <c r="HV619" s="71"/>
      <c r="HW619" s="71"/>
      <c r="HX619" s="71"/>
      <c r="HY619" s="71"/>
      <c r="HZ619" s="71"/>
      <c r="IA619" s="71"/>
      <c r="IB619" s="71"/>
      <c r="IC619" s="71"/>
      <c r="ID619" s="71"/>
      <c r="IE619" s="71"/>
      <c r="IF619" s="71"/>
      <c r="IG619" s="71"/>
      <c r="IH619" s="71"/>
      <c r="II619" s="71"/>
      <c r="IJ619" s="71"/>
      <c r="IK619" s="71"/>
      <c r="IL619" s="71"/>
      <c r="IM619" s="71"/>
      <c r="IN619" s="71"/>
      <c r="IO619" s="71"/>
      <c r="IP619" s="71"/>
      <c r="IQ619" s="71"/>
      <c r="IR619" s="71"/>
      <c r="IS619" s="71"/>
      <c r="IT619" s="71"/>
      <c r="IU619" s="71"/>
      <c r="IV619" s="71"/>
      <c r="IW619" s="71"/>
      <c r="IX619" s="71"/>
      <c r="IY619" s="71"/>
      <c r="IZ619" s="71"/>
      <c r="JA619" s="71"/>
    </row>
    <row r="620" spans="1:261" s="92" customFormat="1" x14ac:dyDescent="0.25">
      <c r="A620" s="65" t="s">
        <v>2432</v>
      </c>
      <c r="B620" s="65" t="s">
        <v>2432</v>
      </c>
      <c r="C620" s="66" t="s">
        <v>3477</v>
      </c>
      <c r="D620" s="66" t="s">
        <v>3387</v>
      </c>
      <c r="E620" s="67">
        <v>0</v>
      </c>
      <c r="F620" s="68">
        <v>0.98</v>
      </c>
      <c r="G620" s="68">
        <v>0.98</v>
      </c>
      <c r="H620" s="68">
        <v>0.44</v>
      </c>
      <c r="I620" s="68">
        <v>0.3</v>
      </c>
      <c r="J620" s="68">
        <v>0.72</v>
      </c>
      <c r="K620" s="68">
        <v>0.94</v>
      </c>
      <c r="L620" s="68">
        <v>0.63</v>
      </c>
      <c r="M620" s="68">
        <v>0.54</v>
      </c>
      <c r="N620" s="68">
        <v>0.6</v>
      </c>
      <c r="O620" s="68">
        <v>0.54</v>
      </c>
      <c r="P620" s="68">
        <v>0.59</v>
      </c>
      <c r="Q620" s="68">
        <v>0.81</v>
      </c>
      <c r="R620" s="69" t="s">
        <v>3470</v>
      </c>
      <c r="S620" s="69" t="s">
        <v>3489</v>
      </c>
      <c r="T620" s="70" t="s">
        <v>3497</v>
      </c>
      <c r="U620" s="452"/>
      <c r="V620" s="453" t="str">
        <f>IF(VLOOKUP($A620,'GeneratingCapabilityList sorted'!$E$9:$O$801,8,FALSE)&lt;&gt;"",VLOOKUP($A620,'GeneratingCapabilityList sorted'!$E$9:$O$801,8,FALSE),"NoneListed")</f>
        <v>LANDFILL GAS</v>
      </c>
      <c r="W620" s="454">
        <f>IF($AB620,$AB620,IF($AA620,$AA620,Scenarios!$B$43))</f>
        <v>37110</v>
      </c>
      <c r="X620" s="454"/>
      <c r="Y620" s="454"/>
      <c r="Z620" s="454"/>
      <c r="AA620" s="454">
        <f>IFERROR(VLOOKUP($A620,'GeneratingCapabilityList sorted'!$E$9:$O$801,11,FALSE),Scenarios!$B$43)</f>
        <v>37110</v>
      </c>
      <c r="AB620" s="453"/>
      <c r="AC620" s="453"/>
      <c r="AD620" s="71"/>
      <c r="AE620" s="71"/>
      <c r="AF620" s="71"/>
      <c r="AG620" s="71"/>
      <c r="AH620" s="71"/>
      <c r="AI620" s="71"/>
      <c r="AJ620" s="71"/>
      <c r="AK620" s="71"/>
      <c r="AL620" s="71"/>
      <c r="AM620" s="71"/>
      <c r="AN620" s="71"/>
      <c r="AO620" s="71"/>
      <c r="AP620" s="71"/>
      <c r="AQ620" s="71"/>
      <c r="AR620" s="71"/>
      <c r="AS620" s="71"/>
      <c r="AT620" s="71"/>
      <c r="AU620" s="71"/>
      <c r="AV620" s="71"/>
      <c r="AW620" s="71"/>
      <c r="AX620" s="71"/>
      <c r="AY620" s="71"/>
      <c r="AZ620" s="71"/>
      <c r="BA620" s="71"/>
      <c r="BB620" s="71"/>
      <c r="BC620" s="71"/>
      <c r="BD620" s="71"/>
      <c r="BE620" s="71"/>
      <c r="BF620" s="71"/>
      <c r="BG620" s="71"/>
      <c r="BH620" s="71"/>
      <c r="BI620" s="71"/>
      <c r="BJ620" s="71"/>
      <c r="BK620" s="71"/>
      <c r="BL620" s="71"/>
      <c r="BM620" s="71"/>
      <c r="BN620" s="71"/>
      <c r="BO620" s="71"/>
      <c r="BP620" s="71"/>
      <c r="BQ620" s="71"/>
      <c r="BR620" s="71"/>
      <c r="BS620" s="71"/>
      <c r="BT620" s="71"/>
      <c r="BU620" s="71"/>
      <c r="BV620" s="71"/>
      <c r="BW620" s="71"/>
      <c r="BX620" s="71"/>
      <c r="BY620" s="71"/>
      <c r="BZ620" s="71"/>
      <c r="CA620" s="71"/>
      <c r="CB620" s="71"/>
      <c r="CC620" s="71"/>
      <c r="CD620" s="71"/>
      <c r="CE620" s="71"/>
      <c r="CF620" s="71"/>
      <c r="CG620" s="71"/>
      <c r="CH620" s="71"/>
      <c r="CI620" s="71"/>
      <c r="CJ620" s="71"/>
      <c r="CK620" s="71"/>
      <c r="CL620" s="71"/>
      <c r="CM620" s="71"/>
      <c r="CN620" s="71"/>
      <c r="CO620" s="71"/>
      <c r="CP620" s="71"/>
      <c r="CQ620" s="71"/>
      <c r="CR620" s="71"/>
      <c r="CS620" s="71"/>
      <c r="CT620" s="71"/>
      <c r="CU620" s="71"/>
      <c r="CV620" s="71"/>
      <c r="CW620" s="71"/>
      <c r="CX620" s="71"/>
      <c r="CY620" s="71"/>
      <c r="CZ620" s="71"/>
      <c r="DA620" s="71"/>
      <c r="DB620" s="71"/>
      <c r="DC620" s="71"/>
      <c r="DD620" s="71"/>
      <c r="DE620" s="71"/>
      <c r="DF620" s="71"/>
      <c r="DG620" s="71"/>
      <c r="DH620" s="71"/>
      <c r="DI620" s="71"/>
      <c r="DJ620" s="71"/>
      <c r="DK620" s="71"/>
      <c r="DL620" s="71"/>
      <c r="DM620" s="71"/>
      <c r="DN620" s="71"/>
      <c r="DO620" s="71"/>
      <c r="DP620" s="71"/>
      <c r="DQ620" s="71"/>
      <c r="DR620" s="71"/>
      <c r="DS620" s="71"/>
      <c r="DT620" s="71"/>
      <c r="DU620" s="71"/>
      <c r="DV620" s="71"/>
      <c r="DW620" s="71"/>
      <c r="DX620" s="71"/>
      <c r="DY620" s="71"/>
      <c r="DZ620" s="71"/>
      <c r="EA620" s="71"/>
      <c r="EB620" s="71"/>
      <c r="EC620" s="71"/>
      <c r="ED620" s="71"/>
      <c r="EE620" s="71"/>
      <c r="EF620" s="71"/>
      <c r="EG620" s="71"/>
      <c r="EH620" s="71"/>
      <c r="EI620" s="71"/>
      <c r="EJ620" s="71"/>
      <c r="EK620" s="71"/>
      <c r="EL620" s="71"/>
      <c r="EM620" s="71"/>
      <c r="EN620" s="71"/>
      <c r="EO620" s="71"/>
      <c r="EP620" s="71"/>
      <c r="EQ620" s="71"/>
      <c r="ER620" s="71"/>
      <c r="ES620" s="71"/>
      <c r="ET620" s="71"/>
      <c r="EU620" s="71"/>
      <c r="EV620" s="71"/>
      <c r="EW620" s="71"/>
      <c r="EX620" s="71"/>
      <c r="EY620" s="71"/>
      <c r="EZ620" s="71"/>
      <c r="FA620" s="71"/>
      <c r="FB620" s="71"/>
      <c r="FC620" s="71"/>
      <c r="FD620" s="71"/>
      <c r="FE620" s="71"/>
      <c r="FF620" s="71"/>
      <c r="FG620" s="71"/>
      <c r="FH620" s="71"/>
      <c r="FI620" s="71"/>
      <c r="FJ620" s="71"/>
      <c r="FK620" s="71"/>
      <c r="FL620" s="71"/>
      <c r="FM620" s="71"/>
      <c r="FN620" s="71"/>
      <c r="FO620" s="71"/>
      <c r="FP620" s="71"/>
      <c r="FQ620" s="71"/>
      <c r="FR620" s="71"/>
      <c r="FS620" s="71"/>
      <c r="FT620" s="71"/>
      <c r="FU620" s="71"/>
      <c r="FV620" s="71"/>
      <c r="FW620" s="71"/>
      <c r="FX620" s="71"/>
      <c r="FY620" s="71"/>
      <c r="FZ620" s="71"/>
      <c r="GA620" s="71"/>
      <c r="GB620" s="71"/>
      <c r="GC620" s="71"/>
      <c r="GD620" s="71"/>
      <c r="GE620" s="71"/>
      <c r="GF620" s="71"/>
      <c r="GG620" s="71"/>
      <c r="GH620" s="71"/>
      <c r="GI620" s="71"/>
      <c r="GJ620" s="71"/>
      <c r="GK620" s="71"/>
      <c r="GL620" s="71"/>
      <c r="GM620" s="71"/>
      <c r="GN620" s="71"/>
      <c r="GO620" s="71"/>
      <c r="GP620" s="71"/>
      <c r="GQ620" s="71"/>
      <c r="GR620" s="71"/>
      <c r="GS620" s="71"/>
      <c r="GT620" s="71"/>
      <c r="GU620" s="71"/>
      <c r="GV620" s="71"/>
      <c r="GW620" s="71"/>
      <c r="GX620" s="71"/>
      <c r="GY620" s="71"/>
      <c r="GZ620" s="71"/>
      <c r="HA620" s="71"/>
      <c r="HB620" s="71"/>
      <c r="HC620" s="71"/>
      <c r="HD620" s="71"/>
      <c r="HE620" s="71"/>
      <c r="HF620" s="71"/>
      <c r="HG620" s="71"/>
      <c r="HH620" s="71"/>
      <c r="HI620" s="71"/>
      <c r="HJ620" s="71"/>
      <c r="HK620" s="71"/>
      <c r="HL620" s="71"/>
      <c r="HM620" s="71"/>
      <c r="HN620" s="71"/>
      <c r="HO620" s="71"/>
      <c r="HP620" s="71"/>
      <c r="HQ620" s="71"/>
      <c r="HR620" s="71"/>
      <c r="HS620" s="71"/>
      <c r="HT620" s="71"/>
      <c r="HU620" s="71"/>
      <c r="HV620" s="71"/>
      <c r="HW620" s="71"/>
      <c r="HX620" s="71"/>
      <c r="HY620" s="71"/>
      <c r="HZ620" s="71"/>
      <c r="IA620" s="71"/>
      <c r="IB620" s="71"/>
      <c r="IC620" s="71"/>
      <c r="ID620" s="71"/>
      <c r="IE620" s="71"/>
      <c r="IF620" s="71"/>
      <c r="IG620" s="71"/>
      <c r="IH620" s="71"/>
      <c r="II620" s="71"/>
      <c r="IJ620" s="71"/>
      <c r="IK620" s="71"/>
      <c r="IL620" s="71"/>
      <c r="IM620" s="71"/>
      <c r="IN620" s="71"/>
      <c r="IO620" s="71"/>
      <c r="IP620" s="71"/>
      <c r="IQ620" s="71"/>
      <c r="IR620" s="71"/>
      <c r="IS620" s="71"/>
      <c r="IT620" s="71"/>
      <c r="IU620" s="71"/>
      <c r="IV620" s="71"/>
      <c r="IW620" s="71"/>
      <c r="IX620" s="71"/>
      <c r="IY620" s="71"/>
      <c r="IZ620" s="71"/>
      <c r="JA620" s="71"/>
    </row>
    <row r="621" spans="1:261" s="92" customFormat="1" x14ac:dyDescent="0.25">
      <c r="A621" s="65" t="s">
        <v>2718</v>
      </c>
      <c r="B621" s="65" t="s">
        <v>3961</v>
      </c>
      <c r="C621" s="66" t="s">
        <v>3477</v>
      </c>
      <c r="D621" s="66" t="s">
        <v>3387</v>
      </c>
      <c r="E621" s="67">
        <v>0</v>
      </c>
      <c r="F621" s="68">
        <v>1.88</v>
      </c>
      <c r="G621" s="68">
        <v>1.98</v>
      </c>
      <c r="H621" s="68">
        <v>1.74</v>
      </c>
      <c r="I621" s="68">
        <v>1.57</v>
      </c>
      <c r="J621" s="68">
        <v>1.83</v>
      </c>
      <c r="K621" s="68">
        <v>1.7</v>
      </c>
      <c r="L621" s="68">
        <v>1.36</v>
      </c>
      <c r="M621" s="68">
        <v>1.34</v>
      </c>
      <c r="N621" s="68">
        <v>1.36</v>
      </c>
      <c r="O621" s="68">
        <v>2.12</v>
      </c>
      <c r="P621" s="68">
        <v>1.95</v>
      </c>
      <c r="Q621" s="68">
        <v>1.76</v>
      </c>
      <c r="R621" s="69" t="s">
        <v>3470</v>
      </c>
      <c r="S621" s="69" t="s">
        <v>3489</v>
      </c>
      <c r="T621" s="70" t="s">
        <v>3497</v>
      </c>
      <c r="U621" s="452"/>
      <c r="V621" s="453" t="str">
        <f>IF(VLOOKUP($A621,'GeneratingCapabilityList sorted'!$E$9:$O$801,8,FALSE)&lt;&gt;"",VLOOKUP($A621,'GeneratingCapabilityList sorted'!$E$9:$O$801,8,FALSE),"NoneListed")</f>
        <v>LANDFILL GAS</v>
      </c>
      <c r="W621" s="454">
        <f>IF($AB621,$AB621,IF($AA621,$AA621,Scenarios!$B$43))</f>
        <v>38103</v>
      </c>
      <c r="X621" s="454"/>
      <c r="Y621" s="454"/>
      <c r="Z621" s="454"/>
      <c r="AA621" s="454">
        <f>IFERROR(VLOOKUP($A621,'GeneratingCapabilityList sorted'!$E$9:$O$801,11,FALSE),Scenarios!$B$43)</f>
        <v>38103</v>
      </c>
      <c r="AB621" s="453"/>
      <c r="AC621" s="453"/>
      <c r="AD621" s="71"/>
      <c r="AE621" s="71"/>
      <c r="AF621" s="71"/>
      <c r="AG621" s="71"/>
      <c r="AH621" s="71"/>
      <c r="AI621" s="71"/>
      <c r="AJ621" s="71"/>
      <c r="AK621" s="71"/>
      <c r="AL621" s="71"/>
      <c r="AM621" s="71"/>
      <c r="AN621" s="71"/>
      <c r="AO621" s="71"/>
      <c r="AP621" s="71"/>
      <c r="AQ621" s="71"/>
      <c r="AR621" s="71"/>
      <c r="AS621" s="71"/>
      <c r="AT621" s="71"/>
      <c r="AU621" s="71"/>
      <c r="AV621" s="71"/>
      <c r="AW621" s="71"/>
      <c r="AX621" s="71"/>
      <c r="AY621" s="71"/>
      <c r="AZ621" s="71"/>
      <c r="BA621" s="71"/>
      <c r="BB621" s="71"/>
      <c r="BC621" s="71"/>
      <c r="BD621" s="71"/>
      <c r="BE621" s="71"/>
      <c r="BF621" s="71"/>
      <c r="BG621" s="71"/>
      <c r="BH621" s="71"/>
      <c r="BI621" s="71"/>
      <c r="BJ621" s="71"/>
      <c r="BK621" s="71"/>
      <c r="BL621" s="71"/>
      <c r="BM621" s="71"/>
      <c r="BN621" s="71"/>
      <c r="BO621" s="71"/>
      <c r="BP621" s="71"/>
      <c r="BQ621" s="71"/>
      <c r="BR621" s="71"/>
      <c r="BS621" s="71"/>
      <c r="BT621" s="71"/>
      <c r="BU621" s="71"/>
      <c r="BV621" s="71"/>
      <c r="BW621" s="71"/>
      <c r="BX621" s="71"/>
      <c r="BY621" s="71"/>
      <c r="BZ621" s="71"/>
      <c r="CA621" s="71"/>
      <c r="CB621" s="71"/>
      <c r="CC621" s="71"/>
      <c r="CD621" s="71"/>
      <c r="CE621" s="71"/>
      <c r="CF621" s="71"/>
      <c r="CG621" s="71"/>
      <c r="CH621" s="71"/>
      <c r="CI621" s="71"/>
      <c r="CJ621" s="71"/>
      <c r="CK621" s="71"/>
      <c r="CL621" s="71"/>
      <c r="CM621" s="71"/>
      <c r="CN621" s="71"/>
      <c r="CO621" s="71"/>
      <c r="CP621" s="71"/>
      <c r="CQ621" s="71"/>
      <c r="CR621" s="71"/>
      <c r="CS621" s="71"/>
      <c r="CT621" s="71"/>
      <c r="CU621" s="71"/>
      <c r="CV621" s="71"/>
      <c r="CW621" s="71"/>
      <c r="CX621" s="71"/>
      <c r="CY621" s="71"/>
      <c r="CZ621" s="71"/>
      <c r="DA621" s="71"/>
      <c r="DB621" s="71"/>
      <c r="DC621" s="71"/>
      <c r="DD621" s="71"/>
      <c r="DE621" s="71"/>
      <c r="DF621" s="71"/>
      <c r="DG621" s="71"/>
      <c r="DH621" s="71"/>
      <c r="DI621" s="71"/>
      <c r="DJ621" s="71"/>
      <c r="DK621" s="71"/>
      <c r="DL621" s="71"/>
      <c r="DM621" s="71"/>
      <c r="DN621" s="71"/>
      <c r="DO621" s="71"/>
      <c r="DP621" s="71"/>
      <c r="DQ621" s="71"/>
      <c r="DR621" s="71"/>
      <c r="DS621" s="71"/>
      <c r="DT621" s="71"/>
      <c r="DU621" s="71"/>
      <c r="DV621" s="71"/>
      <c r="DW621" s="71"/>
      <c r="DX621" s="71"/>
      <c r="DY621" s="71"/>
      <c r="DZ621" s="71"/>
      <c r="EA621" s="71"/>
      <c r="EB621" s="71"/>
      <c r="EC621" s="71"/>
      <c r="ED621" s="71"/>
      <c r="EE621" s="71"/>
      <c r="EF621" s="71"/>
      <c r="EG621" s="71"/>
      <c r="EH621" s="71"/>
      <c r="EI621" s="71"/>
      <c r="EJ621" s="71"/>
      <c r="EK621" s="71"/>
      <c r="EL621" s="71"/>
      <c r="EM621" s="71"/>
      <c r="EN621" s="71"/>
      <c r="EO621" s="71"/>
      <c r="EP621" s="71"/>
      <c r="EQ621" s="71"/>
      <c r="ER621" s="71"/>
      <c r="ES621" s="71"/>
      <c r="ET621" s="71"/>
      <c r="EU621" s="71"/>
      <c r="EV621" s="71"/>
      <c r="EW621" s="71"/>
      <c r="EX621" s="71"/>
      <c r="EY621" s="71"/>
      <c r="EZ621" s="71"/>
      <c r="FA621" s="71"/>
      <c r="FB621" s="71"/>
      <c r="FC621" s="71"/>
      <c r="FD621" s="71"/>
      <c r="FE621" s="71"/>
      <c r="FF621" s="71"/>
      <c r="FG621" s="71"/>
      <c r="FH621" s="71"/>
      <c r="FI621" s="71"/>
      <c r="FJ621" s="71"/>
      <c r="FK621" s="71"/>
      <c r="FL621" s="71"/>
      <c r="FM621" s="71"/>
      <c r="FN621" s="71"/>
      <c r="FO621" s="71"/>
      <c r="FP621" s="71"/>
      <c r="FQ621" s="71"/>
      <c r="FR621" s="71"/>
      <c r="FS621" s="71"/>
      <c r="FT621" s="71"/>
      <c r="FU621" s="71"/>
      <c r="FV621" s="71"/>
      <c r="FW621" s="71"/>
      <c r="FX621" s="71"/>
      <c r="FY621" s="71"/>
      <c r="FZ621" s="71"/>
      <c r="GA621" s="71"/>
      <c r="GB621" s="71"/>
      <c r="GC621" s="71"/>
      <c r="GD621" s="71"/>
      <c r="GE621" s="71"/>
      <c r="GF621" s="71"/>
      <c r="GG621" s="71"/>
      <c r="GH621" s="71"/>
      <c r="GI621" s="71"/>
      <c r="GJ621" s="71"/>
      <c r="GK621" s="71"/>
      <c r="GL621" s="71"/>
      <c r="GM621" s="71"/>
      <c r="GN621" s="71"/>
      <c r="GO621" s="71"/>
      <c r="GP621" s="71"/>
      <c r="GQ621" s="71"/>
      <c r="GR621" s="71"/>
      <c r="GS621" s="71"/>
      <c r="GT621" s="71"/>
      <c r="GU621" s="71"/>
      <c r="GV621" s="71"/>
      <c r="GW621" s="71"/>
      <c r="GX621" s="71"/>
      <c r="GY621" s="71"/>
      <c r="GZ621" s="71"/>
      <c r="HA621" s="71"/>
      <c r="HB621" s="71"/>
      <c r="HC621" s="71"/>
      <c r="HD621" s="71"/>
      <c r="HE621" s="71"/>
      <c r="HF621" s="71"/>
      <c r="HG621" s="71"/>
      <c r="HH621" s="71"/>
      <c r="HI621" s="71"/>
      <c r="HJ621" s="71"/>
      <c r="HK621" s="71"/>
      <c r="HL621" s="71"/>
      <c r="HM621" s="71"/>
      <c r="HN621" s="71"/>
      <c r="HO621" s="71"/>
      <c r="HP621" s="71"/>
      <c r="HQ621" s="71"/>
      <c r="HR621" s="71"/>
      <c r="HS621" s="71"/>
      <c r="HT621" s="71"/>
      <c r="HU621" s="71"/>
      <c r="HV621" s="71"/>
      <c r="HW621" s="71"/>
      <c r="HX621" s="71"/>
      <c r="HY621" s="71"/>
      <c r="HZ621" s="71"/>
      <c r="IA621" s="71"/>
      <c r="IB621" s="71"/>
      <c r="IC621" s="71"/>
      <c r="ID621" s="71"/>
      <c r="IE621" s="71"/>
      <c r="IF621" s="71"/>
      <c r="IG621" s="71"/>
      <c r="IH621" s="71"/>
      <c r="II621" s="71"/>
      <c r="IJ621" s="71"/>
      <c r="IK621" s="71"/>
      <c r="IL621" s="71"/>
      <c r="IM621" s="71"/>
      <c r="IN621" s="71"/>
      <c r="IO621" s="71"/>
      <c r="IP621" s="71"/>
      <c r="IQ621" s="71"/>
      <c r="IR621" s="71"/>
      <c r="IS621" s="71"/>
      <c r="IT621" s="71"/>
      <c r="IU621" s="71"/>
      <c r="IV621" s="71"/>
      <c r="IW621" s="71"/>
      <c r="IX621" s="71"/>
      <c r="IY621" s="71"/>
      <c r="IZ621" s="71"/>
      <c r="JA621" s="71"/>
    </row>
    <row r="622" spans="1:261" s="92" customFormat="1" x14ac:dyDescent="0.25">
      <c r="A622" s="65" t="s">
        <v>1835</v>
      </c>
      <c r="B622" s="65" t="s">
        <v>3962</v>
      </c>
      <c r="C622" s="66" t="s">
        <v>3468</v>
      </c>
      <c r="D622" s="66" t="s">
        <v>3505</v>
      </c>
      <c r="E622" s="67">
        <v>0</v>
      </c>
      <c r="F622" s="68">
        <v>15.21</v>
      </c>
      <c r="G622" s="68">
        <v>19.43</v>
      </c>
      <c r="H622" s="68">
        <v>16.850000000000001</v>
      </c>
      <c r="I622" s="68">
        <v>14.21</v>
      </c>
      <c r="J622" s="68">
        <v>19.29</v>
      </c>
      <c r="K622" s="68">
        <v>14.11</v>
      </c>
      <c r="L622" s="68">
        <v>10.1</v>
      </c>
      <c r="M622" s="68">
        <v>6.1</v>
      </c>
      <c r="N622" s="68">
        <v>2.73</v>
      </c>
      <c r="O622" s="68">
        <v>5.31</v>
      </c>
      <c r="P622" s="68">
        <v>6.45</v>
      </c>
      <c r="Q622" s="68">
        <v>7.08</v>
      </c>
      <c r="R622" s="69" t="s">
        <v>3470</v>
      </c>
      <c r="S622" s="69" t="s">
        <v>3489</v>
      </c>
      <c r="T622" s="70" t="s">
        <v>3497</v>
      </c>
      <c r="U622" s="452"/>
      <c r="V622" s="453" t="str">
        <f>IF(VLOOKUP($A622,'GeneratingCapabilityList sorted'!$E$9:$O$801,8,FALSE)&lt;&gt;"",VLOOKUP($A622,'GeneratingCapabilityList sorted'!$E$9:$O$801,8,FALSE),"NoneListed")</f>
        <v>NATURAL GAS</v>
      </c>
      <c r="W622" s="454">
        <f>IF($AB622,$AB622,IF($AA622,$AA622,Scenarios!$B$43))</f>
        <v>32539</v>
      </c>
      <c r="X622" s="454"/>
      <c r="Y622" s="454"/>
      <c r="Z622" s="454"/>
      <c r="AA622" s="454">
        <f>IFERROR(VLOOKUP($A622,'GeneratingCapabilityList sorted'!$E$9:$O$801,11,FALSE),Scenarios!$B$43)</f>
        <v>32539</v>
      </c>
      <c r="AB622" s="453"/>
      <c r="AC622" s="453"/>
      <c r="AD622" s="71"/>
      <c r="AE622" s="71"/>
      <c r="AF622" s="71"/>
      <c r="AG622" s="71"/>
      <c r="AH622" s="71"/>
      <c r="AI622" s="71"/>
      <c r="AJ622" s="71"/>
      <c r="AK622" s="71"/>
      <c r="AL622" s="71"/>
      <c r="AM622" s="71"/>
      <c r="AN622" s="71"/>
      <c r="AO622" s="71"/>
      <c r="AP622" s="71"/>
      <c r="AQ622" s="71"/>
      <c r="AR622" s="71"/>
      <c r="AS622" s="71"/>
      <c r="AT622" s="71"/>
      <c r="AU622" s="71"/>
      <c r="AV622" s="71"/>
      <c r="AW622" s="71"/>
      <c r="AX622" s="71"/>
      <c r="AY622" s="71"/>
      <c r="AZ622" s="71"/>
      <c r="BA622" s="71"/>
      <c r="BB622" s="71"/>
      <c r="BC622" s="71"/>
      <c r="BD622" s="71"/>
      <c r="BE622" s="71"/>
      <c r="BF622" s="71"/>
      <c r="BG622" s="71"/>
      <c r="BH622" s="71"/>
      <c r="BI622" s="71"/>
      <c r="BJ622" s="71"/>
      <c r="BK622" s="71"/>
      <c r="BL622" s="71"/>
      <c r="BM622" s="71"/>
      <c r="BN622" s="71"/>
      <c r="BO622" s="71"/>
      <c r="BP622" s="71"/>
      <c r="BQ622" s="71"/>
      <c r="BR622" s="71"/>
      <c r="BS622" s="71"/>
      <c r="BT622" s="71"/>
      <c r="BU622" s="71"/>
      <c r="BV622" s="71"/>
      <c r="BW622" s="71"/>
      <c r="BX622" s="71"/>
      <c r="BY622" s="71"/>
      <c r="BZ622" s="71"/>
      <c r="CA622" s="71"/>
      <c r="CB622" s="71"/>
      <c r="CC622" s="71"/>
      <c r="CD622" s="71"/>
      <c r="CE622" s="71"/>
      <c r="CF622" s="71"/>
      <c r="CG622" s="71"/>
      <c r="CH622" s="71"/>
      <c r="CI622" s="71"/>
      <c r="CJ622" s="71"/>
      <c r="CK622" s="71"/>
      <c r="CL622" s="71"/>
      <c r="CM622" s="71"/>
      <c r="CN622" s="71"/>
      <c r="CO622" s="71"/>
      <c r="CP622" s="71"/>
      <c r="CQ622" s="71"/>
      <c r="CR622" s="71"/>
      <c r="CS622" s="71"/>
      <c r="CT622" s="71"/>
      <c r="CU622" s="71"/>
      <c r="CV622" s="71"/>
      <c r="CW622" s="71"/>
      <c r="CX622" s="71"/>
      <c r="CY622" s="71"/>
      <c r="CZ622" s="71"/>
      <c r="DA622" s="71"/>
      <c r="DB622" s="71"/>
      <c r="DC622" s="71"/>
      <c r="DD622" s="71"/>
      <c r="DE622" s="71"/>
      <c r="DF622" s="71"/>
      <c r="DG622" s="71"/>
      <c r="DH622" s="71"/>
      <c r="DI622" s="71"/>
      <c r="DJ622" s="71"/>
      <c r="DK622" s="71"/>
      <c r="DL622" s="71"/>
      <c r="DM622" s="71"/>
      <c r="DN622" s="71"/>
      <c r="DO622" s="71"/>
      <c r="DP622" s="71"/>
      <c r="DQ622" s="71"/>
      <c r="DR622" s="71"/>
      <c r="DS622" s="71"/>
      <c r="DT622" s="71"/>
      <c r="DU622" s="71"/>
      <c r="DV622" s="71"/>
      <c r="DW622" s="71"/>
      <c r="DX622" s="71"/>
      <c r="DY622" s="71"/>
      <c r="DZ622" s="71"/>
      <c r="EA622" s="71"/>
      <c r="EB622" s="71"/>
      <c r="EC622" s="71"/>
      <c r="ED622" s="71"/>
      <c r="EE622" s="71"/>
      <c r="EF622" s="71"/>
      <c r="EG622" s="71"/>
      <c r="EH622" s="71"/>
      <c r="EI622" s="71"/>
      <c r="EJ622" s="71"/>
      <c r="EK622" s="71"/>
      <c r="EL622" s="71"/>
      <c r="EM622" s="71"/>
      <c r="EN622" s="71"/>
      <c r="EO622" s="71"/>
      <c r="EP622" s="71"/>
      <c r="EQ622" s="71"/>
      <c r="ER622" s="71"/>
      <c r="ES622" s="71"/>
      <c r="ET622" s="71"/>
      <c r="EU622" s="71"/>
      <c r="EV622" s="71"/>
      <c r="EW622" s="71"/>
      <c r="EX622" s="71"/>
      <c r="EY622" s="71"/>
      <c r="EZ622" s="71"/>
      <c r="FA622" s="71"/>
      <c r="FB622" s="71"/>
      <c r="FC622" s="71"/>
      <c r="FD622" s="71"/>
      <c r="FE622" s="71"/>
      <c r="FF622" s="71"/>
      <c r="FG622" s="71"/>
      <c r="FH622" s="71"/>
      <c r="FI622" s="71"/>
      <c r="FJ622" s="71"/>
      <c r="FK622" s="71"/>
      <c r="FL622" s="71"/>
      <c r="FM622" s="71"/>
      <c r="FN622" s="71"/>
      <c r="FO622" s="71"/>
      <c r="FP622" s="71"/>
      <c r="FQ622" s="71"/>
      <c r="FR622" s="71"/>
      <c r="FS622" s="71"/>
      <c r="FT622" s="71"/>
      <c r="FU622" s="71"/>
      <c r="FV622" s="71"/>
      <c r="FW622" s="71"/>
      <c r="FX622" s="71"/>
      <c r="FY622" s="71"/>
      <c r="FZ622" s="71"/>
      <c r="GA622" s="71"/>
      <c r="GB622" s="71"/>
      <c r="GC622" s="71"/>
      <c r="GD622" s="71"/>
      <c r="GE622" s="71"/>
      <c r="GF622" s="71"/>
      <c r="GG622" s="71"/>
      <c r="GH622" s="71"/>
      <c r="GI622" s="71"/>
      <c r="GJ622" s="71"/>
      <c r="GK622" s="71"/>
      <c r="GL622" s="71"/>
      <c r="GM622" s="71"/>
      <c r="GN622" s="71"/>
      <c r="GO622" s="71"/>
      <c r="GP622" s="71"/>
      <c r="GQ622" s="71"/>
      <c r="GR622" s="71"/>
      <c r="GS622" s="71"/>
      <c r="GT622" s="71"/>
      <c r="GU622" s="71"/>
      <c r="GV622" s="71"/>
      <c r="GW622" s="71"/>
      <c r="GX622" s="71"/>
      <c r="GY622" s="71"/>
      <c r="GZ622" s="71"/>
      <c r="HA622" s="71"/>
      <c r="HB622" s="71"/>
      <c r="HC622" s="71"/>
      <c r="HD622" s="71"/>
      <c r="HE622" s="71"/>
      <c r="HF622" s="71"/>
      <c r="HG622" s="71"/>
      <c r="HH622" s="71"/>
      <c r="HI622" s="71"/>
      <c r="HJ622" s="71"/>
      <c r="HK622" s="71"/>
      <c r="HL622" s="71"/>
      <c r="HM622" s="71"/>
      <c r="HN622" s="71"/>
      <c r="HO622" s="71"/>
      <c r="HP622" s="71"/>
      <c r="HQ622" s="71"/>
      <c r="HR622" s="71"/>
      <c r="HS622" s="71"/>
      <c r="HT622" s="71"/>
      <c r="HU622" s="71"/>
      <c r="HV622" s="71"/>
      <c r="HW622" s="71"/>
      <c r="HX622" s="71"/>
      <c r="HY622" s="71"/>
      <c r="HZ622" s="71"/>
      <c r="IA622" s="71"/>
      <c r="IB622" s="71"/>
      <c r="IC622" s="71"/>
      <c r="ID622" s="71"/>
      <c r="IE622" s="71"/>
      <c r="IF622" s="71"/>
      <c r="IG622" s="71"/>
      <c r="IH622" s="71"/>
      <c r="II622" s="71"/>
      <c r="IJ622" s="71"/>
      <c r="IK622" s="71"/>
      <c r="IL622" s="71"/>
      <c r="IM622" s="71"/>
      <c r="IN622" s="71"/>
      <c r="IO622" s="71"/>
      <c r="IP622" s="71"/>
      <c r="IQ622" s="71"/>
      <c r="IR622" s="71"/>
      <c r="IS622" s="71"/>
      <c r="IT622" s="71"/>
      <c r="IU622" s="71"/>
      <c r="IV622" s="71"/>
      <c r="IW622" s="71"/>
      <c r="IX622" s="71"/>
      <c r="IY622" s="71"/>
      <c r="IZ622" s="71"/>
      <c r="JA622" s="71"/>
    </row>
    <row r="623" spans="1:261" s="92" customFormat="1" x14ac:dyDescent="0.25">
      <c r="A623" s="65" t="s">
        <v>3367</v>
      </c>
      <c r="B623" s="65" t="s">
        <v>3963</v>
      </c>
      <c r="C623" s="66" t="s">
        <v>3477</v>
      </c>
      <c r="D623" s="66" t="s">
        <v>3387</v>
      </c>
      <c r="E623" s="67">
        <v>5.75</v>
      </c>
      <c r="F623" s="68">
        <v>0</v>
      </c>
      <c r="G623" s="68">
        <v>0</v>
      </c>
      <c r="H623" s="68">
        <v>0</v>
      </c>
      <c r="I623" s="68">
        <v>0</v>
      </c>
      <c r="J623" s="68">
        <v>0</v>
      </c>
      <c r="K623" s="68">
        <v>0</v>
      </c>
      <c r="L623" s="68">
        <v>0</v>
      </c>
      <c r="M623" s="68">
        <v>0</v>
      </c>
      <c r="N623" s="68">
        <v>0</v>
      </c>
      <c r="O623" s="68">
        <v>0</v>
      </c>
      <c r="P623" s="68">
        <v>0</v>
      </c>
      <c r="Q623" s="68">
        <v>0</v>
      </c>
      <c r="R623" s="69" t="s">
        <v>3470</v>
      </c>
      <c r="S623" s="69" t="s">
        <v>3471</v>
      </c>
      <c r="T623" s="70" t="s">
        <v>3472</v>
      </c>
      <c r="U623" s="452"/>
      <c r="V623" s="453" t="str">
        <f>IF(VLOOKUP($A623,'GeneratingCapabilityList sorted'!$E$9:$O$801,8,FALSE)&lt;&gt;"",VLOOKUP($A623,'GeneratingCapabilityList sorted'!$E$9:$O$801,8,FALSE),"NoneListed")</f>
        <v>NATURAL GAS</v>
      </c>
      <c r="W623" s="454">
        <f>IF($AB623,$AB623,IF($AA623,$AA623,Scenarios!$B$43))</f>
        <v>29221</v>
      </c>
      <c r="X623" s="454"/>
      <c r="Y623" s="454"/>
      <c r="Z623" s="454"/>
      <c r="AA623" s="454">
        <f>IFERROR(VLOOKUP($A623,'GeneratingCapabilityList sorted'!$E$9:$O$801,11,FALSE),Scenarios!$B$43)</f>
        <v>0</v>
      </c>
      <c r="AB623" s="453"/>
      <c r="AC623" s="453"/>
      <c r="AD623" s="71"/>
      <c r="AE623" s="71"/>
      <c r="AF623" s="71"/>
      <c r="AG623" s="71"/>
      <c r="AH623" s="71"/>
      <c r="AI623" s="71"/>
      <c r="AJ623" s="71"/>
      <c r="AK623" s="71"/>
      <c r="AL623" s="71"/>
      <c r="AM623" s="71"/>
      <c r="AN623" s="71"/>
      <c r="AO623" s="71"/>
      <c r="AP623" s="71"/>
      <c r="AQ623" s="71"/>
      <c r="AR623" s="71"/>
      <c r="AS623" s="71"/>
      <c r="AT623" s="71"/>
      <c r="AU623" s="71"/>
      <c r="AV623" s="71"/>
      <c r="AW623" s="71"/>
      <c r="AX623" s="71"/>
      <c r="AY623" s="71"/>
      <c r="AZ623" s="71"/>
      <c r="BA623" s="71"/>
      <c r="BB623" s="71"/>
      <c r="BC623" s="71"/>
      <c r="BD623" s="71"/>
      <c r="BE623" s="71"/>
      <c r="BF623" s="71"/>
      <c r="BG623" s="71"/>
      <c r="BH623" s="71"/>
      <c r="BI623" s="71"/>
      <c r="BJ623" s="71"/>
      <c r="BK623" s="71"/>
      <c r="BL623" s="71"/>
      <c r="BM623" s="71"/>
      <c r="BN623" s="71"/>
      <c r="BO623" s="71"/>
      <c r="BP623" s="71"/>
      <c r="BQ623" s="71"/>
      <c r="BR623" s="71"/>
      <c r="BS623" s="71"/>
      <c r="BT623" s="71"/>
      <c r="BU623" s="71"/>
      <c r="BV623" s="71"/>
      <c r="BW623" s="71"/>
      <c r="BX623" s="71"/>
      <c r="BY623" s="71"/>
      <c r="BZ623" s="71"/>
      <c r="CA623" s="71"/>
      <c r="CB623" s="71"/>
      <c r="CC623" s="71"/>
      <c r="CD623" s="71"/>
      <c r="CE623" s="71"/>
      <c r="CF623" s="71"/>
      <c r="CG623" s="71"/>
      <c r="CH623" s="71"/>
      <c r="CI623" s="71"/>
      <c r="CJ623" s="71"/>
      <c r="CK623" s="71"/>
      <c r="CL623" s="71"/>
      <c r="CM623" s="71"/>
      <c r="CN623" s="71"/>
      <c r="CO623" s="71"/>
      <c r="CP623" s="71"/>
      <c r="CQ623" s="71"/>
      <c r="CR623" s="71"/>
      <c r="CS623" s="71"/>
      <c r="CT623" s="71"/>
      <c r="CU623" s="71"/>
      <c r="CV623" s="71"/>
      <c r="CW623" s="71"/>
      <c r="CX623" s="71"/>
      <c r="CY623" s="71"/>
      <c r="CZ623" s="71"/>
      <c r="DA623" s="71"/>
      <c r="DB623" s="71"/>
      <c r="DC623" s="71"/>
      <c r="DD623" s="71"/>
      <c r="DE623" s="71"/>
      <c r="DF623" s="71"/>
      <c r="DG623" s="71"/>
      <c r="DH623" s="71"/>
      <c r="DI623" s="71"/>
      <c r="DJ623" s="71"/>
      <c r="DK623" s="71"/>
      <c r="DL623" s="71"/>
      <c r="DM623" s="71"/>
      <c r="DN623" s="71"/>
      <c r="DO623" s="71"/>
      <c r="DP623" s="71"/>
      <c r="DQ623" s="71"/>
      <c r="DR623" s="71"/>
      <c r="DS623" s="71"/>
      <c r="DT623" s="71"/>
      <c r="DU623" s="71"/>
      <c r="DV623" s="71"/>
      <c r="DW623" s="71"/>
      <c r="DX623" s="71"/>
      <c r="DY623" s="71"/>
      <c r="DZ623" s="71"/>
      <c r="EA623" s="71"/>
      <c r="EB623" s="71"/>
      <c r="EC623" s="71"/>
      <c r="ED623" s="71"/>
      <c r="EE623" s="71"/>
      <c r="EF623" s="71"/>
      <c r="EG623" s="71"/>
      <c r="EH623" s="71"/>
      <c r="EI623" s="71"/>
      <c r="EJ623" s="71"/>
      <c r="EK623" s="71"/>
      <c r="EL623" s="71"/>
      <c r="EM623" s="71"/>
      <c r="EN623" s="71"/>
      <c r="EO623" s="71"/>
      <c r="EP623" s="71"/>
      <c r="EQ623" s="71"/>
      <c r="ER623" s="71"/>
      <c r="ES623" s="71"/>
      <c r="ET623" s="71"/>
      <c r="EU623" s="71"/>
      <c r="EV623" s="71"/>
      <c r="EW623" s="71"/>
      <c r="EX623" s="71"/>
      <c r="EY623" s="71"/>
      <c r="EZ623" s="71"/>
      <c r="FA623" s="71"/>
      <c r="FB623" s="71"/>
      <c r="FC623" s="71"/>
      <c r="FD623" s="71"/>
      <c r="FE623" s="71"/>
      <c r="FF623" s="71"/>
      <c r="FG623" s="71"/>
      <c r="FH623" s="71"/>
      <c r="FI623" s="71"/>
      <c r="FJ623" s="71"/>
      <c r="FK623" s="71"/>
      <c r="FL623" s="71"/>
      <c r="FM623" s="71"/>
      <c r="FN623" s="71"/>
      <c r="FO623" s="71"/>
      <c r="FP623" s="71"/>
      <c r="FQ623" s="71"/>
      <c r="FR623" s="71"/>
      <c r="FS623" s="71"/>
      <c r="FT623" s="71"/>
      <c r="FU623" s="71"/>
      <c r="FV623" s="71"/>
      <c r="FW623" s="71"/>
      <c r="FX623" s="71"/>
      <c r="FY623" s="71"/>
      <c r="FZ623" s="71"/>
      <c r="GA623" s="71"/>
      <c r="GB623" s="71"/>
      <c r="GC623" s="71"/>
      <c r="GD623" s="71"/>
      <c r="GE623" s="71"/>
      <c r="GF623" s="71"/>
      <c r="GG623" s="71"/>
      <c r="GH623" s="71"/>
      <c r="GI623" s="71"/>
      <c r="GJ623" s="71"/>
      <c r="GK623" s="71"/>
      <c r="GL623" s="71"/>
      <c r="GM623" s="71"/>
      <c r="GN623" s="71"/>
      <c r="GO623" s="71"/>
      <c r="GP623" s="71"/>
      <c r="GQ623" s="71"/>
      <c r="GR623" s="71"/>
      <c r="GS623" s="71"/>
      <c r="GT623" s="71"/>
      <c r="GU623" s="71"/>
      <c r="GV623" s="71"/>
      <c r="GW623" s="71"/>
      <c r="GX623" s="71"/>
      <c r="GY623" s="71"/>
      <c r="GZ623" s="71"/>
      <c r="HA623" s="71"/>
      <c r="HB623" s="71"/>
      <c r="HC623" s="71"/>
      <c r="HD623" s="71"/>
      <c r="HE623" s="71"/>
      <c r="HF623" s="71"/>
      <c r="HG623" s="71"/>
      <c r="HH623" s="71"/>
      <c r="HI623" s="71"/>
      <c r="HJ623" s="71"/>
      <c r="HK623" s="71"/>
      <c r="HL623" s="71"/>
      <c r="HM623" s="71"/>
      <c r="HN623" s="71"/>
      <c r="HO623" s="71"/>
      <c r="HP623" s="71"/>
      <c r="HQ623" s="71"/>
      <c r="HR623" s="71"/>
      <c r="HS623" s="71"/>
      <c r="HT623" s="71"/>
      <c r="HU623" s="71"/>
      <c r="HV623" s="71"/>
      <c r="HW623" s="71"/>
      <c r="HX623" s="71"/>
      <c r="HY623" s="71"/>
      <c r="HZ623" s="71"/>
      <c r="IA623" s="71"/>
      <c r="IB623" s="71"/>
      <c r="IC623" s="71"/>
      <c r="ID623" s="71"/>
      <c r="IE623" s="71"/>
      <c r="IF623" s="71"/>
      <c r="IG623" s="71"/>
      <c r="IH623" s="71"/>
      <c r="II623" s="71"/>
      <c r="IJ623" s="71"/>
      <c r="IK623" s="71"/>
      <c r="IL623" s="71"/>
      <c r="IM623" s="71"/>
      <c r="IN623" s="71"/>
      <c r="IO623" s="71"/>
      <c r="IP623" s="71"/>
      <c r="IQ623" s="71"/>
      <c r="IR623" s="71"/>
      <c r="IS623" s="71"/>
      <c r="IT623" s="71"/>
      <c r="IU623" s="71"/>
      <c r="IV623" s="71"/>
      <c r="IW623" s="71"/>
      <c r="IX623" s="71"/>
      <c r="IY623" s="71"/>
      <c r="IZ623" s="71"/>
      <c r="JA623" s="71"/>
    </row>
    <row r="624" spans="1:261" s="92" customFormat="1" x14ac:dyDescent="0.25">
      <c r="A624" s="65" t="s">
        <v>3369</v>
      </c>
      <c r="B624" s="65" t="s">
        <v>3964</v>
      </c>
      <c r="C624" s="66" t="s">
        <v>3477</v>
      </c>
      <c r="D624" s="66" t="s">
        <v>3387</v>
      </c>
      <c r="E624" s="67">
        <v>5.75</v>
      </c>
      <c r="F624" s="68">
        <v>0</v>
      </c>
      <c r="G624" s="68">
        <v>0</v>
      </c>
      <c r="H624" s="68">
        <v>0</v>
      </c>
      <c r="I624" s="68">
        <v>0</v>
      </c>
      <c r="J624" s="68">
        <v>0</v>
      </c>
      <c r="K624" s="68">
        <v>0</v>
      </c>
      <c r="L624" s="68">
        <v>0</v>
      </c>
      <c r="M624" s="68">
        <v>0</v>
      </c>
      <c r="N624" s="68">
        <v>0</v>
      </c>
      <c r="O624" s="68">
        <v>0</v>
      </c>
      <c r="P624" s="68">
        <v>0</v>
      </c>
      <c r="Q624" s="68">
        <v>0</v>
      </c>
      <c r="R624" s="69" t="s">
        <v>3470</v>
      </c>
      <c r="S624" s="69" t="s">
        <v>3471</v>
      </c>
      <c r="T624" s="70" t="s">
        <v>3472</v>
      </c>
      <c r="U624" s="452"/>
      <c r="V624" s="453" t="str">
        <f>IF(VLOOKUP($A624,'GeneratingCapabilityList sorted'!$E$9:$O$801,8,FALSE)&lt;&gt;"",VLOOKUP($A624,'GeneratingCapabilityList sorted'!$E$9:$O$801,8,FALSE),"NoneListed")</f>
        <v>NATURAL GAS</v>
      </c>
      <c r="W624" s="454">
        <f>IF($AB624,$AB624,IF($AA624,$AA624,Scenarios!$B$43))</f>
        <v>29221</v>
      </c>
      <c r="X624" s="454"/>
      <c r="Y624" s="454"/>
      <c r="Z624" s="454"/>
      <c r="AA624" s="454">
        <f>IFERROR(VLOOKUP($A624,'GeneratingCapabilityList sorted'!$E$9:$O$801,11,FALSE),Scenarios!$B$43)</f>
        <v>0</v>
      </c>
      <c r="AB624" s="453"/>
      <c r="AC624" s="453"/>
      <c r="AD624" s="71"/>
      <c r="AE624" s="71"/>
      <c r="AF624" s="71"/>
      <c r="AG624" s="71"/>
      <c r="AH624" s="71"/>
      <c r="AI624" s="71"/>
      <c r="AJ624" s="71"/>
      <c r="AK624" s="71"/>
      <c r="AL624" s="71"/>
      <c r="AM624" s="71"/>
      <c r="AN624" s="71"/>
      <c r="AO624" s="71"/>
      <c r="AP624" s="71"/>
      <c r="AQ624" s="71"/>
      <c r="AR624" s="71"/>
      <c r="AS624" s="71"/>
      <c r="AT624" s="71"/>
      <c r="AU624" s="71"/>
      <c r="AV624" s="71"/>
      <c r="AW624" s="71"/>
      <c r="AX624" s="71"/>
      <c r="AY624" s="71"/>
      <c r="AZ624" s="71"/>
      <c r="BA624" s="71"/>
      <c r="BB624" s="71"/>
      <c r="BC624" s="71"/>
      <c r="BD624" s="71"/>
      <c r="BE624" s="71"/>
      <c r="BF624" s="71"/>
      <c r="BG624" s="71"/>
      <c r="BH624" s="71"/>
      <c r="BI624" s="71"/>
      <c r="BJ624" s="71"/>
      <c r="BK624" s="71"/>
      <c r="BL624" s="71"/>
      <c r="BM624" s="71"/>
      <c r="BN624" s="71"/>
      <c r="BO624" s="71"/>
      <c r="BP624" s="71"/>
      <c r="BQ624" s="71"/>
      <c r="BR624" s="71"/>
      <c r="BS624" s="71"/>
      <c r="BT624" s="71"/>
      <c r="BU624" s="71"/>
      <c r="BV624" s="71"/>
      <c r="BW624" s="71"/>
      <c r="BX624" s="71"/>
      <c r="BY624" s="71"/>
      <c r="BZ624" s="71"/>
      <c r="CA624" s="71"/>
      <c r="CB624" s="71"/>
      <c r="CC624" s="71"/>
      <c r="CD624" s="71"/>
      <c r="CE624" s="71"/>
      <c r="CF624" s="71"/>
      <c r="CG624" s="71"/>
      <c r="CH624" s="71"/>
      <c r="CI624" s="71"/>
      <c r="CJ624" s="71"/>
      <c r="CK624" s="71"/>
      <c r="CL624" s="71"/>
      <c r="CM624" s="71"/>
      <c r="CN624" s="71"/>
      <c r="CO624" s="71"/>
      <c r="CP624" s="71"/>
      <c r="CQ624" s="71"/>
      <c r="CR624" s="71"/>
      <c r="CS624" s="71"/>
      <c r="CT624" s="71"/>
      <c r="CU624" s="71"/>
      <c r="CV624" s="71"/>
      <c r="CW624" s="71"/>
      <c r="CX624" s="71"/>
      <c r="CY624" s="71"/>
      <c r="CZ624" s="71"/>
      <c r="DA624" s="71"/>
      <c r="DB624" s="71"/>
      <c r="DC624" s="71"/>
      <c r="DD624" s="71"/>
      <c r="DE624" s="71"/>
      <c r="DF624" s="71"/>
      <c r="DG624" s="71"/>
      <c r="DH624" s="71"/>
      <c r="DI624" s="71"/>
      <c r="DJ624" s="71"/>
      <c r="DK624" s="71"/>
      <c r="DL624" s="71"/>
      <c r="DM624" s="71"/>
      <c r="DN624" s="71"/>
      <c r="DO624" s="71"/>
      <c r="DP624" s="71"/>
      <c r="DQ624" s="71"/>
      <c r="DR624" s="71"/>
      <c r="DS624" s="71"/>
      <c r="DT624" s="71"/>
      <c r="DU624" s="71"/>
      <c r="DV624" s="71"/>
      <c r="DW624" s="71"/>
      <c r="DX624" s="71"/>
      <c r="DY624" s="71"/>
      <c r="DZ624" s="71"/>
      <c r="EA624" s="71"/>
      <c r="EB624" s="71"/>
      <c r="EC624" s="71"/>
      <c r="ED624" s="71"/>
      <c r="EE624" s="71"/>
      <c r="EF624" s="71"/>
      <c r="EG624" s="71"/>
      <c r="EH624" s="71"/>
      <c r="EI624" s="71"/>
      <c r="EJ624" s="71"/>
      <c r="EK624" s="71"/>
      <c r="EL624" s="71"/>
      <c r="EM624" s="71"/>
      <c r="EN624" s="71"/>
      <c r="EO624" s="71"/>
      <c r="EP624" s="71"/>
      <c r="EQ624" s="71"/>
      <c r="ER624" s="71"/>
      <c r="ES624" s="71"/>
      <c r="ET624" s="71"/>
      <c r="EU624" s="71"/>
      <c r="EV624" s="71"/>
      <c r="EW624" s="71"/>
      <c r="EX624" s="71"/>
      <c r="EY624" s="71"/>
      <c r="EZ624" s="71"/>
      <c r="FA624" s="71"/>
      <c r="FB624" s="71"/>
      <c r="FC624" s="71"/>
      <c r="FD624" s="71"/>
      <c r="FE624" s="71"/>
      <c r="FF624" s="71"/>
      <c r="FG624" s="71"/>
      <c r="FH624" s="71"/>
      <c r="FI624" s="71"/>
      <c r="FJ624" s="71"/>
      <c r="FK624" s="71"/>
      <c r="FL624" s="71"/>
      <c r="FM624" s="71"/>
      <c r="FN624" s="71"/>
      <c r="FO624" s="71"/>
      <c r="FP624" s="71"/>
      <c r="FQ624" s="71"/>
      <c r="FR624" s="71"/>
      <c r="FS624" s="71"/>
      <c r="FT624" s="71"/>
      <c r="FU624" s="71"/>
      <c r="FV624" s="71"/>
      <c r="FW624" s="71"/>
      <c r="FX624" s="71"/>
      <c r="FY624" s="71"/>
      <c r="FZ624" s="71"/>
      <c r="GA624" s="71"/>
      <c r="GB624" s="71"/>
      <c r="GC624" s="71"/>
      <c r="GD624" s="71"/>
      <c r="GE624" s="71"/>
      <c r="GF624" s="71"/>
      <c r="GG624" s="71"/>
      <c r="GH624" s="71"/>
      <c r="GI624" s="71"/>
      <c r="GJ624" s="71"/>
      <c r="GK624" s="71"/>
      <c r="GL624" s="71"/>
      <c r="GM624" s="71"/>
      <c r="GN624" s="71"/>
      <c r="GO624" s="71"/>
      <c r="GP624" s="71"/>
      <c r="GQ624" s="71"/>
      <c r="GR624" s="71"/>
      <c r="GS624" s="71"/>
      <c r="GT624" s="71"/>
      <c r="GU624" s="71"/>
      <c r="GV624" s="71"/>
      <c r="GW624" s="71"/>
      <c r="GX624" s="71"/>
      <c r="GY624" s="71"/>
      <c r="GZ624" s="71"/>
      <c r="HA624" s="71"/>
      <c r="HB624" s="71"/>
      <c r="HC624" s="71"/>
      <c r="HD624" s="71"/>
      <c r="HE624" s="71"/>
      <c r="HF624" s="71"/>
      <c r="HG624" s="71"/>
      <c r="HH624" s="71"/>
      <c r="HI624" s="71"/>
      <c r="HJ624" s="71"/>
      <c r="HK624" s="71"/>
      <c r="HL624" s="71"/>
      <c r="HM624" s="71"/>
      <c r="HN624" s="71"/>
      <c r="HO624" s="71"/>
      <c r="HP624" s="71"/>
      <c r="HQ624" s="71"/>
      <c r="HR624" s="71"/>
      <c r="HS624" s="71"/>
      <c r="HT624" s="71"/>
      <c r="HU624" s="71"/>
      <c r="HV624" s="71"/>
      <c r="HW624" s="71"/>
      <c r="HX624" s="71"/>
      <c r="HY624" s="71"/>
      <c r="HZ624" s="71"/>
      <c r="IA624" s="71"/>
      <c r="IB624" s="71"/>
      <c r="IC624" s="71"/>
      <c r="ID624" s="71"/>
      <c r="IE624" s="71"/>
      <c r="IF624" s="71"/>
      <c r="IG624" s="71"/>
      <c r="IH624" s="71"/>
      <c r="II624" s="71"/>
      <c r="IJ624" s="71"/>
      <c r="IK624" s="71"/>
      <c r="IL624" s="71"/>
      <c r="IM624" s="71"/>
      <c r="IN624" s="71"/>
      <c r="IO624" s="71"/>
      <c r="IP624" s="71"/>
      <c r="IQ624" s="71"/>
      <c r="IR624" s="71"/>
      <c r="IS624" s="71"/>
      <c r="IT624" s="71"/>
      <c r="IU624" s="71"/>
      <c r="IV624" s="71"/>
      <c r="IW624" s="71"/>
      <c r="IX624" s="71"/>
      <c r="IY624" s="71"/>
      <c r="IZ624" s="71"/>
      <c r="JA624" s="71"/>
    </row>
    <row r="625" spans="1:261" s="92" customFormat="1" x14ac:dyDescent="0.25">
      <c r="A625" s="65" t="s">
        <v>2801</v>
      </c>
      <c r="B625" s="65" t="s">
        <v>3965</v>
      </c>
      <c r="C625" s="66" t="s">
        <v>3477</v>
      </c>
      <c r="D625" s="66" t="s">
        <v>3387</v>
      </c>
      <c r="E625" s="67">
        <v>134</v>
      </c>
      <c r="F625" s="68">
        <v>0</v>
      </c>
      <c r="G625" s="68">
        <v>0</v>
      </c>
      <c r="H625" s="68">
        <v>0</v>
      </c>
      <c r="I625" s="68">
        <v>0</v>
      </c>
      <c r="J625" s="68">
        <v>0</v>
      </c>
      <c r="K625" s="68">
        <v>0</v>
      </c>
      <c r="L625" s="68">
        <v>0</v>
      </c>
      <c r="M625" s="68">
        <v>0</v>
      </c>
      <c r="N625" s="68">
        <v>0</v>
      </c>
      <c r="O625" s="68">
        <v>0</v>
      </c>
      <c r="P625" s="68">
        <v>0</v>
      </c>
      <c r="Q625" s="68">
        <v>0</v>
      </c>
      <c r="R625" s="69" t="s">
        <v>3470</v>
      </c>
      <c r="S625" s="69" t="s">
        <v>3471</v>
      </c>
      <c r="T625" s="70" t="s">
        <v>3472</v>
      </c>
      <c r="U625" s="452"/>
      <c r="V625" s="453" t="str">
        <f>IF(VLOOKUP($A625,'GeneratingCapabilityList sorted'!$E$9:$O$801,8,FALSE)&lt;&gt;"",VLOOKUP($A625,'GeneratingCapabilityList sorted'!$E$9:$O$801,8,FALSE),"NoneListed")</f>
        <v>NATURAL GAS</v>
      </c>
      <c r="W625" s="454">
        <f>IF($AB625,$AB625,IF($AA625,$AA625,Scenarios!$B$43))</f>
        <v>38642</v>
      </c>
      <c r="X625" s="454"/>
      <c r="Y625" s="454"/>
      <c r="Z625" s="454"/>
      <c r="AA625" s="454">
        <f>IFERROR(VLOOKUP($A625,'GeneratingCapabilityList sorted'!$E$9:$O$801,11,FALSE),Scenarios!$B$43)</f>
        <v>38642</v>
      </c>
      <c r="AB625" s="453"/>
      <c r="AC625" s="453"/>
      <c r="AD625" s="71"/>
      <c r="AE625" s="71"/>
      <c r="AF625" s="71"/>
      <c r="AG625" s="71"/>
      <c r="AH625" s="71"/>
      <c r="AI625" s="71"/>
      <c r="AJ625" s="71"/>
      <c r="AK625" s="71"/>
      <c r="AL625" s="71"/>
      <c r="AM625" s="71"/>
      <c r="AN625" s="71"/>
      <c r="AO625" s="71"/>
      <c r="AP625" s="71"/>
      <c r="AQ625" s="71"/>
      <c r="AR625" s="71"/>
      <c r="AS625" s="71"/>
      <c r="AT625" s="71"/>
      <c r="AU625" s="71"/>
      <c r="AV625" s="71"/>
      <c r="AW625" s="71"/>
      <c r="AX625" s="71"/>
      <c r="AY625" s="71"/>
      <c r="AZ625" s="71"/>
      <c r="BA625" s="71"/>
      <c r="BB625" s="71"/>
      <c r="BC625" s="71"/>
      <c r="BD625" s="71"/>
      <c r="BE625" s="71"/>
      <c r="BF625" s="71"/>
      <c r="BG625" s="71"/>
      <c r="BH625" s="71"/>
      <c r="BI625" s="71"/>
      <c r="BJ625" s="71"/>
      <c r="BK625" s="71"/>
      <c r="BL625" s="71"/>
      <c r="BM625" s="71"/>
      <c r="BN625" s="71"/>
      <c r="BO625" s="71"/>
      <c r="BP625" s="71"/>
      <c r="BQ625" s="71"/>
      <c r="BR625" s="71"/>
      <c r="BS625" s="71"/>
      <c r="BT625" s="71"/>
      <c r="BU625" s="71"/>
      <c r="BV625" s="71"/>
      <c r="BW625" s="71"/>
      <c r="BX625" s="71"/>
      <c r="BY625" s="71"/>
      <c r="BZ625" s="71"/>
      <c r="CA625" s="71"/>
      <c r="CB625" s="71"/>
      <c r="CC625" s="71"/>
      <c r="CD625" s="71"/>
      <c r="CE625" s="71"/>
      <c r="CF625" s="71"/>
      <c r="CG625" s="71"/>
      <c r="CH625" s="71"/>
      <c r="CI625" s="71"/>
      <c r="CJ625" s="71"/>
      <c r="CK625" s="71"/>
      <c r="CL625" s="71"/>
      <c r="CM625" s="71"/>
      <c r="CN625" s="71"/>
      <c r="CO625" s="71"/>
      <c r="CP625" s="71"/>
      <c r="CQ625" s="71"/>
      <c r="CR625" s="71"/>
      <c r="CS625" s="71"/>
      <c r="CT625" s="71"/>
      <c r="CU625" s="71"/>
      <c r="CV625" s="71"/>
      <c r="CW625" s="71"/>
      <c r="CX625" s="71"/>
      <c r="CY625" s="71"/>
      <c r="CZ625" s="71"/>
      <c r="DA625" s="71"/>
      <c r="DB625" s="71"/>
      <c r="DC625" s="71"/>
      <c r="DD625" s="71"/>
      <c r="DE625" s="71"/>
      <c r="DF625" s="71"/>
      <c r="DG625" s="71"/>
      <c r="DH625" s="71"/>
      <c r="DI625" s="71"/>
      <c r="DJ625" s="71"/>
      <c r="DK625" s="71"/>
      <c r="DL625" s="71"/>
      <c r="DM625" s="71"/>
      <c r="DN625" s="71"/>
      <c r="DO625" s="71"/>
      <c r="DP625" s="71"/>
      <c r="DQ625" s="71"/>
      <c r="DR625" s="71"/>
      <c r="DS625" s="71"/>
      <c r="DT625" s="71"/>
      <c r="DU625" s="71"/>
      <c r="DV625" s="71"/>
      <c r="DW625" s="71"/>
      <c r="DX625" s="71"/>
      <c r="DY625" s="71"/>
      <c r="DZ625" s="71"/>
      <c r="EA625" s="71"/>
      <c r="EB625" s="71"/>
      <c r="EC625" s="71"/>
      <c r="ED625" s="71"/>
      <c r="EE625" s="71"/>
      <c r="EF625" s="71"/>
      <c r="EG625" s="71"/>
      <c r="EH625" s="71"/>
      <c r="EI625" s="71"/>
      <c r="EJ625" s="71"/>
      <c r="EK625" s="71"/>
      <c r="EL625" s="71"/>
      <c r="EM625" s="71"/>
      <c r="EN625" s="71"/>
      <c r="EO625" s="71"/>
      <c r="EP625" s="71"/>
      <c r="EQ625" s="71"/>
      <c r="ER625" s="71"/>
      <c r="ES625" s="71"/>
      <c r="ET625" s="71"/>
      <c r="EU625" s="71"/>
      <c r="EV625" s="71"/>
      <c r="EW625" s="71"/>
      <c r="EX625" s="71"/>
      <c r="EY625" s="71"/>
      <c r="EZ625" s="71"/>
      <c r="FA625" s="71"/>
      <c r="FB625" s="71"/>
      <c r="FC625" s="71"/>
      <c r="FD625" s="71"/>
      <c r="FE625" s="71"/>
      <c r="FF625" s="71"/>
      <c r="FG625" s="71"/>
      <c r="FH625" s="71"/>
      <c r="FI625" s="71"/>
      <c r="FJ625" s="71"/>
      <c r="FK625" s="71"/>
      <c r="FL625" s="71"/>
      <c r="FM625" s="71"/>
      <c r="FN625" s="71"/>
      <c r="FO625" s="71"/>
      <c r="FP625" s="71"/>
      <c r="FQ625" s="71"/>
      <c r="FR625" s="71"/>
      <c r="FS625" s="71"/>
      <c r="FT625" s="71"/>
      <c r="FU625" s="71"/>
      <c r="FV625" s="71"/>
      <c r="FW625" s="71"/>
      <c r="FX625" s="71"/>
      <c r="FY625" s="71"/>
      <c r="FZ625" s="71"/>
      <c r="GA625" s="71"/>
      <c r="GB625" s="71"/>
      <c r="GC625" s="71"/>
      <c r="GD625" s="71"/>
      <c r="GE625" s="71"/>
      <c r="GF625" s="71"/>
      <c r="GG625" s="71"/>
      <c r="GH625" s="71"/>
      <c r="GI625" s="71"/>
      <c r="GJ625" s="71"/>
      <c r="GK625" s="71"/>
      <c r="GL625" s="71"/>
      <c r="GM625" s="71"/>
      <c r="GN625" s="71"/>
      <c r="GO625" s="71"/>
      <c r="GP625" s="71"/>
      <c r="GQ625" s="71"/>
      <c r="GR625" s="71"/>
      <c r="GS625" s="71"/>
      <c r="GT625" s="71"/>
      <c r="GU625" s="71"/>
      <c r="GV625" s="71"/>
      <c r="GW625" s="71"/>
      <c r="GX625" s="71"/>
      <c r="GY625" s="71"/>
      <c r="GZ625" s="71"/>
      <c r="HA625" s="71"/>
      <c r="HB625" s="71"/>
      <c r="HC625" s="71"/>
      <c r="HD625" s="71"/>
      <c r="HE625" s="71"/>
      <c r="HF625" s="71"/>
      <c r="HG625" s="71"/>
      <c r="HH625" s="71"/>
      <c r="HI625" s="71"/>
      <c r="HJ625" s="71"/>
      <c r="HK625" s="71"/>
      <c r="HL625" s="71"/>
      <c r="HM625" s="71"/>
      <c r="HN625" s="71"/>
      <c r="HO625" s="71"/>
      <c r="HP625" s="71"/>
      <c r="HQ625" s="71"/>
      <c r="HR625" s="71"/>
      <c r="HS625" s="71"/>
      <c r="HT625" s="71"/>
      <c r="HU625" s="71"/>
      <c r="HV625" s="71"/>
      <c r="HW625" s="71"/>
      <c r="HX625" s="71"/>
      <c r="HY625" s="71"/>
      <c r="HZ625" s="71"/>
      <c r="IA625" s="71"/>
      <c r="IB625" s="71"/>
      <c r="IC625" s="71"/>
      <c r="ID625" s="71"/>
      <c r="IE625" s="71"/>
      <c r="IF625" s="71"/>
      <c r="IG625" s="71"/>
      <c r="IH625" s="71"/>
      <c r="II625" s="71"/>
      <c r="IJ625" s="71"/>
      <c r="IK625" s="71"/>
      <c r="IL625" s="71"/>
      <c r="IM625" s="71"/>
      <c r="IN625" s="71"/>
      <c r="IO625" s="71"/>
      <c r="IP625" s="71"/>
      <c r="IQ625" s="71"/>
      <c r="IR625" s="71"/>
      <c r="IS625" s="71"/>
      <c r="IT625" s="71"/>
      <c r="IU625" s="71"/>
      <c r="IV625" s="71"/>
      <c r="IW625" s="71"/>
      <c r="IX625" s="71"/>
      <c r="IY625" s="71"/>
      <c r="IZ625" s="71"/>
      <c r="JA625" s="71"/>
    </row>
    <row r="626" spans="1:261" x14ac:dyDescent="0.25">
      <c r="A626" s="65" t="s">
        <v>93</v>
      </c>
      <c r="B626" s="65" t="s">
        <v>3966</v>
      </c>
      <c r="C626" s="66" t="s">
        <v>3477</v>
      </c>
      <c r="D626" s="66" t="s">
        <v>3388</v>
      </c>
      <c r="E626" s="67">
        <v>0</v>
      </c>
      <c r="F626" s="68">
        <v>5.82</v>
      </c>
      <c r="G626" s="68">
        <v>11.54</v>
      </c>
      <c r="H626" s="68">
        <v>18.55</v>
      </c>
      <c r="I626" s="68">
        <v>22.74</v>
      </c>
      <c r="J626" s="68">
        <v>21.92</v>
      </c>
      <c r="K626" s="68">
        <v>18.29</v>
      </c>
      <c r="L626" s="68">
        <v>17.309999999999999</v>
      </c>
      <c r="M626" s="68">
        <v>6.72</v>
      </c>
      <c r="N626" s="68">
        <v>0.6</v>
      </c>
      <c r="O626" s="68">
        <v>-0.01</v>
      </c>
      <c r="P626" s="68">
        <v>2.88</v>
      </c>
      <c r="Q626" s="68">
        <v>2.94</v>
      </c>
      <c r="R626" s="69" t="s">
        <v>3470</v>
      </c>
      <c r="S626" s="69" t="s">
        <v>3489</v>
      </c>
      <c r="T626" s="70" t="s">
        <v>3512</v>
      </c>
      <c r="U626" s="452"/>
      <c r="V626" s="453" t="str">
        <f>IF(VLOOKUP($A626,'GeneratingCapabilityList sorted'!$E$9:$O$801,8,FALSE)&lt;&gt;"",VLOOKUP($A626,'GeneratingCapabilityList sorted'!$E$9:$O$801,8,FALSE),"NoneListed")</f>
        <v>WATER</v>
      </c>
      <c r="W626" s="454">
        <f>IF($AB626,$AB626,IF($AA626,$AA626,Scenarios!$B$43))</f>
        <v>2558</v>
      </c>
      <c r="X626" s="454"/>
      <c r="Y626" s="454"/>
      <c r="Z626" s="454"/>
      <c r="AA626" s="454">
        <f>IFERROR(VLOOKUP($A626,'GeneratingCapabilityList sorted'!$E$9:$O$801,11,FALSE),Scenarios!$B$43)</f>
        <v>2558</v>
      </c>
      <c r="AB626" s="456"/>
      <c r="AC626" s="456"/>
      <c r="AD626" s="92"/>
      <c r="AE626" s="92"/>
      <c r="AF626" s="92"/>
      <c r="AG626" s="92"/>
      <c r="AH626" s="92"/>
      <c r="AI626" s="92"/>
      <c r="AJ626" s="92"/>
      <c r="AK626" s="92"/>
      <c r="AL626" s="92"/>
      <c r="AM626" s="92"/>
      <c r="AN626" s="92"/>
      <c r="AO626" s="92"/>
      <c r="AP626" s="92"/>
      <c r="AQ626" s="92"/>
      <c r="AR626" s="92"/>
      <c r="AS626" s="92"/>
      <c r="AT626" s="92"/>
      <c r="AU626" s="92"/>
      <c r="AV626" s="92"/>
      <c r="AW626" s="92"/>
      <c r="AX626" s="92"/>
      <c r="AY626" s="92"/>
      <c r="AZ626" s="92"/>
      <c r="BA626" s="92"/>
      <c r="BB626" s="92"/>
      <c r="BC626" s="92"/>
      <c r="BD626" s="92"/>
      <c r="BE626" s="92"/>
      <c r="BF626" s="92"/>
      <c r="BG626" s="92"/>
      <c r="BH626" s="92"/>
      <c r="BI626" s="92"/>
      <c r="BJ626" s="92"/>
      <c r="BK626" s="92"/>
      <c r="BL626" s="92"/>
      <c r="BM626" s="92"/>
      <c r="BN626" s="92"/>
      <c r="BO626" s="92"/>
      <c r="BP626" s="92"/>
      <c r="BQ626" s="92"/>
      <c r="BR626" s="92"/>
      <c r="BS626" s="92"/>
      <c r="BT626" s="92"/>
      <c r="BU626" s="92"/>
      <c r="BV626" s="92"/>
      <c r="BW626" s="92"/>
      <c r="BX626" s="92"/>
      <c r="BY626" s="92"/>
      <c r="BZ626" s="92"/>
      <c r="CA626" s="92"/>
      <c r="CB626" s="92"/>
      <c r="CC626" s="92"/>
      <c r="CD626" s="92"/>
      <c r="CE626" s="92"/>
      <c r="CF626" s="92"/>
      <c r="CG626" s="92"/>
      <c r="CH626" s="92"/>
      <c r="CI626" s="92"/>
      <c r="CJ626" s="92"/>
      <c r="CK626" s="92"/>
      <c r="CL626" s="92"/>
      <c r="CM626" s="92"/>
      <c r="CN626" s="92"/>
      <c r="CO626" s="92"/>
      <c r="CP626" s="92"/>
      <c r="CQ626" s="92"/>
      <c r="CR626" s="92"/>
      <c r="CS626" s="92"/>
      <c r="CT626" s="92"/>
      <c r="CU626" s="92"/>
      <c r="CV626" s="92"/>
      <c r="CW626" s="92"/>
      <c r="CX626" s="92"/>
      <c r="CY626" s="92"/>
      <c r="CZ626" s="92"/>
      <c r="DA626" s="92"/>
      <c r="DB626" s="92"/>
      <c r="DC626" s="92"/>
      <c r="DD626" s="92"/>
      <c r="DE626" s="92"/>
      <c r="DF626" s="92"/>
      <c r="DG626" s="92"/>
      <c r="DH626" s="92"/>
      <c r="DI626" s="92"/>
      <c r="DJ626" s="92"/>
      <c r="DK626" s="92"/>
      <c r="DL626" s="92"/>
      <c r="DM626" s="92"/>
      <c r="DN626" s="92"/>
      <c r="DO626" s="92"/>
      <c r="DP626" s="92"/>
      <c r="DQ626" s="92"/>
      <c r="DR626" s="92"/>
      <c r="DS626" s="92"/>
      <c r="DT626" s="92"/>
      <c r="DU626" s="92"/>
      <c r="DV626" s="92"/>
      <c r="DW626" s="92"/>
      <c r="DX626" s="92"/>
      <c r="DY626" s="92"/>
      <c r="DZ626" s="92"/>
      <c r="EA626" s="92"/>
      <c r="EB626" s="92"/>
      <c r="EC626" s="92"/>
      <c r="ED626" s="92"/>
      <c r="EE626" s="92"/>
      <c r="EF626" s="92"/>
      <c r="EG626" s="92"/>
      <c r="EH626" s="92"/>
      <c r="EI626" s="92"/>
      <c r="EJ626" s="92"/>
      <c r="EK626" s="92"/>
      <c r="EL626" s="92"/>
      <c r="EM626" s="92"/>
      <c r="EN626" s="92"/>
      <c r="EO626" s="92"/>
      <c r="EP626" s="92"/>
      <c r="EQ626" s="92"/>
      <c r="ER626" s="92"/>
      <c r="ES626" s="92"/>
      <c r="ET626" s="92"/>
      <c r="EU626" s="92"/>
      <c r="EV626" s="92"/>
      <c r="EW626" s="92"/>
      <c r="EX626" s="92"/>
      <c r="EY626" s="92"/>
      <c r="EZ626" s="92"/>
      <c r="FA626" s="92"/>
      <c r="FB626" s="92"/>
      <c r="FC626" s="92"/>
      <c r="FD626" s="92"/>
      <c r="FE626" s="92"/>
      <c r="FF626" s="92"/>
      <c r="FG626" s="92"/>
      <c r="FH626" s="92"/>
      <c r="FI626" s="92"/>
      <c r="FJ626" s="92"/>
      <c r="FK626" s="92"/>
      <c r="FL626" s="92"/>
      <c r="FM626" s="92"/>
      <c r="FN626" s="92"/>
      <c r="FO626" s="92"/>
      <c r="FP626" s="92"/>
      <c r="FQ626" s="92"/>
      <c r="FR626" s="92"/>
      <c r="FS626" s="92"/>
      <c r="FT626" s="92"/>
      <c r="FU626" s="92"/>
      <c r="FV626" s="92"/>
      <c r="FW626" s="92"/>
      <c r="FX626" s="92"/>
      <c r="FY626" s="92"/>
      <c r="FZ626" s="92"/>
      <c r="GA626" s="92"/>
      <c r="GB626" s="92"/>
      <c r="GC626" s="92"/>
      <c r="GD626" s="92"/>
      <c r="GE626" s="92"/>
      <c r="GF626" s="92"/>
      <c r="GG626" s="92"/>
      <c r="GH626" s="92"/>
      <c r="GI626" s="92"/>
      <c r="GJ626" s="92"/>
      <c r="GK626" s="92"/>
      <c r="GL626" s="92"/>
      <c r="GM626" s="92"/>
      <c r="GN626" s="92"/>
      <c r="GO626" s="92"/>
      <c r="GP626" s="92"/>
      <c r="GQ626" s="92"/>
      <c r="GR626" s="92"/>
      <c r="GS626" s="92"/>
      <c r="GT626" s="92"/>
      <c r="GU626" s="92"/>
      <c r="GV626" s="92"/>
      <c r="GW626" s="92"/>
      <c r="GX626" s="92"/>
      <c r="GY626" s="92"/>
      <c r="GZ626" s="92"/>
      <c r="HA626" s="92"/>
      <c r="HB626" s="92"/>
      <c r="HC626" s="92"/>
      <c r="HD626" s="92"/>
      <c r="HE626" s="92"/>
      <c r="HF626" s="92"/>
      <c r="HG626" s="92"/>
      <c r="HH626" s="92"/>
      <c r="HI626" s="92"/>
      <c r="HJ626" s="92"/>
      <c r="HK626" s="92"/>
      <c r="HL626" s="92"/>
      <c r="HM626" s="92"/>
      <c r="HN626" s="92"/>
      <c r="HO626" s="92"/>
      <c r="HP626" s="92"/>
      <c r="HQ626" s="92"/>
      <c r="HR626" s="92"/>
      <c r="HS626" s="92"/>
      <c r="HT626" s="92"/>
      <c r="HU626" s="92"/>
      <c r="HV626" s="92"/>
      <c r="HW626" s="92"/>
      <c r="HX626" s="92"/>
      <c r="HY626" s="92"/>
      <c r="HZ626" s="92"/>
      <c r="IA626" s="92"/>
      <c r="IB626" s="92"/>
      <c r="IC626" s="92"/>
      <c r="ID626" s="92"/>
      <c r="IE626" s="92"/>
      <c r="IF626" s="92"/>
      <c r="IG626" s="92"/>
      <c r="IH626" s="92"/>
      <c r="II626" s="92"/>
      <c r="IJ626" s="92"/>
      <c r="IK626" s="92"/>
      <c r="IL626" s="92"/>
      <c r="IM626" s="92"/>
      <c r="IN626" s="92"/>
      <c r="IO626" s="92"/>
      <c r="IP626" s="92"/>
      <c r="IQ626" s="92"/>
      <c r="IR626" s="92"/>
      <c r="IS626" s="92"/>
      <c r="IT626" s="92"/>
      <c r="IU626" s="92"/>
      <c r="IV626" s="92"/>
      <c r="IW626" s="92"/>
      <c r="IX626" s="92"/>
      <c r="IY626" s="92"/>
      <c r="IZ626" s="92"/>
      <c r="JA626" s="92"/>
    </row>
    <row r="627" spans="1:261" x14ac:dyDescent="0.25">
      <c r="A627" s="65" t="s">
        <v>1821</v>
      </c>
      <c r="B627" s="65" t="s">
        <v>3967</v>
      </c>
      <c r="C627" s="66" t="s">
        <v>3477</v>
      </c>
      <c r="D627" s="66" t="s">
        <v>3388</v>
      </c>
      <c r="E627" s="67">
        <v>0</v>
      </c>
      <c r="F627" s="68">
        <v>0.24</v>
      </c>
      <c r="G627" s="68">
        <v>0.92</v>
      </c>
      <c r="H627" s="68">
        <v>1.72</v>
      </c>
      <c r="I627" s="68">
        <v>1.57</v>
      </c>
      <c r="J627" s="68">
        <v>5.03</v>
      </c>
      <c r="K627" s="68">
        <v>8.2799999999999994</v>
      </c>
      <c r="L627" s="68">
        <v>7.89</v>
      </c>
      <c r="M627" s="68">
        <v>5.0599999999999996</v>
      </c>
      <c r="N627" s="68">
        <v>0.71</v>
      </c>
      <c r="O627" s="68">
        <v>0.47</v>
      </c>
      <c r="P627" s="68">
        <v>0.55000000000000004</v>
      </c>
      <c r="Q627" s="68">
        <v>1.25</v>
      </c>
      <c r="R627" s="69" t="s">
        <v>3470</v>
      </c>
      <c r="S627" s="69" t="s">
        <v>3489</v>
      </c>
      <c r="T627" s="70" t="s">
        <v>3502</v>
      </c>
      <c r="U627" s="452"/>
      <c r="V627" s="453" t="str">
        <f>IF(VLOOKUP($A627,'GeneratingCapabilityList sorted'!$E$9:$O$801,8,FALSE)&lt;&gt;"",VLOOKUP($A627,'GeneratingCapabilityList sorted'!$E$9:$O$801,8,FALSE),"NoneListed")</f>
        <v>WATER</v>
      </c>
      <c r="W627" s="454">
        <f>IF($AB627,$AB627,IF($AA627,$AA627,Scenarios!$B$43))</f>
        <v>32509</v>
      </c>
      <c r="X627" s="454"/>
      <c r="Y627" s="454"/>
      <c r="Z627" s="454"/>
      <c r="AA627" s="454">
        <f>IFERROR(VLOOKUP($A627,'GeneratingCapabilityList sorted'!$E$9:$O$801,11,FALSE),Scenarios!$B$43)</f>
        <v>32509</v>
      </c>
      <c r="AB627" s="456"/>
      <c r="AC627" s="456"/>
      <c r="AD627" s="92"/>
      <c r="AE627" s="92"/>
      <c r="AF627" s="92"/>
      <c r="AG627" s="92"/>
      <c r="AH627" s="92"/>
      <c r="AI627" s="92"/>
      <c r="AJ627" s="92"/>
      <c r="AK627" s="92"/>
      <c r="AL627" s="92"/>
      <c r="AM627" s="92"/>
      <c r="AN627" s="92"/>
      <c r="AO627" s="92"/>
      <c r="AP627" s="92"/>
      <c r="AQ627" s="92"/>
      <c r="AR627" s="92"/>
      <c r="AS627" s="92"/>
      <c r="AT627" s="92"/>
      <c r="AU627" s="92"/>
      <c r="AV627" s="92"/>
      <c r="AW627" s="92"/>
      <c r="AX627" s="92"/>
      <c r="AY627" s="92"/>
      <c r="AZ627" s="92"/>
      <c r="BA627" s="92"/>
      <c r="BB627" s="92"/>
      <c r="BC627" s="92"/>
      <c r="BD627" s="92"/>
      <c r="BE627" s="92"/>
      <c r="BF627" s="92"/>
      <c r="BG627" s="92"/>
      <c r="BH627" s="92"/>
      <c r="BI627" s="92"/>
      <c r="BJ627" s="92"/>
      <c r="BK627" s="92"/>
      <c r="BL627" s="92"/>
      <c r="BM627" s="92"/>
      <c r="BN627" s="92"/>
      <c r="BO627" s="92"/>
      <c r="BP627" s="92"/>
      <c r="BQ627" s="92"/>
      <c r="BR627" s="92"/>
      <c r="BS627" s="92"/>
      <c r="BT627" s="92"/>
      <c r="BU627" s="92"/>
      <c r="BV627" s="92"/>
      <c r="BW627" s="92"/>
      <c r="BX627" s="92"/>
      <c r="BY627" s="92"/>
      <c r="BZ627" s="92"/>
      <c r="CA627" s="92"/>
      <c r="CB627" s="92"/>
      <c r="CC627" s="92"/>
      <c r="CD627" s="92"/>
      <c r="CE627" s="92"/>
      <c r="CF627" s="92"/>
      <c r="CG627" s="92"/>
      <c r="CH627" s="92"/>
      <c r="CI627" s="92"/>
      <c r="CJ627" s="92"/>
      <c r="CK627" s="92"/>
      <c r="CL627" s="92"/>
      <c r="CM627" s="92"/>
      <c r="CN627" s="92"/>
      <c r="CO627" s="92"/>
      <c r="CP627" s="92"/>
      <c r="CQ627" s="92"/>
      <c r="CR627" s="92"/>
      <c r="CS627" s="92"/>
      <c r="CT627" s="92"/>
      <c r="CU627" s="92"/>
      <c r="CV627" s="92"/>
      <c r="CW627" s="92"/>
      <c r="CX627" s="92"/>
      <c r="CY627" s="92"/>
      <c r="CZ627" s="92"/>
      <c r="DA627" s="92"/>
      <c r="DB627" s="92"/>
      <c r="DC627" s="92"/>
      <c r="DD627" s="92"/>
      <c r="DE627" s="92"/>
      <c r="DF627" s="92"/>
      <c r="DG627" s="92"/>
      <c r="DH627" s="92"/>
      <c r="DI627" s="92"/>
      <c r="DJ627" s="92"/>
      <c r="DK627" s="92"/>
      <c r="DL627" s="92"/>
      <c r="DM627" s="92"/>
      <c r="DN627" s="92"/>
      <c r="DO627" s="92"/>
      <c r="DP627" s="92"/>
      <c r="DQ627" s="92"/>
      <c r="DR627" s="92"/>
      <c r="DS627" s="92"/>
      <c r="DT627" s="92"/>
      <c r="DU627" s="92"/>
      <c r="DV627" s="92"/>
      <c r="DW627" s="92"/>
      <c r="DX627" s="92"/>
      <c r="DY627" s="92"/>
      <c r="DZ627" s="92"/>
      <c r="EA627" s="92"/>
      <c r="EB627" s="92"/>
      <c r="EC627" s="92"/>
      <c r="ED627" s="92"/>
      <c r="EE627" s="92"/>
      <c r="EF627" s="92"/>
      <c r="EG627" s="92"/>
      <c r="EH627" s="92"/>
      <c r="EI627" s="92"/>
      <c r="EJ627" s="92"/>
      <c r="EK627" s="92"/>
      <c r="EL627" s="92"/>
      <c r="EM627" s="92"/>
      <c r="EN627" s="92"/>
      <c r="EO627" s="92"/>
      <c r="EP627" s="92"/>
      <c r="EQ627" s="92"/>
      <c r="ER627" s="92"/>
      <c r="ES627" s="92"/>
      <c r="ET627" s="92"/>
      <c r="EU627" s="92"/>
      <c r="EV627" s="92"/>
      <c r="EW627" s="92"/>
      <c r="EX627" s="92"/>
      <c r="EY627" s="92"/>
      <c r="EZ627" s="92"/>
      <c r="FA627" s="92"/>
      <c r="FB627" s="92"/>
      <c r="FC627" s="92"/>
      <c r="FD627" s="92"/>
      <c r="FE627" s="92"/>
      <c r="FF627" s="92"/>
      <c r="FG627" s="92"/>
      <c r="FH627" s="92"/>
      <c r="FI627" s="92"/>
      <c r="FJ627" s="92"/>
      <c r="FK627" s="92"/>
      <c r="FL627" s="92"/>
      <c r="FM627" s="92"/>
      <c r="FN627" s="92"/>
      <c r="FO627" s="92"/>
      <c r="FP627" s="92"/>
      <c r="FQ627" s="92"/>
      <c r="FR627" s="92"/>
      <c r="FS627" s="92"/>
      <c r="FT627" s="92"/>
      <c r="FU627" s="92"/>
      <c r="FV627" s="92"/>
      <c r="FW627" s="92"/>
      <c r="FX627" s="92"/>
      <c r="FY627" s="92"/>
      <c r="FZ627" s="92"/>
      <c r="GA627" s="92"/>
      <c r="GB627" s="92"/>
      <c r="GC627" s="92"/>
      <c r="GD627" s="92"/>
      <c r="GE627" s="92"/>
      <c r="GF627" s="92"/>
      <c r="GG627" s="92"/>
      <c r="GH627" s="92"/>
      <c r="GI627" s="92"/>
      <c r="GJ627" s="92"/>
      <c r="GK627" s="92"/>
      <c r="GL627" s="92"/>
      <c r="GM627" s="92"/>
      <c r="GN627" s="92"/>
      <c r="GO627" s="92"/>
      <c r="GP627" s="92"/>
      <c r="GQ627" s="92"/>
      <c r="GR627" s="92"/>
      <c r="GS627" s="92"/>
      <c r="GT627" s="92"/>
      <c r="GU627" s="92"/>
      <c r="GV627" s="92"/>
      <c r="GW627" s="92"/>
      <c r="GX627" s="92"/>
      <c r="GY627" s="92"/>
      <c r="GZ627" s="92"/>
      <c r="HA627" s="92"/>
      <c r="HB627" s="92"/>
      <c r="HC627" s="92"/>
      <c r="HD627" s="92"/>
      <c r="HE627" s="92"/>
      <c r="HF627" s="92"/>
      <c r="HG627" s="92"/>
      <c r="HH627" s="92"/>
      <c r="HI627" s="92"/>
      <c r="HJ627" s="92"/>
      <c r="HK627" s="92"/>
      <c r="HL627" s="92"/>
      <c r="HM627" s="92"/>
      <c r="HN627" s="92"/>
      <c r="HO627" s="92"/>
      <c r="HP627" s="92"/>
      <c r="HQ627" s="92"/>
      <c r="HR627" s="92"/>
      <c r="HS627" s="92"/>
      <c r="HT627" s="92"/>
      <c r="HU627" s="92"/>
      <c r="HV627" s="92"/>
      <c r="HW627" s="92"/>
      <c r="HX627" s="92"/>
      <c r="HY627" s="92"/>
      <c r="HZ627" s="92"/>
      <c r="IA627" s="92"/>
      <c r="IB627" s="92"/>
      <c r="IC627" s="92"/>
      <c r="ID627" s="92"/>
      <c r="IE627" s="92"/>
      <c r="IF627" s="92"/>
      <c r="IG627" s="92"/>
      <c r="IH627" s="92"/>
      <c r="II627" s="92"/>
      <c r="IJ627" s="92"/>
      <c r="IK627" s="92"/>
      <c r="IL627" s="92"/>
      <c r="IM627" s="92"/>
      <c r="IN627" s="92"/>
      <c r="IO627" s="92"/>
      <c r="IP627" s="92"/>
      <c r="IQ627" s="92"/>
      <c r="IR627" s="92"/>
      <c r="IS627" s="92"/>
      <c r="IT627" s="92"/>
      <c r="IU627" s="92"/>
      <c r="IV627" s="92"/>
      <c r="IW627" s="92"/>
      <c r="IX627" s="92"/>
      <c r="IY627" s="92"/>
      <c r="IZ627" s="92"/>
      <c r="JA627" s="92"/>
    </row>
    <row r="628" spans="1:261" x14ac:dyDescent="0.25">
      <c r="A628" s="65" t="s">
        <v>1921</v>
      </c>
      <c r="B628" s="65" t="s">
        <v>1922</v>
      </c>
      <c r="C628" s="66" t="s">
        <v>3477</v>
      </c>
      <c r="D628" s="66" t="s">
        <v>3388</v>
      </c>
      <c r="E628" s="67">
        <v>0</v>
      </c>
      <c r="F628" s="68">
        <v>34.93</v>
      </c>
      <c r="G628" s="68">
        <v>35.65</v>
      </c>
      <c r="H628" s="68">
        <v>14.68</v>
      </c>
      <c r="I628" s="68">
        <v>30.88</v>
      </c>
      <c r="J628" s="68">
        <v>35.71</v>
      </c>
      <c r="K628" s="68">
        <v>35.520000000000003</v>
      </c>
      <c r="L628" s="68">
        <v>35.44</v>
      </c>
      <c r="M628" s="68">
        <v>34.700000000000003</v>
      </c>
      <c r="N628" s="68">
        <v>34.32</v>
      </c>
      <c r="O628" s="68">
        <v>35.21</v>
      </c>
      <c r="P628" s="68">
        <v>33.130000000000003</v>
      </c>
      <c r="Q628" s="68">
        <v>34.21</v>
      </c>
      <c r="R628" s="69" t="s">
        <v>3470</v>
      </c>
      <c r="S628" s="69" t="s">
        <v>3489</v>
      </c>
      <c r="T628" s="70" t="s">
        <v>3497</v>
      </c>
      <c r="U628" s="452"/>
      <c r="V628" s="453" t="str">
        <f>IF(VLOOKUP($A628,'GeneratingCapabilityList sorted'!$E$9:$O$801,8,FALSE)&lt;&gt;"",VLOOKUP($A628,'GeneratingCapabilityList sorted'!$E$9:$O$801,8,FALSE),"NoneListed")</f>
        <v>PETROLEUM COKE</v>
      </c>
      <c r="W628" s="454">
        <f>IF($AB628,$AB628,IF($AA628,$AA628,Scenarios!$B$43))</f>
        <v>32814</v>
      </c>
      <c r="X628" s="454"/>
      <c r="Y628" s="454"/>
      <c r="Z628" s="454"/>
      <c r="AA628" s="454">
        <f>IFERROR(VLOOKUP($A628,'GeneratingCapabilityList sorted'!$E$9:$O$801,11,FALSE),Scenarios!$B$43)</f>
        <v>32814</v>
      </c>
      <c r="AB628" s="456"/>
      <c r="AC628" s="456"/>
      <c r="AD628" s="92"/>
      <c r="AE628" s="92"/>
      <c r="AF628" s="92"/>
      <c r="AG628" s="92"/>
      <c r="AH628" s="92"/>
      <c r="AI628" s="92"/>
      <c r="AJ628" s="92"/>
      <c r="AK628" s="92"/>
      <c r="AL628" s="92"/>
      <c r="AM628" s="92"/>
      <c r="AN628" s="92"/>
      <c r="AO628" s="92"/>
      <c r="AP628" s="92"/>
      <c r="AQ628" s="92"/>
      <c r="AR628" s="92"/>
      <c r="AS628" s="92"/>
      <c r="AT628" s="92"/>
      <c r="AU628" s="92"/>
      <c r="AV628" s="92"/>
      <c r="AW628" s="92"/>
      <c r="AX628" s="92"/>
      <c r="AY628" s="92"/>
      <c r="AZ628" s="92"/>
      <c r="BA628" s="92"/>
      <c r="BB628" s="92"/>
      <c r="BC628" s="92"/>
      <c r="BD628" s="92"/>
      <c r="BE628" s="92"/>
      <c r="BF628" s="92"/>
      <c r="BG628" s="92"/>
      <c r="BH628" s="92"/>
      <c r="BI628" s="92"/>
      <c r="BJ628" s="92"/>
      <c r="BK628" s="92"/>
      <c r="BL628" s="92"/>
      <c r="BM628" s="92"/>
      <c r="BN628" s="92"/>
      <c r="BO628" s="92"/>
      <c r="BP628" s="92"/>
      <c r="BQ628" s="92"/>
      <c r="BR628" s="92"/>
      <c r="BS628" s="92"/>
      <c r="BT628" s="92"/>
      <c r="BU628" s="92"/>
      <c r="BV628" s="92"/>
      <c r="BW628" s="92"/>
      <c r="BX628" s="92"/>
      <c r="BY628" s="92"/>
      <c r="BZ628" s="92"/>
      <c r="CA628" s="92"/>
      <c r="CB628" s="92"/>
      <c r="CC628" s="92"/>
      <c r="CD628" s="92"/>
      <c r="CE628" s="92"/>
      <c r="CF628" s="92"/>
      <c r="CG628" s="92"/>
      <c r="CH628" s="92"/>
      <c r="CI628" s="92"/>
      <c r="CJ628" s="92"/>
      <c r="CK628" s="92"/>
      <c r="CL628" s="92"/>
      <c r="CM628" s="92"/>
      <c r="CN628" s="92"/>
      <c r="CO628" s="92"/>
      <c r="CP628" s="92"/>
      <c r="CQ628" s="92"/>
      <c r="CR628" s="92"/>
      <c r="CS628" s="92"/>
      <c r="CT628" s="92"/>
      <c r="CU628" s="92"/>
      <c r="CV628" s="92"/>
      <c r="CW628" s="92"/>
      <c r="CX628" s="92"/>
      <c r="CY628" s="92"/>
      <c r="CZ628" s="92"/>
      <c r="DA628" s="92"/>
      <c r="DB628" s="92"/>
      <c r="DC628" s="92"/>
      <c r="DD628" s="92"/>
      <c r="DE628" s="92"/>
      <c r="DF628" s="92"/>
      <c r="DG628" s="92"/>
      <c r="DH628" s="92"/>
      <c r="DI628" s="92"/>
      <c r="DJ628" s="92"/>
      <c r="DK628" s="92"/>
      <c r="DL628" s="92"/>
      <c r="DM628" s="92"/>
      <c r="DN628" s="92"/>
      <c r="DO628" s="92"/>
      <c r="DP628" s="92"/>
      <c r="DQ628" s="92"/>
      <c r="DR628" s="92"/>
      <c r="DS628" s="92"/>
      <c r="DT628" s="92"/>
      <c r="DU628" s="92"/>
      <c r="DV628" s="92"/>
      <c r="DW628" s="92"/>
      <c r="DX628" s="92"/>
      <c r="DY628" s="92"/>
      <c r="DZ628" s="92"/>
      <c r="EA628" s="92"/>
      <c r="EB628" s="92"/>
      <c r="EC628" s="92"/>
      <c r="ED628" s="92"/>
      <c r="EE628" s="92"/>
      <c r="EF628" s="92"/>
      <c r="EG628" s="92"/>
      <c r="EH628" s="92"/>
      <c r="EI628" s="92"/>
      <c r="EJ628" s="92"/>
      <c r="EK628" s="92"/>
      <c r="EL628" s="92"/>
      <c r="EM628" s="92"/>
      <c r="EN628" s="92"/>
      <c r="EO628" s="92"/>
      <c r="EP628" s="92"/>
      <c r="EQ628" s="92"/>
      <c r="ER628" s="92"/>
      <c r="ES628" s="92"/>
      <c r="ET628" s="92"/>
      <c r="EU628" s="92"/>
      <c r="EV628" s="92"/>
      <c r="EW628" s="92"/>
      <c r="EX628" s="92"/>
      <c r="EY628" s="92"/>
      <c r="EZ628" s="92"/>
      <c r="FA628" s="92"/>
      <c r="FB628" s="92"/>
      <c r="FC628" s="92"/>
      <c r="FD628" s="92"/>
      <c r="FE628" s="92"/>
      <c r="FF628" s="92"/>
      <c r="FG628" s="92"/>
      <c r="FH628" s="92"/>
      <c r="FI628" s="92"/>
      <c r="FJ628" s="92"/>
      <c r="FK628" s="92"/>
      <c r="FL628" s="92"/>
      <c r="FM628" s="92"/>
      <c r="FN628" s="92"/>
      <c r="FO628" s="92"/>
      <c r="FP628" s="92"/>
      <c r="FQ628" s="92"/>
      <c r="FR628" s="92"/>
      <c r="FS628" s="92"/>
      <c r="FT628" s="92"/>
      <c r="FU628" s="92"/>
      <c r="FV628" s="92"/>
      <c r="FW628" s="92"/>
      <c r="FX628" s="92"/>
      <c r="FY628" s="92"/>
      <c r="FZ628" s="92"/>
      <c r="GA628" s="92"/>
      <c r="GB628" s="92"/>
      <c r="GC628" s="92"/>
      <c r="GD628" s="92"/>
      <c r="GE628" s="92"/>
      <c r="GF628" s="92"/>
      <c r="GG628" s="92"/>
      <c r="GH628" s="92"/>
      <c r="GI628" s="92"/>
      <c r="GJ628" s="92"/>
      <c r="GK628" s="92"/>
      <c r="GL628" s="92"/>
      <c r="GM628" s="92"/>
      <c r="GN628" s="92"/>
      <c r="GO628" s="92"/>
      <c r="GP628" s="92"/>
      <c r="GQ628" s="92"/>
      <c r="GR628" s="92"/>
      <c r="GS628" s="92"/>
      <c r="GT628" s="92"/>
      <c r="GU628" s="92"/>
      <c r="GV628" s="92"/>
      <c r="GW628" s="92"/>
      <c r="GX628" s="92"/>
      <c r="GY628" s="92"/>
      <c r="GZ628" s="92"/>
      <c r="HA628" s="92"/>
      <c r="HB628" s="92"/>
      <c r="HC628" s="92"/>
      <c r="HD628" s="92"/>
      <c r="HE628" s="92"/>
      <c r="HF628" s="92"/>
      <c r="HG628" s="92"/>
      <c r="HH628" s="92"/>
      <c r="HI628" s="92"/>
      <c r="HJ628" s="92"/>
      <c r="HK628" s="92"/>
      <c r="HL628" s="92"/>
      <c r="HM628" s="92"/>
      <c r="HN628" s="92"/>
      <c r="HO628" s="92"/>
      <c r="HP628" s="92"/>
      <c r="HQ628" s="92"/>
      <c r="HR628" s="92"/>
      <c r="HS628" s="92"/>
      <c r="HT628" s="92"/>
      <c r="HU628" s="92"/>
      <c r="HV628" s="92"/>
      <c r="HW628" s="92"/>
      <c r="HX628" s="92"/>
      <c r="HY628" s="92"/>
      <c r="HZ628" s="92"/>
      <c r="IA628" s="92"/>
      <c r="IB628" s="92"/>
      <c r="IC628" s="92"/>
      <c r="ID628" s="92"/>
      <c r="IE628" s="92"/>
      <c r="IF628" s="92"/>
      <c r="IG628" s="92"/>
      <c r="IH628" s="92"/>
      <c r="II628" s="92"/>
      <c r="IJ628" s="92"/>
      <c r="IK628" s="92"/>
      <c r="IL628" s="92"/>
      <c r="IM628" s="92"/>
      <c r="IN628" s="92"/>
      <c r="IO628" s="92"/>
      <c r="IP628" s="92"/>
      <c r="IQ628" s="92"/>
      <c r="IR628" s="92"/>
      <c r="IS628" s="92"/>
      <c r="IT628" s="92"/>
      <c r="IU628" s="92"/>
      <c r="IV628" s="92"/>
      <c r="IW628" s="92"/>
      <c r="IX628" s="92"/>
      <c r="IY628" s="92"/>
      <c r="IZ628" s="92"/>
      <c r="JA628" s="92"/>
    </row>
    <row r="629" spans="1:261" x14ac:dyDescent="0.25">
      <c r="A629" s="65" t="s">
        <v>1186</v>
      </c>
      <c r="B629" s="65" t="s">
        <v>1187</v>
      </c>
      <c r="C629" s="66" t="s">
        <v>3477</v>
      </c>
      <c r="D629" s="66" t="s">
        <v>3388</v>
      </c>
      <c r="E629" s="67">
        <v>0</v>
      </c>
      <c r="F629" s="68">
        <v>3.26</v>
      </c>
      <c r="G629" s="68">
        <v>4.12</v>
      </c>
      <c r="H629" s="68">
        <v>3.59</v>
      </c>
      <c r="I629" s="68">
        <v>5.05</v>
      </c>
      <c r="J629" s="68">
        <v>3.73</v>
      </c>
      <c r="K629" s="68">
        <v>5.85</v>
      </c>
      <c r="L629" s="68">
        <v>6.04</v>
      </c>
      <c r="M629" s="68">
        <v>5.57</v>
      </c>
      <c r="N629" s="68">
        <v>5.69</v>
      </c>
      <c r="O629" s="68">
        <v>4.01</v>
      </c>
      <c r="P629" s="68">
        <v>4.24</v>
      </c>
      <c r="Q629" s="68">
        <v>5.03</v>
      </c>
      <c r="R629" s="69" t="s">
        <v>3470</v>
      </c>
      <c r="S629" s="69" t="s">
        <v>3489</v>
      </c>
      <c r="T629" s="70" t="s">
        <v>3497</v>
      </c>
      <c r="U629" s="452"/>
      <c r="V629" s="453" t="str">
        <f>IF(VLOOKUP($A629,'GeneratingCapabilityList sorted'!$E$9:$O$801,8,FALSE)&lt;&gt;"",VLOOKUP($A629,'GeneratingCapabilityList sorted'!$E$9:$O$801,8,FALSE),"NoneListed")</f>
        <v>WOOD WASTE</v>
      </c>
      <c r="W629" s="454">
        <f>IF($AB629,$AB629,IF($AA629,$AA629,Scenarios!$B$43))</f>
        <v>31048</v>
      </c>
      <c r="X629" s="454"/>
      <c r="Y629" s="454"/>
      <c r="Z629" s="454"/>
      <c r="AA629" s="454">
        <f>IFERROR(VLOOKUP($A629,'GeneratingCapabilityList sorted'!$E$9:$O$801,11,FALSE),Scenarios!$B$43)</f>
        <v>31048</v>
      </c>
      <c r="AB629" s="456"/>
      <c r="AC629" s="456"/>
      <c r="AD629" s="92"/>
      <c r="AE629" s="92"/>
      <c r="AF629" s="92"/>
      <c r="AG629" s="92"/>
      <c r="AH629" s="92"/>
      <c r="AI629" s="92"/>
      <c r="AJ629" s="92"/>
      <c r="AK629" s="92"/>
      <c r="AL629" s="92"/>
      <c r="AM629" s="92"/>
      <c r="AN629" s="92"/>
      <c r="AO629" s="92"/>
      <c r="AP629" s="92"/>
      <c r="AQ629" s="92"/>
      <c r="AR629" s="92"/>
      <c r="AS629" s="92"/>
      <c r="AT629" s="92"/>
      <c r="AU629" s="92"/>
      <c r="AV629" s="92"/>
      <c r="AW629" s="92"/>
      <c r="AX629" s="92"/>
      <c r="AY629" s="92"/>
      <c r="AZ629" s="92"/>
      <c r="BA629" s="92"/>
      <c r="BB629" s="92"/>
      <c r="BC629" s="92"/>
      <c r="BD629" s="92"/>
      <c r="BE629" s="92"/>
      <c r="BF629" s="92"/>
      <c r="BG629" s="92"/>
      <c r="BH629" s="92"/>
      <c r="BI629" s="92"/>
      <c r="BJ629" s="92"/>
      <c r="BK629" s="92"/>
      <c r="BL629" s="92"/>
      <c r="BM629" s="92"/>
      <c r="BN629" s="92"/>
      <c r="BO629" s="92"/>
      <c r="BP629" s="92"/>
      <c r="BQ629" s="92"/>
      <c r="BR629" s="92"/>
      <c r="BS629" s="92"/>
      <c r="BT629" s="92"/>
      <c r="BU629" s="92"/>
      <c r="BV629" s="92"/>
      <c r="BW629" s="92"/>
      <c r="BX629" s="92"/>
      <c r="BY629" s="92"/>
      <c r="BZ629" s="92"/>
      <c r="CA629" s="92"/>
      <c r="CB629" s="92"/>
      <c r="CC629" s="92"/>
      <c r="CD629" s="92"/>
      <c r="CE629" s="92"/>
      <c r="CF629" s="92"/>
      <c r="CG629" s="92"/>
      <c r="CH629" s="92"/>
      <c r="CI629" s="92"/>
      <c r="CJ629" s="92"/>
      <c r="CK629" s="92"/>
      <c r="CL629" s="92"/>
      <c r="CM629" s="92"/>
      <c r="CN629" s="92"/>
      <c r="CO629" s="92"/>
      <c r="CP629" s="92"/>
      <c r="CQ629" s="92"/>
      <c r="CR629" s="92"/>
      <c r="CS629" s="92"/>
      <c r="CT629" s="92"/>
      <c r="CU629" s="92"/>
      <c r="CV629" s="92"/>
      <c r="CW629" s="92"/>
      <c r="CX629" s="92"/>
      <c r="CY629" s="92"/>
      <c r="CZ629" s="92"/>
      <c r="DA629" s="92"/>
      <c r="DB629" s="92"/>
      <c r="DC629" s="92"/>
      <c r="DD629" s="92"/>
      <c r="DE629" s="92"/>
      <c r="DF629" s="92"/>
      <c r="DG629" s="92"/>
      <c r="DH629" s="92"/>
      <c r="DI629" s="92"/>
      <c r="DJ629" s="92"/>
      <c r="DK629" s="92"/>
      <c r="DL629" s="92"/>
      <c r="DM629" s="92"/>
      <c r="DN629" s="92"/>
      <c r="DO629" s="92"/>
      <c r="DP629" s="92"/>
      <c r="DQ629" s="92"/>
      <c r="DR629" s="92"/>
      <c r="DS629" s="92"/>
      <c r="DT629" s="92"/>
      <c r="DU629" s="92"/>
      <c r="DV629" s="92"/>
      <c r="DW629" s="92"/>
      <c r="DX629" s="92"/>
      <c r="DY629" s="92"/>
      <c r="DZ629" s="92"/>
      <c r="EA629" s="92"/>
      <c r="EB629" s="92"/>
      <c r="EC629" s="92"/>
      <c r="ED629" s="92"/>
      <c r="EE629" s="92"/>
      <c r="EF629" s="92"/>
      <c r="EG629" s="92"/>
      <c r="EH629" s="92"/>
      <c r="EI629" s="92"/>
      <c r="EJ629" s="92"/>
      <c r="EK629" s="92"/>
      <c r="EL629" s="92"/>
      <c r="EM629" s="92"/>
      <c r="EN629" s="92"/>
      <c r="EO629" s="92"/>
      <c r="EP629" s="92"/>
      <c r="EQ629" s="92"/>
      <c r="ER629" s="92"/>
      <c r="ES629" s="92"/>
      <c r="ET629" s="92"/>
      <c r="EU629" s="92"/>
      <c r="EV629" s="92"/>
      <c r="EW629" s="92"/>
      <c r="EX629" s="92"/>
      <c r="EY629" s="92"/>
      <c r="EZ629" s="92"/>
      <c r="FA629" s="92"/>
      <c r="FB629" s="92"/>
      <c r="FC629" s="92"/>
      <c r="FD629" s="92"/>
      <c r="FE629" s="92"/>
      <c r="FF629" s="92"/>
      <c r="FG629" s="92"/>
      <c r="FH629" s="92"/>
      <c r="FI629" s="92"/>
      <c r="FJ629" s="92"/>
      <c r="FK629" s="92"/>
      <c r="FL629" s="92"/>
      <c r="FM629" s="92"/>
      <c r="FN629" s="92"/>
      <c r="FO629" s="92"/>
      <c r="FP629" s="92"/>
      <c r="FQ629" s="92"/>
      <c r="FR629" s="92"/>
      <c r="FS629" s="92"/>
      <c r="FT629" s="92"/>
      <c r="FU629" s="92"/>
      <c r="FV629" s="92"/>
      <c r="FW629" s="92"/>
      <c r="FX629" s="92"/>
      <c r="FY629" s="92"/>
      <c r="FZ629" s="92"/>
      <c r="GA629" s="92"/>
      <c r="GB629" s="92"/>
      <c r="GC629" s="92"/>
      <c r="GD629" s="92"/>
      <c r="GE629" s="92"/>
      <c r="GF629" s="92"/>
      <c r="GG629" s="92"/>
      <c r="GH629" s="92"/>
      <c r="GI629" s="92"/>
      <c r="GJ629" s="92"/>
      <c r="GK629" s="92"/>
      <c r="GL629" s="92"/>
      <c r="GM629" s="92"/>
      <c r="GN629" s="92"/>
      <c r="GO629" s="92"/>
      <c r="GP629" s="92"/>
      <c r="GQ629" s="92"/>
      <c r="GR629" s="92"/>
      <c r="GS629" s="92"/>
      <c r="GT629" s="92"/>
      <c r="GU629" s="92"/>
      <c r="GV629" s="92"/>
      <c r="GW629" s="92"/>
      <c r="GX629" s="92"/>
      <c r="GY629" s="92"/>
      <c r="GZ629" s="92"/>
      <c r="HA629" s="92"/>
      <c r="HB629" s="92"/>
      <c r="HC629" s="92"/>
      <c r="HD629" s="92"/>
      <c r="HE629" s="92"/>
      <c r="HF629" s="92"/>
      <c r="HG629" s="92"/>
      <c r="HH629" s="92"/>
      <c r="HI629" s="92"/>
      <c r="HJ629" s="92"/>
      <c r="HK629" s="92"/>
      <c r="HL629" s="92"/>
      <c r="HM629" s="92"/>
      <c r="HN629" s="92"/>
      <c r="HO629" s="92"/>
      <c r="HP629" s="92"/>
      <c r="HQ629" s="92"/>
      <c r="HR629" s="92"/>
      <c r="HS629" s="92"/>
      <c r="HT629" s="92"/>
      <c r="HU629" s="92"/>
      <c r="HV629" s="92"/>
      <c r="HW629" s="92"/>
      <c r="HX629" s="92"/>
      <c r="HY629" s="92"/>
      <c r="HZ629" s="92"/>
      <c r="IA629" s="92"/>
      <c r="IB629" s="92"/>
      <c r="IC629" s="92"/>
      <c r="ID629" s="92"/>
      <c r="IE629" s="92"/>
      <c r="IF629" s="92"/>
      <c r="IG629" s="92"/>
      <c r="IH629" s="92"/>
      <c r="II629" s="92"/>
      <c r="IJ629" s="92"/>
      <c r="IK629" s="92"/>
      <c r="IL629" s="92"/>
      <c r="IM629" s="92"/>
      <c r="IN629" s="92"/>
      <c r="IO629" s="92"/>
      <c r="IP629" s="92"/>
      <c r="IQ629" s="92"/>
      <c r="IR629" s="92"/>
      <c r="IS629" s="92"/>
      <c r="IT629" s="92"/>
      <c r="IU629" s="92"/>
      <c r="IV629" s="92"/>
      <c r="IW629" s="92"/>
      <c r="IX629" s="92"/>
      <c r="IY629" s="92"/>
      <c r="IZ629" s="92"/>
      <c r="JA629" s="92"/>
    </row>
    <row r="630" spans="1:261" x14ac:dyDescent="0.25">
      <c r="A630" s="65" t="s">
        <v>390</v>
      </c>
      <c r="B630" s="65" t="s">
        <v>3968</v>
      </c>
      <c r="C630" s="66" t="s">
        <v>3477</v>
      </c>
      <c r="D630" s="66" t="s">
        <v>3488</v>
      </c>
      <c r="E630" s="67">
        <v>0</v>
      </c>
      <c r="F630" s="68">
        <v>0</v>
      </c>
      <c r="G630" s="68">
        <v>0</v>
      </c>
      <c r="H630" s="68">
        <v>0</v>
      </c>
      <c r="I630" s="68">
        <v>0</v>
      </c>
      <c r="J630" s="68">
        <v>0</v>
      </c>
      <c r="K630" s="68">
        <v>0</v>
      </c>
      <c r="L630" s="68">
        <v>0</v>
      </c>
      <c r="M630" s="68">
        <v>0</v>
      </c>
      <c r="N630" s="68">
        <v>0</v>
      </c>
      <c r="O630" s="68">
        <v>0</v>
      </c>
      <c r="P630" s="68">
        <v>0</v>
      </c>
      <c r="Q630" s="68">
        <v>0</v>
      </c>
      <c r="R630" s="69" t="s">
        <v>3470</v>
      </c>
      <c r="S630" s="69" t="s">
        <v>3489</v>
      </c>
      <c r="T630" s="70" t="s">
        <v>3497</v>
      </c>
      <c r="U630" s="452"/>
      <c r="V630" s="453" t="str">
        <f>IF(VLOOKUP($A630,'GeneratingCapabilityList sorted'!$E$9:$O$801,8,FALSE)&lt;&gt;"",VLOOKUP($A630,'GeneratingCapabilityList sorted'!$E$9:$O$801,8,FALSE),"NoneListed")</f>
        <v>NoneListed</v>
      </c>
      <c r="W630" s="454">
        <f>IF($AB630,$AB630,IF($AA630,$AA630,Scenarios!$B$43))</f>
        <v>19725</v>
      </c>
      <c r="X630" s="454"/>
      <c r="Y630" s="454"/>
      <c r="Z630" s="454"/>
      <c r="AA630" s="454">
        <f>IFERROR(VLOOKUP($A630,'GeneratingCapabilityList sorted'!$E$9:$O$801,11,FALSE),Scenarios!$B$43)</f>
        <v>19725</v>
      </c>
      <c r="AB630" s="456"/>
      <c r="AC630" s="456"/>
      <c r="AD630" s="92"/>
      <c r="AE630" s="92"/>
      <c r="AF630" s="92"/>
      <c r="AG630" s="92"/>
      <c r="AH630" s="92"/>
      <c r="AI630" s="92"/>
      <c r="AJ630" s="92"/>
      <c r="AK630" s="92"/>
      <c r="AL630" s="92"/>
      <c r="AM630" s="92"/>
      <c r="AN630" s="92"/>
      <c r="AO630" s="92"/>
      <c r="AP630" s="92"/>
      <c r="AQ630" s="92"/>
      <c r="AR630" s="92"/>
      <c r="AS630" s="92"/>
      <c r="AT630" s="92"/>
      <c r="AU630" s="92"/>
      <c r="AV630" s="92"/>
      <c r="AW630" s="92"/>
      <c r="AX630" s="92"/>
      <c r="AY630" s="92"/>
      <c r="AZ630" s="92"/>
      <c r="BA630" s="92"/>
      <c r="BB630" s="92"/>
      <c r="BC630" s="92"/>
      <c r="BD630" s="92"/>
      <c r="BE630" s="92"/>
      <c r="BF630" s="92"/>
      <c r="BG630" s="92"/>
      <c r="BH630" s="92"/>
      <c r="BI630" s="92"/>
      <c r="BJ630" s="92"/>
      <c r="BK630" s="92"/>
      <c r="BL630" s="92"/>
      <c r="BM630" s="92"/>
      <c r="BN630" s="92"/>
      <c r="BO630" s="92"/>
      <c r="BP630" s="92"/>
      <c r="BQ630" s="92"/>
      <c r="BR630" s="92"/>
      <c r="BS630" s="92"/>
      <c r="BT630" s="92"/>
      <c r="BU630" s="92"/>
      <c r="BV630" s="92"/>
      <c r="BW630" s="92"/>
      <c r="BX630" s="92"/>
      <c r="BY630" s="92"/>
      <c r="BZ630" s="92"/>
      <c r="CA630" s="92"/>
      <c r="CB630" s="92"/>
      <c r="CC630" s="92"/>
      <c r="CD630" s="92"/>
      <c r="CE630" s="92"/>
      <c r="CF630" s="92"/>
      <c r="CG630" s="92"/>
      <c r="CH630" s="92"/>
      <c r="CI630" s="92"/>
      <c r="CJ630" s="92"/>
      <c r="CK630" s="92"/>
      <c r="CL630" s="92"/>
      <c r="CM630" s="92"/>
      <c r="CN630" s="92"/>
      <c r="CO630" s="92"/>
      <c r="CP630" s="92"/>
      <c r="CQ630" s="92"/>
      <c r="CR630" s="92"/>
      <c r="CS630" s="92"/>
      <c r="CT630" s="92"/>
      <c r="CU630" s="92"/>
      <c r="CV630" s="92"/>
      <c r="CW630" s="92"/>
      <c r="CX630" s="92"/>
      <c r="CY630" s="92"/>
      <c r="CZ630" s="92"/>
      <c r="DA630" s="92"/>
      <c r="DB630" s="92"/>
      <c r="DC630" s="92"/>
      <c r="DD630" s="92"/>
      <c r="DE630" s="92"/>
      <c r="DF630" s="92"/>
      <c r="DG630" s="92"/>
      <c r="DH630" s="92"/>
      <c r="DI630" s="92"/>
      <c r="DJ630" s="92"/>
      <c r="DK630" s="92"/>
      <c r="DL630" s="92"/>
      <c r="DM630" s="92"/>
      <c r="DN630" s="92"/>
      <c r="DO630" s="92"/>
      <c r="DP630" s="92"/>
      <c r="DQ630" s="92"/>
      <c r="DR630" s="92"/>
      <c r="DS630" s="92"/>
      <c r="DT630" s="92"/>
      <c r="DU630" s="92"/>
      <c r="DV630" s="92"/>
      <c r="DW630" s="92"/>
      <c r="DX630" s="92"/>
      <c r="DY630" s="92"/>
      <c r="DZ630" s="92"/>
      <c r="EA630" s="92"/>
      <c r="EB630" s="92"/>
      <c r="EC630" s="92"/>
      <c r="ED630" s="92"/>
      <c r="EE630" s="92"/>
      <c r="EF630" s="92"/>
      <c r="EG630" s="92"/>
      <c r="EH630" s="92"/>
      <c r="EI630" s="92"/>
      <c r="EJ630" s="92"/>
      <c r="EK630" s="92"/>
      <c r="EL630" s="92"/>
      <c r="EM630" s="92"/>
      <c r="EN630" s="92"/>
      <c r="EO630" s="92"/>
      <c r="EP630" s="92"/>
      <c r="EQ630" s="92"/>
      <c r="ER630" s="92"/>
      <c r="ES630" s="92"/>
      <c r="ET630" s="92"/>
      <c r="EU630" s="92"/>
      <c r="EV630" s="92"/>
      <c r="EW630" s="92"/>
      <c r="EX630" s="92"/>
      <c r="EY630" s="92"/>
      <c r="EZ630" s="92"/>
      <c r="FA630" s="92"/>
      <c r="FB630" s="92"/>
      <c r="FC630" s="92"/>
      <c r="FD630" s="92"/>
      <c r="FE630" s="92"/>
      <c r="FF630" s="92"/>
      <c r="FG630" s="92"/>
      <c r="FH630" s="92"/>
      <c r="FI630" s="92"/>
      <c r="FJ630" s="92"/>
      <c r="FK630" s="92"/>
      <c r="FL630" s="92"/>
      <c r="FM630" s="92"/>
      <c r="FN630" s="92"/>
      <c r="FO630" s="92"/>
      <c r="FP630" s="92"/>
      <c r="FQ630" s="92"/>
      <c r="FR630" s="92"/>
      <c r="FS630" s="92"/>
      <c r="FT630" s="92"/>
      <c r="FU630" s="92"/>
      <c r="FV630" s="92"/>
      <c r="FW630" s="92"/>
      <c r="FX630" s="92"/>
      <c r="FY630" s="92"/>
      <c r="FZ630" s="92"/>
      <c r="GA630" s="92"/>
      <c r="GB630" s="92"/>
      <c r="GC630" s="92"/>
      <c r="GD630" s="92"/>
      <c r="GE630" s="92"/>
      <c r="GF630" s="92"/>
      <c r="GG630" s="92"/>
      <c r="GH630" s="92"/>
      <c r="GI630" s="92"/>
      <c r="GJ630" s="92"/>
      <c r="GK630" s="92"/>
      <c r="GL630" s="92"/>
      <c r="GM630" s="92"/>
      <c r="GN630" s="92"/>
      <c r="GO630" s="92"/>
      <c r="GP630" s="92"/>
      <c r="GQ630" s="92"/>
      <c r="GR630" s="92"/>
      <c r="GS630" s="92"/>
      <c r="GT630" s="92"/>
      <c r="GU630" s="92"/>
      <c r="GV630" s="92"/>
      <c r="GW630" s="92"/>
      <c r="GX630" s="92"/>
      <c r="GY630" s="92"/>
      <c r="GZ630" s="92"/>
      <c r="HA630" s="92"/>
      <c r="HB630" s="92"/>
      <c r="HC630" s="92"/>
      <c r="HD630" s="92"/>
      <c r="HE630" s="92"/>
      <c r="HF630" s="92"/>
      <c r="HG630" s="92"/>
      <c r="HH630" s="92"/>
      <c r="HI630" s="92"/>
      <c r="HJ630" s="92"/>
      <c r="HK630" s="92"/>
      <c r="HL630" s="92"/>
      <c r="HM630" s="92"/>
      <c r="HN630" s="92"/>
      <c r="HO630" s="92"/>
      <c r="HP630" s="92"/>
      <c r="HQ630" s="92"/>
      <c r="HR630" s="92"/>
      <c r="HS630" s="92"/>
      <c r="HT630" s="92"/>
      <c r="HU630" s="92"/>
      <c r="HV630" s="92"/>
      <c r="HW630" s="92"/>
      <c r="HX630" s="92"/>
      <c r="HY630" s="92"/>
      <c r="HZ630" s="92"/>
      <c r="IA630" s="92"/>
      <c r="IB630" s="92"/>
      <c r="IC630" s="92"/>
      <c r="ID630" s="92"/>
      <c r="IE630" s="92"/>
      <c r="IF630" s="92"/>
      <c r="IG630" s="92"/>
      <c r="IH630" s="92"/>
      <c r="II630" s="92"/>
      <c r="IJ630" s="92"/>
      <c r="IK630" s="92"/>
      <c r="IL630" s="92"/>
      <c r="IM630" s="92"/>
      <c r="IN630" s="92"/>
      <c r="IO630" s="92"/>
      <c r="IP630" s="92"/>
      <c r="IQ630" s="92"/>
      <c r="IR630" s="92"/>
      <c r="IS630" s="92"/>
      <c r="IT630" s="92"/>
      <c r="IU630" s="92"/>
      <c r="IV630" s="92"/>
      <c r="IW630" s="92"/>
      <c r="IX630" s="92"/>
      <c r="IY630" s="92"/>
      <c r="IZ630" s="92"/>
      <c r="JA630" s="92"/>
    </row>
    <row r="631" spans="1:261" x14ac:dyDescent="0.25">
      <c r="A631" s="65" t="s">
        <v>1173</v>
      </c>
      <c r="B631" s="65" t="s">
        <v>3969</v>
      </c>
      <c r="C631" s="66" t="s">
        <v>3477</v>
      </c>
      <c r="D631" s="66" t="s">
        <v>3387</v>
      </c>
      <c r="E631" s="67">
        <v>4.0999999999999996</v>
      </c>
      <c r="F631" s="68">
        <v>0</v>
      </c>
      <c r="G631" s="68">
        <v>0</v>
      </c>
      <c r="H631" s="68">
        <v>0</v>
      </c>
      <c r="I631" s="68">
        <v>0</v>
      </c>
      <c r="J631" s="68">
        <v>0</v>
      </c>
      <c r="K631" s="68">
        <v>0</v>
      </c>
      <c r="L631" s="68">
        <v>0</v>
      </c>
      <c r="M631" s="68">
        <v>0</v>
      </c>
      <c r="N631" s="68">
        <v>0</v>
      </c>
      <c r="O631" s="68">
        <v>0</v>
      </c>
      <c r="P631" s="68">
        <v>0</v>
      </c>
      <c r="Q631" s="68">
        <v>0</v>
      </c>
      <c r="R631" s="69" t="s">
        <v>3470</v>
      </c>
      <c r="S631" s="69" t="s">
        <v>3491</v>
      </c>
      <c r="T631" s="70" t="s">
        <v>3484</v>
      </c>
      <c r="U631" s="452"/>
      <c r="V631" s="453" t="str">
        <f>IF(VLOOKUP($A631,'GeneratingCapabilityList sorted'!$E$9:$O$801,8,FALSE)&lt;&gt;"",VLOOKUP($A631,'GeneratingCapabilityList sorted'!$E$9:$O$801,8,FALSE),"NoneListed")</f>
        <v>WATER</v>
      </c>
      <c r="W631" s="454">
        <f>IF($AB631,$AB631,IF($AA631,$AA631,Scenarios!$B$43))</f>
        <v>31048</v>
      </c>
      <c r="X631" s="454"/>
      <c r="Y631" s="454"/>
      <c r="Z631" s="454"/>
      <c r="AA631" s="454">
        <f>IFERROR(VLOOKUP($A631,'GeneratingCapabilityList sorted'!$E$9:$O$801,11,FALSE),Scenarios!$B$43)</f>
        <v>31048</v>
      </c>
      <c r="AB631" s="456"/>
      <c r="AC631" s="456"/>
      <c r="AD631" s="92"/>
      <c r="AE631" s="92"/>
      <c r="AF631" s="92"/>
      <c r="AG631" s="92"/>
      <c r="AH631" s="92"/>
      <c r="AI631" s="92"/>
      <c r="AJ631" s="92"/>
      <c r="AK631" s="92"/>
      <c r="AL631" s="92"/>
      <c r="AM631" s="92"/>
      <c r="AN631" s="92"/>
      <c r="AO631" s="92"/>
      <c r="AP631" s="92"/>
      <c r="AQ631" s="92"/>
      <c r="AR631" s="92"/>
      <c r="AS631" s="92"/>
      <c r="AT631" s="92"/>
      <c r="AU631" s="92"/>
      <c r="AV631" s="92"/>
      <c r="AW631" s="92"/>
      <c r="AX631" s="92"/>
      <c r="AY631" s="92"/>
      <c r="AZ631" s="92"/>
      <c r="BA631" s="92"/>
      <c r="BB631" s="92"/>
      <c r="BC631" s="92"/>
      <c r="BD631" s="92"/>
      <c r="BE631" s="92"/>
      <c r="BF631" s="92"/>
      <c r="BG631" s="92"/>
      <c r="BH631" s="92"/>
      <c r="BI631" s="92"/>
      <c r="BJ631" s="92"/>
      <c r="BK631" s="92"/>
      <c r="BL631" s="92"/>
      <c r="BM631" s="92"/>
      <c r="BN631" s="92"/>
      <c r="BO631" s="92"/>
      <c r="BP631" s="92"/>
      <c r="BQ631" s="92"/>
      <c r="BR631" s="92"/>
      <c r="BS631" s="92"/>
      <c r="BT631" s="92"/>
      <c r="BU631" s="92"/>
      <c r="BV631" s="92"/>
      <c r="BW631" s="92"/>
      <c r="BX631" s="92"/>
      <c r="BY631" s="92"/>
      <c r="BZ631" s="92"/>
      <c r="CA631" s="92"/>
      <c r="CB631" s="92"/>
      <c r="CC631" s="92"/>
      <c r="CD631" s="92"/>
      <c r="CE631" s="92"/>
      <c r="CF631" s="92"/>
      <c r="CG631" s="92"/>
      <c r="CH631" s="92"/>
      <c r="CI631" s="92"/>
      <c r="CJ631" s="92"/>
      <c r="CK631" s="92"/>
      <c r="CL631" s="92"/>
      <c r="CM631" s="92"/>
      <c r="CN631" s="92"/>
      <c r="CO631" s="92"/>
      <c r="CP631" s="92"/>
      <c r="CQ631" s="92"/>
      <c r="CR631" s="92"/>
      <c r="CS631" s="92"/>
      <c r="CT631" s="92"/>
      <c r="CU631" s="92"/>
      <c r="CV631" s="92"/>
      <c r="CW631" s="92"/>
      <c r="CX631" s="92"/>
      <c r="CY631" s="92"/>
      <c r="CZ631" s="92"/>
      <c r="DA631" s="92"/>
      <c r="DB631" s="92"/>
      <c r="DC631" s="92"/>
      <c r="DD631" s="92"/>
      <c r="DE631" s="92"/>
      <c r="DF631" s="92"/>
      <c r="DG631" s="92"/>
      <c r="DH631" s="92"/>
      <c r="DI631" s="92"/>
      <c r="DJ631" s="92"/>
      <c r="DK631" s="92"/>
      <c r="DL631" s="92"/>
      <c r="DM631" s="92"/>
      <c r="DN631" s="92"/>
      <c r="DO631" s="92"/>
      <c r="DP631" s="92"/>
      <c r="DQ631" s="92"/>
      <c r="DR631" s="92"/>
      <c r="DS631" s="92"/>
      <c r="DT631" s="92"/>
      <c r="DU631" s="92"/>
      <c r="DV631" s="92"/>
      <c r="DW631" s="92"/>
      <c r="DX631" s="92"/>
      <c r="DY631" s="92"/>
      <c r="DZ631" s="92"/>
      <c r="EA631" s="92"/>
      <c r="EB631" s="92"/>
      <c r="EC631" s="92"/>
      <c r="ED631" s="92"/>
      <c r="EE631" s="92"/>
      <c r="EF631" s="92"/>
      <c r="EG631" s="92"/>
      <c r="EH631" s="92"/>
      <c r="EI631" s="92"/>
      <c r="EJ631" s="92"/>
      <c r="EK631" s="92"/>
      <c r="EL631" s="92"/>
      <c r="EM631" s="92"/>
      <c r="EN631" s="92"/>
      <c r="EO631" s="92"/>
      <c r="EP631" s="92"/>
      <c r="EQ631" s="92"/>
      <c r="ER631" s="92"/>
      <c r="ES631" s="92"/>
      <c r="ET631" s="92"/>
      <c r="EU631" s="92"/>
      <c r="EV631" s="92"/>
      <c r="EW631" s="92"/>
      <c r="EX631" s="92"/>
      <c r="EY631" s="92"/>
      <c r="EZ631" s="92"/>
      <c r="FA631" s="92"/>
      <c r="FB631" s="92"/>
      <c r="FC631" s="92"/>
      <c r="FD631" s="92"/>
      <c r="FE631" s="92"/>
      <c r="FF631" s="92"/>
      <c r="FG631" s="92"/>
      <c r="FH631" s="92"/>
      <c r="FI631" s="92"/>
      <c r="FJ631" s="92"/>
      <c r="FK631" s="92"/>
      <c r="FL631" s="92"/>
      <c r="FM631" s="92"/>
      <c r="FN631" s="92"/>
      <c r="FO631" s="92"/>
      <c r="FP631" s="92"/>
      <c r="FQ631" s="92"/>
      <c r="FR631" s="92"/>
      <c r="FS631" s="92"/>
      <c r="FT631" s="92"/>
      <c r="FU631" s="92"/>
      <c r="FV631" s="92"/>
      <c r="FW631" s="92"/>
      <c r="FX631" s="92"/>
      <c r="FY631" s="92"/>
      <c r="FZ631" s="92"/>
      <c r="GA631" s="92"/>
      <c r="GB631" s="92"/>
      <c r="GC631" s="92"/>
      <c r="GD631" s="92"/>
      <c r="GE631" s="92"/>
      <c r="GF631" s="92"/>
      <c r="GG631" s="92"/>
      <c r="GH631" s="92"/>
      <c r="GI631" s="92"/>
      <c r="GJ631" s="92"/>
      <c r="GK631" s="92"/>
      <c r="GL631" s="92"/>
      <c r="GM631" s="92"/>
      <c r="GN631" s="92"/>
      <c r="GO631" s="92"/>
      <c r="GP631" s="92"/>
      <c r="GQ631" s="92"/>
      <c r="GR631" s="92"/>
      <c r="GS631" s="92"/>
      <c r="GT631" s="92"/>
      <c r="GU631" s="92"/>
      <c r="GV631" s="92"/>
      <c r="GW631" s="92"/>
      <c r="GX631" s="92"/>
      <c r="GY631" s="92"/>
      <c r="GZ631" s="92"/>
      <c r="HA631" s="92"/>
      <c r="HB631" s="92"/>
      <c r="HC631" s="92"/>
      <c r="HD631" s="92"/>
      <c r="HE631" s="92"/>
      <c r="HF631" s="92"/>
      <c r="HG631" s="92"/>
      <c r="HH631" s="92"/>
      <c r="HI631" s="92"/>
      <c r="HJ631" s="92"/>
      <c r="HK631" s="92"/>
      <c r="HL631" s="92"/>
      <c r="HM631" s="92"/>
      <c r="HN631" s="92"/>
      <c r="HO631" s="92"/>
      <c r="HP631" s="92"/>
      <c r="HQ631" s="92"/>
      <c r="HR631" s="92"/>
      <c r="HS631" s="92"/>
      <c r="HT631" s="92"/>
      <c r="HU631" s="92"/>
      <c r="HV631" s="92"/>
      <c r="HW631" s="92"/>
      <c r="HX631" s="92"/>
      <c r="HY631" s="92"/>
      <c r="HZ631" s="92"/>
      <c r="IA631" s="92"/>
      <c r="IB631" s="92"/>
      <c r="IC631" s="92"/>
      <c r="ID631" s="92"/>
      <c r="IE631" s="92"/>
      <c r="IF631" s="92"/>
      <c r="IG631" s="92"/>
      <c r="IH631" s="92"/>
      <c r="II631" s="92"/>
      <c r="IJ631" s="92"/>
      <c r="IK631" s="92"/>
      <c r="IL631" s="92"/>
      <c r="IM631" s="92"/>
      <c r="IN631" s="92"/>
      <c r="IO631" s="92"/>
      <c r="IP631" s="92"/>
      <c r="IQ631" s="92"/>
      <c r="IR631" s="92"/>
      <c r="IS631" s="92"/>
      <c r="IT631" s="92"/>
      <c r="IU631" s="92"/>
      <c r="IV631" s="92"/>
      <c r="IW631" s="92"/>
      <c r="IX631" s="92"/>
      <c r="IY631" s="92"/>
      <c r="IZ631" s="92"/>
      <c r="JA631" s="92"/>
    </row>
    <row r="632" spans="1:261" x14ac:dyDescent="0.25">
      <c r="A632" s="72" t="s">
        <v>796</v>
      </c>
      <c r="B632" s="72" t="s">
        <v>3970</v>
      </c>
      <c r="C632" s="73" t="s">
        <v>3477</v>
      </c>
      <c r="D632" s="73" t="s">
        <v>3387</v>
      </c>
      <c r="E632" s="74">
        <v>0</v>
      </c>
      <c r="F632" s="75">
        <v>0</v>
      </c>
      <c r="G632" s="75">
        <v>0</v>
      </c>
      <c r="H632" s="75">
        <v>0</v>
      </c>
      <c r="I632" s="75">
        <v>0</v>
      </c>
      <c r="J632" s="75">
        <v>0</v>
      </c>
      <c r="K632" s="75">
        <v>0</v>
      </c>
      <c r="L632" s="75">
        <v>0</v>
      </c>
      <c r="M632" s="75">
        <v>0</v>
      </c>
      <c r="N632" s="75">
        <v>0</v>
      </c>
      <c r="O632" s="75">
        <v>0</v>
      </c>
      <c r="P632" s="75">
        <v>0</v>
      </c>
      <c r="Q632" s="75">
        <v>0</v>
      </c>
      <c r="R632" s="69" t="s">
        <v>3470</v>
      </c>
      <c r="S632" s="76" t="s">
        <v>560</v>
      </c>
      <c r="T632" s="70" t="s">
        <v>3484</v>
      </c>
      <c r="U632" s="452"/>
      <c r="V632" s="453" t="str">
        <f>IF(VLOOKUP($A632,'GeneratingCapabilityList sorted'!$E$9:$O$801,8,FALSE)&lt;&gt;"",VLOOKUP($A632,'GeneratingCapabilityList sorted'!$E$9:$O$801,8,FALSE),"NoneListed")</f>
        <v>WATER</v>
      </c>
      <c r="W632" s="454">
        <f>IF($AB632,$AB632,IF($AA632,$AA632,Scenarios!$B$43))</f>
        <v>29587</v>
      </c>
      <c r="X632" s="454"/>
      <c r="Y632" s="454"/>
      <c r="Z632" s="454"/>
      <c r="AA632" s="454">
        <f>IFERROR(VLOOKUP($A632,'GeneratingCapabilityList sorted'!$E$9:$O$801,11,FALSE),Scenarios!$B$43)</f>
        <v>29587</v>
      </c>
      <c r="AB632" s="456"/>
      <c r="AC632" s="456"/>
      <c r="AD632" s="92"/>
      <c r="AE632" s="92"/>
      <c r="AF632" s="92"/>
      <c r="AG632" s="92"/>
      <c r="AH632" s="92"/>
      <c r="AI632" s="92"/>
      <c r="AJ632" s="92"/>
      <c r="AK632" s="92"/>
      <c r="AL632" s="92"/>
      <c r="AM632" s="92"/>
      <c r="AN632" s="92"/>
      <c r="AO632" s="92"/>
      <c r="AP632" s="92"/>
      <c r="AQ632" s="92"/>
      <c r="AR632" s="92"/>
      <c r="AS632" s="92"/>
      <c r="AT632" s="92"/>
      <c r="AU632" s="92"/>
      <c r="AV632" s="92"/>
      <c r="AW632" s="92"/>
      <c r="AX632" s="92"/>
      <c r="AY632" s="92"/>
      <c r="AZ632" s="92"/>
      <c r="BA632" s="92"/>
      <c r="BB632" s="92"/>
      <c r="BC632" s="92"/>
      <c r="BD632" s="92"/>
      <c r="BE632" s="92"/>
      <c r="BF632" s="92"/>
      <c r="BG632" s="92"/>
      <c r="BH632" s="92"/>
      <c r="BI632" s="92"/>
      <c r="BJ632" s="92"/>
      <c r="BK632" s="92"/>
      <c r="BL632" s="92"/>
      <c r="BM632" s="92"/>
      <c r="BN632" s="92"/>
      <c r="BO632" s="92"/>
      <c r="BP632" s="92"/>
      <c r="BQ632" s="92"/>
      <c r="BR632" s="92"/>
      <c r="BS632" s="92"/>
      <c r="BT632" s="92"/>
      <c r="BU632" s="92"/>
      <c r="BV632" s="92"/>
      <c r="BW632" s="92"/>
      <c r="BX632" s="92"/>
      <c r="BY632" s="92"/>
      <c r="BZ632" s="92"/>
      <c r="CA632" s="92"/>
      <c r="CB632" s="92"/>
      <c r="CC632" s="92"/>
      <c r="CD632" s="92"/>
      <c r="CE632" s="92"/>
      <c r="CF632" s="92"/>
      <c r="CG632" s="92"/>
      <c r="CH632" s="92"/>
      <c r="CI632" s="92"/>
      <c r="CJ632" s="92"/>
      <c r="CK632" s="92"/>
      <c r="CL632" s="92"/>
      <c r="CM632" s="92"/>
      <c r="CN632" s="92"/>
      <c r="CO632" s="92"/>
      <c r="CP632" s="92"/>
      <c r="CQ632" s="92"/>
      <c r="CR632" s="92"/>
      <c r="CS632" s="92"/>
      <c r="CT632" s="92"/>
      <c r="CU632" s="92"/>
      <c r="CV632" s="92"/>
      <c r="CW632" s="92"/>
      <c r="CX632" s="92"/>
      <c r="CY632" s="92"/>
      <c r="CZ632" s="92"/>
      <c r="DA632" s="92"/>
      <c r="DB632" s="92"/>
      <c r="DC632" s="92"/>
      <c r="DD632" s="92"/>
      <c r="DE632" s="92"/>
      <c r="DF632" s="92"/>
      <c r="DG632" s="92"/>
      <c r="DH632" s="92"/>
      <c r="DI632" s="92"/>
      <c r="DJ632" s="92"/>
      <c r="DK632" s="92"/>
      <c r="DL632" s="92"/>
      <c r="DM632" s="92"/>
      <c r="DN632" s="92"/>
      <c r="DO632" s="92"/>
      <c r="DP632" s="92"/>
      <c r="DQ632" s="92"/>
      <c r="DR632" s="92"/>
      <c r="DS632" s="92"/>
      <c r="DT632" s="92"/>
      <c r="DU632" s="92"/>
      <c r="DV632" s="92"/>
      <c r="DW632" s="92"/>
      <c r="DX632" s="92"/>
      <c r="DY632" s="92"/>
      <c r="DZ632" s="92"/>
      <c r="EA632" s="92"/>
      <c r="EB632" s="92"/>
      <c r="EC632" s="92"/>
      <c r="ED632" s="92"/>
      <c r="EE632" s="92"/>
      <c r="EF632" s="92"/>
      <c r="EG632" s="92"/>
      <c r="EH632" s="92"/>
      <c r="EI632" s="92"/>
      <c r="EJ632" s="92"/>
      <c r="EK632" s="92"/>
      <c r="EL632" s="92"/>
      <c r="EM632" s="92"/>
      <c r="EN632" s="92"/>
      <c r="EO632" s="92"/>
      <c r="EP632" s="92"/>
      <c r="EQ632" s="92"/>
      <c r="ER632" s="92"/>
      <c r="ES632" s="92"/>
      <c r="ET632" s="92"/>
      <c r="EU632" s="92"/>
      <c r="EV632" s="92"/>
      <c r="EW632" s="92"/>
      <c r="EX632" s="92"/>
      <c r="EY632" s="92"/>
      <c r="EZ632" s="92"/>
      <c r="FA632" s="92"/>
      <c r="FB632" s="92"/>
      <c r="FC632" s="92"/>
      <c r="FD632" s="92"/>
      <c r="FE632" s="92"/>
      <c r="FF632" s="92"/>
      <c r="FG632" s="92"/>
      <c r="FH632" s="92"/>
      <c r="FI632" s="92"/>
      <c r="FJ632" s="92"/>
      <c r="FK632" s="92"/>
      <c r="FL632" s="92"/>
      <c r="FM632" s="92"/>
      <c r="FN632" s="92"/>
      <c r="FO632" s="92"/>
      <c r="FP632" s="92"/>
      <c r="FQ632" s="92"/>
      <c r="FR632" s="92"/>
      <c r="FS632" s="92"/>
      <c r="FT632" s="92"/>
      <c r="FU632" s="92"/>
      <c r="FV632" s="92"/>
      <c r="FW632" s="92"/>
      <c r="FX632" s="92"/>
      <c r="FY632" s="92"/>
      <c r="FZ632" s="92"/>
      <c r="GA632" s="92"/>
      <c r="GB632" s="92"/>
      <c r="GC632" s="92"/>
      <c r="GD632" s="92"/>
      <c r="GE632" s="92"/>
      <c r="GF632" s="92"/>
      <c r="GG632" s="92"/>
      <c r="GH632" s="92"/>
      <c r="GI632" s="92"/>
      <c r="GJ632" s="92"/>
      <c r="GK632" s="92"/>
      <c r="GL632" s="92"/>
      <c r="GM632" s="92"/>
      <c r="GN632" s="92"/>
      <c r="GO632" s="92"/>
      <c r="GP632" s="92"/>
      <c r="GQ632" s="92"/>
      <c r="GR632" s="92"/>
      <c r="GS632" s="92"/>
      <c r="GT632" s="92"/>
      <c r="GU632" s="92"/>
      <c r="GV632" s="92"/>
      <c r="GW632" s="92"/>
      <c r="GX632" s="92"/>
      <c r="GY632" s="92"/>
      <c r="GZ632" s="92"/>
      <c r="HA632" s="92"/>
      <c r="HB632" s="92"/>
      <c r="HC632" s="92"/>
      <c r="HD632" s="92"/>
      <c r="HE632" s="92"/>
      <c r="HF632" s="92"/>
      <c r="HG632" s="92"/>
      <c r="HH632" s="92"/>
      <c r="HI632" s="92"/>
      <c r="HJ632" s="92"/>
      <c r="HK632" s="92"/>
      <c r="HL632" s="92"/>
      <c r="HM632" s="92"/>
      <c r="HN632" s="92"/>
      <c r="HO632" s="92"/>
      <c r="HP632" s="92"/>
      <c r="HQ632" s="92"/>
      <c r="HR632" s="92"/>
      <c r="HS632" s="92"/>
      <c r="HT632" s="92"/>
      <c r="HU632" s="92"/>
      <c r="HV632" s="92"/>
      <c r="HW632" s="92"/>
      <c r="HX632" s="92"/>
      <c r="HY632" s="92"/>
      <c r="HZ632" s="92"/>
      <c r="IA632" s="92"/>
      <c r="IB632" s="92"/>
      <c r="IC632" s="92"/>
      <c r="ID632" s="92"/>
      <c r="IE632" s="92"/>
      <c r="IF632" s="92"/>
      <c r="IG632" s="92"/>
      <c r="IH632" s="92"/>
      <c r="II632" s="92"/>
      <c r="IJ632" s="92"/>
      <c r="IK632" s="92"/>
      <c r="IL632" s="92"/>
      <c r="IM632" s="92"/>
      <c r="IN632" s="92"/>
      <c r="IO632" s="92"/>
      <c r="IP632" s="92"/>
      <c r="IQ632" s="92"/>
      <c r="IR632" s="92"/>
      <c r="IS632" s="92"/>
      <c r="IT632" s="92"/>
      <c r="IU632" s="92"/>
      <c r="IV632" s="92"/>
      <c r="IW632" s="92"/>
      <c r="IX632" s="92"/>
      <c r="IY632" s="92"/>
      <c r="IZ632" s="92"/>
      <c r="JA632" s="92"/>
    </row>
    <row r="633" spans="1:261" x14ac:dyDescent="0.25">
      <c r="A633" s="65" t="s">
        <v>1207</v>
      </c>
      <c r="B633" s="65" t="s">
        <v>3971</v>
      </c>
      <c r="C633" s="66" t="s">
        <v>3477</v>
      </c>
      <c r="D633" s="66" t="s">
        <v>3488</v>
      </c>
      <c r="E633" s="67">
        <v>0</v>
      </c>
      <c r="F633" s="68">
        <v>19.13</v>
      </c>
      <c r="G633" s="68">
        <v>23.04</v>
      </c>
      <c r="H633" s="68">
        <v>85.98</v>
      </c>
      <c r="I633" s="68">
        <v>58.46</v>
      </c>
      <c r="J633" s="68">
        <v>68.92</v>
      </c>
      <c r="K633" s="68">
        <v>68.03</v>
      </c>
      <c r="L633" s="68">
        <v>37.08</v>
      </c>
      <c r="M633" s="68">
        <v>29.44</v>
      </c>
      <c r="N633" s="68">
        <v>9.5399999999999991</v>
      </c>
      <c r="O633" s="68">
        <v>16.28</v>
      </c>
      <c r="P633" s="68">
        <v>23.28</v>
      </c>
      <c r="Q633" s="68">
        <v>16.72</v>
      </c>
      <c r="R633" s="69" t="s">
        <v>3470</v>
      </c>
      <c r="S633" s="69" t="s">
        <v>3489</v>
      </c>
      <c r="T633" s="70" t="s">
        <v>3425</v>
      </c>
      <c r="U633" s="452"/>
      <c r="V633" s="453" t="str">
        <f>IF(VLOOKUP($A633,'GeneratingCapabilityList sorted'!$E$9:$O$801,8,FALSE)&lt;&gt;"",VLOOKUP($A633,'GeneratingCapabilityList sorted'!$E$9:$O$801,8,FALSE),"NoneListed")</f>
        <v>WIND</v>
      </c>
      <c r="W633" s="454">
        <f>IF($AB633,$AB633,IF($AA633,$AA633,Scenarios!$B$43))</f>
        <v>31048</v>
      </c>
      <c r="X633" s="454"/>
      <c r="Y633" s="454"/>
      <c r="Z633" s="454"/>
      <c r="AA633" s="454">
        <f>IFERROR(VLOOKUP($A633,'GeneratingCapabilityList sorted'!$E$9:$O$801,11,FALSE),Scenarios!$B$43)</f>
        <v>31048</v>
      </c>
      <c r="AB633" s="456"/>
      <c r="AC633" s="456"/>
      <c r="AD633" s="92"/>
      <c r="AE633" s="92"/>
      <c r="AF633" s="92"/>
      <c r="AG633" s="92"/>
      <c r="AH633" s="92"/>
      <c r="AI633" s="92"/>
      <c r="AJ633" s="92"/>
      <c r="AK633" s="92"/>
      <c r="AL633" s="92"/>
      <c r="AM633" s="92"/>
      <c r="AN633" s="92"/>
      <c r="AO633" s="92"/>
      <c r="AP633" s="92"/>
      <c r="AQ633" s="92"/>
      <c r="AR633" s="92"/>
      <c r="AS633" s="92"/>
      <c r="AT633" s="92"/>
      <c r="AU633" s="92"/>
      <c r="AV633" s="92"/>
      <c r="AW633" s="92"/>
      <c r="AX633" s="92"/>
      <c r="AY633" s="92"/>
      <c r="AZ633" s="92"/>
      <c r="BA633" s="92"/>
      <c r="BB633" s="92"/>
      <c r="BC633" s="92"/>
      <c r="BD633" s="92"/>
      <c r="BE633" s="92"/>
      <c r="BF633" s="92"/>
      <c r="BG633" s="92"/>
      <c r="BH633" s="92"/>
      <c r="BI633" s="92"/>
      <c r="BJ633" s="92"/>
      <c r="BK633" s="92"/>
      <c r="BL633" s="92"/>
      <c r="BM633" s="92"/>
      <c r="BN633" s="92"/>
      <c r="BO633" s="92"/>
      <c r="BP633" s="92"/>
      <c r="BQ633" s="92"/>
      <c r="BR633" s="92"/>
      <c r="BS633" s="92"/>
      <c r="BT633" s="92"/>
      <c r="BU633" s="92"/>
      <c r="BV633" s="92"/>
      <c r="BW633" s="92"/>
      <c r="BX633" s="92"/>
      <c r="BY633" s="92"/>
      <c r="BZ633" s="92"/>
      <c r="CA633" s="92"/>
      <c r="CB633" s="92"/>
      <c r="CC633" s="92"/>
      <c r="CD633" s="92"/>
      <c r="CE633" s="92"/>
      <c r="CF633" s="92"/>
      <c r="CG633" s="92"/>
      <c r="CH633" s="92"/>
      <c r="CI633" s="92"/>
      <c r="CJ633" s="92"/>
      <c r="CK633" s="92"/>
      <c r="CL633" s="92"/>
      <c r="CM633" s="92"/>
      <c r="CN633" s="92"/>
      <c r="CO633" s="92"/>
      <c r="CP633" s="92"/>
      <c r="CQ633" s="92"/>
      <c r="CR633" s="92"/>
      <c r="CS633" s="92"/>
      <c r="CT633" s="92"/>
      <c r="CU633" s="92"/>
      <c r="CV633" s="92"/>
      <c r="CW633" s="92"/>
      <c r="CX633" s="92"/>
      <c r="CY633" s="92"/>
      <c r="CZ633" s="92"/>
      <c r="DA633" s="92"/>
      <c r="DB633" s="92"/>
      <c r="DC633" s="92"/>
      <c r="DD633" s="92"/>
      <c r="DE633" s="92"/>
      <c r="DF633" s="92"/>
      <c r="DG633" s="92"/>
      <c r="DH633" s="92"/>
      <c r="DI633" s="92"/>
      <c r="DJ633" s="92"/>
      <c r="DK633" s="92"/>
      <c r="DL633" s="92"/>
      <c r="DM633" s="92"/>
      <c r="DN633" s="92"/>
      <c r="DO633" s="92"/>
      <c r="DP633" s="92"/>
      <c r="DQ633" s="92"/>
      <c r="DR633" s="92"/>
      <c r="DS633" s="92"/>
      <c r="DT633" s="92"/>
      <c r="DU633" s="92"/>
      <c r="DV633" s="92"/>
      <c r="DW633" s="92"/>
      <c r="DX633" s="92"/>
      <c r="DY633" s="92"/>
      <c r="DZ633" s="92"/>
      <c r="EA633" s="92"/>
      <c r="EB633" s="92"/>
      <c r="EC633" s="92"/>
      <c r="ED633" s="92"/>
      <c r="EE633" s="92"/>
      <c r="EF633" s="92"/>
      <c r="EG633" s="92"/>
      <c r="EH633" s="92"/>
      <c r="EI633" s="92"/>
      <c r="EJ633" s="92"/>
      <c r="EK633" s="92"/>
      <c r="EL633" s="92"/>
      <c r="EM633" s="92"/>
      <c r="EN633" s="92"/>
      <c r="EO633" s="92"/>
      <c r="EP633" s="92"/>
      <c r="EQ633" s="92"/>
      <c r="ER633" s="92"/>
      <c r="ES633" s="92"/>
      <c r="ET633" s="92"/>
      <c r="EU633" s="92"/>
      <c r="EV633" s="92"/>
      <c r="EW633" s="92"/>
      <c r="EX633" s="92"/>
      <c r="EY633" s="92"/>
      <c r="EZ633" s="92"/>
      <c r="FA633" s="92"/>
      <c r="FB633" s="92"/>
      <c r="FC633" s="92"/>
      <c r="FD633" s="92"/>
      <c r="FE633" s="92"/>
      <c r="FF633" s="92"/>
      <c r="FG633" s="92"/>
      <c r="FH633" s="92"/>
      <c r="FI633" s="92"/>
      <c r="FJ633" s="92"/>
      <c r="FK633" s="92"/>
      <c r="FL633" s="92"/>
      <c r="FM633" s="92"/>
      <c r="FN633" s="92"/>
      <c r="FO633" s="92"/>
      <c r="FP633" s="92"/>
      <c r="FQ633" s="92"/>
      <c r="FR633" s="92"/>
      <c r="FS633" s="92"/>
      <c r="FT633" s="92"/>
      <c r="FU633" s="92"/>
      <c r="FV633" s="92"/>
      <c r="FW633" s="92"/>
      <c r="FX633" s="92"/>
      <c r="FY633" s="92"/>
      <c r="FZ633" s="92"/>
      <c r="GA633" s="92"/>
      <c r="GB633" s="92"/>
      <c r="GC633" s="92"/>
      <c r="GD633" s="92"/>
      <c r="GE633" s="92"/>
      <c r="GF633" s="92"/>
      <c r="GG633" s="92"/>
      <c r="GH633" s="92"/>
      <c r="GI633" s="92"/>
      <c r="GJ633" s="92"/>
      <c r="GK633" s="92"/>
      <c r="GL633" s="92"/>
      <c r="GM633" s="92"/>
      <c r="GN633" s="92"/>
      <c r="GO633" s="92"/>
      <c r="GP633" s="92"/>
      <c r="GQ633" s="92"/>
      <c r="GR633" s="92"/>
      <c r="GS633" s="92"/>
      <c r="GT633" s="92"/>
      <c r="GU633" s="92"/>
      <c r="GV633" s="92"/>
      <c r="GW633" s="92"/>
      <c r="GX633" s="92"/>
      <c r="GY633" s="92"/>
      <c r="GZ633" s="92"/>
      <c r="HA633" s="92"/>
      <c r="HB633" s="92"/>
      <c r="HC633" s="92"/>
      <c r="HD633" s="92"/>
      <c r="HE633" s="92"/>
      <c r="HF633" s="92"/>
      <c r="HG633" s="92"/>
      <c r="HH633" s="92"/>
      <c r="HI633" s="92"/>
      <c r="HJ633" s="92"/>
      <c r="HK633" s="92"/>
      <c r="HL633" s="92"/>
      <c r="HM633" s="92"/>
      <c r="HN633" s="92"/>
      <c r="HO633" s="92"/>
      <c r="HP633" s="92"/>
      <c r="HQ633" s="92"/>
      <c r="HR633" s="92"/>
      <c r="HS633" s="92"/>
      <c r="HT633" s="92"/>
      <c r="HU633" s="92"/>
      <c r="HV633" s="92"/>
      <c r="HW633" s="92"/>
      <c r="HX633" s="92"/>
      <c r="HY633" s="92"/>
      <c r="HZ633" s="92"/>
      <c r="IA633" s="92"/>
      <c r="IB633" s="92"/>
      <c r="IC633" s="92"/>
      <c r="ID633" s="92"/>
      <c r="IE633" s="92"/>
      <c r="IF633" s="92"/>
      <c r="IG633" s="92"/>
      <c r="IH633" s="92"/>
      <c r="II633" s="92"/>
      <c r="IJ633" s="92"/>
      <c r="IK633" s="92"/>
      <c r="IL633" s="92"/>
      <c r="IM633" s="92"/>
      <c r="IN633" s="92"/>
      <c r="IO633" s="92"/>
      <c r="IP633" s="92"/>
      <c r="IQ633" s="92"/>
      <c r="IR633" s="92"/>
      <c r="IS633" s="92"/>
      <c r="IT633" s="92"/>
      <c r="IU633" s="92"/>
      <c r="IV633" s="92"/>
      <c r="IW633" s="92"/>
      <c r="IX633" s="92"/>
      <c r="IY633" s="92"/>
      <c r="IZ633" s="92"/>
      <c r="JA633" s="92"/>
    </row>
    <row r="634" spans="1:261" x14ac:dyDescent="0.25">
      <c r="A634" s="65" t="s">
        <v>2748</v>
      </c>
      <c r="B634" s="65" t="s">
        <v>3972</v>
      </c>
      <c r="C634" s="66" t="s">
        <v>3477</v>
      </c>
      <c r="D634" s="66" t="s">
        <v>3488</v>
      </c>
      <c r="E634" s="67">
        <v>0</v>
      </c>
      <c r="F634" s="68">
        <v>3.94</v>
      </c>
      <c r="G634" s="68">
        <v>4.87</v>
      </c>
      <c r="H634" s="68">
        <v>19.850000000000001</v>
      </c>
      <c r="I634" s="68">
        <v>14.04</v>
      </c>
      <c r="J634" s="68">
        <v>15.93</v>
      </c>
      <c r="K634" s="68">
        <v>13.94</v>
      </c>
      <c r="L634" s="68">
        <v>8.1199999999999992</v>
      </c>
      <c r="M634" s="68">
        <v>6.18</v>
      </c>
      <c r="N634" s="68">
        <v>1.38</v>
      </c>
      <c r="O634" s="68">
        <v>2.8</v>
      </c>
      <c r="P634" s="68">
        <v>4.42</v>
      </c>
      <c r="Q634" s="68">
        <v>2.89</v>
      </c>
      <c r="R634" s="69" t="s">
        <v>3470</v>
      </c>
      <c r="S634" s="69" t="s">
        <v>3489</v>
      </c>
      <c r="T634" s="70" t="s">
        <v>3425</v>
      </c>
      <c r="U634" s="452"/>
      <c r="V634" s="453" t="str">
        <f>IF(VLOOKUP($A634,'GeneratingCapabilityList sorted'!$E$9:$O$801,8,FALSE)&lt;&gt;"",VLOOKUP($A634,'GeneratingCapabilityList sorted'!$E$9:$O$801,8,FALSE),"NoneListed")</f>
        <v>WIND</v>
      </c>
      <c r="W634" s="454">
        <f>IF($AB634,$AB634,IF($AA634,$AA634,Scenarios!$B$43))</f>
        <v>38442</v>
      </c>
      <c r="X634" s="454"/>
      <c r="Y634" s="454"/>
      <c r="Z634" s="454"/>
      <c r="AA634" s="454">
        <f>IFERROR(VLOOKUP($A634,'GeneratingCapabilityList sorted'!$E$9:$O$801,11,FALSE),Scenarios!$B$43)</f>
        <v>38442</v>
      </c>
      <c r="AB634" s="456"/>
      <c r="AC634" s="456"/>
      <c r="AD634" s="92"/>
      <c r="AE634" s="92"/>
      <c r="AF634" s="92"/>
      <c r="AG634" s="92"/>
      <c r="AH634" s="92"/>
      <c r="AI634" s="92"/>
      <c r="AJ634" s="92"/>
      <c r="AK634" s="92"/>
      <c r="AL634" s="92"/>
      <c r="AM634" s="92"/>
      <c r="AN634" s="92"/>
      <c r="AO634" s="92"/>
      <c r="AP634" s="92"/>
      <c r="AQ634" s="92"/>
      <c r="AR634" s="92"/>
      <c r="AS634" s="92"/>
      <c r="AT634" s="92"/>
      <c r="AU634" s="92"/>
      <c r="AV634" s="92"/>
      <c r="AW634" s="92"/>
      <c r="AX634" s="92"/>
      <c r="AY634" s="92"/>
      <c r="AZ634" s="92"/>
      <c r="BA634" s="92"/>
      <c r="BB634" s="92"/>
      <c r="BC634" s="92"/>
      <c r="BD634" s="92"/>
      <c r="BE634" s="92"/>
      <c r="BF634" s="92"/>
      <c r="BG634" s="92"/>
      <c r="BH634" s="92"/>
      <c r="BI634" s="92"/>
      <c r="BJ634" s="92"/>
      <c r="BK634" s="92"/>
      <c r="BL634" s="92"/>
      <c r="BM634" s="92"/>
      <c r="BN634" s="92"/>
      <c r="BO634" s="92"/>
      <c r="BP634" s="92"/>
      <c r="BQ634" s="92"/>
      <c r="BR634" s="92"/>
      <c r="BS634" s="92"/>
      <c r="BT634" s="92"/>
      <c r="BU634" s="92"/>
      <c r="BV634" s="92"/>
      <c r="BW634" s="92"/>
      <c r="BX634" s="92"/>
      <c r="BY634" s="92"/>
      <c r="BZ634" s="92"/>
      <c r="CA634" s="92"/>
      <c r="CB634" s="92"/>
      <c r="CC634" s="92"/>
      <c r="CD634" s="92"/>
      <c r="CE634" s="92"/>
      <c r="CF634" s="92"/>
      <c r="CG634" s="92"/>
      <c r="CH634" s="92"/>
      <c r="CI634" s="92"/>
      <c r="CJ634" s="92"/>
      <c r="CK634" s="92"/>
      <c r="CL634" s="92"/>
      <c r="CM634" s="92"/>
      <c r="CN634" s="92"/>
      <c r="CO634" s="92"/>
      <c r="CP634" s="92"/>
      <c r="CQ634" s="92"/>
      <c r="CR634" s="92"/>
      <c r="CS634" s="92"/>
      <c r="CT634" s="92"/>
      <c r="CU634" s="92"/>
      <c r="CV634" s="92"/>
      <c r="CW634" s="92"/>
      <c r="CX634" s="92"/>
      <c r="CY634" s="92"/>
      <c r="CZ634" s="92"/>
      <c r="DA634" s="92"/>
      <c r="DB634" s="92"/>
      <c r="DC634" s="92"/>
      <c r="DD634" s="92"/>
      <c r="DE634" s="92"/>
      <c r="DF634" s="92"/>
      <c r="DG634" s="92"/>
      <c r="DH634" s="92"/>
      <c r="DI634" s="92"/>
      <c r="DJ634" s="92"/>
      <c r="DK634" s="92"/>
      <c r="DL634" s="92"/>
      <c r="DM634" s="92"/>
      <c r="DN634" s="92"/>
      <c r="DO634" s="92"/>
      <c r="DP634" s="92"/>
      <c r="DQ634" s="92"/>
      <c r="DR634" s="92"/>
      <c r="DS634" s="92"/>
      <c r="DT634" s="92"/>
      <c r="DU634" s="92"/>
      <c r="DV634" s="92"/>
      <c r="DW634" s="92"/>
      <c r="DX634" s="92"/>
      <c r="DY634" s="92"/>
      <c r="DZ634" s="92"/>
      <c r="EA634" s="92"/>
      <c r="EB634" s="92"/>
      <c r="EC634" s="92"/>
      <c r="ED634" s="92"/>
      <c r="EE634" s="92"/>
      <c r="EF634" s="92"/>
      <c r="EG634" s="92"/>
      <c r="EH634" s="92"/>
      <c r="EI634" s="92"/>
      <c r="EJ634" s="92"/>
      <c r="EK634" s="92"/>
      <c r="EL634" s="92"/>
      <c r="EM634" s="92"/>
      <c r="EN634" s="92"/>
      <c r="EO634" s="92"/>
      <c r="EP634" s="92"/>
      <c r="EQ634" s="92"/>
      <c r="ER634" s="92"/>
      <c r="ES634" s="92"/>
      <c r="ET634" s="92"/>
      <c r="EU634" s="92"/>
      <c r="EV634" s="92"/>
      <c r="EW634" s="92"/>
      <c r="EX634" s="92"/>
      <c r="EY634" s="92"/>
      <c r="EZ634" s="92"/>
      <c r="FA634" s="92"/>
      <c r="FB634" s="92"/>
      <c r="FC634" s="92"/>
      <c r="FD634" s="92"/>
      <c r="FE634" s="92"/>
      <c r="FF634" s="92"/>
      <c r="FG634" s="92"/>
      <c r="FH634" s="92"/>
      <c r="FI634" s="92"/>
      <c r="FJ634" s="92"/>
      <c r="FK634" s="92"/>
      <c r="FL634" s="92"/>
      <c r="FM634" s="92"/>
      <c r="FN634" s="92"/>
      <c r="FO634" s="92"/>
      <c r="FP634" s="92"/>
      <c r="FQ634" s="92"/>
      <c r="FR634" s="92"/>
      <c r="FS634" s="92"/>
      <c r="FT634" s="92"/>
      <c r="FU634" s="92"/>
      <c r="FV634" s="92"/>
      <c r="FW634" s="92"/>
      <c r="FX634" s="92"/>
      <c r="FY634" s="92"/>
      <c r="FZ634" s="92"/>
      <c r="GA634" s="92"/>
      <c r="GB634" s="92"/>
      <c r="GC634" s="92"/>
      <c r="GD634" s="92"/>
      <c r="GE634" s="92"/>
      <c r="GF634" s="92"/>
      <c r="GG634" s="92"/>
      <c r="GH634" s="92"/>
      <c r="GI634" s="92"/>
      <c r="GJ634" s="92"/>
      <c r="GK634" s="92"/>
      <c r="GL634" s="92"/>
      <c r="GM634" s="92"/>
      <c r="GN634" s="92"/>
      <c r="GO634" s="92"/>
      <c r="GP634" s="92"/>
      <c r="GQ634" s="92"/>
      <c r="GR634" s="92"/>
      <c r="GS634" s="92"/>
      <c r="GT634" s="92"/>
      <c r="GU634" s="92"/>
      <c r="GV634" s="92"/>
      <c r="GW634" s="92"/>
      <c r="GX634" s="92"/>
      <c r="GY634" s="92"/>
      <c r="GZ634" s="92"/>
      <c r="HA634" s="92"/>
      <c r="HB634" s="92"/>
      <c r="HC634" s="92"/>
      <c r="HD634" s="92"/>
      <c r="HE634" s="92"/>
      <c r="HF634" s="92"/>
      <c r="HG634" s="92"/>
      <c r="HH634" s="92"/>
      <c r="HI634" s="92"/>
      <c r="HJ634" s="92"/>
      <c r="HK634" s="92"/>
      <c r="HL634" s="92"/>
      <c r="HM634" s="92"/>
      <c r="HN634" s="92"/>
      <c r="HO634" s="92"/>
      <c r="HP634" s="92"/>
      <c r="HQ634" s="92"/>
      <c r="HR634" s="92"/>
      <c r="HS634" s="92"/>
      <c r="HT634" s="92"/>
      <c r="HU634" s="92"/>
      <c r="HV634" s="92"/>
      <c r="HW634" s="92"/>
      <c r="HX634" s="92"/>
      <c r="HY634" s="92"/>
      <c r="HZ634" s="92"/>
      <c r="IA634" s="92"/>
      <c r="IB634" s="92"/>
      <c r="IC634" s="92"/>
      <c r="ID634" s="92"/>
      <c r="IE634" s="92"/>
      <c r="IF634" s="92"/>
      <c r="IG634" s="92"/>
      <c r="IH634" s="92"/>
      <c r="II634" s="92"/>
      <c r="IJ634" s="92"/>
      <c r="IK634" s="92"/>
      <c r="IL634" s="92"/>
      <c r="IM634" s="92"/>
      <c r="IN634" s="92"/>
      <c r="IO634" s="92"/>
      <c r="IP634" s="92"/>
      <c r="IQ634" s="92"/>
      <c r="IR634" s="92"/>
      <c r="IS634" s="92"/>
      <c r="IT634" s="92"/>
      <c r="IU634" s="92"/>
      <c r="IV634" s="92"/>
      <c r="IW634" s="92"/>
      <c r="IX634" s="92"/>
      <c r="IY634" s="92"/>
      <c r="IZ634" s="92"/>
      <c r="JA634" s="92"/>
    </row>
    <row r="635" spans="1:261" x14ac:dyDescent="0.25">
      <c r="A635" s="65" t="s">
        <v>927</v>
      </c>
      <c r="B635" s="65" t="s">
        <v>3973</v>
      </c>
      <c r="C635" s="66" t="s">
        <v>3477</v>
      </c>
      <c r="D635" s="66" t="s">
        <v>3387</v>
      </c>
      <c r="E635" s="67">
        <v>0</v>
      </c>
      <c r="F635" s="68">
        <v>0.02</v>
      </c>
      <c r="G635" s="68">
        <v>0.01</v>
      </c>
      <c r="H635" s="68">
        <v>0.04</v>
      </c>
      <c r="I635" s="68">
        <v>0.06</v>
      </c>
      <c r="J635" s="68">
        <v>0.11</v>
      </c>
      <c r="K635" s="68">
        <v>0.13</v>
      </c>
      <c r="L635" s="68">
        <v>0.18</v>
      </c>
      <c r="M635" s="68">
        <v>0.17</v>
      </c>
      <c r="N635" s="68">
        <v>0.15</v>
      </c>
      <c r="O635" s="68">
        <v>0.1</v>
      </c>
      <c r="P635" s="68">
        <v>0.04</v>
      </c>
      <c r="Q635" s="68">
        <v>0.03</v>
      </c>
      <c r="R635" s="69" t="s">
        <v>3470</v>
      </c>
      <c r="S635" s="69" t="s">
        <v>3489</v>
      </c>
      <c r="T635" s="70" t="s">
        <v>3497</v>
      </c>
      <c r="U635" s="452"/>
      <c r="V635" s="453" t="str">
        <f>IF(VLOOKUP($A635,'GeneratingCapabilityList sorted'!$E$9:$O$801,8,FALSE)&lt;&gt;"",VLOOKUP($A635,'GeneratingCapabilityList sorted'!$E$9:$O$801,8,FALSE),"NoneListed")</f>
        <v>NoneListed</v>
      </c>
      <c r="W635" s="454">
        <f>IF($AB635,$AB635,IF($AA635,$AA635,Scenarios!$B$43))</f>
        <v>30317</v>
      </c>
      <c r="X635" s="454"/>
      <c r="Y635" s="454"/>
      <c r="Z635" s="454"/>
      <c r="AA635" s="454">
        <f>IFERROR(VLOOKUP($A635,'GeneratingCapabilityList sorted'!$E$9:$O$801,11,FALSE),Scenarios!$B$43)</f>
        <v>30317</v>
      </c>
      <c r="AB635" s="456"/>
      <c r="AC635" s="456"/>
      <c r="AD635" s="92"/>
      <c r="AE635" s="92"/>
      <c r="AF635" s="92"/>
      <c r="AG635" s="92"/>
      <c r="AH635" s="92"/>
      <c r="AI635" s="92"/>
      <c r="AJ635" s="92"/>
      <c r="AK635" s="92"/>
      <c r="AL635" s="92"/>
      <c r="AM635" s="92"/>
      <c r="AN635" s="92"/>
      <c r="AO635" s="92"/>
      <c r="AP635" s="92"/>
      <c r="AQ635" s="92"/>
      <c r="AR635" s="92"/>
      <c r="AS635" s="92"/>
      <c r="AT635" s="92"/>
      <c r="AU635" s="92"/>
      <c r="AV635" s="92"/>
      <c r="AW635" s="92"/>
      <c r="AX635" s="92"/>
      <c r="AY635" s="92"/>
      <c r="AZ635" s="92"/>
      <c r="BA635" s="92"/>
      <c r="BB635" s="92"/>
      <c r="BC635" s="92"/>
      <c r="BD635" s="92"/>
      <c r="BE635" s="92"/>
      <c r="BF635" s="92"/>
      <c r="BG635" s="92"/>
      <c r="BH635" s="92"/>
      <c r="BI635" s="92"/>
      <c r="BJ635" s="92"/>
      <c r="BK635" s="92"/>
      <c r="BL635" s="92"/>
      <c r="BM635" s="92"/>
      <c r="BN635" s="92"/>
      <c r="BO635" s="92"/>
      <c r="BP635" s="92"/>
      <c r="BQ635" s="92"/>
      <c r="BR635" s="92"/>
      <c r="BS635" s="92"/>
      <c r="BT635" s="92"/>
      <c r="BU635" s="92"/>
      <c r="BV635" s="92"/>
      <c r="BW635" s="92"/>
      <c r="BX635" s="92"/>
      <c r="BY635" s="92"/>
      <c r="BZ635" s="92"/>
      <c r="CA635" s="92"/>
      <c r="CB635" s="92"/>
      <c r="CC635" s="92"/>
      <c r="CD635" s="92"/>
      <c r="CE635" s="92"/>
      <c r="CF635" s="92"/>
      <c r="CG635" s="92"/>
      <c r="CH635" s="92"/>
      <c r="CI635" s="92"/>
      <c r="CJ635" s="92"/>
      <c r="CK635" s="92"/>
      <c r="CL635" s="92"/>
      <c r="CM635" s="92"/>
      <c r="CN635" s="92"/>
      <c r="CO635" s="92"/>
      <c r="CP635" s="92"/>
      <c r="CQ635" s="92"/>
      <c r="CR635" s="92"/>
      <c r="CS635" s="92"/>
      <c r="CT635" s="92"/>
      <c r="CU635" s="92"/>
      <c r="CV635" s="92"/>
      <c r="CW635" s="92"/>
      <c r="CX635" s="92"/>
      <c r="CY635" s="92"/>
      <c r="CZ635" s="92"/>
      <c r="DA635" s="92"/>
      <c r="DB635" s="92"/>
      <c r="DC635" s="92"/>
      <c r="DD635" s="92"/>
      <c r="DE635" s="92"/>
      <c r="DF635" s="92"/>
      <c r="DG635" s="92"/>
      <c r="DH635" s="92"/>
      <c r="DI635" s="92"/>
      <c r="DJ635" s="92"/>
      <c r="DK635" s="92"/>
      <c r="DL635" s="92"/>
      <c r="DM635" s="92"/>
      <c r="DN635" s="92"/>
      <c r="DO635" s="92"/>
      <c r="DP635" s="92"/>
      <c r="DQ635" s="92"/>
      <c r="DR635" s="92"/>
      <c r="DS635" s="92"/>
      <c r="DT635" s="92"/>
      <c r="DU635" s="92"/>
      <c r="DV635" s="92"/>
      <c r="DW635" s="92"/>
      <c r="DX635" s="92"/>
      <c r="DY635" s="92"/>
      <c r="DZ635" s="92"/>
      <c r="EA635" s="92"/>
      <c r="EB635" s="92"/>
      <c r="EC635" s="92"/>
      <c r="ED635" s="92"/>
      <c r="EE635" s="92"/>
      <c r="EF635" s="92"/>
      <c r="EG635" s="92"/>
      <c r="EH635" s="92"/>
      <c r="EI635" s="92"/>
      <c r="EJ635" s="92"/>
      <c r="EK635" s="92"/>
      <c r="EL635" s="92"/>
      <c r="EM635" s="92"/>
      <c r="EN635" s="92"/>
      <c r="EO635" s="92"/>
      <c r="EP635" s="92"/>
      <c r="EQ635" s="92"/>
      <c r="ER635" s="92"/>
      <c r="ES635" s="92"/>
      <c r="ET635" s="92"/>
      <c r="EU635" s="92"/>
      <c r="EV635" s="92"/>
      <c r="EW635" s="92"/>
      <c r="EX635" s="92"/>
      <c r="EY635" s="92"/>
      <c r="EZ635" s="92"/>
      <c r="FA635" s="92"/>
      <c r="FB635" s="92"/>
      <c r="FC635" s="92"/>
      <c r="FD635" s="92"/>
      <c r="FE635" s="92"/>
      <c r="FF635" s="92"/>
      <c r="FG635" s="92"/>
      <c r="FH635" s="92"/>
      <c r="FI635" s="92"/>
      <c r="FJ635" s="92"/>
      <c r="FK635" s="92"/>
      <c r="FL635" s="92"/>
      <c r="FM635" s="92"/>
      <c r="FN635" s="92"/>
      <c r="FO635" s="92"/>
      <c r="FP635" s="92"/>
      <c r="FQ635" s="92"/>
      <c r="FR635" s="92"/>
      <c r="FS635" s="92"/>
      <c r="FT635" s="92"/>
      <c r="FU635" s="92"/>
      <c r="FV635" s="92"/>
      <c r="FW635" s="92"/>
      <c r="FX635" s="92"/>
      <c r="FY635" s="92"/>
      <c r="FZ635" s="92"/>
      <c r="GA635" s="92"/>
      <c r="GB635" s="92"/>
      <c r="GC635" s="92"/>
      <c r="GD635" s="92"/>
      <c r="GE635" s="92"/>
      <c r="GF635" s="92"/>
      <c r="GG635" s="92"/>
      <c r="GH635" s="92"/>
      <c r="GI635" s="92"/>
      <c r="GJ635" s="92"/>
      <c r="GK635" s="92"/>
      <c r="GL635" s="92"/>
      <c r="GM635" s="92"/>
      <c r="GN635" s="92"/>
      <c r="GO635" s="92"/>
      <c r="GP635" s="92"/>
      <c r="GQ635" s="92"/>
      <c r="GR635" s="92"/>
      <c r="GS635" s="92"/>
      <c r="GT635" s="92"/>
      <c r="GU635" s="92"/>
      <c r="GV635" s="92"/>
      <c r="GW635" s="92"/>
      <c r="GX635" s="92"/>
      <c r="GY635" s="92"/>
      <c r="GZ635" s="92"/>
      <c r="HA635" s="92"/>
      <c r="HB635" s="92"/>
      <c r="HC635" s="92"/>
      <c r="HD635" s="92"/>
      <c r="HE635" s="92"/>
      <c r="HF635" s="92"/>
      <c r="HG635" s="92"/>
      <c r="HH635" s="92"/>
      <c r="HI635" s="92"/>
      <c r="HJ635" s="92"/>
      <c r="HK635" s="92"/>
      <c r="HL635" s="92"/>
      <c r="HM635" s="92"/>
      <c r="HN635" s="92"/>
      <c r="HO635" s="92"/>
      <c r="HP635" s="92"/>
      <c r="HQ635" s="92"/>
      <c r="HR635" s="92"/>
      <c r="HS635" s="92"/>
      <c r="HT635" s="92"/>
      <c r="HU635" s="92"/>
      <c r="HV635" s="92"/>
      <c r="HW635" s="92"/>
      <c r="HX635" s="92"/>
      <c r="HY635" s="92"/>
      <c r="HZ635" s="92"/>
      <c r="IA635" s="92"/>
      <c r="IB635" s="92"/>
      <c r="IC635" s="92"/>
      <c r="ID635" s="92"/>
      <c r="IE635" s="92"/>
      <c r="IF635" s="92"/>
      <c r="IG635" s="92"/>
      <c r="IH635" s="92"/>
      <c r="II635" s="92"/>
      <c r="IJ635" s="92"/>
      <c r="IK635" s="92"/>
      <c r="IL635" s="92"/>
      <c r="IM635" s="92"/>
      <c r="IN635" s="92"/>
      <c r="IO635" s="92"/>
      <c r="IP635" s="92"/>
      <c r="IQ635" s="92"/>
      <c r="IR635" s="92"/>
      <c r="IS635" s="92"/>
      <c r="IT635" s="92"/>
      <c r="IU635" s="92"/>
      <c r="IV635" s="92"/>
      <c r="IW635" s="92"/>
      <c r="IX635" s="92"/>
      <c r="IY635" s="92"/>
      <c r="IZ635" s="92"/>
      <c r="JA635" s="92"/>
    </row>
    <row r="636" spans="1:261" x14ac:dyDescent="0.25">
      <c r="A636" s="65" t="s">
        <v>832</v>
      </c>
      <c r="B636" s="65" t="s">
        <v>833</v>
      </c>
      <c r="C636" s="66" t="s">
        <v>3468</v>
      </c>
      <c r="D636" s="66" t="s">
        <v>3508</v>
      </c>
      <c r="E636" s="67">
        <v>0</v>
      </c>
      <c r="F636" s="68">
        <v>0</v>
      </c>
      <c r="G636" s="68">
        <v>0</v>
      </c>
      <c r="H636" s="68">
        <v>0.53</v>
      </c>
      <c r="I636" s="68">
        <v>0.69</v>
      </c>
      <c r="J636" s="68">
        <v>1.1299999999999999</v>
      </c>
      <c r="K636" s="68">
        <v>1.27</v>
      </c>
      <c r="L636" s="68">
        <v>1.56</v>
      </c>
      <c r="M636" s="68">
        <v>1.39</v>
      </c>
      <c r="N636" s="68">
        <v>0.57999999999999996</v>
      </c>
      <c r="O636" s="68">
        <v>0.01</v>
      </c>
      <c r="P636" s="68">
        <v>0</v>
      </c>
      <c r="Q636" s="68">
        <v>0</v>
      </c>
      <c r="R636" s="69" t="s">
        <v>3470</v>
      </c>
      <c r="S636" s="69" t="s">
        <v>3489</v>
      </c>
      <c r="T636" s="70" t="s">
        <v>3502</v>
      </c>
      <c r="U636" s="452"/>
      <c r="V636" s="453" t="str">
        <f>IF(VLOOKUP($A636,'GeneratingCapabilityList sorted'!$E$9:$O$801,8,FALSE)&lt;&gt;"",VLOOKUP($A636,'GeneratingCapabilityList sorted'!$E$9:$O$801,8,FALSE),"NoneListed")</f>
        <v>WATER</v>
      </c>
      <c r="W636" s="454">
        <f>IF($AB636,$AB636,IF($AA636,$AA636,Scenarios!$B$43))</f>
        <v>30057</v>
      </c>
      <c r="X636" s="454"/>
      <c r="Y636" s="454"/>
      <c r="Z636" s="454"/>
      <c r="AA636" s="454">
        <f>IFERROR(VLOOKUP($A636,'GeneratingCapabilityList sorted'!$E$9:$O$801,11,FALSE),Scenarios!$B$43)</f>
        <v>30057</v>
      </c>
      <c r="AB636" s="456"/>
      <c r="AC636" s="456"/>
      <c r="AD636" s="92"/>
      <c r="AE636" s="92"/>
      <c r="AF636" s="92"/>
      <c r="AG636" s="92"/>
      <c r="AH636" s="92"/>
      <c r="AI636" s="92"/>
      <c r="AJ636" s="92"/>
      <c r="AK636" s="92"/>
      <c r="AL636" s="92"/>
      <c r="AM636" s="92"/>
      <c r="AN636" s="92"/>
      <c r="AO636" s="92"/>
      <c r="AP636" s="92"/>
      <c r="AQ636" s="92"/>
      <c r="AR636" s="92"/>
      <c r="AS636" s="92"/>
      <c r="AT636" s="92"/>
      <c r="AU636" s="92"/>
      <c r="AV636" s="92"/>
      <c r="AW636" s="92"/>
      <c r="AX636" s="92"/>
      <c r="AY636" s="92"/>
      <c r="AZ636" s="92"/>
      <c r="BA636" s="92"/>
      <c r="BB636" s="92"/>
      <c r="BC636" s="92"/>
      <c r="BD636" s="92"/>
      <c r="BE636" s="92"/>
      <c r="BF636" s="92"/>
      <c r="BG636" s="92"/>
      <c r="BH636" s="92"/>
      <c r="BI636" s="92"/>
      <c r="BJ636" s="92"/>
      <c r="BK636" s="92"/>
      <c r="BL636" s="92"/>
      <c r="BM636" s="92"/>
      <c r="BN636" s="92"/>
      <c r="BO636" s="92"/>
      <c r="BP636" s="92"/>
      <c r="BQ636" s="92"/>
      <c r="BR636" s="92"/>
      <c r="BS636" s="92"/>
      <c r="BT636" s="92"/>
      <c r="BU636" s="92"/>
      <c r="BV636" s="92"/>
      <c r="BW636" s="92"/>
      <c r="BX636" s="92"/>
      <c r="BY636" s="92"/>
      <c r="BZ636" s="92"/>
      <c r="CA636" s="92"/>
      <c r="CB636" s="92"/>
      <c r="CC636" s="92"/>
      <c r="CD636" s="92"/>
      <c r="CE636" s="92"/>
      <c r="CF636" s="92"/>
      <c r="CG636" s="92"/>
      <c r="CH636" s="92"/>
      <c r="CI636" s="92"/>
      <c r="CJ636" s="92"/>
      <c r="CK636" s="92"/>
      <c r="CL636" s="92"/>
      <c r="CM636" s="92"/>
      <c r="CN636" s="92"/>
      <c r="CO636" s="92"/>
      <c r="CP636" s="92"/>
      <c r="CQ636" s="92"/>
      <c r="CR636" s="92"/>
      <c r="CS636" s="92"/>
      <c r="CT636" s="92"/>
      <c r="CU636" s="92"/>
      <c r="CV636" s="92"/>
      <c r="CW636" s="92"/>
      <c r="CX636" s="92"/>
      <c r="CY636" s="92"/>
      <c r="CZ636" s="92"/>
      <c r="DA636" s="92"/>
      <c r="DB636" s="92"/>
      <c r="DC636" s="92"/>
      <c r="DD636" s="92"/>
      <c r="DE636" s="92"/>
      <c r="DF636" s="92"/>
      <c r="DG636" s="92"/>
      <c r="DH636" s="92"/>
      <c r="DI636" s="92"/>
      <c r="DJ636" s="92"/>
      <c r="DK636" s="92"/>
      <c r="DL636" s="92"/>
      <c r="DM636" s="92"/>
      <c r="DN636" s="92"/>
      <c r="DO636" s="92"/>
      <c r="DP636" s="92"/>
      <c r="DQ636" s="92"/>
      <c r="DR636" s="92"/>
      <c r="DS636" s="92"/>
      <c r="DT636" s="92"/>
      <c r="DU636" s="92"/>
      <c r="DV636" s="92"/>
      <c r="DW636" s="92"/>
      <c r="DX636" s="92"/>
      <c r="DY636" s="92"/>
      <c r="DZ636" s="92"/>
      <c r="EA636" s="92"/>
      <c r="EB636" s="92"/>
      <c r="EC636" s="92"/>
      <c r="ED636" s="92"/>
      <c r="EE636" s="92"/>
      <c r="EF636" s="92"/>
      <c r="EG636" s="92"/>
      <c r="EH636" s="92"/>
      <c r="EI636" s="92"/>
      <c r="EJ636" s="92"/>
      <c r="EK636" s="92"/>
      <c r="EL636" s="92"/>
      <c r="EM636" s="92"/>
      <c r="EN636" s="92"/>
      <c r="EO636" s="92"/>
      <c r="EP636" s="92"/>
      <c r="EQ636" s="92"/>
      <c r="ER636" s="92"/>
      <c r="ES636" s="92"/>
      <c r="ET636" s="92"/>
      <c r="EU636" s="92"/>
      <c r="EV636" s="92"/>
      <c r="EW636" s="92"/>
      <c r="EX636" s="92"/>
      <c r="EY636" s="92"/>
      <c r="EZ636" s="92"/>
      <c r="FA636" s="92"/>
      <c r="FB636" s="92"/>
      <c r="FC636" s="92"/>
      <c r="FD636" s="92"/>
      <c r="FE636" s="92"/>
      <c r="FF636" s="92"/>
      <c r="FG636" s="92"/>
      <c r="FH636" s="92"/>
      <c r="FI636" s="92"/>
      <c r="FJ636" s="92"/>
      <c r="FK636" s="92"/>
      <c r="FL636" s="92"/>
      <c r="FM636" s="92"/>
      <c r="FN636" s="92"/>
      <c r="FO636" s="92"/>
      <c r="FP636" s="92"/>
      <c r="FQ636" s="92"/>
      <c r="FR636" s="92"/>
      <c r="FS636" s="92"/>
      <c r="FT636" s="92"/>
      <c r="FU636" s="92"/>
      <c r="FV636" s="92"/>
      <c r="FW636" s="92"/>
      <c r="FX636" s="92"/>
      <c r="FY636" s="92"/>
      <c r="FZ636" s="92"/>
      <c r="GA636" s="92"/>
      <c r="GB636" s="92"/>
      <c r="GC636" s="92"/>
      <c r="GD636" s="92"/>
      <c r="GE636" s="92"/>
      <c r="GF636" s="92"/>
      <c r="GG636" s="92"/>
      <c r="GH636" s="92"/>
      <c r="GI636" s="92"/>
      <c r="GJ636" s="92"/>
      <c r="GK636" s="92"/>
      <c r="GL636" s="92"/>
      <c r="GM636" s="92"/>
      <c r="GN636" s="92"/>
      <c r="GO636" s="92"/>
      <c r="GP636" s="92"/>
      <c r="GQ636" s="92"/>
      <c r="GR636" s="92"/>
      <c r="GS636" s="92"/>
      <c r="GT636" s="92"/>
      <c r="GU636" s="92"/>
      <c r="GV636" s="92"/>
      <c r="GW636" s="92"/>
      <c r="GX636" s="92"/>
      <c r="GY636" s="92"/>
      <c r="GZ636" s="92"/>
      <c r="HA636" s="92"/>
      <c r="HB636" s="92"/>
      <c r="HC636" s="92"/>
      <c r="HD636" s="92"/>
      <c r="HE636" s="92"/>
      <c r="HF636" s="92"/>
      <c r="HG636" s="92"/>
      <c r="HH636" s="92"/>
      <c r="HI636" s="92"/>
      <c r="HJ636" s="92"/>
      <c r="HK636" s="92"/>
      <c r="HL636" s="92"/>
      <c r="HM636" s="92"/>
      <c r="HN636" s="92"/>
      <c r="HO636" s="92"/>
      <c r="HP636" s="92"/>
      <c r="HQ636" s="92"/>
      <c r="HR636" s="92"/>
      <c r="HS636" s="92"/>
      <c r="HT636" s="92"/>
      <c r="HU636" s="92"/>
      <c r="HV636" s="92"/>
      <c r="HW636" s="92"/>
      <c r="HX636" s="92"/>
      <c r="HY636" s="92"/>
      <c r="HZ636" s="92"/>
      <c r="IA636" s="92"/>
      <c r="IB636" s="92"/>
      <c r="IC636" s="92"/>
      <c r="ID636" s="92"/>
      <c r="IE636" s="92"/>
      <c r="IF636" s="92"/>
      <c r="IG636" s="92"/>
      <c r="IH636" s="92"/>
      <c r="II636" s="92"/>
      <c r="IJ636" s="92"/>
      <c r="IK636" s="92"/>
      <c r="IL636" s="92"/>
      <c r="IM636" s="92"/>
      <c r="IN636" s="92"/>
      <c r="IO636" s="92"/>
      <c r="IP636" s="92"/>
      <c r="IQ636" s="92"/>
      <c r="IR636" s="92"/>
      <c r="IS636" s="92"/>
      <c r="IT636" s="92"/>
      <c r="IU636" s="92"/>
      <c r="IV636" s="92"/>
      <c r="IW636" s="92"/>
      <c r="IX636" s="92"/>
      <c r="IY636" s="92"/>
      <c r="IZ636" s="92"/>
      <c r="JA636" s="92"/>
    </row>
    <row r="637" spans="1:261" x14ac:dyDescent="0.25">
      <c r="A637" s="65" t="s">
        <v>780</v>
      </c>
      <c r="B637" s="65" t="s">
        <v>3974</v>
      </c>
      <c r="C637" s="66" t="s">
        <v>3468</v>
      </c>
      <c r="D637" s="66" t="s">
        <v>3488</v>
      </c>
      <c r="E637" s="67">
        <v>0</v>
      </c>
      <c r="F637" s="68">
        <v>3.99</v>
      </c>
      <c r="G637" s="68">
        <v>4.99</v>
      </c>
      <c r="H637" s="68">
        <v>5.47</v>
      </c>
      <c r="I637" s="68">
        <v>3.82</v>
      </c>
      <c r="J637" s="68">
        <v>5.03</v>
      </c>
      <c r="K637" s="68">
        <v>5.1100000000000003</v>
      </c>
      <c r="L637" s="68">
        <v>4.1399999999999997</v>
      </c>
      <c r="M637" s="68">
        <v>3.36</v>
      </c>
      <c r="N637" s="68">
        <v>3.06</v>
      </c>
      <c r="O637" s="68">
        <v>3.35</v>
      </c>
      <c r="P637" s="68">
        <v>3.57</v>
      </c>
      <c r="Q637" s="68">
        <v>4.33</v>
      </c>
      <c r="R637" s="69" t="s">
        <v>3470</v>
      </c>
      <c r="S637" s="69" t="s">
        <v>3489</v>
      </c>
      <c r="T637" s="70" t="s">
        <v>3502</v>
      </c>
      <c r="U637" s="452"/>
      <c r="V637" s="453" t="str">
        <f>IF(VLOOKUP($A637,'GeneratingCapabilityList sorted'!$E$9:$O$801,8,FALSE)&lt;&gt;"",VLOOKUP($A637,'GeneratingCapabilityList sorted'!$E$9:$O$801,8,FALSE),"NoneListed")</f>
        <v>WATER</v>
      </c>
      <c r="W637" s="454">
        <f>IF($AB637,$AB637,IF($AA637,$AA637,Scenarios!$B$43))</f>
        <v>29221</v>
      </c>
      <c r="X637" s="454"/>
      <c r="Y637" s="454"/>
      <c r="Z637" s="454"/>
      <c r="AA637" s="454">
        <f>IFERROR(VLOOKUP($A637,'GeneratingCapabilityList sorted'!$E$9:$O$801,11,FALSE),Scenarios!$B$43)</f>
        <v>29221</v>
      </c>
      <c r="AB637" s="453"/>
      <c r="AC637" s="453"/>
    </row>
    <row r="638" spans="1:261" x14ac:dyDescent="0.25">
      <c r="A638" s="65" t="s">
        <v>794</v>
      </c>
      <c r="B638" s="65" t="s">
        <v>3975</v>
      </c>
      <c r="C638" s="66" t="s">
        <v>3468</v>
      </c>
      <c r="D638" s="66" t="s">
        <v>3488</v>
      </c>
      <c r="E638" s="67">
        <v>0</v>
      </c>
      <c r="F638" s="68">
        <v>0.3</v>
      </c>
      <c r="G638" s="68">
        <v>0.52</v>
      </c>
      <c r="H638" s="68">
        <v>0.63</v>
      </c>
      <c r="I638" s="68">
        <v>0.36</v>
      </c>
      <c r="J638" s="68">
        <v>0.51</v>
      </c>
      <c r="K638" s="68">
        <v>0.59</v>
      </c>
      <c r="L638" s="68">
        <v>0.37</v>
      </c>
      <c r="M638" s="68">
        <v>0.27</v>
      </c>
      <c r="N638" s="68">
        <v>0.23</v>
      </c>
      <c r="O638" s="68">
        <v>0.35</v>
      </c>
      <c r="P638" s="68">
        <v>0.38</v>
      </c>
      <c r="Q638" s="68">
        <v>0.5</v>
      </c>
      <c r="R638" s="69" t="s">
        <v>3470</v>
      </c>
      <c r="S638" s="69" t="s">
        <v>3489</v>
      </c>
      <c r="T638" s="70" t="s">
        <v>3502</v>
      </c>
      <c r="U638" s="452"/>
      <c r="V638" s="453" t="str">
        <f>IF(VLOOKUP($A638,'GeneratingCapabilityList sorted'!$E$9:$O$801,8,FALSE)&lt;&gt;"",VLOOKUP($A638,'GeneratingCapabilityList sorted'!$E$9:$O$801,8,FALSE),"NoneListed")</f>
        <v>WATER</v>
      </c>
      <c r="W638" s="454">
        <f>IF($AB638,$AB638,IF($AA638,$AA638,Scenarios!$B$43))</f>
        <v>29587</v>
      </c>
      <c r="X638" s="454"/>
      <c r="Y638" s="454"/>
      <c r="Z638" s="454"/>
      <c r="AA638" s="454">
        <f>IFERROR(VLOOKUP($A638,'GeneratingCapabilityList sorted'!$E$9:$O$801,11,FALSE),Scenarios!$B$43)</f>
        <v>29587</v>
      </c>
      <c r="AB638" s="453"/>
      <c r="AC638" s="453"/>
    </row>
    <row r="639" spans="1:261" x14ac:dyDescent="0.25">
      <c r="A639" s="65" t="s">
        <v>3362</v>
      </c>
      <c r="B639" s="65" t="s">
        <v>3362</v>
      </c>
      <c r="C639" s="66" t="s">
        <v>3468</v>
      </c>
      <c r="D639" s="66" t="s">
        <v>3488</v>
      </c>
      <c r="E639" s="67">
        <v>0</v>
      </c>
      <c r="F639" s="68">
        <v>0.4</v>
      </c>
      <c r="G639" s="68">
        <v>0.52</v>
      </c>
      <c r="H639" s="68">
        <v>0.74</v>
      </c>
      <c r="I639" s="68">
        <v>0.7</v>
      </c>
      <c r="J639" s="68">
        <v>1.25</v>
      </c>
      <c r="K639" s="68">
        <v>1.35</v>
      </c>
      <c r="L639" s="68">
        <v>0.84</v>
      </c>
      <c r="M639" s="68">
        <v>0.37</v>
      </c>
      <c r="N639" s="68">
        <v>0.34</v>
      </c>
      <c r="O639" s="68">
        <v>0.34</v>
      </c>
      <c r="P639" s="68">
        <v>0.38</v>
      </c>
      <c r="Q639" s="68">
        <v>0.6</v>
      </c>
      <c r="R639" s="69" t="s">
        <v>3470</v>
      </c>
      <c r="S639" s="69" t="s">
        <v>3489</v>
      </c>
      <c r="T639" s="70" t="s">
        <v>3502</v>
      </c>
      <c r="U639" s="452"/>
      <c r="V639" s="453" t="str">
        <f>IF(VLOOKUP($A639,'GeneratingCapabilityList sorted'!$E$9:$O$801,8,FALSE)&lt;&gt;"",VLOOKUP($A639,'GeneratingCapabilityList sorted'!$E$9:$O$801,8,FALSE),"NoneListed")</f>
        <v>WATER</v>
      </c>
      <c r="W639" s="454">
        <f>IF($AB639,$AB639,IF($AA639,$AA639,Scenarios!$B$43))</f>
        <v>30097</v>
      </c>
      <c r="X639" s="454"/>
      <c r="Y639" s="454"/>
      <c r="Z639" s="454"/>
      <c r="AA639" s="454">
        <f>IFERROR(VLOOKUP($A639,'GeneratingCapabilityList sorted'!$E$9:$O$801,11,FALSE),Scenarios!$B$43)</f>
        <v>0</v>
      </c>
      <c r="AB639" s="454">
        <v>30097</v>
      </c>
      <c r="AC639" s="453" t="s">
        <v>4731</v>
      </c>
    </row>
    <row r="640" spans="1:261" x14ac:dyDescent="0.25">
      <c r="A640" s="65" t="s">
        <v>1858</v>
      </c>
      <c r="B640" s="65" t="s">
        <v>1859</v>
      </c>
      <c r="C640" s="66" t="s">
        <v>3468</v>
      </c>
      <c r="D640" s="66" t="s">
        <v>3488</v>
      </c>
      <c r="E640" s="67">
        <v>0</v>
      </c>
      <c r="F640" s="68">
        <v>17.989999999999998</v>
      </c>
      <c r="G640" s="68">
        <v>22.05</v>
      </c>
      <c r="H640" s="68">
        <v>14.1</v>
      </c>
      <c r="I640" s="68">
        <v>15.52</v>
      </c>
      <c r="J640" s="68">
        <v>15.48</v>
      </c>
      <c r="K640" s="68">
        <v>22.87</v>
      </c>
      <c r="L640" s="68">
        <v>23.21</v>
      </c>
      <c r="M640" s="68">
        <v>19.510000000000002</v>
      </c>
      <c r="N640" s="68">
        <v>23.41</v>
      </c>
      <c r="O640" s="68">
        <v>17.11</v>
      </c>
      <c r="P640" s="68">
        <v>22.95</v>
      </c>
      <c r="Q640" s="68">
        <v>20.62</v>
      </c>
      <c r="R640" s="69" t="s">
        <v>3470</v>
      </c>
      <c r="S640" s="69" t="s">
        <v>3489</v>
      </c>
      <c r="T640" s="70" t="s">
        <v>3497</v>
      </c>
      <c r="U640" s="452"/>
      <c r="V640" s="453" t="str">
        <f>IF(VLOOKUP($A640,'GeneratingCapabilityList sorted'!$E$9:$O$801,8,FALSE)&lt;&gt;"",VLOOKUP($A640,'GeneratingCapabilityList sorted'!$E$9:$O$801,8,FALSE),"NoneListed")</f>
        <v>WOOD WASTE</v>
      </c>
      <c r="W640" s="454">
        <f>IF($AB640,$AB640,IF($AA640,$AA640,Scenarios!$B$43))</f>
        <v>32591</v>
      </c>
      <c r="X640" s="454"/>
      <c r="Y640" s="454"/>
      <c r="Z640" s="454"/>
      <c r="AA640" s="454">
        <f>IFERROR(VLOOKUP($A640,'GeneratingCapabilityList sorted'!$E$9:$O$801,11,FALSE),Scenarios!$B$43)</f>
        <v>32591</v>
      </c>
      <c r="AB640" s="453"/>
      <c r="AC640" s="453"/>
    </row>
    <row r="641" spans="1:29" x14ac:dyDescent="0.25">
      <c r="A641" s="65" t="s">
        <v>1342</v>
      </c>
      <c r="B641" s="65" t="s">
        <v>3976</v>
      </c>
      <c r="C641" s="66" t="s">
        <v>3477</v>
      </c>
      <c r="D641" s="66" t="s">
        <v>3387</v>
      </c>
      <c r="E641" s="67">
        <v>0</v>
      </c>
      <c r="F641" s="68">
        <v>34.11</v>
      </c>
      <c r="G641" s="68">
        <v>46.79</v>
      </c>
      <c r="H641" s="68">
        <v>45.03</v>
      </c>
      <c r="I641" s="68">
        <v>46.88</v>
      </c>
      <c r="J641" s="68">
        <v>41.62</v>
      </c>
      <c r="K641" s="68">
        <v>46.64</v>
      </c>
      <c r="L641" s="68">
        <v>47.16</v>
      </c>
      <c r="M641" s="68">
        <v>47.07</v>
      </c>
      <c r="N641" s="68">
        <v>47.29</v>
      </c>
      <c r="O641" s="68">
        <v>46.34</v>
      </c>
      <c r="P641" s="68">
        <v>46.14</v>
      </c>
      <c r="Q641" s="68">
        <v>47.07</v>
      </c>
      <c r="R641" s="69" t="s">
        <v>3470</v>
      </c>
      <c r="S641" s="69" t="s">
        <v>3489</v>
      </c>
      <c r="T641" s="70" t="s">
        <v>3497</v>
      </c>
      <c r="U641" s="452"/>
      <c r="V641" s="453" t="str">
        <f>IF(VLOOKUP($A641,'GeneratingCapabilityList sorted'!$E$9:$O$801,8,FALSE)&lt;&gt;"",VLOOKUP($A641,'GeneratingCapabilityList sorted'!$E$9:$O$801,8,FALSE),"NoneListed")</f>
        <v>LANDFILL GAS</v>
      </c>
      <c r="W641" s="454">
        <f>IF($AB641,$AB641,IF($AA641,$AA641,Scenarios!$B$43))</f>
        <v>31413</v>
      </c>
      <c r="X641" s="454"/>
      <c r="Y641" s="454"/>
      <c r="Z641" s="454"/>
      <c r="AA641" s="454">
        <f>IFERROR(VLOOKUP($A641,'GeneratingCapabilityList sorted'!$E$9:$O$801,11,FALSE),Scenarios!$B$43)</f>
        <v>31413</v>
      </c>
      <c r="AB641" s="453"/>
      <c r="AC641" s="453"/>
    </row>
    <row r="642" spans="1:29" x14ac:dyDescent="0.25">
      <c r="A642" s="65" t="s">
        <v>2258</v>
      </c>
      <c r="B642" s="65" t="s">
        <v>2258</v>
      </c>
      <c r="C642" s="66" t="s">
        <v>3477</v>
      </c>
      <c r="D642" s="66" t="s">
        <v>3387</v>
      </c>
      <c r="E642" s="67">
        <v>0</v>
      </c>
      <c r="F642" s="68">
        <v>3.155970323</v>
      </c>
      <c r="G642" s="68">
        <v>3.874644</v>
      </c>
      <c r="H642" s="68">
        <v>2.4076050000000002</v>
      </c>
      <c r="I642" s="68">
        <v>3.3235410000000001</v>
      </c>
      <c r="J642" s="68">
        <v>3.4809290000000002</v>
      </c>
      <c r="K642" s="68">
        <v>3.3765580000000002</v>
      </c>
      <c r="L642" s="68">
        <v>3.3361320000000001</v>
      </c>
      <c r="M642" s="68">
        <v>3.4330940000000001</v>
      </c>
      <c r="N642" s="68">
        <v>3.3961920000000001</v>
      </c>
      <c r="O642" s="68">
        <v>3.1452089999999999</v>
      </c>
      <c r="P642" s="68">
        <v>2.9889809999999999</v>
      </c>
      <c r="Q642" s="68">
        <v>2.9873029999999998</v>
      </c>
      <c r="R642" s="69" t="s">
        <v>3470</v>
      </c>
      <c r="S642" s="69" t="s">
        <v>3866</v>
      </c>
      <c r="T642" s="70" t="s">
        <v>3497</v>
      </c>
      <c r="U642" s="452"/>
      <c r="V642" s="453" t="str">
        <f>IF(VLOOKUP($A642,'GeneratingCapabilityList sorted'!$E$9:$O$801,8,FALSE)&lt;&gt;"",VLOOKUP($A642,'GeneratingCapabilityList sorted'!$E$9:$O$801,8,FALSE),"NoneListed")</f>
        <v>LANDFILL GAS</v>
      </c>
      <c r="W642" s="454">
        <f>IF($AB642,$AB642,IF($AA642,$AA642,Scenarios!$B$43))</f>
        <v>35343</v>
      </c>
      <c r="X642" s="454"/>
      <c r="Y642" s="454"/>
      <c r="Z642" s="454"/>
      <c r="AA642" s="454">
        <f>IFERROR(VLOOKUP($A642,'GeneratingCapabilityList sorted'!$E$9:$O$801,11,FALSE),Scenarios!$B$43)</f>
        <v>35343</v>
      </c>
      <c r="AB642" s="453"/>
      <c r="AC642" s="453"/>
    </row>
    <row r="643" spans="1:29" x14ac:dyDescent="0.25">
      <c r="A643" s="65" t="s">
        <v>2262</v>
      </c>
      <c r="B643" s="65" t="s">
        <v>2262</v>
      </c>
      <c r="C643" s="66" t="s">
        <v>3477</v>
      </c>
      <c r="D643" s="66" t="s">
        <v>3387</v>
      </c>
      <c r="E643" s="67">
        <v>0</v>
      </c>
      <c r="F643" s="68">
        <v>3.8558160491487405</v>
      </c>
      <c r="G643" s="68">
        <v>3.5700042833247956</v>
      </c>
      <c r="H643" s="68">
        <v>3.5443039374103815</v>
      </c>
      <c r="I643" s="68">
        <v>3.498194424259303</v>
      </c>
      <c r="J643" s="68">
        <v>3.2606656107975014</v>
      </c>
      <c r="K643" s="68">
        <v>3.2745888555092755</v>
      </c>
      <c r="L643" s="68">
        <v>3.0209085278225891</v>
      </c>
      <c r="M643" s="68">
        <v>2.9827988847171216</v>
      </c>
      <c r="N643" s="68">
        <v>2.9428892224074121</v>
      </c>
      <c r="O643" s="68">
        <v>2.683071893548393</v>
      </c>
      <c r="P643" s="68">
        <v>3.0524511388889075</v>
      </c>
      <c r="Q643" s="68">
        <v>3.4953798191756413</v>
      </c>
      <c r="R643" s="69" t="s">
        <v>3470</v>
      </c>
      <c r="S643" s="69" t="s">
        <v>3866</v>
      </c>
      <c r="T643" s="70" t="s">
        <v>3497</v>
      </c>
      <c r="U643" s="452"/>
      <c r="V643" s="453" t="str">
        <f>IF(VLOOKUP($A643,'GeneratingCapabilityList sorted'!$E$9:$O$801,8,FALSE)&lt;&gt;"",VLOOKUP($A643,'GeneratingCapabilityList sorted'!$E$9:$O$801,8,FALSE),"NoneListed")</f>
        <v>LANDFILL GAS</v>
      </c>
      <c r="W643" s="454">
        <f>IF($AB643,$AB643,IF($AA643,$AA643,Scenarios!$B$43))</f>
        <v>35343</v>
      </c>
      <c r="X643" s="454"/>
      <c r="Y643" s="454"/>
      <c r="Z643" s="454"/>
      <c r="AA643" s="454">
        <f>IFERROR(VLOOKUP($A643,'GeneratingCapabilityList sorted'!$E$9:$O$801,11,FALSE),Scenarios!$B$43)</f>
        <v>35343</v>
      </c>
      <c r="AB643" s="453"/>
      <c r="AC643" s="453"/>
    </row>
    <row r="644" spans="1:29" x14ac:dyDescent="0.25">
      <c r="A644" s="72" t="s">
        <v>819</v>
      </c>
      <c r="B644" s="72" t="s">
        <v>3977</v>
      </c>
      <c r="C644" s="73" t="s">
        <v>3477</v>
      </c>
      <c r="D644" s="73" t="s">
        <v>3388</v>
      </c>
      <c r="E644" s="74">
        <v>0</v>
      </c>
      <c r="F644" s="75">
        <v>76</v>
      </c>
      <c r="G644" s="75">
        <v>39</v>
      </c>
      <c r="H644" s="75">
        <v>39</v>
      </c>
      <c r="I644" s="75">
        <v>76</v>
      </c>
      <c r="J644" s="75">
        <v>76</v>
      </c>
      <c r="K644" s="75">
        <v>76</v>
      </c>
      <c r="L644" s="75">
        <v>76</v>
      </c>
      <c r="M644" s="75">
        <v>76</v>
      </c>
      <c r="N644" s="75">
        <v>76</v>
      </c>
      <c r="O644" s="75">
        <v>76</v>
      </c>
      <c r="P644" s="75">
        <v>76</v>
      </c>
      <c r="Q644" s="75">
        <v>76</v>
      </c>
      <c r="R644" s="69" t="s">
        <v>3470</v>
      </c>
      <c r="S644" s="76" t="s">
        <v>560</v>
      </c>
      <c r="T644" s="70" t="s">
        <v>3484</v>
      </c>
      <c r="U644" s="452"/>
      <c r="V644" s="453" t="str">
        <f>IF(VLOOKUP($A644,'GeneratingCapabilityList sorted'!$E$9:$O$801,8,FALSE)&lt;&gt;"",VLOOKUP($A644,'GeneratingCapabilityList sorted'!$E$9:$O$801,8,FALSE),"NoneListed")</f>
        <v>WATER</v>
      </c>
      <c r="W644" s="454">
        <f>IF($AB644,$AB644,IF($AA644,$AA644,Scenarios!$B$43))</f>
        <v>29952</v>
      </c>
      <c r="X644" s="454"/>
      <c r="Y644" s="454"/>
      <c r="Z644" s="454"/>
      <c r="AA644" s="454">
        <f>IFERROR(VLOOKUP($A644,'GeneratingCapabilityList sorted'!$E$9:$O$801,11,FALSE),Scenarios!$B$43)</f>
        <v>29952</v>
      </c>
      <c r="AB644" s="453"/>
      <c r="AC644" s="453"/>
    </row>
    <row r="645" spans="1:29" x14ac:dyDescent="0.25">
      <c r="A645" s="65" t="s">
        <v>1789</v>
      </c>
      <c r="B645" s="65" t="s">
        <v>3978</v>
      </c>
      <c r="C645" s="66" t="s">
        <v>3468</v>
      </c>
      <c r="D645" s="66" t="s">
        <v>3469</v>
      </c>
      <c r="E645" s="67">
        <v>25</v>
      </c>
      <c r="F645" s="68">
        <v>0</v>
      </c>
      <c r="G645" s="68">
        <v>0</v>
      </c>
      <c r="H645" s="68">
        <v>0</v>
      </c>
      <c r="I645" s="68">
        <v>0</v>
      </c>
      <c r="J645" s="68">
        <v>0</v>
      </c>
      <c r="K645" s="68">
        <v>0</v>
      </c>
      <c r="L645" s="68">
        <v>0</v>
      </c>
      <c r="M645" s="68">
        <v>0</v>
      </c>
      <c r="N645" s="68">
        <v>0</v>
      </c>
      <c r="O645" s="68">
        <v>0</v>
      </c>
      <c r="P645" s="68">
        <v>0</v>
      </c>
      <c r="Q645" s="68">
        <v>0</v>
      </c>
      <c r="R645" s="69" t="s">
        <v>3470</v>
      </c>
      <c r="S645" s="69" t="s">
        <v>3471</v>
      </c>
      <c r="T645" s="70" t="s">
        <v>3472</v>
      </c>
      <c r="U645" s="452"/>
      <c r="V645" s="453" t="str">
        <f>IF(VLOOKUP($A645,'GeneratingCapabilityList sorted'!$E$9:$O$801,8,FALSE)&lt;&gt;"",VLOOKUP($A645,'GeneratingCapabilityList sorted'!$E$9:$O$801,8,FALSE),"NoneListed")</f>
        <v>GEOTHERMAL</v>
      </c>
      <c r="W645" s="454">
        <f>IF($AB645,$AB645,IF($AA645,$AA645,Scenarios!$B$43))</f>
        <v>32488</v>
      </c>
      <c r="X645" s="454"/>
      <c r="Y645" s="454"/>
      <c r="Z645" s="454"/>
      <c r="AA645" s="454">
        <f>IFERROR(VLOOKUP($A645,'GeneratingCapabilityList sorted'!$E$9:$O$801,11,FALSE),Scenarios!$B$43)</f>
        <v>32488</v>
      </c>
      <c r="AB645" s="453"/>
      <c r="AC645" s="453"/>
    </row>
    <row r="646" spans="1:29" x14ac:dyDescent="0.25">
      <c r="A646" s="65" t="s">
        <v>488</v>
      </c>
      <c r="B646" s="65" t="s">
        <v>3979</v>
      </c>
      <c r="C646" s="66" t="s">
        <v>3468</v>
      </c>
      <c r="D646" s="66" t="s">
        <v>3510</v>
      </c>
      <c r="E646" s="67">
        <v>0</v>
      </c>
      <c r="F646" s="68">
        <v>55</v>
      </c>
      <c r="G646" s="68">
        <v>55</v>
      </c>
      <c r="H646" s="68">
        <v>55</v>
      </c>
      <c r="I646" s="68">
        <v>55</v>
      </c>
      <c r="J646" s="68">
        <v>55</v>
      </c>
      <c r="K646" s="68">
        <v>55</v>
      </c>
      <c r="L646" s="68">
        <v>55</v>
      </c>
      <c r="M646" s="68">
        <v>55</v>
      </c>
      <c r="N646" s="68">
        <v>55</v>
      </c>
      <c r="O646" s="68">
        <v>55</v>
      </c>
      <c r="P646" s="68">
        <v>55</v>
      </c>
      <c r="Q646" s="68">
        <v>55</v>
      </c>
      <c r="R646" s="69" t="s">
        <v>3470</v>
      </c>
      <c r="S646" s="69" t="s">
        <v>3489</v>
      </c>
      <c r="T646" s="70" t="s">
        <v>3484</v>
      </c>
      <c r="U646" s="452"/>
      <c r="V646" s="453" t="str">
        <f>IF(VLOOKUP($A646,'GeneratingCapabilityList sorted'!$E$9:$O$801,8,FALSE)&lt;&gt;"",VLOOKUP($A646,'GeneratingCapabilityList sorted'!$E$9:$O$801,8,FALSE),"NoneListed")</f>
        <v>WATER</v>
      </c>
      <c r="W646" s="454">
        <f>IF($AB646,$AB646,IF($AA646,$AA646,Scenarios!$B$43))</f>
        <v>23012</v>
      </c>
      <c r="X646" s="454"/>
      <c r="Y646" s="454"/>
      <c r="Z646" s="454"/>
      <c r="AA646" s="454">
        <f>IFERROR(VLOOKUP($A646,'GeneratingCapabilityList sorted'!$E$9:$O$801,11,FALSE),Scenarios!$B$43)</f>
        <v>23012</v>
      </c>
      <c r="AB646" s="453"/>
      <c r="AC646" s="453"/>
    </row>
    <row r="647" spans="1:29" x14ac:dyDescent="0.25">
      <c r="A647" s="65" t="s">
        <v>360</v>
      </c>
      <c r="B647" s="65" t="s">
        <v>3980</v>
      </c>
      <c r="C647" s="66" t="s">
        <v>3468</v>
      </c>
      <c r="D647" s="66" t="s">
        <v>3488</v>
      </c>
      <c r="E647" s="67">
        <v>0</v>
      </c>
      <c r="F647" s="68">
        <v>14</v>
      </c>
      <c r="G647" s="68">
        <v>14</v>
      </c>
      <c r="H647" s="68">
        <v>14</v>
      </c>
      <c r="I647" s="68">
        <v>14</v>
      </c>
      <c r="J647" s="68">
        <v>14</v>
      </c>
      <c r="K647" s="68">
        <v>14</v>
      </c>
      <c r="L647" s="68">
        <v>14</v>
      </c>
      <c r="M647" s="68">
        <v>14</v>
      </c>
      <c r="N647" s="68">
        <v>14</v>
      </c>
      <c r="O647" s="68">
        <v>14</v>
      </c>
      <c r="P647" s="68">
        <v>14</v>
      </c>
      <c r="Q647" s="68">
        <v>14</v>
      </c>
      <c r="R647" s="69" t="s">
        <v>3470</v>
      </c>
      <c r="S647" s="69" t="s">
        <v>3489</v>
      </c>
      <c r="T647" s="70" t="s">
        <v>3484</v>
      </c>
      <c r="U647" s="452"/>
      <c r="V647" s="453" t="str">
        <f>IF(VLOOKUP($A647,'GeneratingCapabilityList sorted'!$E$9:$O$801,8,FALSE)&lt;&gt;"",VLOOKUP($A647,'GeneratingCapabilityList sorted'!$E$9:$O$801,8,FALSE),"NoneListed")</f>
        <v>WATER</v>
      </c>
      <c r="W647" s="454">
        <f>IF($AB647,$AB647,IF($AA647,$AA647,Scenarios!$B$43))</f>
        <v>17533</v>
      </c>
      <c r="X647" s="454"/>
      <c r="Y647" s="454"/>
      <c r="Z647" s="454"/>
      <c r="AA647" s="454">
        <f>IFERROR(VLOOKUP($A647,'GeneratingCapabilityList sorted'!$E$9:$O$801,11,FALSE),Scenarios!$B$43)</f>
        <v>17533</v>
      </c>
      <c r="AB647" s="453"/>
      <c r="AC647" s="453"/>
    </row>
    <row r="648" spans="1:29" x14ac:dyDescent="0.25">
      <c r="A648" s="65" t="s">
        <v>2921</v>
      </c>
      <c r="B648" s="65" t="s">
        <v>3981</v>
      </c>
      <c r="C648" s="66" t="s">
        <v>3468</v>
      </c>
      <c r="D648" s="66" t="s">
        <v>3510</v>
      </c>
      <c r="E648" s="67">
        <v>0</v>
      </c>
      <c r="F648" s="68">
        <v>1</v>
      </c>
      <c r="G648" s="68">
        <v>1</v>
      </c>
      <c r="H648" s="68">
        <v>1.1000000000000001</v>
      </c>
      <c r="I648" s="68">
        <v>1.2</v>
      </c>
      <c r="J648" s="68">
        <v>1.3</v>
      </c>
      <c r="K648" s="68">
        <v>1</v>
      </c>
      <c r="L648" s="68">
        <v>1.3</v>
      </c>
      <c r="M648" s="68">
        <v>1.2</v>
      </c>
      <c r="N648" s="68">
        <v>1</v>
      </c>
      <c r="O648" s="68">
        <v>1.2</v>
      </c>
      <c r="P648" s="68">
        <v>1.2</v>
      </c>
      <c r="Q648" s="68">
        <v>1.2</v>
      </c>
      <c r="R648" s="69" t="s">
        <v>3470</v>
      </c>
      <c r="S648" s="69" t="s">
        <v>3517</v>
      </c>
      <c r="T648" s="70" t="s">
        <v>3497</v>
      </c>
      <c r="U648" s="452"/>
      <c r="V648" s="453" t="str">
        <f>IF(VLOOKUP($A648,'GeneratingCapabilityList sorted'!$E$9:$O$801,8,FALSE)&lt;&gt;"",VLOOKUP($A648,'GeneratingCapabilityList sorted'!$E$9:$O$801,8,FALSE),"NoneListed")</f>
        <v>LANDFILL GAS</v>
      </c>
      <c r="W648" s="454">
        <f>IF($AB648,$AB648,IF($AA648,$AA648,Scenarios!$B$43))</f>
        <v>39821</v>
      </c>
      <c r="X648" s="454"/>
      <c r="Y648" s="454"/>
      <c r="Z648" s="454"/>
      <c r="AA648" s="454">
        <f>IFERROR(VLOOKUP($A648,'GeneratingCapabilityList sorted'!$E$9:$O$801,11,FALSE),Scenarios!$B$43)</f>
        <v>39821</v>
      </c>
      <c r="AB648" s="453"/>
      <c r="AC648" s="453"/>
    </row>
    <row r="649" spans="1:29" x14ac:dyDescent="0.25">
      <c r="A649" s="65" t="s">
        <v>2595</v>
      </c>
      <c r="B649" s="65" t="s">
        <v>2596</v>
      </c>
      <c r="C649" s="66" t="s">
        <v>3477</v>
      </c>
      <c r="D649" s="66" t="s">
        <v>3387</v>
      </c>
      <c r="E649" s="67">
        <v>0</v>
      </c>
      <c r="F649" s="68">
        <v>2.13</v>
      </c>
      <c r="G649" s="68">
        <v>4.32</v>
      </c>
      <c r="H649" s="68">
        <v>9.89</v>
      </c>
      <c r="I649" s="68">
        <v>11.3</v>
      </c>
      <c r="J649" s="68">
        <v>18.010000000000002</v>
      </c>
      <c r="K649" s="68">
        <v>23.56</v>
      </c>
      <c r="L649" s="68">
        <v>16.78</v>
      </c>
      <c r="M649" s="68">
        <v>8.26</v>
      </c>
      <c r="N649" s="68">
        <v>3.64</v>
      </c>
      <c r="O649" s="68">
        <v>4.07</v>
      </c>
      <c r="P649" s="68">
        <v>4.2300000000000004</v>
      </c>
      <c r="Q649" s="68">
        <v>2.0699999999999998</v>
      </c>
      <c r="R649" s="69" t="s">
        <v>3470</v>
      </c>
      <c r="S649" s="69" t="s">
        <v>3489</v>
      </c>
      <c r="T649" s="70" t="s">
        <v>3425</v>
      </c>
      <c r="U649" s="452"/>
      <c r="V649" s="453" t="str">
        <f>IF(VLOOKUP($A649,'GeneratingCapabilityList sorted'!$E$9:$O$801,8,FALSE)&lt;&gt;"",VLOOKUP($A649,'GeneratingCapabilityList sorted'!$E$9:$O$801,8,FALSE),"NoneListed")</f>
        <v>WIND</v>
      </c>
      <c r="W649" s="454">
        <f>IF($AB649,$AB649,IF($AA649,$AA649,Scenarios!$B$43))</f>
        <v>37499</v>
      </c>
      <c r="X649" s="454"/>
      <c r="Y649" s="454"/>
      <c r="Z649" s="454"/>
      <c r="AA649" s="454">
        <f>IFERROR(VLOOKUP($A649,'GeneratingCapabilityList sorted'!$E$9:$O$801,11,FALSE),Scenarios!$B$43)</f>
        <v>37499</v>
      </c>
      <c r="AB649" s="453"/>
      <c r="AC649" s="453"/>
    </row>
    <row r="650" spans="1:29" x14ac:dyDescent="0.25">
      <c r="A650" s="65" t="s">
        <v>176</v>
      </c>
      <c r="B650" s="65" t="s">
        <v>3982</v>
      </c>
      <c r="C650" s="66" t="s">
        <v>3468</v>
      </c>
      <c r="D650" s="66" t="s">
        <v>3510</v>
      </c>
      <c r="E650" s="67">
        <v>0</v>
      </c>
      <c r="F650" s="68">
        <v>7.46</v>
      </c>
      <c r="G650" s="68">
        <v>8.92</v>
      </c>
      <c r="H650" s="68">
        <v>10.220000000000001</v>
      </c>
      <c r="I650" s="68">
        <v>9.94</v>
      </c>
      <c r="J650" s="68">
        <v>10.23</v>
      </c>
      <c r="K650" s="68">
        <v>9.9</v>
      </c>
      <c r="L650" s="68">
        <v>10.23</v>
      </c>
      <c r="M650" s="68">
        <v>10.82</v>
      </c>
      <c r="N650" s="68">
        <v>10.75</v>
      </c>
      <c r="O650" s="68">
        <v>4.9000000000000004</v>
      </c>
      <c r="P650" s="68">
        <v>4.26</v>
      </c>
      <c r="Q650" s="68">
        <v>8.61</v>
      </c>
      <c r="R650" s="69" t="s">
        <v>3470</v>
      </c>
      <c r="S650" s="69" t="s">
        <v>3489</v>
      </c>
      <c r="T650" s="70" t="s">
        <v>3502</v>
      </c>
      <c r="U650" s="452"/>
      <c r="V650" s="453" t="str">
        <f>IF(VLOOKUP($A650,'GeneratingCapabilityList sorted'!$E$9:$O$801,8,FALSE)&lt;&gt;"",VLOOKUP($A650,'GeneratingCapabilityList sorted'!$E$9:$O$801,8,FALSE),"NoneListed")</f>
        <v>WATER</v>
      </c>
      <c r="W650" s="454">
        <f>IF($AB650,$AB650,IF($AA650,$AA650,Scenarios!$B$43))</f>
        <v>6211</v>
      </c>
      <c r="X650" s="454"/>
      <c r="Y650" s="454"/>
      <c r="Z650" s="454"/>
      <c r="AA650" s="454">
        <f>IFERROR(VLOOKUP($A650,'GeneratingCapabilityList sorted'!$E$9:$O$801,11,FALSE),Scenarios!$B$43)</f>
        <v>6211</v>
      </c>
      <c r="AB650" s="453"/>
      <c r="AC650" s="453"/>
    </row>
    <row r="651" spans="1:29" x14ac:dyDescent="0.25">
      <c r="A651" s="65" t="s">
        <v>1322</v>
      </c>
      <c r="B651" s="65" t="s">
        <v>3983</v>
      </c>
      <c r="C651" s="66" t="s">
        <v>3468</v>
      </c>
      <c r="D651" s="66" t="s">
        <v>3510</v>
      </c>
      <c r="E651" s="67">
        <v>0</v>
      </c>
      <c r="F651" s="68">
        <v>0.45</v>
      </c>
      <c r="G651" s="68">
        <v>0.59</v>
      </c>
      <c r="H651" s="68">
        <v>1.27</v>
      </c>
      <c r="I651" s="68">
        <v>1.54</v>
      </c>
      <c r="J651" s="68">
        <v>1.26</v>
      </c>
      <c r="K651" s="68">
        <v>1.03</v>
      </c>
      <c r="L651" s="68">
        <v>0.83</v>
      </c>
      <c r="M651" s="68">
        <v>0.34</v>
      </c>
      <c r="N651" s="68">
        <v>0</v>
      </c>
      <c r="O651" s="68">
        <v>0</v>
      </c>
      <c r="P651" s="68">
        <v>0.43</v>
      </c>
      <c r="Q651" s="68">
        <v>0.61</v>
      </c>
      <c r="R651" s="69" t="s">
        <v>3470</v>
      </c>
      <c r="S651" s="69" t="s">
        <v>3489</v>
      </c>
      <c r="T651" s="70" t="s">
        <v>3502</v>
      </c>
      <c r="U651" s="452"/>
      <c r="V651" s="453" t="str">
        <f>IF(VLOOKUP($A651,'GeneratingCapabilityList sorted'!$E$9:$O$801,8,FALSE)&lt;&gt;"",VLOOKUP($A651,'GeneratingCapabilityList sorted'!$E$9:$O$801,8,FALSE),"NoneListed")</f>
        <v>WATER</v>
      </c>
      <c r="W651" s="454">
        <f>IF($AB651,$AB651,IF($AA651,$AA651,Scenarios!$B$43))</f>
        <v>31413</v>
      </c>
      <c r="X651" s="454"/>
      <c r="Y651" s="454"/>
      <c r="Z651" s="454"/>
      <c r="AA651" s="454">
        <f>IFERROR(VLOOKUP($A651,'GeneratingCapabilityList sorted'!$E$9:$O$801,11,FALSE),Scenarios!$B$43)</f>
        <v>31413</v>
      </c>
      <c r="AB651" s="453"/>
      <c r="AC651" s="453"/>
    </row>
    <row r="652" spans="1:29" x14ac:dyDescent="0.25">
      <c r="A652" s="65" t="s">
        <v>115</v>
      </c>
      <c r="B652" s="65" t="s">
        <v>3984</v>
      </c>
      <c r="C652" s="66" t="s">
        <v>3468</v>
      </c>
      <c r="D652" s="66" t="s">
        <v>3474</v>
      </c>
      <c r="E652" s="67">
        <v>0</v>
      </c>
      <c r="F652" s="68">
        <v>18.399999999999999</v>
      </c>
      <c r="G652" s="68">
        <v>18.399999999999999</v>
      </c>
      <c r="H652" s="68">
        <v>18.399999999999999</v>
      </c>
      <c r="I652" s="68">
        <v>18.399999999999999</v>
      </c>
      <c r="J652" s="68">
        <v>18.399999999999999</v>
      </c>
      <c r="K652" s="68">
        <v>18.399999999999999</v>
      </c>
      <c r="L652" s="68">
        <v>18.399999999999999</v>
      </c>
      <c r="M652" s="68">
        <v>18.399999999999999</v>
      </c>
      <c r="N652" s="68">
        <v>18.399999999999999</v>
      </c>
      <c r="O652" s="68">
        <v>18.399999999999999</v>
      </c>
      <c r="P652" s="68">
        <v>18.399999999999999</v>
      </c>
      <c r="Q652" s="68">
        <v>18.399999999999999</v>
      </c>
      <c r="R652" s="69" t="s">
        <v>3470</v>
      </c>
      <c r="S652" s="69" t="s">
        <v>3489</v>
      </c>
      <c r="T652" s="70" t="s">
        <v>3484</v>
      </c>
      <c r="U652" s="452"/>
      <c r="V652" s="453" t="str">
        <f>IF(VLOOKUP($A652,'GeneratingCapabilityList sorted'!$E$9:$O$801,8,FALSE)&lt;&gt;"",VLOOKUP($A652,'GeneratingCapabilityList sorted'!$E$9:$O$801,8,FALSE),"NoneListed")</f>
        <v>WATER</v>
      </c>
      <c r="W652" s="454">
        <f>IF($AB652,$AB652,IF($AA652,$AA652,Scenarios!$B$43))</f>
        <v>3654</v>
      </c>
      <c r="X652" s="454"/>
      <c r="Y652" s="454"/>
      <c r="Z652" s="454"/>
      <c r="AA652" s="454">
        <f>IFERROR(VLOOKUP($A652,'GeneratingCapabilityList sorted'!$E$9:$O$801,11,FALSE),Scenarios!$B$43)</f>
        <v>3654</v>
      </c>
      <c r="AB652" s="453"/>
      <c r="AC652" s="453"/>
    </row>
    <row r="653" spans="1:29" x14ac:dyDescent="0.25">
      <c r="A653" s="65" t="s">
        <v>1057</v>
      </c>
      <c r="B653" s="65" t="s">
        <v>3985</v>
      </c>
      <c r="C653" s="66" t="s">
        <v>3468</v>
      </c>
      <c r="D653" s="66" t="s">
        <v>3520</v>
      </c>
      <c r="E653" s="67">
        <v>0</v>
      </c>
      <c r="F653" s="68">
        <v>0.25</v>
      </c>
      <c r="G653" s="68">
        <v>0.28000000000000003</v>
      </c>
      <c r="H653" s="68">
        <v>0.31</v>
      </c>
      <c r="I653" s="68">
        <v>0.28000000000000003</v>
      </c>
      <c r="J653" s="68">
        <v>0.24</v>
      </c>
      <c r="K653" s="68">
        <v>0.13</v>
      </c>
      <c r="L653" s="68">
        <v>0.03</v>
      </c>
      <c r="M653" s="68">
        <v>0.02</v>
      </c>
      <c r="N653" s="68">
        <v>0.01</v>
      </c>
      <c r="O653" s="68">
        <v>0.01</v>
      </c>
      <c r="P653" s="68">
        <v>7.0000000000000007E-2</v>
      </c>
      <c r="Q653" s="68">
        <v>0.15</v>
      </c>
      <c r="R653" s="69" t="s">
        <v>3470</v>
      </c>
      <c r="S653" s="69" t="s">
        <v>3489</v>
      </c>
      <c r="T653" s="70" t="s">
        <v>3502</v>
      </c>
      <c r="U653" s="452"/>
      <c r="V653" s="453" t="str">
        <f>IF(VLOOKUP($A653,'GeneratingCapabilityList sorted'!$E$9:$O$801,8,FALSE)&lt;&gt;"",VLOOKUP($A653,'GeneratingCapabilityList sorted'!$E$9:$O$801,8,FALSE),"NoneListed")</f>
        <v>WATER</v>
      </c>
      <c r="W653" s="454">
        <f>IF($AB653,$AB653,IF($AA653,$AA653,Scenarios!$B$43))</f>
        <v>30690</v>
      </c>
      <c r="X653" s="454"/>
      <c r="Y653" s="454"/>
      <c r="Z653" s="454"/>
      <c r="AA653" s="454">
        <f>IFERROR(VLOOKUP($A653,'GeneratingCapabilityList sorted'!$E$9:$O$801,11,FALSE),Scenarios!$B$43)</f>
        <v>30690</v>
      </c>
      <c r="AB653" s="453"/>
      <c r="AC653" s="453"/>
    </row>
    <row r="654" spans="1:29" x14ac:dyDescent="0.25">
      <c r="A654" s="65" t="s">
        <v>1002</v>
      </c>
      <c r="B654" s="65" t="s">
        <v>1003</v>
      </c>
      <c r="C654" s="66" t="s">
        <v>3468</v>
      </c>
      <c r="D654" s="66" t="s">
        <v>3382</v>
      </c>
      <c r="E654" s="67">
        <v>0</v>
      </c>
      <c r="F654" s="68">
        <v>1.22</v>
      </c>
      <c r="G654" s="68">
        <v>1.86</v>
      </c>
      <c r="H654" s="68">
        <v>3.94</v>
      </c>
      <c r="I654" s="68">
        <v>2.86</v>
      </c>
      <c r="J654" s="68">
        <v>5.93</v>
      </c>
      <c r="K654" s="68">
        <v>4.67</v>
      </c>
      <c r="L654" s="68">
        <v>5.75</v>
      </c>
      <c r="M654" s="68">
        <v>3.3</v>
      </c>
      <c r="N654" s="68">
        <v>0.97</v>
      </c>
      <c r="O654" s="68">
        <v>1.0900000000000001</v>
      </c>
      <c r="P654" s="68">
        <v>1.43</v>
      </c>
      <c r="Q654" s="68">
        <v>0.7</v>
      </c>
      <c r="R654" s="69" t="s">
        <v>3470</v>
      </c>
      <c r="S654" s="69" t="s">
        <v>3489</v>
      </c>
      <c r="T654" s="70" t="s">
        <v>3425</v>
      </c>
      <c r="U654" s="452"/>
      <c r="V654" s="453" t="str">
        <f>IF(VLOOKUP($A654,'GeneratingCapabilityList sorted'!$E$9:$O$801,8,FALSE)&lt;&gt;"",VLOOKUP($A654,'GeneratingCapabilityList sorted'!$E$9:$O$801,8,FALSE),"NoneListed")</f>
        <v>WIND</v>
      </c>
      <c r="W654" s="454">
        <f>IF($AB654,$AB654,IF($AA654,$AA654,Scenarios!$B$43))</f>
        <v>30674</v>
      </c>
      <c r="X654" s="454"/>
      <c r="Y654" s="454"/>
      <c r="Z654" s="454"/>
      <c r="AA654" s="454">
        <f>IFERROR(VLOOKUP($A654,'GeneratingCapabilityList sorted'!$E$9:$O$801,11,FALSE),Scenarios!$B$43)</f>
        <v>30674</v>
      </c>
      <c r="AB654" s="453"/>
      <c r="AC654" s="453"/>
    </row>
    <row r="655" spans="1:29" x14ac:dyDescent="0.25">
      <c r="A655" s="65" t="s">
        <v>2635</v>
      </c>
      <c r="B655" s="65" t="s">
        <v>3986</v>
      </c>
      <c r="C655" s="66" t="s">
        <v>3468</v>
      </c>
      <c r="D655" s="66" t="s">
        <v>3488</v>
      </c>
      <c r="E655" s="67">
        <v>0</v>
      </c>
      <c r="F655" s="68">
        <v>46.9</v>
      </c>
      <c r="G655" s="68">
        <v>46.9</v>
      </c>
      <c r="H655" s="68">
        <v>46.9</v>
      </c>
      <c r="I655" s="68">
        <v>46.9</v>
      </c>
      <c r="J655" s="68">
        <v>46</v>
      </c>
      <c r="K655" s="68">
        <v>46</v>
      </c>
      <c r="L655" s="68">
        <v>46</v>
      </c>
      <c r="M655" s="68">
        <v>46</v>
      </c>
      <c r="N655" s="68">
        <v>46</v>
      </c>
      <c r="O655" s="68">
        <v>46.9</v>
      </c>
      <c r="P655" s="68">
        <v>46.9</v>
      </c>
      <c r="Q655" s="68">
        <v>46.9</v>
      </c>
      <c r="R655" s="69" t="s">
        <v>3470</v>
      </c>
      <c r="S655" s="69" t="s">
        <v>3471</v>
      </c>
      <c r="T655" s="70" t="s">
        <v>3472</v>
      </c>
      <c r="U655" s="452"/>
      <c r="V655" s="453" t="str">
        <f>IF(VLOOKUP($A655,'GeneratingCapabilityList sorted'!$E$9:$O$801,8,FALSE)&lt;&gt;"",VLOOKUP($A655,'GeneratingCapabilityList sorted'!$E$9:$O$801,8,FALSE),"NoneListed")</f>
        <v>NATURAL GAS</v>
      </c>
      <c r="W655" s="454">
        <f>IF($AB655,$AB655,IF($AA655,$AA655,Scenarios!$B$43))</f>
        <v>37702</v>
      </c>
      <c r="X655" s="454"/>
      <c r="Y655" s="454"/>
      <c r="Z655" s="454"/>
      <c r="AA655" s="454">
        <f>IFERROR(VLOOKUP($A655,'GeneratingCapabilityList sorted'!$E$9:$O$801,11,FALSE),Scenarios!$B$43)</f>
        <v>37702</v>
      </c>
      <c r="AB655" s="453"/>
      <c r="AC655" s="453"/>
    </row>
    <row r="656" spans="1:29" x14ac:dyDescent="0.25">
      <c r="A656" s="65" t="s">
        <v>3352</v>
      </c>
      <c r="B656" s="65" t="s">
        <v>3353</v>
      </c>
      <c r="C656" s="66" t="s">
        <v>3468</v>
      </c>
      <c r="D656" s="66" t="s">
        <v>3474</v>
      </c>
      <c r="E656" s="67">
        <v>0</v>
      </c>
      <c r="F656" s="68">
        <v>0</v>
      </c>
      <c r="G656" s="68">
        <v>0.01</v>
      </c>
      <c r="H656" s="68">
        <v>0.02</v>
      </c>
      <c r="I656" s="68">
        <v>0</v>
      </c>
      <c r="J656" s="68">
        <v>0.13</v>
      </c>
      <c r="K656" s="68">
        <v>0.16</v>
      </c>
      <c r="L656" s="68">
        <v>0.6</v>
      </c>
      <c r="M656" s="68">
        <v>0.52</v>
      </c>
      <c r="N656" s="68">
        <v>0.22</v>
      </c>
      <c r="O656" s="68">
        <v>0.03</v>
      </c>
      <c r="P656" s="68">
        <v>0.01</v>
      </c>
      <c r="Q656" s="68">
        <v>0</v>
      </c>
      <c r="R656" s="69" t="s">
        <v>3470</v>
      </c>
      <c r="S656" s="69" t="s">
        <v>3489</v>
      </c>
      <c r="T656" s="70" t="s">
        <v>3502</v>
      </c>
      <c r="U656" s="452"/>
      <c r="V656" s="453" t="str">
        <f>IF(VLOOKUP($A656,'GeneratingCapabilityList sorted'!$E$9:$O$801,8,FALSE)&lt;&gt;"",VLOOKUP($A656,'GeneratingCapabilityList sorted'!$E$9:$O$801,8,FALSE),"NoneListed")</f>
        <v>WATER</v>
      </c>
      <c r="W656" s="454">
        <f>IF($AB656,$AB656,IF($AA656,$AA656,Scenarios!$B$43))</f>
        <v>31444</v>
      </c>
      <c r="X656" s="454"/>
      <c r="Y656" s="454"/>
      <c r="Z656" s="454"/>
      <c r="AA656" s="454">
        <f>IFERROR(VLOOKUP($A656,'GeneratingCapabilityList sorted'!$E$9:$O$801,11,FALSE),Scenarios!$B$43)</f>
        <v>0</v>
      </c>
      <c r="AB656" s="454">
        <v>31444</v>
      </c>
      <c r="AC656" s="453" t="s">
        <v>4731</v>
      </c>
    </row>
    <row r="657" spans="1:29" x14ac:dyDescent="0.25">
      <c r="A657" s="65" t="s">
        <v>1632</v>
      </c>
      <c r="B657" s="65" t="s">
        <v>3987</v>
      </c>
      <c r="C657" s="66" t="s">
        <v>3468</v>
      </c>
      <c r="D657" s="66" t="s">
        <v>3488</v>
      </c>
      <c r="E657" s="67">
        <v>0</v>
      </c>
      <c r="F657" s="68">
        <v>46.41</v>
      </c>
      <c r="G657" s="68">
        <v>46.32</v>
      </c>
      <c r="H657" s="68">
        <v>45.16</v>
      </c>
      <c r="I657" s="68">
        <v>47.3</v>
      </c>
      <c r="J657" s="68">
        <v>28.12</v>
      </c>
      <c r="K657" s="68">
        <v>45.1</v>
      </c>
      <c r="L657" s="68">
        <v>49.2</v>
      </c>
      <c r="M657" s="68">
        <v>49.31</v>
      </c>
      <c r="N657" s="68">
        <v>44.43</v>
      </c>
      <c r="O657" s="68">
        <v>47.5</v>
      </c>
      <c r="P657" s="68">
        <v>47.99</v>
      </c>
      <c r="Q657" s="68">
        <v>46.76</v>
      </c>
      <c r="R657" s="69" t="s">
        <v>3470</v>
      </c>
      <c r="S657" s="69" t="s">
        <v>3489</v>
      </c>
      <c r="T657" s="70" t="s">
        <v>3497</v>
      </c>
      <c r="U657" s="452"/>
      <c r="V657" s="453" t="str">
        <f>IF(VLOOKUP($A657,'GeneratingCapabilityList sorted'!$E$9:$O$801,8,FALSE)&lt;&gt;"",VLOOKUP($A657,'GeneratingCapabilityList sorted'!$E$9:$O$801,8,FALSE),"NoneListed")</f>
        <v>WOOD WASTE</v>
      </c>
      <c r="W657" s="454">
        <f>IF($AB657,$AB657,IF($AA657,$AA657,Scenarios!$B$43))</f>
        <v>32080</v>
      </c>
      <c r="X657" s="454"/>
      <c r="Y657" s="454"/>
      <c r="Z657" s="454"/>
      <c r="AA657" s="454">
        <f>IFERROR(VLOOKUP($A657,'GeneratingCapabilityList sorted'!$E$9:$O$801,11,FALSE),Scenarios!$B$43)</f>
        <v>32080</v>
      </c>
      <c r="AB657" s="453"/>
      <c r="AC657" s="453"/>
    </row>
    <row r="658" spans="1:29" x14ac:dyDescent="0.25">
      <c r="A658" s="65" t="s">
        <v>2090</v>
      </c>
      <c r="B658" s="65" t="s">
        <v>3988</v>
      </c>
      <c r="C658" s="66" t="s">
        <v>3468</v>
      </c>
      <c r="D658" s="66" t="s">
        <v>3510</v>
      </c>
      <c r="E658" s="67">
        <v>0</v>
      </c>
      <c r="F658" s="68">
        <v>27.89</v>
      </c>
      <c r="G658" s="68">
        <v>29.87</v>
      </c>
      <c r="H658" s="68">
        <v>27.07</v>
      </c>
      <c r="I658" s="68">
        <v>21.74</v>
      </c>
      <c r="J658" s="68">
        <v>24.76</v>
      </c>
      <c r="K658" s="68">
        <v>34.020000000000003</v>
      </c>
      <c r="L658" s="68">
        <v>33.44</v>
      </c>
      <c r="M658" s="68">
        <v>24.8</v>
      </c>
      <c r="N658" s="68">
        <v>29.19</v>
      </c>
      <c r="O658" s="68">
        <v>26.8</v>
      </c>
      <c r="P658" s="68">
        <v>15.64</v>
      </c>
      <c r="Q658" s="68">
        <v>27.26</v>
      </c>
      <c r="R658" s="69" t="s">
        <v>3470</v>
      </c>
      <c r="S658" s="69" t="s">
        <v>3489</v>
      </c>
      <c r="T658" s="70" t="s">
        <v>3497</v>
      </c>
      <c r="U658" s="452"/>
      <c r="V658" s="453" t="str">
        <f>IF(VLOOKUP($A658,'GeneratingCapabilityList sorted'!$E$9:$O$801,8,FALSE)&lt;&gt;"",VLOOKUP($A658,'GeneratingCapabilityList sorted'!$E$9:$O$801,8,FALSE),"NoneListed")</f>
        <v>NATURAL GAS</v>
      </c>
      <c r="W658" s="454">
        <f>IF($AB658,$AB658,IF($AA658,$AA658,Scenarios!$B$43))</f>
        <v>33234</v>
      </c>
      <c r="X658" s="454"/>
      <c r="Y658" s="454"/>
      <c r="Z658" s="454"/>
      <c r="AA658" s="454">
        <f>IFERROR(VLOOKUP($A658,'GeneratingCapabilityList sorted'!$E$9:$O$801,11,FALSE),Scenarios!$B$43)</f>
        <v>33234</v>
      </c>
      <c r="AB658" s="453"/>
      <c r="AC658" s="453"/>
    </row>
    <row r="659" spans="1:29" x14ac:dyDescent="0.25">
      <c r="A659" s="65" t="s">
        <v>2586</v>
      </c>
      <c r="B659" s="65" t="s">
        <v>3989</v>
      </c>
      <c r="C659" s="66" t="s">
        <v>3468</v>
      </c>
      <c r="D659" s="66" t="s">
        <v>3510</v>
      </c>
      <c r="E659" s="67">
        <v>46</v>
      </c>
      <c r="F659" s="68">
        <v>0</v>
      </c>
      <c r="G659" s="68">
        <v>0</v>
      </c>
      <c r="H659" s="68">
        <v>0</v>
      </c>
      <c r="I659" s="68">
        <v>0</v>
      </c>
      <c r="J659" s="68">
        <v>0</v>
      </c>
      <c r="K659" s="68">
        <v>0</v>
      </c>
      <c r="L659" s="68">
        <v>0</v>
      </c>
      <c r="M659" s="68">
        <v>0</v>
      </c>
      <c r="N659" s="68">
        <v>0</v>
      </c>
      <c r="O659" s="68">
        <v>0</v>
      </c>
      <c r="P659" s="68">
        <v>0</v>
      </c>
      <c r="Q659" s="68">
        <v>0</v>
      </c>
      <c r="R659" s="69" t="s">
        <v>3470</v>
      </c>
      <c r="S659" s="69" t="s">
        <v>3471</v>
      </c>
      <c r="T659" s="70" t="s">
        <v>3472</v>
      </c>
      <c r="U659" s="452"/>
      <c r="V659" s="453" t="str">
        <f>IF(VLOOKUP($A659,'GeneratingCapabilityList sorted'!$E$9:$O$801,8,FALSE)&lt;&gt;"",VLOOKUP($A659,'GeneratingCapabilityList sorted'!$E$9:$O$801,8,FALSE),"NoneListed")</f>
        <v>NATURAL GAS</v>
      </c>
      <c r="W659" s="454">
        <f>IF($AB659,$AB659,IF($AA659,$AA659,Scenarios!$B$43))</f>
        <v>37463</v>
      </c>
      <c r="X659" s="454"/>
      <c r="Y659" s="454"/>
      <c r="Z659" s="454"/>
      <c r="AA659" s="454">
        <f>IFERROR(VLOOKUP($A659,'GeneratingCapabilityList sorted'!$E$9:$O$801,11,FALSE),Scenarios!$B$43)</f>
        <v>37463</v>
      </c>
      <c r="AB659" s="453"/>
      <c r="AC659" s="453"/>
    </row>
    <row r="660" spans="1:29" x14ac:dyDescent="0.25">
      <c r="A660" s="65" t="s">
        <v>1288</v>
      </c>
      <c r="B660" s="65" t="s">
        <v>3990</v>
      </c>
      <c r="C660" s="66" t="s">
        <v>3468</v>
      </c>
      <c r="D660" s="66" t="s">
        <v>3382</v>
      </c>
      <c r="E660" s="67">
        <v>0</v>
      </c>
      <c r="F660" s="68">
        <v>0</v>
      </c>
      <c r="G660" s="68">
        <v>0.8</v>
      </c>
      <c r="H660" s="68">
        <v>2</v>
      </c>
      <c r="I660" s="68">
        <v>2.9</v>
      </c>
      <c r="J660" s="68">
        <v>3.8</v>
      </c>
      <c r="K660" s="68">
        <v>4.8</v>
      </c>
      <c r="L660" s="68">
        <v>5.2</v>
      </c>
      <c r="M660" s="68">
        <v>4.5</v>
      </c>
      <c r="N660" s="68">
        <v>2.1</v>
      </c>
      <c r="O660" s="68">
        <v>1.2</v>
      </c>
      <c r="P660" s="68">
        <v>0.1</v>
      </c>
      <c r="Q660" s="68">
        <v>0</v>
      </c>
      <c r="R660" s="69" t="s">
        <v>3470</v>
      </c>
      <c r="S660" s="69" t="s">
        <v>3517</v>
      </c>
      <c r="T660" s="70" t="s">
        <v>3425</v>
      </c>
      <c r="U660" s="452"/>
      <c r="V660" s="453" t="str">
        <f>IF(VLOOKUP($A660,'GeneratingCapabilityList sorted'!$E$9:$O$801,8,FALSE)&lt;&gt;"",VLOOKUP($A660,'GeneratingCapabilityList sorted'!$E$9:$O$801,8,FALSE),"NoneListed")</f>
        <v>WIND</v>
      </c>
      <c r="W660" s="454">
        <f>IF($AB660,$AB660,IF($AA660,$AA660,Scenarios!$B$43))</f>
        <v>31411</v>
      </c>
      <c r="X660" s="454"/>
      <c r="Y660" s="454"/>
      <c r="Z660" s="454"/>
      <c r="AA660" s="454">
        <f>IFERROR(VLOOKUP($A660,'GeneratingCapabilityList sorted'!$E$9:$O$801,11,FALSE),Scenarios!$B$43)</f>
        <v>31411</v>
      </c>
      <c r="AB660" s="453"/>
      <c r="AC660" s="453"/>
    </row>
    <row r="661" spans="1:29" x14ac:dyDescent="0.25">
      <c r="V661" s="70"/>
    </row>
    <row r="662" spans="1:29" x14ac:dyDescent="0.25">
      <c r="A662" s="71"/>
      <c r="B662" s="71"/>
      <c r="C662" s="71"/>
      <c r="D662" s="71"/>
      <c r="E662" s="71"/>
      <c r="F662" s="71"/>
      <c r="G662" s="71"/>
      <c r="H662" s="71"/>
      <c r="I662" s="71"/>
      <c r="J662" s="71"/>
      <c r="K662" s="71"/>
      <c r="L662" s="71"/>
      <c r="M662" s="71"/>
      <c r="N662" s="71"/>
      <c r="O662" s="71"/>
      <c r="P662" s="71"/>
      <c r="Q662" s="71"/>
      <c r="R662" s="71"/>
      <c r="S662" s="71"/>
      <c r="T662" s="71"/>
      <c r="U662" s="71"/>
      <c r="V662" s="70"/>
    </row>
    <row r="663" spans="1:29" x14ac:dyDescent="0.25">
      <c r="R663" s="75"/>
      <c r="S663" s="75"/>
      <c r="V663" s="70"/>
    </row>
    <row r="664" spans="1:29" x14ac:dyDescent="0.25">
      <c r="R664" s="75"/>
      <c r="S664" s="75"/>
      <c r="V664" s="70"/>
    </row>
    <row r="665" spans="1:29" x14ac:dyDescent="0.25">
      <c r="R665" s="75"/>
      <c r="S665" s="75"/>
      <c r="V665" s="70"/>
    </row>
    <row r="666" spans="1:29" x14ac:dyDescent="0.25">
      <c r="R666" s="75"/>
      <c r="S666" s="75"/>
      <c r="V666" s="70"/>
    </row>
    <row r="667" spans="1:29" x14ac:dyDescent="0.25">
      <c r="R667" s="75"/>
      <c r="S667" s="75"/>
      <c r="V667" s="70"/>
    </row>
    <row r="668" spans="1:29" x14ac:dyDescent="0.25">
      <c r="R668" s="75"/>
      <c r="S668" s="75"/>
      <c r="V668" s="70"/>
    </row>
    <row r="669" spans="1:29" x14ac:dyDescent="0.25">
      <c r="R669" s="75"/>
      <c r="S669" s="75"/>
      <c r="V669" s="70"/>
    </row>
    <row r="670" spans="1:29" x14ac:dyDescent="0.25">
      <c r="R670" s="75"/>
      <c r="S670" s="75"/>
      <c r="V670" s="70"/>
    </row>
    <row r="671" spans="1:29" x14ac:dyDescent="0.25">
      <c r="R671" s="75"/>
      <c r="S671" s="75"/>
      <c r="V671" s="70"/>
    </row>
    <row r="672" spans="1:29" x14ac:dyDescent="0.25">
      <c r="R672" s="75"/>
      <c r="S672" s="75"/>
      <c r="V672" s="70"/>
    </row>
    <row r="673" spans="18:22" x14ac:dyDescent="0.25">
      <c r="R673" s="75"/>
      <c r="S673" s="75"/>
      <c r="V673" s="70"/>
    </row>
    <row r="674" spans="18:22" x14ac:dyDescent="0.25">
      <c r="R674" s="75"/>
      <c r="S674" s="75"/>
      <c r="V674" s="70"/>
    </row>
    <row r="675" spans="18:22" x14ac:dyDescent="0.25">
      <c r="R675" s="75"/>
      <c r="S675" s="75"/>
      <c r="V675" s="70"/>
    </row>
    <row r="676" spans="18:22" x14ac:dyDescent="0.25">
      <c r="R676" s="75"/>
      <c r="S676" s="75"/>
      <c r="V676" s="70"/>
    </row>
    <row r="677" spans="18:22" x14ac:dyDescent="0.25">
      <c r="R677" s="75"/>
      <c r="S677" s="75"/>
      <c r="V677" s="70"/>
    </row>
    <row r="678" spans="18:22" x14ac:dyDescent="0.25">
      <c r="R678" s="75"/>
      <c r="S678" s="75"/>
      <c r="V678" s="70"/>
    </row>
    <row r="679" spans="18:22" x14ac:dyDescent="0.25">
      <c r="R679" s="75"/>
      <c r="S679" s="75"/>
      <c r="V679" s="70"/>
    </row>
    <row r="680" spans="18:22" x14ac:dyDescent="0.25">
      <c r="V680" s="70"/>
    </row>
    <row r="681" spans="18:22" x14ac:dyDescent="0.25">
      <c r="V681" s="70"/>
    </row>
    <row r="682" spans="18:22" x14ac:dyDescent="0.25">
      <c r="V682" s="70"/>
    </row>
    <row r="683" spans="18:22" x14ac:dyDescent="0.25">
      <c r="V683" s="70"/>
    </row>
    <row r="684" spans="18:22" x14ac:dyDescent="0.25">
      <c r="V684" s="70"/>
    </row>
    <row r="685" spans="18:22" x14ac:dyDescent="0.25">
      <c r="V685" s="70"/>
    </row>
    <row r="686" spans="18:22" x14ac:dyDescent="0.25">
      <c r="V686" s="70"/>
    </row>
    <row r="687" spans="18:22" x14ac:dyDescent="0.25">
      <c r="V687" s="70"/>
    </row>
    <row r="688" spans="18:22" x14ac:dyDescent="0.25">
      <c r="V688" s="70"/>
    </row>
    <row r="689" spans="22:22" x14ac:dyDescent="0.25">
      <c r="V689" s="70"/>
    </row>
    <row r="690" spans="22:22" x14ac:dyDescent="0.25">
      <c r="V690" s="70"/>
    </row>
    <row r="691" spans="22:22" x14ac:dyDescent="0.25">
      <c r="V691" s="70"/>
    </row>
    <row r="692" spans="22:22" x14ac:dyDescent="0.25">
      <c r="V692" s="70"/>
    </row>
    <row r="693" spans="22:22" x14ac:dyDescent="0.25">
      <c r="V693" s="70"/>
    </row>
    <row r="694" spans="22:22" x14ac:dyDescent="0.25">
      <c r="V694" s="70"/>
    </row>
    <row r="695" spans="22:22" x14ac:dyDescent="0.25">
      <c r="V695" s="70"/>
    </row>
    <row r="696" spans="22:22" x14ac:dyDescent="0.25">
      <c r="V696" s="70"/>
    </row>
    <row r="697" spans="22:22" x14ac:dyDescent="0.25">
      <c r="V697" s="70"/>
    </row>
    <row r="698" spans="22:22" x14ac:dyDescent="0.25">
      <c r="V698" s="70"/>
    </row>
    <row r="699" spans="22:22" x14ac:dyDescent="0.25">
      <c r="V699" s="70"/>
    </row>
    <row r="700" spans="22:22" x14ac:dyDescent="0.25">
      <c r="V700" s="70"/>
    </row>
    <row r="701" spans="22:22" x14ac:dyDescent="0.25">
      <c r="V701" s="70"/>
    </row>
    <row r="702" spans="22:22" x14ac:dyDescent="0.25">
      <c r="V702" s="70"/>
    </row>
    <row r="703" spans="22:22" x14ac:dyDescent="0.25">
      <c r="V703" s="70"/>
    </row>
    <row r="704" spans="22:22" x14ac:dyDescent="0.25">
      <c r="V704" s="70"/>
    </row>
    <row r="705" spans="22:22" x14ac:dyDescent="0.25">
      <c r="V705" s="70"/>
    </row>
    <row r="706" spans="22:22" x14ac:dyDescent="0.25">
      <c r="V706" s="70"/>
    </row>
    <row r="707" spans="22:22" x14ac:dyDescent="0.25">
      <c r="V707" s="70"/>
    </row>
    <row r="708" spans="22:22" x14ac:dyDescent="0.25">
      <c r="V708" s="70"/>
    </row>
    <row r="709" spans="22:22" x14ac:dyDescent="0.25">
      <c r="V709" s="70"/>
    </row>
    <row r="710" spans="22:22" x14ac:dyDescent="0.25">
      <c r="V710" s="70"/>
    </row>
    <row r="711" spans="22:22" x14ac:dyDescent="0.25">
      <c r="V711" s="70"/>
    </row>
    <row r="712" spans="22:22" x14ac:dyDescent="0.25">
      <c r="V712" s="70"/>
    </row>
    <row r="713" spans="22:22" x14ac:dyDescent="0.25">
      <c r="V713" s="70"/>
    </row>
    <row r="714" spans="22:22" x14ac:dyDescent="0.25">
      <c r="V714" s="70"/>
    </row>
    <row r="715" spans="22:22" x14ac:dyDescent="0.25">
      <c r="V715" s="70"/>
    </row>
    <row r="716" spans="22:22" x14ac:dyDescent="0.25">
      <c r="V716" s="70"/>
    </row>
    <row r="717" spans="22:22" x14ac:dyDescent="0.25">
      <c r="V717" s="70"/>
    </row>
    <row r="718" spans="22:22" x14ac:dyDescent="0.25">
      <c r="V718" s="70"/>
    </row>
    <row r="719" spans="22:22" x14ac:dyDescent="0.25">
      <c r="V719" s="70"/>
    </row>
    <row r="720" spans="22:22" x14ac:dyDescent="0.25">
      <c r="V720" s="70"/>
    </row>
    <row r="721" spans="22:22" x14ac:dyDescent="0.25">
      <c r="V721" s="70"/>
    </row>
    <row r="722" spans="22:22" x14ac:dyDescent="0.25">
      <c r="V722" s="70"/>
    </row>
    <row r="723" spans="22:22" x14ac:dyDescent="0.25">
      <c r="V723" s="70"/>
    </row>
    <row r="724" spans="22:22" x14ac:dyDescent="0.25">
      <c r="V724" s="70"/>
    </row>
    <row r="725" spans="22:22" x14ac:dyDescent="0.25">
      <c r="V725" s="70"/>
    </row>
    <row r="726" spans="22:22" x14ac:dyDescent="0.25">
      <c r="V726" s="70"/>
    </row>
    <row r="727" spans="22:22" x14ac:dyDescent="0.25">
      <c r="V727" s="70"/>
    </row>
    <row r="728" spans="22:22" x14ac:dyDescent="0.25">
      <c r="V728" s="70"/>
    </row>
    <row r="729" spans="22:22" x14ac:dyDescent="0.25">
      <c r="V729" s="70"/>
    </row>
    <row r="730" spans="22:22" x14ac:dyDescent="0.25">
      <c r="V730" s="70"/>
    </row>
    <row r="731" spans="22:22" x14ac:dyDescent="0.25">
      <c r="V731" s="70"/>
    </row>
    <row r="732" spans="22:22" x14ac:dyDescent="0.25">
      <c r="V732" s="70"/>
    </row>
    <row r="733" spans="22:22" x14ac:dyDescent="0.25">
      <c r="V733" s="70"/>
    </row>
    <row r="734" spans="22:22" x14ac:dyDescent="0.25">
      <c r="V734" s="70"/>
    </row>
    <row r="735" spans="22:22" x14ac:dyDescent="0.25">
      <c r="V735" s="70"/>
    </row>
    <row r="736" spans="22:22" x14ac:dyDescent="0.25">
      <c r="V736" s="70"/>
    </row>
    <row r="737" spans="22:22" x14ac:dyDescent="0.25">
      <c r="V737" s="70"/>
    </row>
    <row r="738" spans="22:22" x14ac:dyDescent="0.25">
      <c r="V738" s="70"/>
    </row>
    <row r="739" spans="22:22" x14ac:dyDescent="0.25">
      <c r="V739" s="70"/>
    </row>
    <row r="740" spans="22:22" x14ac:dyDescent="0.25">
      <c r="V740" s="70"/>
    </row>
    <row r="741" spans="22:22" x14ac:dyDescent="0.25">
      <c r="V741" s="70"/>
    </row>
    <row r="742" spans="22:22" x14ac:dyDescent="0.25">
      <c r="V742" s="70"/>
    </row>
    <row r="743" spans="22:22" x14ac:dyDescent="0.25">
      <c r="V743" s="70"/>
    </row>
    <row r="744" spans="22:22" x14ac:dyDescent="0.25">
      <c r="V744" s="70"/>
    </row>
    <row r="745" spans="22:22" x14ac:dyDescent="0.25">
      <c r="V745" s="70"/>
    </row>
    <row r="746" spans="22:22" x14ac:dyDescent="0.25">
      <c r="V746" s="70"/>
    </row>
    <row r="747" spans="22:22" x14ac:dyDescent="0.25">
      <c r="V747" s="70"/>
    </row>
    <row r="748" spans="22:22" x14ac:dyDescent="0.25">
      <c r="V748" s="70"/>
    </row>
    <row r="749" spans="22:22" x14ac:dyDescent="0.25">
      <c r="V749" s="70"/>
    </row>
    <row r="750" spans="22:22" x14ac:dyDescent="0.25">
      <c r="V750" s="70"/>
    </row>
    <row r="751" spans="22:22" x14ac:dyDescent="0.25">
      <c r="V751" s="70"/>
    </row>
    <row r="752" spans="22:22" x14ac:dyDescent="0.25">
      <c r="V752" s="70"/>
    </row>
    <row r="753" spans="22:22" x14ac:dyDescent="0.25">
      <c r="V753" s="70"/>
    </row>
    <row r="754" spans="22:22" x14ac:dyDescent="0.25">
      <c r="V754" s="70"/>
    </row>
    <row r="755" spans="22:22" x14ac:dyDescent="0.25">
      <c r="V755" s="70"/>
    </row>
    <row r="756" spans="22:22" x14ac:dyDescent="0.25">
      <c r="V756" s="70"/>
    </row>
    <row r="757" spans="22:22" x14ac:dyDescent="0.25">
      <c r="V757" s="70"/>
    </row>
    <row r="758" spans="22:22" x14ac:dyDescent="0.25">
      <c r="V758" s="70"/>
    </row>
    <row r="759" spans="22:22" x14ac:dyDescent="0.25">
      <c r="V759" s="70"/>
    </row>
    <row r="760" spans="22:22" x14ac:dyDescent="0.25">
      <c r="V760" s="70"/>
    </row>
    <row r="761" spans="22:22" x14ac:dyDescent="0.25">
      <c r="V761" s="70"/>
    </row>
    <row r="762" spans="22:22" x14ac:dyDescent="0.25">
      <c r="V762" s="70"/>
    </row>
    <row r="763" spans="22:22" x14ac:dyDescent="0.25">
      <c r="V763" s="70"/>
    </row>
    <row r="764" spans="22:22" x14ac:dyDescent="0.25">
      <c r="V764" s="70"/>
    </row>
    <row r="765" spans="22:22" x14ac:dyDescent="0.25">
      <c r="V765" s="70"/>
    </row>
    <row r="766" spans="22:22" x14ac:dyDescent="0.25">
      <c r="V766" s="70"/>
    </row>
    <row r="767" spans="22:22" x14ac:dyDescent="0.25">
      <c r="V767" s="70"/>
    </row>
    <row r="768" spans="22:22" x14ac:dyDescent="0.25">
      <c r="V768" s="70"/>
    </row>
    <row r="769" spans="22:22" x14ac:dyDescent="0.25">
      <c r="V769" s="70"/>
    </row>
    <row r="770" spans="22:22" x14ac:dyDescent="0.25">
      <c r="V770" s="70"/>
    </row>
    <row r="771" spans="22:22" x14ac:dyDescent="0.25">
      <c r="V771" s="70"/>
    </row>
    <row r="772" spans="22:22" x14ac:dyDescent="0.25">
      <c r="V772" s="70"/>
    </row>
    <row r="773" spans="22:22" x14ac:dyDescent="0.25">
      <c r="V773" s="70"/>
    </row>
    <row r="774" spans="22:22" x14ac:dyDescent="0.25">
      <c r="V774" s="70"/>
    </row>
    <row r="775" spans="22:22" x14ac:dyDescent="0.25">
      <c r="V775" s="70"/>
    </row>
    <row r="776" spans="22:22" x14ac:dyDescent="0.25">
      <c r="V776" s="70"/>
    </row>
    <row r="777" spans="22:22" x14ac:dyDescent="0.25">
      <c r="V777" s="70"/>
    </row>
    <row r="778" spans="22:22" x14ac:dyDescent="0.25">
      <c r="V778" s="70"/>
    </row>
    <row r="779" spans="22:22" x14ac:dyDescent="0.25">
      <c r="V779" s="70"/>
    </row>
    <row r="780" spans="22:22" x14ac:dyDescent="0.25">
      <c r="V780" s="70"/>
    </row>
    <row r="781" spans="22:22" x14ac:dyDescent="0.25">
      <c r="V781" s="70"/>
    </row>
    <row r="782" spans="22:22" x14ac:dyDescent="0.25">
      <c r="V782" s="70"/>
    </row>
    <row r="783" spans="22:22" x14ac:dyDescent="0.25">
      <c r="V783" s="70"/>
    </row>
    <row r="784" spans="22:22" x14ac:dyDescent="0.25">
      <c r="V784" s="70"/>
    </row>
    <row r="785" spans="22:22" x14ac:dyDescent="0.25">
      <c r="V785" s="70"/>
    </row>
    <row r="786" spans="22:22" x14ac:dyDescent="0.25">
      <c r="V786" s="70"/>
    </row>
    <row r="787" spans="22:22" x14ac:dyDescent="0.25">
      <c r="V787" s="70"/>
    </row>
    <row r="788" spans="22:22" x14ac:dyDescent="0.25">
      <c r="V788" s="70"/>
    </row>
    <row r="789" spans="22:22" x14ac:dyDescent="0.25">
      <c r="V789" s="70"/>
    </row>
    <row r="790" spans="22:22" x14ac:dyDescent="0.25">
      <c r="V790" s="70"/>
    </row>
    <row r="791" spans="22:22" x14ac:dyDescent="0.25">
      <c r="V791" s="70"/>
    </row>
    <row r="792" spans="22:22" x14ac:dyDescent="0.25">
      <c r="V792" s="70"/>
    </row>
    <row r="793" spans="22:22" x14ac:dyDescent="0.25">
      <c r="V793" s="70"/>
    </row>
    <row r="794" spans="22:22" x14ac:dyDescent="0.25">
      <c r="V794" s="70"/>
    </row>
    <row r="795" spans="22:22" x14ac:dyDescent="0.25">
      <c r="V795" s="70"/>
    </row>
    <row r="796" spans="22:22" x14ac:dyDescent="0.25">
      <c r="V796" s="70"/>
    </row>
    <row r="797" spans="22:22" x14ac:dyDescent="0.25">
      <c r="V797" s="70"/>
    </row>
    <row r="798" spans="22:22" x14ac:dyDescent="0.25">
      <c r="V798" s="70"/>
    </row>
    <row r="799" spans="22:22" x14ac:dyDescent="0.25">
      <c r="V799" s="70"/>
    </row>
    <row r="800" spans="22:22" x14ac:dyDescent="0.25">
      <c r="V800" s="70"/>
    </row>
    <row r="801" spans="22:22" x14ac:dyDescent="0.25">
      <c r="V801" s="70"/>
    </row>
    <row r="802" spans="22:22" x14ac:dyDescent="0.25">
      <c r="V802" s="70"/>
    </row>
    <row r="803" spans="22:22" x14ac:dyDescent="0.25">
      <c r="V803" s="70"/>
    </row>
    <row r="804" spans="22:22" x14ac:dyDescent="0.25">
      <c r="V804" s="70"/>
    </row>
    <row r="805" spans="22:22" x14ac:dyDescent="0.25">
      <c r="V805" s="70"/>
    </row>
    <row r="806" spans="22:22" x14ac:dyDescent="0.25">
      <c r="V806" s="70"/>
    </row>
    <row r="807" spans="22:22" x14ac:dyDescent="0.25">
      <c r="V807" s="70"/>
    </row>
    <row r="808" spans="22:22" x14ac:dyDescent="0.25">
      <c r="V808" s="70"/>
    </row>
    <row r="809" spans="22:22" x14ac:dyDescent="0.25">
      <c r="V809" s="70"/>
    </row>
    <row r="810" spans="22:22" x14ac:dyDescent="0.25">
      <c r="V810" s="70"/>
    </row>
    <row r="811" spans="22:22" x14ac:dyDescent="0.25">
      <c r="V811" s="70"/>
    </row>
    <row r="812" spans="22:22" x14ac:dyDescent="0.25">
      <c r="V812" s="70"/>
    </row>
    <row r="813" spans="22:22" x14ac:dyDescent="0.25">
      <c r="V813" s="70"/>
    </row>
    <row r="814" spans="22:22" x14ac:dyDescent="0.25">
      <c r="V814" s="70"/>
    </row>
    <row r="815" spans="22:22" x14ac:dyDescent="0.25">
      <c r="V815" s="70"/>
    </row>
    <row r="816" spans="22:22" x14ac:dyDescent="0.25">
      <c r="V816" s="70"/>
    </row>
    <row r="817" spans="22:22" x14ac:dyDescent="0.25">
      <c r="V817" s="70"/>
    </row>
    <row r="818" spans="22:22" x14ac:dyDescent="0.25">
      <c r="V818" s="70"/>
    </row>
    <row r="819" spans="22:22" x14ac:dyDescent="0.25">
      <c r="V819" s="70"/>
    </row>
    <row r="820" spans="22:22" x14ac:dyDescent="0.25">
      <c r="V820" s="70"/>
    </row>
    <row r="821" spans="22:22" x14ac:dyDescent="0.25">
      <c r="V821" s="70"/>
    </row>
    <row r="822" spans="22:22" x14ac:dyDescent="0.25">
      <c r="V822" s="70"/>
    </row>
    <row r="823" spans="22:22" x14ac:dyDescent="0.25">
      <c r="V823" s="70"/>
    </row>
    <row r="824" spans="22:22" x14ac:dyDescent="0.25">
      <c r="V824" s="70"/>
    </row>
    <row r="825" spans="22:22" x14ac:dyDescent="0.25">
      <c r="V825" s="70"/>
    </row>
    <row r="826" spans="22:22" x14ac:dyDescent="0.25">
      <c r="V826" s="70"/>
    </row>
    <row r="827" spans="22:22" x14ac:dyDescent="0.25">
      <c r="V827" s="70"/>
    </row>
    <row r="828" spans="22:22" x14ac:dyDescent="0.25">
      <c r="V828" s="70"/>
    </row>
    <row r="829" spans="22:22" x14ac:dyDescent="0.25">
      <c r="V829" s="70"/>
    </row>
    <row r="830" spans="22:22" x14ac:dyDescent="0.25">
      <c r="V830" s="70"/>
    </row>
    <row r="831" spans="22:22" x14ac:dyDescent="0.25">
      <c r="V831" s="70"/>
    </row>
    <row r="832" spans="22:22" x14ac:dyDescent="0.25">
      <c r="V832" s="70"/>
    </row>
    <row r="833" spans="22:22" x14ac:dyDescent="0.25">
      <c r="V833" s="70"/>
    </row>
    <row r="834" spans="22:22" x14ac:dyDescent="0.25">
      <c r="V834" s="70"/>
    </row>
    <row r="835" spans="22:22" x14ac:dyDescent="0.25">
      <c r="V835" s="70"/>
    </row>
    <row r="836" spans="22:22" x14ac:dyDescent="0.25">
      <c r="V836" s="70"/>
    </row>
    <row r="837" spans="22:22" x14ac:dyDescent="0.25">
      <c r="V837" s="70"/>
    </row>
    <row r="838" spans="22:22" x14ac:dyDescent="0.25">
      <c r="V838" s="70"/>
    </row>
    <row r="839" spans="22:22" x14ac:dyDescent="0.25">
      <c r="V839" s="70"/>
    </row>
    <row r="840" spans="22:22" x14ac:dyDescent="0.25">
      <c r="V840" s="70"/>
    </row>
    <row r="841" spans="22:22" x14ac:dyDescent="0.25">
      <c r="V841" s="70"/>
    </row>
    <row r="842" spans="22:22" x14ac:dyDescent="0.25">
      <c r="V842" s="70"/>
    </row>
    <row r="843" spans="22:22" x14ac:dyDescent="0.25">
      <c r="V843" s="70"/>
    </row>
    <row r="844" spans="22:22" x14ac:dyDescent="0.25">
      <c r="V844" s="70"/>
    </row>
    <row r="845" spans="22:22" x14ac:dyDescent="0.25">
      <c r="V845" s="70"/>
    </row>
    <row r="846" spans="22:22" x14ac:dyDescent="0.25">
      <c r="V846" s="70"/>
    </row>
    <row r="847" spans="22:22" x14ac:dyDescent="0.25">
      <c r="V847" s="70"/>
    </row>
    <row r="848" spans="22:22" x14ac:dyDescent="0.25">
      <c r="V848" s="70"/>
    </row>
    <row r="849" spans="22:22" x14ac:dyDescent="0.25">
      <c r="V849" s="70"/>
    </row>
    <row r="850" spans="22:22" x14ac:dyDescent="0.25">
      <c r="V850" s="70"/>
    </row>
    <row r="851" spans="22:22" x14ac:dyDescent="0.25">
      <c r="V851" s="70"/>
    </row>
    <row r="852" spans="22:22" x14ac:dyDescent="0.25">
      <c r="V852" s="70"/>
    </row>
    <row r="853" spans="22:22" x14ac:dyDescent="0.25">
      <c r="V853" s="70"/>
    </row>
    <row r="854" spans="22:22" x14ac:dyDescent="0.25">
      <c r="V854" s="70"/>
    </row>
    <row r="855" spans="22:22" x14ac:dyDescent="0.25">
      <c r="V855" s="70"/>
    </row>
    <row r="856" spans="22:22" x14ac:dyDescent="0.25">
      <c r="V856" s="70"/>
    </row>
    <row r="857" spans="22:22" x14ac:dyDescent="0.25">
      <c r="V857" s="70"/>
    </row>
    <row r="858" spans="22:22" x14ac:dyDescent="0.25">
      <c r="V858" s="70"/>
    </row>
    <row r="859" spans="22:22" x14ac:dyDescent="0.25">
      <c r="V859" s="70"/>
    </row>
    <row r="860" spans="22:22" x14ac:dyDescent="0.25">
      <c r="V860" s="70"/>
    </row>
    <row r="861" spans="22:22" x14ac:dyDescent="0.25">
      <c r="V861" s="70"/>
    </row>
    <row r="862" spans="22:22" x14ac:dyDescent="0.25">
      <c r="V862" s="70"/>
    </row>
    <row r="863" spans="22:22" x14ac:dyDescent="0.25">
      <c r="V863" s="70"/>
    </row>
    <row r="864" spans="22:22" x14ac:dyDescent="0.25">
      <c r="V864" s="70"/>
    </row>
    <row r="865" spans="22:22" x14ac:dyDescent="0.25">
      <c r="V865" s="70"/>
    </row>
    <row r="866" spans="22:22" x14ac:dyDescent="0.25">
      <c r="V866" s="70"/>
    </row>
    <row r="867" spans="22:22" x14ac:dyDescent="0.25">
      <c r="V867" s="70"/>
    </row>
    <row r="868" spans="22:22" x14ac:dyDescent="0.25">
      <c r="V868" s="70"/>
    </row>
    <row r="869" spans="22:22" x14ac:dyDescent="0.25">
      <c r="V869" s="70"/>
    </row>
    <row r="870" spans="22:22" x14ac:dyDescent="0.25">
      <c r="V870" s="70"/>
    </row>
    <row r="871" spans="22:22" x14ac:dyDescent="0.25">
      <c r="V871" s="70"/>
    </row>
    <row r="872" spans="22:22" x14ac:dyDescent="0.25">
      <c r="V872" s="70"/>
    </row>
    <row r="873" spans="22:22" x14ac:dyDescent="0.25">
      <c r="V873" s="70"/>
    </row>
    <row r="874" spans="22:22" x14ac:dyDescent="0.25">
      <c r="V874" s="70"/>
    </row>
    <row r="875" spans="22:22" x14ac:dyDescent="0.25">
      <c r="V875" s="70"/>
    </row>
    <row r="876" spans="22:22" x14ac:dyDescent="0.25">
      <c r="V876" s="70"/>
    </row>
    <row r="877" spans="22:22" x14ac:dyDescent="0.25">
      <c r="V877" s="70"/>
    </row>
    <row r="878" spans="22:22" x14ac:dyDescent="0.25">
      <c r="V878" s="70"/>
    </row>
    <row r="879" spans="22:22" x14ac:dyDescent="0.25">
      <c r="V879" s="70"/>
    </row>
    <row r="880" spans="22:22" x14ac:dyDescent="0.25">
      <c r="V880" s="70"/>
    </row>
    <row r="881" spans="22:22" x14ac:dyDescent="0.25">
      <c r="V881" s="70"/>
    </row>
    <row r="882" spans="22:22" x14ac:dyDescent="0.25">
      <c r="V882" s="70"/>
    </row>
    <row r="883" spans="22:22" x14ac:dyDescent="0.25">
      <c r="V883" s="70"/>
    </row>
    <row r="884" spans="22:22" x14ac:dyDescent="0.25">
      <c r="V884" s="70"/>
    </row>
    <row r="885" spans="22:22" x14ac:dyDescent="0.25">
      <c r="V885" s="70"/>
    </row>
    <row r="886" spans="22:22" x14ac:dyDescent="0.25">
      <c r="V886" s="70"/>
    </row>
    <row r="887" spans="22:22" x14ac:dyDescent="0.25">
      <c r="V887" s="70"/>
    </row>
    <row r="888" spans="22:22" x14ac:dyDescent="0.25">
      <c r="V888" s="70"/>
    </row>
    <row r="889" spans="22:22" x14ac:dyDescent="0.25">
      <c r="V889" s="70"/>
    </row>
    <row r="890" spans="22:22" x14ac:dyDescent="0.25">
      <c r="V890" s="70"/>
    </row>
    <row r="891" spans="22:22" x14ac:dyDescent="0.25">
      <c r="V891" s="70"/>
    </row>
    <row r="892" spans="22:22" x14ac:dyDescent="0.25">
      <c r="V892" s="70"/>
    </row>
    <row r="893" spans="22:22" x14ac:dyDescent="0.25">
      <c r="V893" s="70"/>
    </row>
    <row r="894" spans="22:22" x14ac:dyDescent="0.25">
      <c r="V894" s="70"/>
    </row>
    <row r="895" spans="22:22" x14ac:dyDescent="0.25">
      <c r="V895" s="70"/>
    </row>
    <row r="896" spans="22:22" x14ac:dyDescent="0.25">
      <c r="V896" s="70"/>
    </row>
    <row r="897" spans="22:22" x14ac:dyDescent="0.25">
      <c r="V897" s="70"/>
    </row>
    <row r="898" spans="22:22" x14ac:dyDescent="0.25">
      <c r="V898" s="70"/>
    </row>
    <row r="899" spans="22:22" x14ac:dyDescent="0.25">
      <c r="V899" s="70"/>
    </row>
    <row r="900" spans="22:22" x14ac:dyDescent="0.25">
      <c r="V900" s="70"/>
    </row>
    <row r="901" spans="22:22" x14ac:dyDescent="0.25">
      <c r="V901" s="70"/>
    </row>
    <row r="902" spans="22:22" x14ac:dyDescent="0.25">
      <c r="V902" s="70"/>
    </row>
    <row r="903" spans="22:22" x14ac:dyDescent="0.25">
      <c r="V903" s="70"/>
    </row>
    <row r="904" spans="22:22" x14ac:dyDescent="0.25">
      <c r="V904" s="70"/>
    </row>
    <row r="905" spans="22:22" x14ac:dyDescent="0.25">
      <c r="V905" s="70"/>
    </row>
    <row r="906" spans="22:22" x14ac:dyDescent="0.25">
      <c r="V906" s="70"/>
    </row>
    <row r="907" spans="22:22" x14ac:dyDescent="0.25">
      <c r="V907" s="70"/>
    </row>
    <row r="908" spans="22:22" x14ac:dyDescent="0.25">
      <c r="V908" s="70"/>
    </row>
    <row r="909" spans="22:22" x14ac:dyDescent="0.25">
      <c r="V909" s="70"/>
    </row>
    <row r="910" spans="22:22" x14ac:dyDescent="0.25">
      <c r="V910" s="70"/>
    </row>
    <row r="911" spans="22:22" x14ac:dyDescent="0.25">
      <c r="V911" s="70"/>
    </row>
    <row r="912" spans="22:22" x14ac:dyDescent="0.25">
      <c r="V912" s="70"/>
    </row>
    <row r="913" spans="22:22" x14ac:dyDescent="0.25">
      <c r="V913" s="70"/>
    </row>
    <row r="914" spans="22:22" x14ac:dyDescent="0.25">
      <c r="V914" s="70"/>
    </row>
    <row r="915" spans="22:22" x14ac:dyDescent="0.25">
      <c r="V915" s="70"/>
    </row>
    <row r="916" spans="22:22" x14ac:dyDescent="0.25">
      <c r="V916" s="70"/>
    </row>
    <row r="917" spans="22:22" x14ac:dyDescent="0.25">
      <c r="V917" s="70"/>
    </row>
    <row r="918" spans="22:22" x14ac:dyDescent="0.25">
      <c r="V918" s="70"/>
    </row>
    <row r="919" spans="22:22" x14ac:dyDescent="0.25">
      <c r="V919" s="70"/>
    </row>
    <row r="920" spans="22:22" x14ac:dyDescent="0.25">
      <c r="V920" s="70"/>
    </row>
    <row r="921" spans="22:22" x14ac:dyDescent="0.25">
      <c r="V921" s="70"/>
    </row>
    <row r="922" spans="22:22" x14ac:dyDescent="0.25">
      <c r="V922" s="70"/>
    </row>
    <row r="923" spans="22:22" x14ac:dyDescent="0.25">
      <c r="V923" s="70"/>
    </row>
    <row r="924" spans="22:22" x14ac:dyDescent="0.25">
      <c r="V924" s="70"/>
    </row>
    <row r="925" spans="22:22" x14ac:dyDescent="0.25">
      <c r="V925" s="70"/>
    </row>
    <row r="926" spans="22:22" x14ac:dyDescent="0.25">
      <c r="V926" s="70"/>
    </row>
    <row r="927" spans="22:22" x14ac:dyDescent="0.25">
      <c r="V927" s="70"/>
    </row>
    <row r="928" spans="22:22" x14ac:dyDescent="0.25">
      <c r="V928" s="70"/>
    </row>
    <row r="929" spans="22:22" x14ac:dyDescent="0.25">
      <c r="V929" s="70"/>
    </row>
    <row r="930" spans="22:22" x14ac:dyDescent="0.25">
      <c r="V930" s="70"/>
    </row>
    <row r="931" spans="22:22" x14ac:dyDescent="0.25">
      <c r="V931" s="70"/>
    </row>
    <row r="932" spans="22:22" x14ac:dyDescent="0.25">
      <c r="V932" s="70"/>
    </row>
    <row r="933" spans="22:22" x14ac:dyDescent="0.25">
      <c r="V933" s="70"/>
    </row>
    <row r="934" spans="22:22" x14ac:dyDescent="0.25">
      <c r="V934" s="70"/>
    </row>
    <row r="935" spans="22:22" x14ac:dyDescent="0.25">
      <c r="V935" s="70"/>
    </row>
    <row r="936" spans="22:22" x14ac:dyDescent="0.25">
      <c r="V936" s="70"/>
    </row>
    <row r="937" spans="22:22" x14ac:dyDescent="0.25">
      <c r="V937" s="70"/>
    </row>
    <row r="938" spans="22:22" x14ac:dyDescent="0.25">
      <c r="V938" s="70"/>
    </row>
    <row r="939" spans="22:22" x14ac:dyDescent="0.25">
      <c r="V939" s="70"/>
    </row>
    <row r="940" spans="22:22" x14ac:dyDescent="0.25">
      <c r="V940" s="70"/>
    </row>
    <row r="941" spans="22:22" x14ac:dyDescent="0.25">
      <c r="V941" s="70"/>
    </row>
    <row r="942" spans="22:22" x14ac:dyDescent="0.25">
      <c r="V942" s="70"/>
    </row>
    <row r="943" spans="22:22" x14ac:dyDescent="0.25">
      <c r="V943" s="70"/>
    </row>
    <row r="944" spans="22:22" x14ac:dyDescent="0.25">
      <c r="V944" s="70"/>
    </row>
    <row r="945" spans="22:22" x14ac:dyDescent="0.25">
      <c r="V945" s="70"/>
    </row>
    <row r="946" spans="22:22" x14ac:dyDescent="0.25">
      <c r="V946" s="70"/>
    </row>
    <row r="947" spans="22:22" x14ac:dyDescent="0.25">
      <c r="V947" s="70"/>
    </row>
    <row r="948" spans="22:22" x14ac:dyDescent="0.25">
      <c r="V948" s="70"/>
    </row>
    <row r="949" spans="22:22" x14ac:dyDescent="0.25">
      <c r="V949" s="70"/>
    </row>
    <row r="950" spans="22:22" x14ac:dyDescent="0.25">
      <c r="V950" s="70"/>
    </row>
    <row r="951" spans="22:22" x14ac:dyDescent="0.25">
      <c r="V951" s="70"/>
    </row>
    <row r="952" spans="22:22" x14ac:dyDescent="0.25">
      <c r="V952" s="70"/>
    </row>
    <row r="953" spans="22:22" x14ac:dyDescent="0.25">
      <c r="V953" s="70"/>
    </row>
    <row r="954" spans="22:22" x14ac:dyDescent="0.25">
      <c r="V954" s="70"/>
    </row>
    <row r="955" spans="22:22" x14ac:dyDescent="0.25">
      <c r="V955" s="70"/>
    </row>
    <row r="956" spans="22:22" x14ac:dyDescent="0.25">
      <c r="V956" s="70"/>
    </row>
    <row r="957" spans="22:22" x14ac:dyDescent="0.25">
      <c r="V957" s="70"/>
    </row>
    <row r="958" spans="22:22" x14ac:dyDescent="0.25">
      <c r="V958" s="70"/>
    </row>
    <row r="959" spans="22:22" x14ac:dyDescent="0.25">
      <c r="V959" s="70"/>
    </row>
    <row r="960" spans="22:22" x14ac:dyDescent="0.25">
      <c r="V960" s="70"/>
    </row>
    <row r="961" spans="22:22" x14ac:dyDescent="0.25">
      <c r="V961" s="70"/>
    </row>
    <row r="962" spans="22:22" x14ac:dyDescent="0.25">
      <c r="V962" s="70"/>
    </row>
    <row r="963" spans="22:22" x14ac:dyDescent="0.25">
      <c r="V963" s="70"/>
    </row>
    <row r="964" spans="22:22" x14ac:dyDescent="0.25">
      <c r="V964" s="70"/>
    </row>
    <row r="965" spans="22:22" x14ac:dyDescent="0.25">
      <c r="V965" s="70"/>
    </row>
    <row r="966" spans="22:22" x14ac:dyDescent="0.25">
      <c r="V966" s="70"/>
    </row>
    <row r="967" spans="22:22" x14ac:dyDescent="0.25">
      <c r="V967" s="70"/>
    </row>
    <row r="968" spans="22:22" x14ac:dyDescent="0.25">
      <c r="V968" s="70"/>
    </row>
    <row r="969" spans="22:22" x14ac:dyDescent="0.25">
      <c r="V969" s="70"/>
    </row>
    <row r="970" spans="22:22" x14ac:dyDescent="0.25">
      <c r="V970" s="70"/>
    </row>
    <row r="971" spans="22:22" x14ac:dyDescent="0.25">
      <c r="V971" s="70"/>
    </row>
    <row r="972" spans="22:22" x14ac:dyDescent="0.25">
      <c r="V972" s="70"/>
    </row>
    <row r="973" spans="22:22" x14ac:dyDescent="0.25">
      <c r="V973" s="70"/>
    </row>
    <row r="974" spans="22:22" x14ac:dyDescent="0.25">
      <c r="V974" s="70"/>
    </row>
    <row r="975" spans="22:22" x14ac:dyDescent="0.25">
      <c r="V975" s="70"/>
    </row>
    <row r="976" spans="22:22" x14ac:dyDescent="0.25">
      <c r="V976" s="70"/>
    </row>
    <row r="977" spans="22:22" x14ac:dyDescent="0.25">
      <c r="V977" s="70"/>
    </row>
    <row r="978" spans="22:22" x14ac:dyDescent="0.25">
      <c r="V978" s="70"/>
    </row>
    <row r="979" spans="22:22" x14ac:dyDescent="0.25">
      <c r="V979" s="70"/>
    </row>
    <row r="980" spans="22:22" x14ac:dyDescent="0.25">
      <c r="V980" s="70"/>
    </row>
    <row r="981" spans="22:22" x14ac:dyDescent="0.25">
      <c r="V981" s="70"/>
    </row>
    <row r="982" spans="22:22" x14ac:dyDescent="0.25">
      <c r="V982" s="70"/>
    </row>
    <row r="983" spans="22:22" x14ac:dyDescent="0.25">
      <c r="V983" s="70"/>
    </row>
    <row r="984" spans="22:22" x14ac:dyDescent="0.25">
      <c r="V984" s="70"/>
    </row>
    <row r="985" spans="22:22" x14ac:dyDescent="0.25">
      <c r="V985" s="70"/>
    </row>
    <row r="986" spans="22:22" x14ac:dyDescent="0.25">
      <c r="V986" s="70"/>
    </row>
    <row r="987" spans="22:22" x14ac:dyDescent="0.25">
      <c r="V987" s="70"/>
    </row>
    <row r="988" spans="22:22" x14ac:dyDescent="0.25">
      <c r="V988" s="70"/>
    </row>
    <row r="989" spans="22:22" x14ac:dyDescent="0.25">
      <c r="V989" s="70"/>
    </row>
    <row r="990" spans="22:22" x14ac:dyDescent="0.25">
      <c r="V990" s="70"/>
    </row>
    <row r="991" spans="22:22" x14ac:dyDescent="0.25">
      <c r="V991" s="70"/>
    </row>
    <row r="992" spans="22:22" x14ac:dyDescent="0.25">
      <c r="V992" s="70"/>
    </row>
    <row r="993" spans="22:22" x14ac:dyDescent="0.25">
      <c r="V993" s="70"/>
    </row>
    <row r="994" spans="22:22" x14ac:dyDescent="0.25">
      <c r="V994" s="70"/>
    </row>
    <row r="995" spans="22:22" x14ac:dyDescent="0.25">
      <c r="V995" s="70"/>
    </row>
    <row r="996" spans="22:22" x14ac:dyDescent="0.25">
      <c r="V996" s="70"/>
    </row>
    <row r="997" spans="22:22" x14ac:dyDescent="0.25">
      <c r="V997" s="70"/>
    </row>
    <row r="998" spans="22:22" x14ac:dyDescent="0.25">
      <c r="V998" s="70"/>
    </row>
    <row r="999" spans="22:22" x14ac:dyDescent="0.25">
      <c r="V999" s="70"/>
    </row>
    <row r="1000" spans="22:22" x14ac:dyDescent="0.25">
      <c r="V1000" s="70"/>
    </row>
    <row r="1001" spans="22:22" x14ac:dyDescent="0.25">
      <c r="V1001" s="70"/>
    </row>
    <row r="1002" spans="22:22" x14ac:dyDescent="0.25">
      <c r="V1002" s="70"/>
    </row>
    <row r="1003" spans="22:22" x14ac:dyDescent="0.25">
      <c r="V1003" s="70"/>
    </row>
    <row r="1004" spans="22:22" x14ac:dyDescent="0.25">
      <c r="V1004" s="70"/>
    </row>
    <row r="1005" spans="22:22" x14ac:dyDescent="0.25">
      <c r="V1005" s="70"/>
    </row>
    <row r="1006" spans="22:22" x14ac:dyDescent="0.25">
      <c r="V1006" s="70"/>
    </row>
    <row r="1007" spans="22:22" x14ac:dyDescent="0.25">
      <c r="V1007" s="70"/>
    </row>
    <row r="1008" spans="22:22" x14ac:dyDescent="0.25">
      <c r="V1008" s="70"/>
    </row>
    <row r="1009" spans="22:22" x14ac:dyDescent="0.25">
      <c r="V1009" s="70"/>
    </row>
    <row r="1010" spans="22:22" x14ac:dyDescent="0.25">
      <c r="V1010" s="70"/>
    </row>
    <row r="1011" spans="22:22" x14ac:dyDescent="0.25">
      <c r="V1011" s="70"/>
    </row>
    <row r="1012" spans="22:22" x14ac:dyDescent="0.25">
      <c r="V1012" s="70"/>
    </row>
    <row r="1013" spans="22:22" x14ac:dyDescent="0.25">
      <c r="V1013" s="70"/>
    </row>
    <row r="1014" spans="22:22" x14ac:dyDescent="0.25">
      <c r="V1014" s="70"/>
    </row>
    <row r="1015" spans="22:22" x14ac:dyDescent="0.25">
      <c r="V1015" s="70"/>
    </row>
    <row r="1016" spans="22:22" x14ac:dyDescent="0.25">
      <c r="V1016" s="70"/>
    </row>
    <row r="1017" spans="22:22" x14ac:dyDescent="0.25">
      <c r="V1017" s="70"/>
    </row>
    <row r="1018" spans="22:22" x14ac:dyDescent="0.25">
      <c r="V1018" s="70"/>
    </row>
    <row r="1019" spans="22:22" x14ac:dyDescent="0.25">
      <c r="V1019" s="70"/>
    </row>
    <row r="1020" spans="22:22" x14ac:dyDescent="0.25">
      <c r="V1020" s="70"/>
    </row>
    <row r="1021" spans="22:22" x14ac:dyDescent="0.25">
      <c r="V1021" s="70"/>
    </row>
    <row r="1022" spans="22:22" x14ac:dyDescent="0.25">
      <c r="V1022" s="70"/>
    </row>
    <row r="1023" spans="22:22" x14ac:dyDescent="0.25">
      <c r="V1023" s="70"/>
    </row>
    <row r="1024" spans="22:22" x14ac:dyDescent="0.25">
      <c r="V1024" s="70"/>
    </row>
    <row r="1025" spans="22:22" x14ac:dyDescent="0.25">
      <c r="V1025" s="70"/>
    </row>
    <row r="1026" spans="22:22" x14ac:dyDescent="0.25">
      <c r="V1026" s="70"/>
    </row>
    <row r="1027" spans="22:22" x14ac:dyDescent="0.25">
      <c r="V1027" s="70"/>
    </row>
    <row r="1028" spans="22:22" x14ac:dyDescent="0.25">
      <c r="V1028" s="70"/>
    </row>
    <row r="1029" spans="22:22" x14ac:dyDescent="0.25">
      <c r="V1029" s="70"/>
    </row>
    <row r="1030" spans="22:22" x14ac:dyDescent="0.25">
      <c r="V1030" s="70"/>
    </row>
    <row r="1031" spans="22:22" x14ac:dyDescent="0.25">
      <c r="V1031" s="70"/>
    </row>
    <row r="1032" spans="22:22" x14ac:dyDescent="0.25">
      <c r="V1032" s="70"/>
    </row>
    <row r="1033" spans="22:22" x14ac:dyDescent="0.25">
      <c r="V1033" s="70"/>
    </row>
    <row r="1034" spans="22:22" x14ac:dyDescent="0.25">
      <c r="V1034" s="70"/>
    </row>
    <row r="1035" spans="22:22" x14ac:dyDescent="0.25">
      <c r="V1035" s="70"/>
    </row>
    <row r="1036" spans="22:22" x14ac:dyDescent="0.25">
      <c r="V1036" s="70"/>
    </row>
    <row r="1037" spans="22:22" x14ac:dyDescent="0.25">
      <c r="V1037" s="70"/>
    </row>
    <row r="1038" spans="22:22" x14ac:dyDescent="0.25">
      <c r="V1038" s="70"/>
    </row>
    <row r="1039" spans="22:22" x14ac:dyDescent="0.25">
      <c r="V1039" s="70"/>
    </row>
    <row r="1040" spans="22:22" x14ac:dyDescent="0.25">
      <c r="V1040" s="70"/>
    </row>
    <row r="1041" spans="22:22" x14ac:dyDescent="0.25">
      <c r="V1041" s="70"/>
    </row>
    <row r="1042" spans="22:22" x14ac:dyDescent="0.25">
      <c r="V1042" s="70"/>
    </row>
    <row r="1043" spans="22:22" x14ac:dyDescent="0.25">
      <c r="V1043" s="70"/>
    </row>
    <row r="1044" spans="22:22" x14ac:dyDescent="0.25">
      <c r="V1044" s="70"/>
    </row>
    <row r="1045" spans="22:22" x14ac:dyDescent="0.25">
      <c r="V1045" s="70"/>
    </row>
    <row r="1046" spans="22:22" x14ac:dyDescent="0.25">
      <c r="V1046" s="70"/>
    </row>
    <row r="1047" spans="22:22" x14ac:dyDescent="0.25">
      <c r="V1047" s="70"/>
    </row>
    <row r="1048" spans="22:22" x14ac:dyDescent="0.25">
      <c r="V1048" s="70"/>
    </row>
    <row r="1049" spans="22:22" x14ac:dyDescent="0.25">
      <c r="V1049" s="70"/>
    </row>
    <row r="1050" spans="22:22" x14ac:dyDescent="0.25">
      <c r="V1050" s="70"/>
    </row>
    <row r="1051" spans="22:22" x14ac:dyDescent="0.25">
      <c r="V1051" s="70"/>
    </row>
    <row r="1052" spans="22:22" x14ac:dyDescent="0.25">
      <c r="V1052" s="91"/>
    </row>
    <row r="1053" spans="22:22" x14ac:dyDescent="0.25">
      <c r="V1053" s="70"/>
    </row>
    <row r="1054" spans="22:22" x14ac:dyDescent="0.25">
      <c r="V1054" s="70"/>
    </row>
    <row r="1055" spans="22:22" x14ac:dyDescent="0.25">
      <c r="V1055" s="70"/>
    </row>
    <row r="1056" spans="22:22" x14ac:dyDescent="0.25">
      <c r="V1056" s="70"/>
    </row>
    <row r="1057" spans="22:22" x14ac:dyDescent="0.25">
      <c r="V1057" s="70"/>
    </row>
    <row r="1058" spans="22:22" x14ac:dyDescent="0.25">
      <c r="V1058" s="70"/>
    </row>
    <row r="1059" spans="22:22" x14ac:dyDescent="0.25">
      <c r="V1059" s="70"/>
    </row>
    <row r="1060" spans="22:22" x14ac:dyDescent="0.25">
      <c r="V1060" s="70"/>
    </row>
    <row r="1061" spans="22:22" x14ac:dyDescent="0.25">
      <c r="V1061" s="70"/>
    </row>
    <row r="1062" spans="22:22" x14ac:dyDescent="0.25">
      <c r="V1062" s="70"/>
    </row>
    <row r="1063" spans="22:22" x14ac:dyDescent="0.25">
      <c r="V1063" s="70"/>
    </row>
    <row r="1064" spans="22:22" x14ac:dyDescent="0.25">
      <c r="V1064" s="70"/>
    </row>
    <row r="1065" spans="22:22" x14ac:dyDescent="0.25">
      <c r="V1065" s="70"/>
    </row>
    <row r="1066" spans="22:22" x14ac:dyDescent="0.25">
      <c r="V1066" s="70"/>
    </row>
    <row r="1067" spans="22:22" x14ac:dyDescent="0.25">
      <c r="V1067" s="70"/>
    </row>
    <row r="1068" spans="22:22" x14ac:dyDescent="0.25">
      <c r="V1068" s="70"/>
    </row>
    <row r="1069" spans="22:22" x14ac:dyDescent="0.25">
      <c r="V1069" s="70"/>
    </row>
    <row r="1070" spans="22:22" x14ac:dyDescent="0.25">
      <c r="V1070" s="70"/>
    </row>
    <row r="1071" spans="22:22" x14ac:dyDescent="0.25">
      <c r="V1071" s="70"/>
    </row>
    <row r="1072" spans="22:22" x14ac:dyDescent="0.25">
      <c r="V1072" s="70"/>
    </row>
    <row r="1073" spans="22:22" x14ac:dyDescent="0.25">
      <c r="V1073" s="70"/>
    </row>
    <row r="1074" spans="22:22" x14ac:dyDescent="0.25">
      <c r="V1074" s="70"/>
    </row>
    <row r="1075" spans="22:22" x14ac:dyDescent="0.25">
      <c r="V1075" s="70"/>
    </row>
    <row r="1076" spans="22:22" x14ac:dyDescent="0.25">
      <c r="V1076" s="70"/>
    </row>
    <row r="1077" spans="22:22" x14ac:dyDescent="0.25">
      <c r="V1077" s="70"/>
    </row>
    <row r="1078" spans="22:22" x14ac:dyDescent="0.25">
      <c r="V1078" s="70"/>
    </row>
    <row r="1079" spans="22:22" x14ac:dyDescent="0.25">
      <c r="V1079" s="70"/>
    </row>
    <row r="1080" spans="22:22" x14ac:dyDescent="0.25">
      <c r="V1080" s="70"/>
    </row>
    <row r="1081" spans="22:22" x14ac:dyDescent="0.25">
      <c r="V1081" s="70"/>
    </row>
    <row r="1082" spans="22:22" x14ac:dyDescent="0.25">
      <c r="V1082" s="70"/>
    </row>
    <row r="1083" spans="22:22" x14ac:dyDescent="0.25">
      <c r="V1083" s="70"/>
    </row>
    <row r="1084" spans="22:22" x14ac:dyDescent="0.25">
      <c r="V1084" s="70"/>
    </row>
    <row r="1085" spans="22:22" x14ac:dyDescent="0.25">
      <c r="V1085" s="70"/>
    </row>
    <row r="1086" spans="22:22" x14ac:dyDescent="0.25">
      <c r="V1086" s="70"/>
    </row>
    <row r="1087" spans="22:22" x14ac:dyDescent="0.25">
      <c r="V1087" s="70"/>
    </row>
    <row r="1088" spans="22:22" x14ac:dyDescent="0.25">
      <c r="V1088" s="70"/>
    </row>
    <row r="1089" spans="22:22" x14ac:dyDescent="0.25">
      <c r="V1089" s="70"/>
    </row>
    <row r="1090" spans="22:22" x14ac:dyDescent="0.25">
      <c r="V1090" s="70"/>
    </row>
    <row r="1091" spans="22:22" x14ac:dyDescent="0.25">
      <c r="V1091" s="70"/>
    </row>
    <row r="1092" spans="22:22" x14ac:dyDescent="0.25">
      <c r="V1092" s="70"/>
    </row>
    <row r="1093" spans="22:22" x14ac:dyDescent="0.25">
      <c r="V1093" s="70"/>
    </row>
    <row r="1094" spans="22:22" x14ac:dyDescent="0.25">
      <c r="V1094" s="70"/>
    </row>
    <row r="1095" spans="22:22" x14ac:dyDescent="0.25">
      <c r="V1095" s="70"/>
    </row>
    <row r="1096" spans="22:22" x14ac:dyDescent="0.25">
      <c r="V1096" s="70"/>
    </row>
    <row r="1097" spans="22:22" x14ac:dyDescent="0.25">
      <c r="V1097" s="70"/>
    </row>
    <row r="1098" spans="22:22" x14ac:dyDescent="0.25">
      <c r="V1098" s="70"/>
    </row>
    <row r="1099" spans="22:22" x14ac:dyDescent="0.25">
      <c r="V1099" s="70"/>
    </row>
    <row r="1100" spans="22:22" x14ac:dyDescent="0.25">
      <c r="V1100" s="70"/>
    </row>
    <row r="1101" spans="22:22" x14ac:dyDescent="0.25">
      <c r="V1101" s="70"/>
    </row>
    <row r="1102" spans="22:22" x14ac:dyDescent="0.25">
      <c r="V1102" s="70"/>
    </row>
    <row r="1103" spans="22:22" x14ac:dyDescent="0.25">
      <c r="V1103" s="70"/>
    </row>
    <row r="1104" spans="22:22" x14ac:dyDescent="0.25">
      <c r="V1104" s="70"/>
    </row>
    <row r="1105" spans="22:22" x14ac:dyDescent="0.25">
      <c r="V1105" s="70"/>
    </row>
    <row r="1106" spans="22:22" x14ac:dyDescent="0.25">
      <c r="V1106" s="70"/>
    </row>
    <row r="1107" spans="22:22" x14ac:dyDescent="0.25">
      <c r="V1107" s="70"/>
    </row>
    <row r="1108" spans="22:22" x14ac:dyDescent="0.25">
      <c r="V1108" s="70"/>
    </row>
    <row r="1109" spans="22:22" x14ac:dyDescent="0.25">
      <c r="V1109" s="70"/>
    </row>
    <row r="1110" spans="22:22" x14ac:dyDescent="0.25">
      <c r="V1110" s="70"/>
    </row>
    <row r="1111" spans="22:22" x14ac:dyDescent="0.25">
      <c r="V1111" s="70"/>
    </row>
    <row r="1112" spans="22:22" x14ac:dyDescent="0.25">
      <c r="V1112" s="70"/>
    </row>
    <row r="1113" spans="22:22" x14ac:dyDescent="0.25">
      <c r="V1113" s="70"/>
    </row>
    <row r="1114" spans="22:22" x14ac:dyDescent="0.25">
      <c r="V1114" s="70"/>
    </row>
    <row r="1115" spans="22:22" x14ac:dyDescent="0.25">
      <c r="V1115" s="70"/>
    </row>
    <row r="1116" spans="22:22" x14ac:dyDescent="0.25">
      <c r="V1116" s="70"/>
    </row>
    <row r="1117" spans="22:22" x14ac:dyDescent="0.25">
      <c r="V1117" s="70"/>
    </row>
    <row r="1118" spans="22:22" x14ac:dyDescent="0.25">
      <c r="V1118" s="70"/>
    </row>
    <row r="1119" spans="22:22" x14ac:dyDescent="0.25">
      <c r="V1119" s="70"/>
    </row>
    <row r="1120" spans="22:22" x14ac:dyDescent="0.25">
      <c r="V1120" s="70"/>
    </row>
    <row r="1121" spans="22:22" x14ac:dyDescent="0.25">
      <c r="V1121" s="70"/>
    </row>
    <row r="1122" spans="22:22" x14ac:dyDescent="0.25">
      <c r="V1122" s="70"/>
    </row>
    <row r="1123" spans="22:22" x14ac:dyDescent="0.25">
      <c r="V1123" s="70"/>
    </row>
    <row r="1124" spans="22:22" x14ac:dyDescent="0.25">
      <c r="V1124" s="70"/>
    </row>
    <row r="1125" spans="22:22" x14ac:dyDescent="0.25">
      <c r="V1125" s="70"/>
    </row>
    <row r="1126" spans="22:22" x14ac:dyDescent="0.25">
      <c r="V1126" s="70"/>
    </row>
    <row r="1127" spans="22:22" x14ac:dyDescent="0.25">
      <c r="V1127" s="70"/>
    </row>
    <row r="1128" spans="22:22" x14ac:dyDescent="0.25">
      <c r="V1128" s="70"/>
    </row>
    <row r="1129" spans="22:22" x14ac:dyDescent="0.25">
      <c r="V1129" s="70"/>
    </row>
    <row r="1130" spans="22:22" x14ac:dyDescent="0.25">
      <c r="V1130" s="70"/>
    </row>
    <row r="1131" spans="22:22" x14ac:dyDescent="0.25">
      <c r="V1131" s="70"/>
    </row>
    <row r="1132" spans="22:22" x14ac:dyDescent="0.25">
      <c r="V1132" s="70"/>
    </row>
    <row r="1133" spans="22:22" x14ac:dyDescent="0.25">
      <c r="V1133" s="70"/>
    </row>
    <row r="1134" spans="22:22" x14ac:dyDescent="0.25">
      <c r="V1134" s="70"/>
    </row>
    <row r="1135" spans="22:22" x14ac:dyDescent="0.25">
      <c r="V1135" s="70"/>
    </row>
    <row r="1136" spans="22:22" x14ac:dyDescent="0.25">
      <c r="V1136" s="70"/>
    </row>
    <row r="1137" spans="22:22" x14ac:dyDescent="0.25">
      <c r="V1137" s="70"/>
    </row>
    <row r="1138" spans="22:22" x14ac:dyDescent="0.25">
      <c r="V1138" s="70"/>
    </row>
    <row r="1139" spans="22:22" x14ac:dyDescent="0.25">
      <c r="V1139" s="70"/>
    </row>
    <row r="1140" spans="22:22" x14ac:dyDescent="0.25">
      <c r="V1140" s="70"/>
    </row>
    <row r="1141" spans="22:22" x14ac:dyDescent="0.25">
      <c r="V1141" s="70"/>
    </row>
    <row r="1142" spans="22:22" x14ac:dyDescent="0.25">
      <c r="V1142" s="70"/>
    </row>
    <row r="1143" spans="22:22" x14ac:dyDescent="0.25">
      <c r="V1143" s="70"/>
    </row>
    <row r="1144" spans="22:22" x14ac:dyDescent="0.25">
      <c r="V1144" s="70"/>
    </row>
    <row r="1145" spans="22:22" x14ac:dyDescent="0.25">
      <c r="V1145" s="70"/>
    </row>
    <row r="1146" spans="22:22" x14ac:dyDescent="0.25">
      <c r="V1146" s="70"/>
    </row>
    <row r="1147" spans="22:22" x14ac:dyDescent="0.25">
      <c r="V1147" s="70"/>
    </row>
    <row r="1148" spans="22:22" x14ac:dyDescent="0.25">
      <c r="V1148" s="70"/>
    </row>
    <row r="1149" spans="22:22" x14ac:dyDescent="0.25">
      <c r="V1149" s="70"/>
    </row>
    <row r="1150" spans="22:22" x14ac:dyDescent="0.25">
      <c r="V1150" s="70"/>
    </row>
    <row r="1151" spans="22:22" x14ac:dyDescent="0.25">
      <c r="V1151" s="70"/>
    </row>
    <row r="1152" spans="22:22" x14ac:dyDescent="0.25">
      <c r="V1152" s="70"/>
    </row>
    <row r="1153" spans="22:22" x14ac:dyDescent="0.25">
      <c r="V1153" s="70"/>
    </row>
    <row r="1154" spans="22:22" x14ac:dyDescent="0.25">
      <c r="V1154" s="70"/>
    </row>
    <row r="1155" spans="22:22" x14ac:dyDescent="0.25">
      <c r="V1155" s="70"/>
    </row>
    <row r="1156" spans="22:22" x14ac:dyDescent="0.25">
      <c r="V1156" s="70"/>
    </row>
    <row r="1157" spans="22:22" x14ac:dyDescent="0.25">
      <c r="V1157" s="70"/>
    </row>
    <row r="1158" spans="22:22" x14ac:dyDescent="0.25">
      <c r="V1158" s="70"/>
    </row>
    <row r="1159" spans="22:22" x14ac:dyDescent="0.25">
      <c r="V1159" s="70"/>
    </row>
    <row r="1160" spans="22:22" x14ac:dyDescent="0.25">
      <c r="V1160" s="70"/>
    </row>
    <row r="1161" spans="22:22" x14ac:dyDescent="0.25">
      <c r="V1161" s="70"/>
    </row>
    <row r="1162" spans="22:22" x14ac:dyDescent="0.25">
      <c r="V1162" s="70"/>
    </row>
    <row r="1163" spans="22:22" x14ac:dyDescent="0.25">
      <c r="V1163" s="70"/>
    </row>
    <row r="1164" spans="22:22" x14ac:dyDescent="0.25">
      <c r="V1164" s="70"/>
    </row>
    <row r="1165" spans="22:22" x14ac:dyDescent="0.25">
      <c r="V1165" s="70"/>
    </row>
    <row r="1166" spans="22:22" x14ac:dyDescent="0.25">
      <c r="V1166" s="70"/>
    </row>
    <row r="1167" spans="22:22" x14ac:dyDescent="0.25">
      <c r="V1167" s="70"/>
    </row>
    <row r="1168" spans="22:22" x14ac:dyDescent="0.25">
      <c r="V1168" s="70"/>
    </row>
    <row r="1169" spans="22:22" x14ac:dyDescent="0.25">
      <c r="V1169" s="70"/>
    </row>
    <row r="1170" spans="22:22" x14ac:dyDescent="0.25">
      <c r="V1170" s="70"/>
    </row>
    <row r="1171" spans="22:22" x14ac:dyDescent="0.25">
      <c r="V1171" s="70"/>
    </row>
    <row r="1172" spans="22:22" x14ac:dyDescent="0.25">
      <c r="V1172" s="70"/>
    </row>
    <row r="1173" spans="22:22" x14ac:dyDescent="0.25">
      <c r="V1173" s="70"/>
    </row>
    <row r="1174" spans="22:22" x14ac:dyDescent="0.25">
      <c r="V1174" s="70"/>
    </row>
    <row r="1175" spans="22:22" x14ac:dyDescent="0.25">
      <c r="V1175" s="70"/>
    </row>
    <row r="1176" spans="22:22" x14ac:dyDescent="0.25">
      <c r="V1176" s="70"/>
    </row>
    <row r="1177" spans="22:22" x14ac:dyDescent="0.25">
      <c r="V1177" s="70"/>
    </row>
    <row r="1178" spans="22:22" x14ac:dyDescent="0.25">
      <c r="V1178" s="70"/>
    </row>
    <row r="1179" spans="22:22" x14ac:dyDescent="0.25">
      <c r="V1179" s="70"/>
    </row>
    <row r="1180" spans="22:22" x14ac:dyDescent="0.25">
      <c r="V1180" s="70"/>
    </row>
    <row r="1181" spans="22:22" x14ac:dyDescent="0.25">
      <c r="V1181" s="70"/>
    </row>
    <row r="1182" spans="22:22" x14ac:dyDescent="0.25">
      <c r="V1182" s="70"/>
    </row>
    <row r="1183" spans="22:22" x14ac:dyDescent="0.25">
      <c r="V1183" s="70"/>
    </row>
    <row r="1184" spans="22:22" x14ac:dyDescent="0.25">
      <c r="V1184" s="70"/>
    </row>
    <row r="1185" spans="22:22" x14ac:dyDescent="0.25">
      <c r="V1185" s="70"/>
    </row>
    <row r="1186" spans="22:22" x14ac:dyDescent="0.25">
      <c r="V1186" s="70"/>
    </row>
    <row r="1187" spans="22:22" x14ac:dyDescent="0.25">
      <c r="V1187" s="70"/>
    </row>
    <row r="1188" spans="22:22" x14ac:dyDescent="0.25">
      <c r="V1188" s="70"/>
    </row>
    <row r="1189" spans="22:22" x14ac:dyDescent="0.25">
      <c r="V1189" s="70"/>
    </row>
    <row r="1190" spans="22:22" x14ac:dyDescent="0.25">
      <c r="V1190" s="70"/>
    </row>
    <row r="1191" spans="22:22" x14ac:dyDescent="0.25">
      <c r="V1191" s="70"/>
    </row>
    <row r="1192" spans="22:22" x14ac:dyDescent="0.25">
      <c r="V1192" s="70"/>
    </row>
    <row r="1193" spans="22:22" x14ac:dyDescent="0.25">
      <c r="V1193" s="70"/>
    </row>
    <row r="1194" spans="22:22" x14ac:dyDescent="0.25">
      <c r="V1194" s="70"/>
    </row>
    <row r="1195" spans="22:22" x14ac:dyDescent="0.25">
      <c r="V1195" s="70"/>
    </row>
    <row r="1196" spans="22:22" x14ac:dyDescent="0.25">
      <c r="V1196" s="70"/>
    </row>
    <row r="1197" spans="22:22" x14ac:dyDescent="0.25">
      <c r="V1197" s="70"/>
    </row>
    <row r="1198" spans="22:22" x14ac:dyDescent="0.25">
      <c r="V1198" s="70"/>
    </row>
    <row r="1199" spans="22:22" x14ac:dyDescent="0.25">
      <c r="V1199" s="70"/>
    </row>
    <row r="1200" spans="22:22" x14ac:dyDescent="0.25">
      <c r="V1200" s="70"/>
    </row>
    <row r="1201" spans="22:22" x14ac:dyDescent="0.25">
      <c r="V1201" s="70"/>
    </row>
    <row r="1202" spans="22:22" x14ac:dyDescent="0.25">
      <c r="V1202" s="70"/>
    </row>
    <row r="1203" spans="22:22" x14ac:dyDescent="0.25">
      <c r="V1203" s="70"/>
    </row>
    <row r="1204" spans="22:22" x14ac:dyDescent="0.25">
      <c r="V1204" s="70"/>
    </row>
    <row r="1205" spans="22:22" x14ac:dyDescent="0.25">
      <c r="V1205" s="70"/>
    </row>
    <row r="1206" spans="22:22" x14ac:dyDescent="0.25">
      <c r="V1206" s="70"/>
    </row>
    <row r="1207" spans="22:22" x14ac:dyDescent="0.25">
      <c r="V1207" s="70"/>
    </row>
    <row r="1208" spans="22:22" x14ac:dyDescent="0.25">
      <c r="V1208" s="70"/>
    </row>
    <row r="1209" spans="22:22" x14ac:dyDescent="0.25">
      <c r="V1209" s="70"/>
    </row>
    <row r="1210" spans="22:22" x14ac:dyDescent="0.25">
      <c r="V1210" s="70"/>
    </row>
    <row r="1211" spans="22:22" x14ac:dyDescent="0.25">
      <c r="V1211" s="70"/>
    </row>
    <row r="1212" spans="22:22" x14ac:dyDescent="0.25">
      <c r="V1212" s="70"/>
    </row>
    <row r="1213" spans="22:22" x14ac:dyDescent="0.25">
      <c r="V1213" s="70"/>
    </row>
    <row r="1214" spans="22:22" x14ac:dyDescent="0.25">
      <c r="V1214" s="70"/>
    </row>
    <row r="1215" spans="22:22" x14ac:dyDescent="0.25">
      <c r="V1215" s="70"/>
    </row>
    <row r="1216" spans="22:22" x14ac:dyDescent="0.25">
      <c r="V1216" s="70"/>
    </row>
    <row r="1217" spans="22:22" x14ac:dyDescent="0.25">
      <c r="V1217" s="70"/>
    </row>
    <row r="1218" spans="22:22" x14ac:dyDescent="0.25">
      <c r="V1218" s="70"/>
    </row>
    <row r="1219" spans="22:22" x14ac:dyDescent="0.25">
      <c r="V1219" s="70"/>
    </row>
    <row r="1220" spans="22:22" x14ac:dyDescent="0.25">
      <c r="V1220" s="70"/>
    </row>
    <row r="1221" spans="22:22" x14ac:dyDescent="0.25">
      <c r="V1221" s="70"/>
    </row>
    <row r="1222" spans="22:22" x14ac:dyDescent="0.25">
      <c r="V1222" s="70"/>
    </row>
    <row r="1223" spans="22:22" x14ac:dyDescent="0.25">
      <c r="V1223" s="70"/>
    </row>
    <row r="1224" spans="22:22" x14ac:dyDescent="0.25">
      <c r="V1224" s="70"/>
    </row>
    <row r="1225" spans="22:22" x14ac:dyDescent="0.25">
      <c r="V1225" s="70"/>
    </row>
    <row r="1226" spans="22:22" x14ac:dyDescent="0.25">
      <c r="V1226" s="70"/>
    </row>
    <row r="1227" spans="22:22" x14ac:dyDescent="0.25">
      <c r="V1227" s="70"/>
    </row>
    <row r="1228" spans="22:22" x14ac:dyDescent="0.25">
      <c r="V1228" s="70"/>
    </row>
    <row r="1229" spans="22:22" x14ac:dyDescent="0.25">
      <c r="V1229" s="70"/>
    </row>
    <row r="1230" spans="22:22" x14ac:dyDescent="0.25">
      <c r="V1230" s="70"/>
    </row>
    <row r="1231" spans="22:22" x14ac:dyDescent="0.25">
      <c r="V1231" s="70"/>
    </row>
    <row r="1232" spans="22:22" x14ac:dyDescent="0.25">
      <c r="V1232" s="70"/>
    </row>
    <row r="1233" spans="22:22" x14ac:dyDescent="0.25">
      <c r="V1233" s="70"/>
    </row>
    <row r="1234" spans="22:22" x14ac:dyDescent="0.25">
      <c r="V1234" s="70"/>
    </row>
    <row r="1235" spans="22:22" x14ac:dyDescent="0.25">
      <c r="V1235" s="70"/>
    </row>
    <row r="1236" spans="22:22" x14ac:dyDescent="0.25">
      <c r="V1236" s="70"/>
    </row>
    <row r="1237" spans="22:22" x14ac:dyDescent="0.25">
      <c r="V1237" s="70"/>
    </row>
    <row r="1238" spans="22:22" x14ac:dyDescent="0.25">
      <c r="V1238" s="70"/>
    </row>
    <row r="1239" spans="22:22" x14ac:dyDescent="0.25">
      <c r="V1239" s="70"/>
    </row>
    <row r="1240" spans="22:22" x14ac:dyDescent="0.25">
      <c r="V1240" s="70"/>
    </row>
    <row r="1241" spans="22:22" x14ac:dyDescent="0.25">
      <c r="V1241" s="70"/>
    </row>
    <row r="1242" spans="22:22" x14ac:dyDescent="0.25">
      <c r="V1242" s="70"/>
    </row>
    <row r="1243" spans="22:22" x14ac:dyDescent="0.25">
      <c r="V1243" s="70"/>
    </row>
    <row r="1244" spans="22:22" x14ac:dyDescent="0.25">
      <c r="V1244" s="70"/>
    </row>
    <row r="1245" spans="22:22" x14ac:dyDescent="0.25">
      <c r="V1245" s="70"/>
    </row>
    <row r="1246" spans="22:22" x14ac:dyDescent="0.25">
      <c r="V1246" s="70"/>
    </row>
    <row r="1247" spans="22:22" x14ac:dyDescent="0.25">
      <c r="V1247" s="70"/>
    </row>
    <row r="1248" spans="22:22" x14ac:dyDescent="0.25">
      <c r="V1248" s="70"/>
    </row>
    <row r="1249" spans="22:22" x14ac:dyDescent="0.25">
      <c r="V1249" s="70"/>
    </row>
    <row r="1250" spans="22:22" x14ac:dyDescent="0.25">
      <c r="V1250" s="70"/>
    </row>
    <row r="1251" spans="22:22" x14ac:dyDescent="0.25">
      <c r="V1251" s="70"/>
    </row>
    <row r="1252" spans="22:22" x14ac:dyDescent="0.25">
      <c r="V1252" s="70"/>
    </row>
    <row r="1253" spans="22:22" x14ac:dyDescent="0.25">
      <c r="V1253" s="70"/>
    </row>
    <row r="1254" spans="22:22" x14ac:dyDescent="0.25">
      <c r="V1254" s="70"/>
    </row>
    <row r="1255" spans="22:22" x14ac:dyDescent="0.25">
      <c r="V1255" s="70"/>
    </row>
    <row r="1256" spans="22:22" x14ac:dyDescent="0.25">
      <c r="V1256" s="70"/>
    </row>
    <row r="1257" spans="22:22" x14ac:dyDescent="0.25">
      <c r="V1257" s="70"/>
    </row>
    <row r="1258" spans="22:22" x14ac:dyDescent="0.25">
      <c r="V1258" s="70"/>
    </row>
    <row r="1259" spans="22:22" x14ac:dyDescent="0.25">
      <c r="V1259" s="70"/>
    </row>
    <row r="1260" spans="22:22" x14ac:dyDescent="0.25">
      <c r="V1260" s="70"/>
    </row>
    <row r="1261" spans="22:22" x14ac:dyDescent="0.25">
      <c r="V1261" s="70"/>
    </row>
    <row r="1262" spans="22:22" x14ac:dyDescent="0.25">
      <c r="V1262" s="70"/>
    </row>
    <row r="1263" spans="22:22" x14ac:dyDescent="0.25">
      <c r="V1263" s="70"/>
    </row>
    <row r="1264" spans="22:22" x14ac:dyDescent="0.25">
      <c r="V1264" s="70"/>
    </row>
    <row r="1265" spans="22:22" x14ac:dyDescent="0.25">
      <c r="V1265" s="70"/>
    </row>
    <row r="1266" spans="22:22" x14ac:dyDescent="0.25">
      <c r="V1266" s="70"/>
    </row>
    <row r="1267" spans="22:22" x14ac:dyDescent="0.25">
      <c r="V1267" s="70"/>
    </row>
    <row r="1268" spans="22:22" x14ac:dyDescent="0.25">
      <c r="V1268" s="70"/>
    </row>
    <row r="1269" spans="22:22" x14ac:dyDescent="0.25">
      <c r="V1269" s="70"/>
    </row>
    <row r="1270" spans="22:22" x14ac:dyDescent="0.25">
      <c r="V1270" s="70"/>
    </row>
    <row r="1271" spans="22:22" x14ac:dyDescent="0.25">
      <c r="V1271" s="70"/>
    </row>
    <row r="1272" spans="22:22" x14ac:dyDescent="0.25">
      <c r="V1272" s="70"/>
    </row>
    <row r="1273" spans="22:22" x14ac:dyDescent="0.25">
      <c r="V1273" s="70"/>
    </row>
    <row r="1274" spans="22:22" x14ac:dyDescent="0.25">
      <c r="V1274" s="70"/>
    </row>
    <row r="1275" spans="22:22" x14ac:dyDescent="0.25">
      <c r="V1275" s="70"/>
    </row>
    <row r="1276" spans="22:22" x14ac:dyDescent="0.25">
      <c r="V1276" s="70"/>
    </row>
    <row r="1277" spans="22:22" x14ac:dyDescent="0.25">
      <c r="V1277" s="70"/>
    </row>
    <row r="1278" spans="22:22" x14ac:dyDescent="0.25">
      <c r="V1278" s="70"/>
    </row>
    <row r="1279" spans="22:22" x14ac:dyDescent="0.25">
      <c r="V1279" s="70"/>
    </row>
    <row r="1280" spans="22:22" x14ac:dyDescent="0.25">
      <c r="V1280" s="70"/>
    </row>
    <row r="1281" spans="22:22" x14ac:dyDescent="0.25">
      <c r="V1281" s="70"/>
    </row>
    <row r="1282" spans="22:22" x14ac:dyDescent="0.25">
      <c r="V1282" s="70"/>
    </row>
    <row r="1283" spans="22:22" x14ac:dyDescent="0.25">
      <c r="V1283" s="70"/>
    </row>
    <row r="1284" spans="22:22" x14ac:dyDescent="0.25">
      <c r="V1284" s="70"/>
    </row>
    <row r="1285" spans="22:22" x14ac:dyDescent="0.25">
      <c r="V1285" s="70"/>
    </row>
    <row r="1286" spans="22:22" x14ac:dyDescent="0.25">
      <c r="V1286" s="70"/>
    </row>
    <row r="1287" spans="22:22" x14ac:dyDescent="0.25">
      <c r="V1287" s="70"/>
    </row>
    <row r="1288" spans="22:22" x14ac:dyDescent="0.25">
      <c r="V1288" s="70"/>
    </row>
    <row r="1289" spans="22:22" x14ac:dyDescent="0.25">
      <c r="V1289" s="70"/>
    </row>
    <row r="1290" spans="22:22" x14ac:dyDescent="0.25">
      <c r="V1290" s="70"/>
    </row>
    <row r="1291" spans="22:22" x14ac:dyDescent="0.25">
      <c r="V1291" s="70"/>
    </row>
    <row r="1292" spans="22:22" x14ac:dyDescent="0.25">
      <c r="V1292" s="70"/>
    </row>
    <row r="1293" spans="22:22" x14ac:dyDescent="0.25">
      <c r="V1293" s="70"/>
    </row>
    <row r="1294" spans="22:22" x14ac:dyDescent="0.25">
      <c r="V1294" s="70"/>
    </row>
    <row r="1295" spans="22:22" x14ac:dyDescent="0.25">
      <c r="V1295" s="70"/>
    </row>
    <row r="1296" spans="22:22" x14ac:dyDescent="0.25">
      <c r="V1296" s="70"/>
    </row>
    <row r="1297" spans="22:22" x14ac:dyDescent="0.25">
      <c r="V1297" s="70"/>
    </row>
    <row r="1298" spans="22:22" x14ac:dyDescent="0.25">
      <c r="V1298" s="70"/>
    </row>
    <row r="1299" spans="22:22" x14ac:dyDescent="0.25">
      <c r="V1299" s="70"/>
    </row>
  </sheetData>
  <autoFilter ref="A3:AC660"/>
  <mergeCells count="1">
    <mergeCell ref="E2:T2"/>
  </mergeCells>
  <conditionalFormatting sqref="A2:JA2">
    <cfRule type="cellIs" dxfId="1" priority="1" stopIfTrue="1" operator="equal">
      <formula>"OK"</formula>
    </cfRule>
  </conditionalFormatting>
  <hyperlinks>
    <hyperlink ref="A1" r:id="rId1"/>
  </hyperlinks>
  <pageMargins left="0.7" right="0.7" top="0.75" bottom="0.75" header="0.3" footer="0.3"/>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Introduction</vt:lpstr>
      <vt:lpstr>ScenariosMatrix</vt:lpstr>
      <vt:lpstr>Notes</vt:lpstr>
      <vt:lpstr>Scenarios</vt:lpstr>
      <vt:lpstr>Assumptions</vt:lpstr>
      <vt:lpstr>Demand Individual Assumptions</vt:lpstr>
      <vt:lpstr>Supply Individual Assumptions</vt:lpstr>
      <vt:lpstr>GeneratingCapabilityList sorted</vt:lpstr>
      <vt:lpstr>NQC list mod</vt:lpstr>
      <vt:lpstr>SitingCases mod</vt:lpstr>
      <vt:lpstr>OTC</vt:lpstr>
      <vt:lpstr>IUEE</vt:lpstr>
      <vt:lpstr>GWhIncDCHP</vt:lpstr>
      <vt:lpstr>GWhIncEE</vt:lpstr>
      <vt:lpstr>GWhIncSCHP</vt:lpstr>
      <vt:lpstr>GWhIncSmPV</vt:lpstr>
      <vt:lpstr>GWhLoad</vt:lpstr>
      <vt:lpstr>GWhPumpedLoad</vt:lpstr>
      <vt:lpstr>GWhResourceAddsRPS</vt:lpstr>
      <vt:lpstr>MWEventBasedDR</vt:lpstr>
      <vt:lpstr>MWExisting</vt:lpstr>
      <vt:lpstr>MWHydroRetires</vt:lpstr>
      <vt:lpstr>MWImports</vt:lpstr>
      <vt:lpstr>MWIncDCHP</vt:lpstr>
      <vt:lpstr>MWIncEE</vt:lpstr>
      <vt:lpstr>MWIncSCHP</vt:lpstr>
      <vt:lpstr>MWIncSmPV</vt:lpstr>
      <vt:lpstr>MWLoad</vt:lpstr>
      <vt:lpstr>MWNuclearRetires</vt:lpstr>
      <vt:lpstr>MWOTCRetires</vt:lpstr>
      <vt:lpstr>MWOtherRetires</vt:lpstr>
      <vt:lpstr>MWResourceAdds</vt:lpstr>
      <vt:lpstr>MWResourceAddsRPS</vt:lpstr>
      <vt:lpstr>MWSolarWindRetires</vt:lpstr>
      <vt:lpstr>MWTotalRetires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Nathaniel W. Skinner</dc:creator>
  <cp:lastModifiedBy>Young, Patrick</cp:lastModifiedBy>
  <cp:lastPrinted>2012-08-23T22:28:35Z</cp:lastPrinted>
  <dcterms:created xsi:type="dcterms:W3CDTF">2012-07-10T17:28:33Z</dcterms:created>
  <dcterms:modified xsi:type="dcterms:W3CDTF">2012-08-23T23:16:50Z</dcterms:modified>
</cp:coreProperties>
</file>