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56" documentId="8_{47421F79-56D8-490A-8026-5F70EAEF2CDF}" xr6:coauthVersionLast="47" xr6:coauthVersionMax="47" xr10:uidLastSave="{758D01B7-7B05-4D1D-B9D3-9975E463CC33}"/>
  <bookViews>
    <workbookView xWindow="14385" yWindow="-15" windowWidth="14430" windowHeight="15630" tabRatio="773" activeTab="2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0" i="6" l="1"/>
  <c r="I92" i="6"/>
  <c r="I8" i="6"/>
  <c r="I238" i="6"/>
  <c r="I369" i="6"/>
  <c r="I85" i="6"/>
  <c r="N136" i="6" l="1"/>
  <c r="N67" i="6"/>
  <c r="N62" i="6"/>
  <c r="N58" i="6"/>
  <c r="N47" i="6"/>
  <c r="N160" i="6" l="1"/>
  <c r="N133" i="6"/>
  <c r="N162" i="6"/>
  <c r="N161" i="6"/>
  <c r="F85" i="6"/>
  <c r="N84" i="6"/>
  <c r="N65" i="6"/>
  <c r="F43" i="6"/>
  <c r="N27" i="6"/>
  <c r="F8" i="6" l="1"/>
  <c r="E21" i="5"/>
  <c r="N48" i="6" l="1"/>
  <c r="N49" i="6"/>
  <c r="N50" i="6"/>
  <c r="N28" i="6"/>
  <c r="N12" i="6"/>
  <c r="N13" i="6"/>
  <c r="N14" i="6"/>
  <c r="B43" i="6"/>
  <c r="C43" i="6"/>
  <c r="D43" i="6"/>
  <c r="E43" i="6"/>
  <c r="G43" i="6"/>
  <c r="H43" i="6"/>
  <c r="I43" i="6"/>
  <c r="J43" i="6"/>
  <c r="K43" i="6"/>
  <c r="L43" i="6"/>
  <c r="M43" i="6"/>
  <c r="C125" i="6" l="1"/>
  <c r="D163" i="6"/>
  <c r="B163" i="6"/>
  <c r="C163" i="6"/>
  <c r="D85" i="6" l="1"/>
  <c r="D8" i="6" s="1"/>
  <c r="E85" i="6"/>
  <c r="E8" i="6" s="1"/>
  <c r="G85" i="6"/>
  <c r="G8" i="6" s="1"/>
  <c r="H85" i="6"/>
  <c r="H8" i="6" s="1"/>
  <c r="J85" i="6"/>
  <c r="K85" i="6"/>
  <c r="L85" i="6"/>
  <c r="M85" i="6"/>
  <c r="B85" i="6"/>
  <c r="C85" i="6"/>
  <c r="C8" i="6" l="1"/>
  <c r="C87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63" i="6" l="1"/>
  <c r="L163" i="6"/>
  <c r="K163" i="6"/>
  <c r="J163" i="6"/>
  <c r="J92" i="6" s="1"/>
  <c r="I163" i="6"/>
  <c r="H163" i="6"/>
  <c r="G163" i="6"/>
  <c r="F163" i="6"/>
  <c r="E163" i="6"/>
  <c r="N159" i="6"/>
  <c r="N144" i="6"/>
  <c r="N138" i="6"/>
  <c r="N137" i="6"/>
  <c r="N156" i="6"/>
  <c r="N128" i="6"/>
  <c r="N143" i="6"/>
  <c r="N141" i="6"/>
  <c r="N130" i="6"/>
  <c r="N139" i="6"/>
  <c r="N158" i="6"/>
  <c r="N132" i="6"/>
  <c r="N150" i="6"/>
  <c r="N157" i="6"/>
  <c r="N155" i="6"/>
  <c r="N140" i="6"/>
  <c r="N148" i="6"/>
  <c r="N142" i="6"/>
  <c r="N131" i="6"/>
  <c r="N129" i="6"/>
  <c r="N147" i="6"/>
  <c r="N153" i="6"/>
  <c r="N149" i="6"/>
  <c r="N154" i="6"/>
  <c r="N152" i="6"/>
  <c r="N146" i="6"/>
  <c r="N145" i="6"/>
  <c r="N151" i="6"/>
  <c r="N135" i="6"/>
  <c r="N134" i="6"/>
  <c r="M125" i="6"/>
  <c r="L125" i="6"/>
  <c r="K125" i="6"/>
  <c r="J125" i="6"/>
  <c r="I125" i="6"/>
  <c r="H125" i="6"/>
  <c r="G125" i="6"/>
  <c r="F125" i="6"/>
  <c r="E125" i="6"/>
  <c r="E92" i="6" s="1"/>
  <c r="D125" i="6"/>
  <c r="D92" i="6" s="1"/>
  <c r="B125" i="6"/>
  <c r="N123" i="6"/>
  <c r="N109" i="6"/>
  <c r="N103" i="6"/>
  <c r="N102" i="6"/>
  <c r="N121" i="6"/>
  <c r="N96" i="6"/>
  <c r="N108" i="6"/>
  <c r="N106" i="6"/>
  <c r="N98" i="6"/>
  <c r="N104" i="6"/>
  <c r="N122" i="6"/>
  <c r="N100" i="6"/>
  <c r="N115" i="6"/>
  <c r="N95" i="6"/>
  <c r="N120" i="6"/>
  <c r="N105" i="6"/>
  <c r="N113" i="6"/>
  <c r="N107" i="6"/>
  <c r="N99" i="6"/>
  <c r="N97" i="6"/>
  <c r="N112" i="6"/>
  <c r="N118" i="6"/>
  <c r="N114" i="6"/>
  <c r="N119" i="6"/>
  <c r="N117" i="6"/>
  <c r="N111" i="6"/>
  <c r="N110" i="6"/>
  <c r="N116" i="6"/>
  <c r="N124" i="6"/>
  <c r="N101" i="6"/>
  <c r="N93" i="6"/>
  <c r="B201" i="6"/>
  <c r="B232" i="6"/>
  <c r="H92" i="6" l="1"/>
  <c r="G92" i="6"/>
  <c r="I165" i="6"/>
  <c r="M92" i="6"/>
  <c r="M165" i="6" s="1"/>
  <c r="F92" i="6"/>
  <c r="F165" i="6" s="1"/>
  <c r="G165" i="6"/>
  <c r="K92" i="6"/>
  <c r="K165" i="6" s="1"/>
  <c r="C92" i="6"/>
  <c r="C165" i="6" s="1"/>
  <c r="B92" i="6"/>
  <c r="B165" i="6" s="1"/>
  <c r="N125" i="6"/>
  <c r="J165" i="6"/>
  <c r="B170" i="6"/>
  <c r="E165" i="6"/>
  <c r="N163" i="6"/>
  <c r="H165" i="6"/>
  <c r="L92" i="6"/>
  <c r="L165" i="6" s="1"/>
  <c r="B8" i="6"/>
  <c r="N64" i="6"/>
  <c r="N15" i="6"/>
  <c r="N92" i="6" l="1"/>
  <c r="N165" i="6" s="1"/>
  <c r="D165" i="6"/>
  <c r="C17" i="5"/>
  <c r="D17" i="5"/>
  <c r="E17" i="5"/>
  <c r="F17" i="5"/>
  <c r="G17" i="5"/>
  <c r="H17" i="5"/>
  <c r="I17" i="5"/>
  <c r="J17" i="5"/>
  <c r="K17" i="5"/>
  <c r="L17" i="5"/>
  <c r="M17" i="5"/>
  <c r="C19" i="5"/>
  <c r="N20" i="5"/>
  <c r="C21" i="5"/>
  <c r="D21" i="5"/>
  <c r="G21" i="5"/>
  <c r="N59" i="6"/>
  <c r="N60" i="6"/>
  <c r="N57" i="6"/>
  <c r="N56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82" i="6"/>
  <c r="N61" i="6"/>
  <c r="K8" i="6"/>
  <c r="K87" i="6" s="1"/>
  <c r="G87" i="6"/>
  <c r="N22" i="6"/>
  <c r="N23" i="6"/>
  <c r="N20" i="6"/>
  <c r="N21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J8" i="6"/>
  <c r="N43" i="6" l="1"/>
  <c r="N85" i="6"/>
  <c r="I87" i="6"/>
  <c r="M8" i="6"/>
  <c r="M87" i="6" s="1"/>
  <c r="N19" i="5"/>
  <c r="F87" i="6"/>
  <c r="J87" i="6"/>
  <c r="B87" i="6"/>
  <c r="H87" i="6"/>
  <c r="L8" i="6"/>
  <c r="L87" i="6" s="1"/>
  <c r="E87" i="6"/>
  <c r="G201" i="6"/>
  <c r="N8" i="6" l="1"/>
  <c r="N87" i="6" s="1"/>
  <c r="D87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275" i="6"/>
  <c r="C306" i="6"/>
  <c r="D306" i="6"/>
  <c r="E306" i="6"/>
  <c r="F306" i="6"/>
  <c r="G306" i="6"/>
  <c r="H306" i="6"/>
  <c r="I306" i="6"/>
  <c r="J306" i="6"/>
  <c r="K306" i="6"/>
  <c r="L306" i="6"/>
  <c r="M306" i="6"/>
  <c r="B306" i="6"/>
  <c r="N241" i="6"/>
  <c r="F232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04" i="6"/>
  <c r="N306" i="6" l="1"/>
  <c r="N232" i="6"/>
  <c r="E201" i="6" l="1"/>
  <c r="D201" i="6"/>
  <c r="E232" i="6"/>
  <c r="G232" i="6"/>
  <c r="G170" i="6" s="1"/>
  <c r="H232" i="6"/>
  <c r="I232" i="6"/>
  <c r="J232" i="6"/>
  <c r="K232" i="6"/>
  <c r="L232" i="6"/>
  <c r="M232" i="6"/>
  <c r="D232" i="6"/>
  <c r="E170" i="6" l="1"/>
  <c r="D170" i="6"/>
  <c r="B17" i="5" l="1"/>
  <c r="B363" i="6" l="1"/>
  <c r="B338" i="6"/>
  <c r="B313" i="6" s="1"/>
  <c r="D272" i="6"/>
  <c r="D238" i="6" s="1"/>
  <c r="E272" i="6"/>
  <c r="E238" i="6" s="1"/>
  <c r="F272" i="6"/>
  <c r="F238" i="6" s="1"/>
  <c r="G272" i="6"/>
  <c r="G238" i="6" s="1"/>
  <c r="H272" i="6"/>
  <c r="H238" i="6" s="1"/>
  <c r="I272" i="6"/>
  <c r="J272" i="6"/>
  <c r="J238" i="6" s="1"/>
  <c r="K272" i="6"/>
  <c r="K238" i="6" s="1"/>
  <c r="L272" i="6"/>
  <c r="L238" i="6" s="1"/>
  <c r="M272" i="6"/>
  <c r="M238" i="6" s="1"/>
  <c r="B272" i="6"/>
  <c r="B238" i="6" s="1"/>
  <c r="C272" i="6"/>
  <c r="C238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2" i="6"/>
  <c r="M201" i="6"/>
  <c r="M170" i="6" s="1"/>
  <c r="L201" i="6"/>
  <c r="L170" i="6" s="1"/>
  <c r="K201" i="6"/>
  <c r="K170" i="6" s="1"/>
  <c r="J201" i="6"/>
  <c r="J170" i="6" s="1"/>
  <c r="I201" i="6"/>
  <c r="H201" i="6"/>
  <c r="H170" i="6" s="1"/>
  <c r="F201" i="6"/>
  <c r="F170" i="6" s="1"/>
  <c r="C201" i="6"/>
  <c r="C170" i="6" s="1"/>
  <c r="B234" i="6"/>
  <c r="N194" i="6"/>
  <c r="N193" i="6"/>
  <c r="N192" i="6"/>
  <c r="N191" i="6"/>
  <c r="N190" i="6"/>
  <c r="N189" i="6"/>
  <c r="N188" i="6"/>
  <c r="N200" i="6"/>
  <c r="N187" i="6"/>
  <c r="N199" i="6"/>
  <c r="N186" i="6"/>
  <c r="N185" i="6"/>
  <c r="N184" i="6"/>
  <c r="N183" i="6"/>
  <c r="N182" i="6"/>
  <c r="N198" i="6"/>
  <c r="N197" i="6"/>
  <c r="N181" i="6"/>
  <c r="N196" i="6"/>
  <c r="N180" i="6"/>
  <c r="N179" i="6"/>
  <c r="N178" i="6"/>
  <c r="N177" i="6"/>
  <c r="N176" i="6"/>
  <c r="N175" i="6"/>
  <c r="N174" i="6"/>
  <c r="N195" i="6"/>
  <c r="N173" i="6"/>
  <c r="N171" i="6"/>
  <c r="J234" i="6" l="1"/>
  <c r="N201" i="6"/>
  <c r="F234" i="6"/>
  <c r="D234" i="6"/>
  <c r="H234" i="6"/>
  <c r="L234" i="6"/>
  <c r="M234" i="6"/>
  <c r="E234" i="6"/>
  <c r="I234" i="6"/>
  <c r="C234" i="6"/>
  <c r="K234" i="6"/>
  <c r="G234" i="6"/>
  <c r="N271" i="6"/>
  <c r="N270" i="6"/>
  <c r="N269" i="6"/>
  <c r="N268" i="6"/>
  <c r="N267" i="6"/>
  <c r="N266" i="6"/>
  <c r="N265" i="6"/>
  <c r="N264" i="6"/>
  <c r="N263" i="6"/>
  <c r="N170" i="6" l="1"/>
  <c r="N234" i="6" s="1"/>
  <c r="M363" i="6"/>
  <c r="L363" i="6"/>
  <c r="K363" i="6"/>
  <c r="J363" i="6"/>
  <c r="I363" i="6"/>
  <c r="H363" i="6"/>
  <c r="G363" i="6"/>
  <c r="F363" i="6"/>
  <c r="E363" i="6"/>
  <c r="D363" i="6"/>
  <c r="C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M338" i="6"/>
  <c r="L338" i="6"/>
  <c r="K338" i="6"/>
  <c r="J338" i="6"/>
  <c r="I338" i="6"/>
  <c r="H338" i="6"/>
  <c r="G338" i="6"/>
  <c r="F338" i="6"/>
  <c r="F313" i="6" s="1"/>
  <c r="E338" i="6"/>
  <c r="E313" i="6" s="1"/>
  <c r="D338" i="6"/>
  <c r="C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4" i="6"/>
  <c r="D313" i="6" l="1"/>
  <c r="H313" i="6"/>
  <c r="H365" i="6" s="1"/>
  <c r="L313" i="6"/>
  <c r="L365" i="6" s="1"/>
  <c r="G313" i="6"/>
  <c r="G365" i="6" s="1"/>
  <c r="C313" i="6"/>
  <c r="C365" i="6" s="1"/>
  <c r="E365" i="6"/>
  <c r="I313" i="6"/>
  <c r="I365" i="6" s="1"/>
  <c r="M313" i="6"/>
  <c r="M365" i="6" s="1"/>
  <c r="F365" i="6"/>
  <c r="J313" i="6"/>
  <c r="J365" i="6" s="1"/>
  <c r="K313" i="6"/>
  <c r="K365" i="6" s="1"/>
  <c r="D365" i="6"/>
  <c r="N363" i="6"/>
  <c r="N338" i="6"/>
  <c r="N313" i="6" l="1"/>
  <c r="N365" i="6" s="1"/>
  <c r="B365" i="6"/>
  <c r="N21" i="5" l="1"/>
  <c r="N24" i="5"/>
  <c r="N262" i="6" l="1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39" i="6"/>
  <c r="N272" i="6" l="1"/>
  <c r="J308" i="6"/>
  <c r="L308" i="6"/>
  <c r="C308" i="6"/>
  <c r="E308" i="6"/>
  <c r="I308" i="6"/>
  <c r="M308" i="6"/>
  <c r="B308" i="6"/>
  <c r="G308" i="6"/>
  <c r="K308" i="6"/>
  <c r="F308" i="6"/>
  <c r="H308" i="6" l="1"/>
  <c r="N238" i="6"/>
  <c r="N308" i="6" s="1"/>
  <c r="D308" i="6"/>
  <c r="C20" i="7"/>
  <c r="C423" i="6" l="1"/>
  <c r="D423" i="6"/>
  <c r="E423" i="6"/>
  <c r="F423" i="6"/>
  <c r="G423" i="6"/>
  <c r="H423" i="6"/>
  <c r="I423" i="6"/>
  <c r="J423" i="6"/>
  <c r="K423" i="6"/>
  <c r="L423" i="6"/>
  <c r="M423" i="6"/>
  <c r="B423" i="6"/>
  <c r="N422" i="6"/>
  <c r="B396" i="6"/>
  <c r="C396" i="6"/>
  <c r="C369" i="6" s="1"/>
  <c r="D396" i="6"/>
  <c r="E396" i="6"/>
  <c r="F396" i="6"/>
  <c r="G396" i="6"/>
  <c r="G369" i="6" s="1"/>
  <c r="H396" i="6"/>
  <c r="I396" i="6"/>
  <c r="J396" i="6"/>
  <c r="K396" i="6"/>
  <c r="L396" i="6"/>
  <c r="M396" i="6"/>
  <c r="N395" i="6"/>
  <c r="H369" i="6" l="1"/>
  <c r="D369" i="6"/>
  <c r="F369" i="6"/>
  <c r="E369" i="6"/>
  <c r="B369" i="6"/>
  <c r="M369" i="6"/>
  <c r="J369" i="6"/>
  <c r="L369" i="6"/>
  <c r="K369" i="6"/>
  <c r="K425" i="6" s="1"/>
  <c r="N19" i="7" l="1"/>
  <c r="N17" i="7"/>
  <c r="N18" i="7"/>
  <c r="C425" i="6" l="1"/>
  <c r="N23" i="5" l="1"/>
  <c r="N421" i="6" l="1"/>
  <c r="N394" i="6"/>
  <c r="M425" i="6" l="1"/>
  <c r="N420" i="6" l="1"/>
  <c r="N393" i="6"/>
  <c r="J425" i="6" l="1"/>
  <c r="G425" i="6" l="1"/>
  <c r="H425" i="6"/>
  <c r="I425" i="6"/>
  <c r="L425" i="6"/>
  <c r="F425" i="6"/>
  <c r="N417" i="6"/>
  <c r="N419" i="6"/>
  <c r="N392" i="6"/>
  <c r="N391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8" i="6" l="1"/>
  <c r="N390" i="6"/>
  <c r="N416" i="6"/>
  <c r="N389" i="6"/>
  <c r="N415" i="6" l="1"/>
  <c r="N388" i="6"/>
  <c r="N414" i="6" l="1"/>
  <c r="N387" i="6"/>
  <c r="E425" i="6" l="1"/>
  <c r="M13" i="8"/>
  <c r="L13" i="8"/>
  <c r="K13" i="8"/>
  <c r="J13" i="8"/>
  <c r="I13" i="8"/>
  <c r="H13" i="8"/>
  <c r="G13" i="8"/>
  <c r="F13" i="8"/>
  <c r="E13" i="8"/>
  <c r="D13" i="8"/>
  <c r="D22" i="5" s="1"/>
  <c r="C13" i="8"/>
  <c r="C22" i="5" s="1"/>
  <c r="N11" i="8"/>
  <c r="N9" i="8"/>
  <c r="M472" i="6"/>
  <c r="L472" i="6"/>
  <c r="K472" i="6"/>
  <c r="J472" i="6"/>
  <c r="I472" i="6"/>
  <c r="H472" i="6"/>
  <c r="G472" i="6"/>
  <c r="F472" i="6"/>
  <c r="E472" i="6"/>
  <c r="D472" i="6"/>
  <c r="C472" i="6"/>
  <c r="B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370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0" i="6" l="1"/>
  <c r="G430" i="6"/>
  <c r="G474" i="6" s="1"/>
  <c r="G16" i="5" s="1"/>
  <c r="K430" i="6"/>
  <c r="K474" i="6" s="1"/>
  <c r="K16" i="5" s="1"/>
  <c r="D430" i="6"/>
  <c r="D474" i="6" s="1"/>
  <c r="H430" i="6"/>
  <c r="L430" i="6"/>
  <c r="L474" i="6" s="1"/>
  <c r="L16" i="5" s="1"/>
  <c r="N22" i="5"/>
  <c r="E430" i="6"/>
  <c r="E474" i="6" s="1"/>
  <c r="E16" i="5" s="1"/>
  <c r="B430" i="6"/>
  <c r="B474" i="6"/>
  <c r="I430" i="6"/>
  <c r="I474" i="6" s="1"/>
  <c r="I16" i="5" s="1"/>
  <c r="M430" i="6"/>
  <c r="F430" i="6"/>
  <c r="F474" i="6" s="1"/>
  <c r="F16" i="5" s="1"/>
  <c r="J430" i="6"/>
  <c r="J474" i="6" s="1"/>
  <c r="J16" i="5" s="1"/>
  <c r="N423" i="6"/>
  <c r="N396" i="6"/>
  <c r="D425" i="6"/>
  <c r="B425" i="6"/>
  <c r="B16" i="5" s="1"/>
  <c r="H474" i="6"/>
  <c r="H16" i="5" s="1"/>
  <c r="M474" i="6"/>
  <c r="M16" i="5" s="1"/>
  <c r="C474" i="6"/>
  <c r="C16" i="5" s="1"/>
  <c r="N472" i="6"/>
  <c r="N14" i="5"/>
  <c r="N17" i="5"/>
  <c r="N451" i="6"/>
  <c r="N12" i="5"/>
  <c r="N20" i="7"/>
  <c r="D16" i="5" l="1"/>
  <c r="B25" i="5"/>
  <c r="C10" i="5" s="1"/>
  <c r="C25" i="5" s="1"/>
  <c r="D10" i="5" s="1"/>
  <c r="N430" i="6"/>
  <c r="N474" i="6" s="1"/>
  <c r="N369" i="6"/>
  <c r="N425" i="6" s="1"/>
  <c r="D25" i="5" l="1"/>
  <c r="N16" i="5"/>
  <c r="E10" i="5" l="1"/>
  <c r="E25" i="5" s="1"/>
  <c r="F10" i="5" l="1"/>
  <c r="F25" i="5" s="1"/>
  <c r="G10" i="5" s="1"/>
  <c r="G25" i="5" s="1"/>
  <c r="H10" i="5" s="1"/>
  <c r="H25" i="5" l="1"/>
  <c r="I10" i="5" s="1"/>
  <c r="I25" i="5" s="1"/>
  <c r="J25" i="5" s="1"/>
  <c r="K10" i="5" s="1"/>
  <c r="K25" i="5" s="1"/>
  <c r="L10" i="5" s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<sst xmlns="http://schemas.openxmlformats.org/spreadsheetml/2006/main" count="678" uniqueCount="216">
  <si>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</si>
  <si>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</si>
  <si>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</si>
  <si>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</si>
  <si>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</si>
  <si>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</si>
  <si>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</si>
  <si>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</si>
  <si>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</si>
  <si>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</si>
  <si>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</si>
  <si>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</si>
  <si>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</si>
  <si>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</si>
  <si>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</si>
  <si>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</si>
  <si>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</si>
  <si>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</si>
  <si>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</si>
  <si>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</si>
  <si>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</si>
  <si>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</si>
  <si>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</si>
  <si>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</si>
  <si>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</si>
  <si>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</si>
  <si>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</si>
  <si>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</si>
  <si>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</si>
  <si>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</si>
  <si>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</si>
  <si>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</si>
  <si>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</si>
  <si>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</si>
  <si>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</si>
  <si>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</si>
  <si>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</si>
  <si>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</si>
  <si>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</si>
  <si>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</si>
  <si>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</si>
  <si>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</si>
  <si>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</si>
  <si>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</si>
  <si>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</si>
  <si>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</si>
  <si>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</si>
  <si>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</si>
  <si>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</si>
  <si>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</si>
  <si>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</si>
  <si>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</si>
  <si>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</si>
  <si>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</si>
  <si>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</si>
  <si>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</si>
  <si>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</si>
  <si>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</si>
  <si>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</si>
  <si>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</si>
  <si>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</si>
  <si>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</si>
  <si>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</si>
  <si>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</si>
  <si>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</si>
  <si>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</si>
  <si>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</si>
  <si>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</si>
  <si>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</si>
  <si>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</si>
  <si>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</si>
  <si>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</si>
  <si>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</si>
  <si>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</si>
  <si>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</si>
  <si>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</si>
  <si>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</si>
  <si>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</si>
  <si>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</si>
  <si>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</si>
  <si>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</si>
  <si>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</si>
  <si>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</si>
  <si>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</si>
  <si>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</si>
  <si>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</si>
  <si>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</si>
  <si>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</si>
  <si>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</si>
  <si>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</si>
  <si>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</si>
  <si>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</si>
  <si>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</si>
  <si>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</si>
  <si>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</si>
  <si>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</si>
  <si>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</si>
  <si>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</si>
  <si>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</si>
  <si>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</si>
  <si>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</si>
  <si>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</si>
  <si>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</si>
  <si>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</si>
  <si>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</si>
  <si>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</si>
  <si>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</si>
  <si>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</si>
  <si>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</si>
  <si>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</si>
  <si>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</si>
  <si>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</si>
  <si>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</si>
  <si>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</si>
  <si>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</si>
  <si>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</si>
  <si>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</si>
  <si>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</si>
  <si>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</si>
  <si>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</si>
  <si>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</si>
  <si>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</si>
  <si>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</si>
  <si>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</si>
  <si>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</si>
  <si>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</si>
  <si>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</si>
  <si>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</si>
  <si>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</si>
  <si>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</si>
  <si>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</si>
  <si>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</si>
  <si>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</si>
  <si>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</si>
  <si>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</si>
  <si>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</si>
  <si>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</si>
  <si>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</si>
  <si>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</si>
  <si>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</si>
  <si>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</si>
  <si>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</si>
  <si>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</si>
  <si>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</si>
  <si>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</si>
  <si>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</si>
  <si>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</si>
  <si>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</si>
  <si>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</si>
  <si>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</si>
  <si>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</si>
  <si>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</si>
  <si>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</si>
  <si>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</si>
  <si>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</si>
  <si>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</si>
  <si>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</si>
  <si>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</si>
  <si>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</si>
  <si>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</si>
  <si>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</si>
  <si>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</si>
  <si>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</si>
  <si>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</si>
  <si>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</si>
  <si>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</si>
  <si>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</si>
  <si>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</si>
  <si>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</si>
  <si>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</si>
  <si>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</si>
  <si>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</si>
  <si>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</si>
  <si>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</si>
  <si>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</si>
  <si>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</si>
  <si>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</si>
  <si>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</si>
  <si>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</si>
  <si>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</si>
  <si>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</si>
  <si>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</si>
  <si>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</si>
  <si>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</si>
  <si>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</si>
  <si>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</si>
  <si>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</si>
  <si>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</si>
  <si>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</si>
  <si>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</si>
  <si>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</si>
  <si>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</si>
  <si>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</si>
  <si>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</si>
  <si>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</si>
  <si>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</si>
  <si>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</si>
  <si>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</si>
  <si>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</si>
  <si>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</si>
  <si>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</si>
  <si>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</si>
  <si>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</si>
  <si>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</si>
  <si>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</si>
  <si>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</si>
  <si>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</si>
  <si>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</si>
  <si>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</si>
  <si>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</si>
  <si>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</si>
  <si>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</si>
  <si>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</si>
  <si>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</si>
  <si>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</si>
  <si>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 xml:space="preserve">Small and Medium Commercial Energy Efficiency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</si>
</sst>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64" fontId="11" fillId="0" borderId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15" fillId="0" borderId="0"/>
    <xf numFmtId="0" fontId="13" fillId="0" borderId="0"/>
    <xf numFmtId="0" fontId="33" fillId="0" borderId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4" fontId="14" fillId="24" borderId="8" applyNumberFormat="0" applyProtection="0">
      <alignment vertical="center"/>
    </xf>
    <xf numFmtId="4" fontId="14" fillId="25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1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47" fillId="27" borderId="24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6" fillId="12" borderId="0" applyNumberFormat="0" applyBorder="0" applyAlignment="0" applyProtection="0"/>
    <xf numFmtId="0" fontId="63" fillId="38" borderId="0" applyNumberFormat="0" applyBorder="0" applyAlignment="0" applyProtection="0"/>
    <xf numFmtId="0" fontId="16" fillId="9" borderId="0" applyNumberFormat="0" applyBorder="0" applyAlignment="0" applyProtection="0"/>
    <xf numFmtId="0" fontId="63" fillId="42" borderId="0" applyNumberFormat="0" applyBorder="0" applyAlignment="0" applyProtection="0"/>
    <xf numFmtId="0" fontId="16" fillId="10" borderId="0" applyNumberFormat="0" applyBorder="0" applyAlignment="0" applyProtection="0"/>
    <xf numFmtId="0" fontId="63" fillId="46" borderId="0" applyNumberFormat="0" applyBorder="0" applyAlignment="0" applyProtection="0"/>
    <xf numFmtId="0" fontId="16" fillId="13" borderId="0" applyNumberFormat="0" applyBorder="0" applyAlignment="0" applyProtection="0"/>
    <xf numFmtId="0" fontId="63" fillId="50" borderId="0" applyNumberFormat="0" applyBorder="0" applyAlignment="0" applyProtection="0"/>
    <xf numFmtId="0" fontId="16" fillId="14" borderId="0" applyNumberFormat="0" applyBorder="0" applyAlignment="0" applyProtection="0"/>
    <xf numFmtId="0" fontId="63" fillId="54" borderId="0" applyNumberFormat="0" applyBorder="0" applyAlignment="0" applyProtection="0"/>
    <xf numFmtId="0" fontId="16" fillId="15" borderId="0" applyNumberFormat="0" applyBorder="0" applyAlignment="0" applyProtection="0"/>
    <xf numFmtId="0" fontId="63" fillId="58" borderId="0" applyNumberFormat="0" applyBorder="0" applyAlignment="0" applyProtection="0"/>
    <xf numFmtId="0" fontId="15" fillId="60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3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63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0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6" fillId="63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63" fillId="43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3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6" fillId="63" borderId="0" applyNumberFormat="0" applyBorder="0" applyAlignment="0" applyProtection="0"/>
    <xf numFmtId="0" fontId="16" fillId="70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63" fillId="47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60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3" fillId="51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5" fillId="79" borderId="0" applyNumberFormat="0" applyBorder="0" applyAlignment="0" applyProtection="0"/>
    <xf numFmtId="0" fontId="15" fillId="79" borderId="0" applyNumberFormat="0" applyBorder="0" applyAlignment="0" applyProtection="0"/>
    <xf numFmtId="0" fontId="15" fillId="69" borderId="0" applyNumberFormat="0" applyBorder="0" applyAlignment="0" applyProtection="0"/>
    <xf numFmtId="0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63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168" fontId="70" fillId="83" borderId="46">
      <alignment horizontal="center" vertical="center"/>
    </xf>
    <xf numFmtId="49" fontId="3" fillId="0" borderId="25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0" fontId="71" fillId="79" borderId="0" applyNumberFormat="0" applyBorder="0" applyAlignment="0" applyProtection="0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3" fontId="72" fillId="0" borderId="0" applyFill="0" applyBorder="0" applyProtection="0">
      <alignment horizontal="right"/>
    </xf>
    <xf numFmtId="169" fontId="14" fillId="0" borderId="0" applyFill="0" applyBorder="0" applyAlignment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0" fontId="59" fillId="32" borderId="32" applyNumberFormat="0" applyAlignment="0" applyProtection="0"/>
    <xf numFmtId="0" fontId="19" fillId="21" borderId="2" applyNumberFormat="0" applyAlignment="0" applyProtection="0"/>
    <xf numFmtId="0" fontId="19" fillId="21" borderId="2" applyNumberFormat="0" applyAlignment="0" applyProtection="0"/>
    <xf numFmtId="0" fontId="19" fillId="78" borderId="2" applyNumberFormat="0" applyAlignment="0" applyProtection="0"/>
    <xf numFmtId="0" fontId="61" fillId="33" borderId="35" applyNumberFormat="0" applyAlignment="0" applyProtection="0"/>
    <xf numFmtId="49" fontId="3" fillId="0" borderId="25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38" fontId="4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74" fillId="0" borderId="0" applyNumberFormat="0" applyAlignment="0">
      <alignment horizontal="left"/>
    </xf>
    <xf numFmtId="171" fontId="3" fillId="0" borderId="0" applyFont="0" applyFill="0" applyBorder="0" applyAlignment="0" applyProtection="0"/>
    <xf numFmtId="172" fontId="7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74" fontId="3" fillId="85" borderId="0">
      <alignment horizontal="center"/>
    </xf>
    <xf numFmtId="0" fontId="3" fillId="0" borderId="25"/>
    <xf numFmtId="175" fontId="12" fillId="0" borderId="0">
      <alignment horizontal="right"/>
      <protection locked="0"/>
    </xf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76" fillId="0" borderId="0" applyNumberFormat="0" applyAlignment="0">
      <alignment horizontal="left"/>
    </xf>
    <xf numFmtId="0" fontId="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" fillId="0" borderId="25">
      <alignment horizontal="left"/>
    </xf>
    <xf numFmtId="2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76" fontId="3" fillId="0" borderId="0" applyFont="0" applyFill="0" applyBorder="0" applyAlignment="0" applyProtection="0">
      <alignment horizont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54" fillId="28" borderId="0" applyNumberFormat="0" applyBorder="0" applyAlignment="0" applyProtection="0"/>
    <xf numFmtId="38" fontId="47" fillId="26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38" applyNumberFormat="0" applyAlignment="0" applyProtection="0">
      <alignment horizontal="left" vertical="center"/>
    </xf>
    <xf numFmtId="0" fontId="4" fillId="0" borderId="48">
      <alignment horizontal="left" vertical="center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8" fillId="0" borderId="49" applyNumberFormat="0" applyFill="0" applyAlignment="0" applyProtection="0"/>
    <xf numFmtId="0" fontId="79" fillId="0" borderId="0" applyNumberFormat="0" applyFont="0" applyFill="0" applyBorder="0" applyProtection="0"/>
    <xf numFmtId="0" fontId="51" fillId="0" borderId="2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50" applyNumberFormat="0" applyFill="0" applyAlignment="0" applyProtection="0"/>
    <xf numFmtId="0" fontId="4" fillId="0" borderId="0" applyNumberFormat="0" applyFont="0" applyFill="0" applyBorder="0" applyProtection="0"/>
    <xf numFmtId="0" fontId="52" fillId="0" borderId="30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53" fillId="0" borderId="3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>
      <alignment horizontal="center"/>
    </xf>
    <xf numFmtId="178" fontId="3" fillId="0" borderId="0" applyFont="0" applyFill="0" applyBorder="0" applyAlignment="0" applyProtection="0">
      <alignment horizontal="center"/>
    </xf>
    <xf numFmtId="0" fontId="82" fillId="0" borderId="52" applyNumberForma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47" fillId="27" borderId="41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57" fillId="31" borderId="32" applyNumberFormat="0" applyAlignment="0" applyProtection="0"/>
    <xf numFmtId="0" fontId="3" fillId="91" borderId="25" applyNumberFormat="0">
      <alignment horizontal="left" vertical="top"/>
    </xf>
    <xf numFmtId="0" fontId="3" fillId="0" borderId="25">
      <alignment horizontal="left"/>
    </xf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1" fillId="0" borderId="53" applyNumberFormat="0" applyFill="0" applyAlignment="0" applyProtection="0"/>
    <xf numFmtId="0" fontId="60" fillId="0" borderId="34" applyNumberFormat="0" applyFill="0" applyAlignment="0" applyProtection="0"/>
    <xf numFmtId="0" fontId="3" fillId="0" borderId="25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0" fontId="21" fillId="80" borderId="0" applyNumberFormat="0" applyBorder="0" applyAlignment="0" applyProtection="0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37" fontId="87" fillId="0" borderId="0"/>
    <xf numFmtId="179" fontId="66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3" fillId="0" borderId="0"/>
    <xf numFmtId="0" fontId="14" fillId="0" borderId="0"/>
    <xf numFmtId="0" fontId="47" fillId="92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5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7" fillId="92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7" fillId="92" borderId="0"/>
    <xf numFmtId="0" fontId="13" fillId="0" borderId="0"/>
    <xf numFmtId="0" fontId="47" fillId="92" borderId="0"/>
    <xf numFmtId="0" fontId="47" fillId="92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49" fontId="90" fillId="0" borderId="0" applyAlignment="0">
      <alignment horizontal="left" vertical="top"/>
    </xf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0" fontId="58" fillId="32" borderId="33" applyNumberFormat="0" applyAlignment="0" applyProtection="0"/>
    <xf numFmtId="8" fontId="3" fillId="0" borderId="25"/>
    <xf numFmtId="180" fontId="3" fillId="0" borderId="25">
      <alignment horizontal="right"/>
    </xf>
    <xf numFmtId="164" fontId="91" fillId="0" borderId="54">
      <alignment vertical="center"/>
    </xf>
    <xf numFmtId="10" fontId="3" fillId="0" borderId="25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" fillId="0" borderId="25">
      <alignment horizontal="center"/>
    </xf>
    <xf numFmtId="0" fontId="92" fillId="0" borderId="0" applyNumberFormat="0" applyFill="0" applyBorder="0" applyAlignment="0"/>
    <xf numFmtId="182" fontId="72" fillId="0" borderId="0" applyFill="0" applyBorder="0" applyProtection="0">
      <alignment horizontal="right"/>
    </xf>
    <xf numFmtId="14" fontId="93" fillId="0" borderId="0" applyNumberFormat="0" applyFill="0" applyBorder="0" applyAlignment="0" applyProtection="0">
      <alignment horizontal="left"/>
    </xf>
    <xf numFmtId="8" fontId="3" fillId="0" borderId="25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94" fillId="106" borderId="57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99" fillId="109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14" fillId="93" borderId="0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41" applyNumberFormat="0">
      <protection locked="0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41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103" fillId="0" borderId="0"/>
    <xf numFmtId="0" fontId="47" fillId="116" borderId="41"/>
    <xf numFmtId="0" fontId="47" fillId="116" borderId="41"/>
    <xf numFmtId="0" fontId="47" fillId="116" borderId="41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5" fillId="0" borderId="0" applyNumberFormat="0" applyFill="0" applyBorder="0" applyAlignment="0" applyProtection="0"/>
    <xf numFmtId="0" fontId="3" fillId="0" borderId="25">
      <alignment horizontal="right"/>
    </xf>
    <xf numFmtId="49" fontId="3" fillId="0" borderId="25"/>
    <xf numFmtId="49" fontId="4" fillId="0" borderId="0" applyAlignment="0">
      <alignment horizontal="left" vertical="top"/>
    </xf>
    <xf numFmtId="0" fontId="106" fillId="0" borderId="0" applyNumberFormat="0" applyFill="0" applyBorder="0" applyProtection="0">
      <alignment vertical="center"/>
    </xf>
    <xf numFmtId="0" fontId="107" fillId="0" borderId="0" applyNumberFormat="0" applyFill="0" applyBorder="0" applyProtection="0">
      <alignment horizontal="center" wrapText="1"/>
    </xf>
    <xf numFmtId="0" fontId="107" fillId="0" borderId="0" applyNumberFormat="0" applyFill="0" applyBorder="0" applyProtection="0">
      <alignment horizontal="center"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ont="0" applyFill="0" applyBorder="0" applyAlignment="0" applyProtection="0"/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0" fontId="109" fillId="0" borderId="0" applyNumberFormat="0" applyFill="0" applyBorder="0" applyProtection="0">
      <alignment wrapText="1"/>
    </xf>
    <xf numFmtId="0" fontId="109" fillId="0" borderId="0" applyNumberFormat="0" applyFill="0" applyBorder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40" fontId="111" fillId="0" borderId="0" applyBorder="0">
      <alignment horizontal="right"/>
    </xf>
    <xf numFmtId="49" fontId="112" fillId="0" borderId="54">
      <alignment vertical="center"/>
    </xf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63" applyNumberFormat="0" applyFill="0" applyBorder="0" applyAlignment="0" applyProtection="0"/>
    <xf numFmtId="0" fontId="42" fillId="0" borderId="37" applyNumberFormat="0" applyFill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52" applyProtection="0"/>
    <xf numFmtId="0" fontId="97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39" applyNumberFormat="0" applyAlignment="0"/>
    <xf numFmtId="0" fontId="3" fillId="0" borderId="25" applyNumberFormat="0" applyAlignment="0"/>
    <xf numFmtId="0" fontId="3" fillId="0" borderId="44" applyNumberFormat="0" applyAlignment="0">
      <alignment horizontal="center"/>
    </xf>
    <xf numFmtId="0" fontId="5" fillId="117" borderId="0" applyBorder="0">
      <alignment horizontal="center"/>
    </xf>
    <xf numFmtId="0" fontId="3" fillId="24" borderId="0" applyBorder="0"/>
    <xf numFmtId="0" fontId="3" fillId="0" borderId="0" applyBorder="0"/>
    <xf numFmtId="182" fontId="5" fillId="59" borderId="0" applyBorder="0"/>
    <xf numFmtId="0" fontId="3" fillId="118" borderId="0" applyBorder="0"/>
    <xf numFmtId="0" fontId="3" fillId="113" borderId="0" applyBorder="0"/>
    <xf numFmtId="0" fontId="3" fillId="118" borderId="0" applyBorder="0">
      <alignment wrapText="1"/>
    </xf>
    <xf numFmtId="182" fontId="5" fillId="113" borderId="0" applyBorder="0"/>
    <xf numFmtId="182" fontId="5" fillId="95" borderId="0" applyBorder="0"/>
    <xf numFmtId="182" fontId="3" fillId="118" borderId="0" applyBorder="0"/>
    <xf numFmtId="0" fontId="3" fillId="101" borderId="0" applyBorder="0"/>
    <xf numFmtId="182" fontId="3" fillId="99" borderId="0" applyBorder="0"/>
    <xf numFmtId="0" fontId="3" fillId="119" borderId="0" applyBorder="0"/>
    <xf numFmtId="0" fontId="115" fillId="120" borderId="0" applyBorder="0"/>
    <xf numFmtId="0" fontId="5" fillId="95" borderId="0" applyNumberFormat="0" applyBorder="0" applyAlignment="0"/>
    <xf numFmtId="0" fontId="5" fillId="3" borderId="0" applyNumberFormat="0" applyBorder="0" applyAlignment="0"/>
    <xf numFmtId="0" fontId="5" fillId="21" borderId="0" applyNumberFormat="0" applyBorder="0" applyAlignment="0"/>
    <xf numFmtId="0" fontId="5" fillId="121" borderId="0" applyNumberFormat="0" applyBorder="0" applyAlignment="0"/>
    <xf numFmtId="0" fontId="5" fillId="122" borderId="0" applyNumberFormat="0" applyBorder="0" applyAlignment="0"/>
    <xf numFmtId="0" fontId="5" fillId="16" borderId="0" applyNumberFormat="0" applyBorder="0" applyAlignment="0"/>
    <xf numFmtId="0" fontId="5" fillId="123" borderId="0" applyNumberFormat="0" applyBorder="0" applyAlignment="0"/>
    <xf numFmtId="1" fontId="5" fillId="119" borderId="41" applyNumberFormat="0" applyAlignment="0">
      <alignment horizontal="center"/>
    </xf>
    <xf numFmtId="1" fontId="5" fillId="83" borderId="41" applyNumberFormat="0" applyAlignment="0">
      <alignment horizontal="left"/>
    </xf>
    <xf numFmtId="0" fontId="5" fillId="83" borderId="41" applyNumberFormat="0" applyAlignment="0"/>
    <xf numFmtId="0" fontId="3" fillId="0" borderId="25">
      <alignment horizontal="center"/>
    </xf>
    <xf numFmtId="49" fontId="3" fillId="15" borderId="25">
      <alignment horizontal="center"/>
    </xf>
    <xf numFmtId="0" fontId="3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48">
      <alignment horizontal="left" vertical="center"/>
    </xf>
    <xf numFmtId="10" fontId="47" fillId="27" borderId="24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24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47" fillId="116" borderId="24"/>
    <xf numFmtId="0" fontId="47" fillId="116" borderId="24"/>
    <xf numFmtId="0" fontId="47" fillId="116" borderId="24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44" applyNumberFormat="0" applyAlignment="0">
      <alignment horizontal="center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28" borderId="0" applyNumberFormat="0" applyBorder="0" applyAlignment="0" applyProtection="0"/>
    <xf numFmtId="0" fontId="55" fillId="29" borderId="0" applyNumberFormat="0" applyBorder="0" applyAlignment="0" applyProtection="0"/>
    <xf numFmtId="0" fontId="56" fillId="30" borderId="0" applyNumberFormat="0" applyBorder="0" applyAlignment="0" applyProtection="0"/>
    <xf numFmtId="0" fontId="57" fillId="31" borderId="32" applyNumberFormat="0" applyAlignment="0" applyProtection="0"/>
    <xf numFmtId="0" fontId="58" fillId="32" borderId="33" applyNumberFormat="0" applyAlignment="0" applyProtection="0"/>
    <xf numFmtId="0" fontId="59" fillId="32" borderId="32" applyNumberFormat="0" applyAlignment="0" applyProtection="0"/>
    <xf numFmtId="0" fontId="60" fillId="0" borderId="34" applyNumberFormat="0" applyFill="0" applyAlignment="0" applyProtection="0"/>
    <xf numFmtId="0" fontId="61" fillId="33" borderId="35" applyNumberFormat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6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3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63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63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3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64" applyNumberFormat="0" applyAlignment="0" applyProtection="0">
      <alignment horizontal="left" vertical="center"/>
    </xf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43" fontId="3" fillId="0" borderId="0" applyFont="0" applyFill="0" applyBorder="0" applyAlignment="0" applyProtection="0"/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106" borderId="57" applyNumberFormat="0" applyProtection="0">
      <alignment horizontal="left" vertical="center" indent="1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184" fontId="15" fillId="2" borderId="0" applyNumberFormat="0" applyBorder="0" applyAlignment="0" applyProtection="0"/>
    <xf numFmtId="184" fontId="15" fillId="3" borderId="0" applyNumberFormat="0" applyBorder="0" applyAlignment="0" applyProtection="0"/>
    <xf numFmtId="184" fontId="15" fillId="4" borderId="0" applyNumberFormat="0" applyBorder="0" applyAlignment="0" applyProtection="0"/>
    <xf numFmtId="184" fontId="15" fillId="5" borderId="0" applyNumberFormat="0" applyBorder="0" applyAlignment="0" applyProtection="0"/>
    <xf numFmtId="184" fontId="15" fillId="6" borderId="0" applyNumberFormat="0" applyBorder="0" applyAlignment="0" applyProtection="0"/>
    <xf numFmtId="184" fontId="15" fillId="7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11" borderId="0" applyNumberFormat="0" applyBorder="0" applyAlignment="0" applyProtection="0"/>
    <xf numFmtId="184" fontId="16" fillId="12" borderId="0" applyNumberFormat="0" applyBorder="0" applyAlignment="0" applyProtection="0"/>
    <xf numFmtId="184" fontId="16" fillId="9" borderId="0" applyNumberFormat="0" applyBorder="0" applyAlignment="0" applyProtection="0"/>
    <xf numFmtId="184" fontId="16" fillId="10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5" borderId="0" applyNumberFormat="0" applyBorder="0" applyAlignment="0" applyProtection="0"/>
    <xf numFmtId="184" fontId="16" fillId="16" borderId="0" applyNumberFormat="0" applyBorder="0" applyAlignment="0" applyProtection="0"/>
    <xf numFmtId="184" fontId="16" fillId="17" borderId="0" applyNumberFormat="0" applyBorder="0" applyAlignment="0" applyProtection="0"/>
    <xf numFmtId="184" fontId="16" fillId="18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9" borderId="0" applyNumberFormat="0" applyBorder="0" applyAlignment="0" applyProtection="0"/>
    <xf numFmtId="168" fontId="70" fillId="83" borderId="46">
      <alignment horizontal="center" vertical="center"/>
    </xf>
    <xf numFmtId="168" fontId="70" fillId="83" borderId="46">
      <alignment horizontal="center" vertical="center"/>
    </xf>
    <xf numFmtId="168" fontId="70" fillId="83" borderId="46">
      <alignment horizontal="center" vertical="center"/>
    </xf>
    <xf numFmtId="184" fontId="17" fillId="3" borderId="0" applyNumberFormat="0" applyBorder="0" applyAlignment="0" applyProtection="0"/>
    <xf numFmtId="184" fontId="18" fillId="20" borderId="1" applyNumberFormat="0" applyAlignment="0" applyProtection="0"/>
    <xf numFmtId="184" fontId="19" fillId="21" borderId="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4" fontId="21" fillId="4" borderId="0" applyNumberFormat="0" applyBorder="0" applyAlignment="0" applyProtection="0"/>
    <xf numFmtId="38" fontId="47" fillId="26" borderId="0" applyNumberFormat="0" applyBorder="0" applyAlignment="0" applyProtection="0"/>
    <xf numFmtId="184" fontId="77" fillId="0" borderId="0" applyNumberFormat="0" applyFill="0" applyBorder="0" applyAlignment="0" applyProtection="0"/>
    <xf numFmtId="184" fontId="4" fillId="0" borderId="64" applyNumberFormat="0" applyAlignment="0" applyProtection="0">
      <alignment horizontal="left" vertical="center"/>
    </xf>
    <xf numFmtId="184" fontId="4" fillId="0" borderId="28">
      <alignment horizontal="left" vertical="center"/>
    </xf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24" fillId="0" borderId="5" applyNumberFormat="0" applyFill="0" applyAlignment="0" applyProtection="0"/>
    <xf numFmtId="184" fontId="24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84" fontId="82" fillId="0" borderId="65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6" fillId="0" borderId="6" applyNumberFormat="0" applyFill="0" applyAlignment="0" applyProtection="0"/>
    <xf numFmtId="184" fontId="27" fillId="22" borderId="0" applyNumberFormat="0" applyBorder="0" applyAlignment="0" applyProtection="0"/>
    <xf numFmtId="37" fontId="87" fillId="0" borderId="0"/>
    <xf numFmtId="37" fontId="87" fillId="0" borderId="0"/>
    <xf numFmtId="37" fontId="87" fillId="0" borderId="0"/>
    <xf numFmtId="179" fontId="66" fillId="0" borderId="0"/>
    <xf numFmtId="179" fontId="66" fillId="0" borderId="0"/>
    <xf numFmtId="179" fontId="66" fillId="0" borderId="0"/>
    <xf numFmtId="184" fontId="3" fillId="0" borderId="0"/>
    <xf numFmtId="184" fontId="122" fillId="0" borderId="0"/>
    <xf numFmtId="184" fontId="122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184" fontId="131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184" fontId="3" fillId="0" borderId="0"/>
    <xf numFmtId="184" fontId="3" fillId="0" borderId="0"/>
    <xf numFmtId="184" fontId="3" fillId="0" borderId="0"/>
    <xf numFmtId="184" fontId="3" fillId="23" borderId="7" applyNumberFormat="0" applyFont="0" applyAlignment="0" applyProtection="0"/>
    <xf numFmtId="184" fontId="28" fillId="20" borderId="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32" fillId="124" borderId="24" applyNumberFormat="0" applyProtection="0">
      <alignment horizontal="right" vertical="center" wrapText="1"/>
    </xf>
    <xf numFmtId="4" fontId="132" fillId="124" borderId="24" applyNumberFormat="0" applyProtection="0">
      <alignment horizontal="right" vertical="center" wrapText="1"/>
    </xf>
    <xf numFmtId="4" fontId="95" fillId="24" borderId="55" applyNumberFormat="0" applyProtection="0">
      <alignment vertical="center"/>
    </xf>
    <xf numFmtId="4" fontId="118" fillId="125" borderId="4">
      <alignment vertical="center"/>
    </xf>
    <xf numFmtId="4" fontId="119" fillId="125" borderId="4">
      <alignment vertical="center"/>
    </xf>
    <xf numFmtId="4" fontId="118" fillId="126" borderId="4">
      <alignment vertical="center"/>
    </xf>
    <xf numFmtId="4" fontId="119" fillId="126" borderId="4">
      <alignment vertical="center"/>
    </xf>
    <xf numFmtId="4" fontId="14" fillId="24" borderId="8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184" fontId="94" fillId="24" borderId="55" applyNumberFormat="0" applyProtection="0">
      <alignment horizontal="left" vertical="top" indent="1"/>
    </xf>
    <xf numFmtId="4" fontId="46" fillId="127" borderId="24" applyNumberFormat="0" applyProtection="0">
      <alignment horizontal="left" vertical="center"/>
    </xf>
    <xf numFmtId="4" fontId="48" fillId="113" borderId="24" applyNumberFormat="0">
      <alignment horizontal="right" vertical="center"/>
    </xf>
    <xf numFmtId="4" fontId="14" fillId="3" borderId="55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9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20" fillId="20" borderId="55" applyNumberFormat="0" applyProtection="0">
      <alignment horizontal="center" vertical="center"/>
    </xf>
    <xf numFmtId="4" fontId="121" fillId="91" borderId="66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4" fontId="14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4" fontId="97" fillId="27" borderId="55" applyNumberFormat="0" applyProtection="0">
      <alignment vertical="center"/>
    </xf>
    <xf numFmtId="4" fontId="123" fillId="125" borderId="66">
      <alignment vertical="center"/>
    </xf>
    <xf numFmtId="4" fontId="124" fillId="125" borderId="66">
      <alignment vertical="center"/>
    </xf>
    <xf numFmtId="4" fontId="123" fillId="126" borderId="66">
      <alignment vertical="center"/>
    </xf>
    <xf numFmtId="4" fontId="124" fillId="126" borderId="66">
      <alignment vertical="center"/>
    </xf>
    <xf numFmtId="4" fontId="100" fillId="0" borderId="0" applyNumberFormat="0" applyProtection="0">
      <alignment horizontal="left" vertical="center" indent="1"/>
    </xf>
    <xf numFmtId="184" fontId="14" fillId="27" borderId="55" applyNumberFormat="0" applyProtection="0">
      <alignment horizontal="left" vertical="top" indent="1"/>
    </xf>
    <xf numFmtId="184" fontId="14" fillId="27" borderId="55" applyNumberFormat="0" applyProtection="0">
      <alignment horizontal="left" vertical="top" indent="1"/>
    </xf>
    <xf numFmtId="184" fontId="48" fillId="113" borderId="24" applyNumberFormat="0">
      <alignment horizontal="left" vertical="center"/>
    </xf>
    <xf numFmtId="4" fontId="47" fillId="0" borderId="24" applyNumberFormat="0" applyProtection="0">
      <alignment horizontal="left" vertical="center" indent="1"/>
    </xf>
    <xf numFmtId="4" fontId="131" fillId="0" borderId="24" applyNumberFormat="0" applyProtection="0">
      <alignment horizontal="right" vertical="center" wrapText="1"/>
    </xf>
    <xf numFmtId="4" fontId="125" fillId="125" borderId="66">
      <alignment vertical="center"/>
    </xf>
    <xf numFmtId="4" fontId="126" fillId="125" borderId="66">
      <alignment vertical="center"/>
    </xf>
    <xf numFmtId="4" fontId="125" fillId="126" borderId="66">
      <alignment vertical="center"/>
    </xf>
    <xf numFmtId="4" fontId="126" fillId="98" borderId="66">
      <alignment vertical="center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4" fontId="131" fillId="0" borderId="24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18" fillId="125" borderId="67">
      <alignment vertical="center"/>
    </xf>
    <xf numFmtId="4" fontId="119" fillId="125" borderId="67">
      <alignment vertical="center"/>
    </xf>
    <xf numFmtId="4" fontId="118" fillId="126" borderId="66">
      <alignment vertical="center"/>
    </xf>
    <xf numFmtId="4" fontId="119" fillId="126" borderId="66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4" fontId="49" fillId="0" borderId="55" applyNumberFormat="0" applyProtection="0">
      <alignment horizontal="right" vertical="center"/>
    </xf>
    <xf numFmtId="184" fontId="130" fillId="91" borderId="68">
      <protection locked="0"/>
    </xf>
    <xf numFmtId="184" fontId="130" fillId="118" borderId="0"/>
    <xf numFmtId="184" fontId="117" fillId="0" borderId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65" applyProtection="0"/>
    <xf numFmtId="184" fontId="31" fillId="0" borderId="0" applyNumberFormat="0" applyFill="0" applyBorder="0" applyAlignment="0" applyProtection="0"/>
    <xf numFmtId="0" fontId="36" fillId="0" borderId="0"/>
    <xf numFmtId="0" fontId="36" fillId="0" borderId="0"/>
    <xf numFmtId="4" fontId="49" fillId="0" borderId="55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33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7" fillId="22" borderId="0" applyNumberFormat="0" applyBorder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9" fontId="13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77" fillId="0" borderId="0" applyNumberFormat="0" applyFill="0" applyBorder="0" applyAlignment="0" applyProtection="0"/>
    <xf numFmtId="0" fontId="4" fillId="0" borderId="64" applyNumberFormat="0" applyAlignment="0" applyProtection="0">
      <alignment horizontal="left" vertical="center"/>
    </xf>
    <xf numFmtId="0" fontId="4" fillId="0" borderId="28">
      <alignment horizontal="left" vertical="center"/>
    </xf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2" fillId="0" borderId="65" applyNumberFormat="0" applyFill="0" applyAlignment="0" applyProtection="0"/>
    <xf numFmtId="0" fontId="3" fillId="0" borderId="0"/>
    <xf numFmtId="0" fontId="2" fillId="0" borderId="0"/>
    <xf numFmtId="4" fontId="135" fillId="24" borderId="69" applyNumberFormat="0" applyProtection="0">
      <alignment vertical="center"/>
    </xf>
    <xf numFmtId="4" fontId="136" fillId="24" borderId="69" applyNumberFormat="0" applyProtection="0">
      <alignment vertical="center"/>
    </xf>
    <xf numFmtId="4" fontId="137" fillId="24" borderId="69" applyNumberFormat="0" applyProtection="0">
      <alignment horizontal="left" vertical="center" indent="1"/>
    </xf>
    <xf numFmtId="0" fontId="94" fillId="24" borderId="55" applyNumberFormat="0" applyProtection="0">
      <alignment horizontal="left" vertical="top" indent="1"/>
    </xf>
    <xf numFmtId="4" fontId="138" fillId="110" borderId="69" applyNumberFormat="0" applyProtection="0">
      <alignment horizontal="left" vertical="center" indent="1"/>
    </xf>
    <xf numFmtId="4" fontId="125" fillId="98" borderId="69" applyNumberFormat="0" applyProtection="0">
      <alignment vertical="center"/>
    </xf>
    <xf numFmtId="4" fontId="44" fillId="132" borderId="69" applyNumberFormat="0" applyProtection="0">
      <alignment vertical="center"/>
    </xf>
    <xf numFmtId="4" fontId="125" fillId="125" borderId="69" applyNumberFormat="0" applyProtection="0">
      <alignment vertical="center"/>
    </xf>
    <xf numFmtId="4" fontId="118" fillId="98" borderId="69" applyNumberFormat="0" applyProtection="0">
      <alignment vertical="center"/>
    </xf>
    <xf numFmtId="4" fontId="129" fillId="133" borderId="69" applyNumberFormat="0" applyProtection="0">
      <alignment horizontal="left" vertical="center" indent="1"/>
    </xf>
    <xf numFmtId="4" fontId="129" fillId="130" borderId="69" applyNumberFormat="0" applyProtection="0">
      <alignment horizontal="left" vertical="center" indent="1"/>
    </xf>
    <xf numFmtId="4" fontId="139" fillId="110" borderId="69" applyNumberFormat="0" applyProtection="0">
      <alignment horizontal="left" vertical="center" indent="1"/>
    </xf>
    <xf numFmtId="4" fontId="140" fillId="83" borderId="69" applyNumberFormat="0" applyProtection="0">
      <alignment vertical="center"/>
    </xf>
    <xf numFmtId="4" fontId="121" fillId="91" borderId="69" applyNumberFormat="0" applyProtection="0">
      <alignment horizontal="left" vertical="center" indent="1"/>
    </xf>
    <xf numFmtId="4" fontId="141" fillId="130" borderId="69" applyNumberFormat="0" applyProtection="0">
      <alignment horizontal="left" vertical="center" indent="1"/>
    </xf>
    <xf numFmtId="4" fontId="115" fillId="110" borderId="69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4" fontId="142" fillId="91" borderId="69" applyNumberFormat="0" applyProtection="0">
      <alignment vertical="center"/>
    </xf>
    <xf numFmtId="4" fontId="143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27" borderId="55" applyNumberFormat="0" applyProtection="0">
      <alignment horizontal="left" vertical="top" indent="1"/>
    </xf>
    <xf numFmtId="0" fontId="14" fillId="27" borderId="55" applyNumberFormat="0" applyProtection="0">
      <alignment horizontal="left" vertical="top" indent="1"/>
    </xf>
    <xf numFmtId="4" fontId="144" fillId="91" borderId="69" applyNumberFormat="0" applyProtection="0">
      <alignment vertical="center"/>
    </xf>
    <xf numFmtId="4" fontId="145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129" borderId="55" applyNumberFormat="0" applyProtection="0">
      <alignment horizontal="left" vertical="top" indent="1"/>
    </xf>
    <xf numFmtId="0" fontId="14" fillId="129" borderId="55" applyNumberFormat="0" applyProtection="0">
      <alignment horizontal="left" vertical="top" indent="1"/>
    </xf>
    <xf numFmtId="4" fontId="127" fillId="91" borderId="69" applyNumberFormat="0" applyProtection="0">
      <alignment vertical="center"/>
    </xf>
    <xf numFmtId="4" fontId="128" fillId="91" borderId="69" applyNumberFormat="0" applyProtection="0">
      <alignment vertical="center"/>
    </xf>
    <xf numFmtId="4" fontId="129" fillId="27" borderId="69" applyNumberFormat="0" applyProtection="0">
      <alignment horizontal="left" vertical="center" indent="1"/>
    </xf>
    <xf numFmtId="4" fontId="146" fillId="83" borderId="69" applyNumberFormat="0" applyProtection="0">
      <alignment horizontal="left" indent="1"/>
    </xf>
    <xf numFmtId="4" fontId="134" fillId="91" borderId="69" applyNumberFormat="0" applyProtection="0">
      <alignment vertical="center"/>
    </xf>
    <xf numFmtId="0" fontId="110" fillId="0" borderId="0" applyNumberFormat="0" applyFon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3" fillId="0" borderId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3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20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22" fillId="0" borderId="3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24" fillId="0" borderId="5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3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3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20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9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133" fillId="0" borderId="0" applyFont="0" applyFill="0" applyBorder="0" applyAlignment="0" applyProtection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7" borderId="1" applyNumberFormat="0" applyAlignment="0" applyProtection="0"/>
    <xf numFmtId="0" fontId="133" fillId="0" borderId="0"/>
    <xf numFmtId="0" fontId="25" fillId="7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184" fontId="3" fillId="94" borderId="8" applyNumberFormat="0" applyProtection="0">
      <alignment horizontal="left" vertical="center" indent="1"/>
    </xf>
    <xf numFmtId="4" fontId="14" fillId="25" borderId="8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97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94" fillId="24" borderId="55" applyNumberFormat="0" applyProtection="0">
      <alignment horizontal="left" vertical="top" indent="1"/>
    </xf>
    <xf numFmtId="184" fontId="3" fillId="0" borderId="0"/>
    <xf numFmtId="184" fontId="16" fillId="13" borderId="0" applyNumberFormat="0" applyBorder="0" applyAlignment="0" applyProtection="0"/>
    <xf numFmtId="184" fontId="16" fillId="9" borderId="0" applyNumberFormat="0" applyBorder="0" applyAlignment="0" applyProtection="0"/>
    <xf numFmtId="184" fontId="15" fillId="2" borderId="0" applyNumberFormat="0" applyBorder="0" applyAlignment="0" applyProtection="0"/>
    <xf numFmtId="184" fontId="131" fillId="0" borderId="0"/>
    <xf numFmtId="184" fontId="3" fillId="0" borderId="0"/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21" fillId="91" borderId="66">
      <alignment horizontal="left" vertical="center" indent="1"/>
    </xf>
    <xf numFmtId="4" fontId="120" fillId="20" borderId="55" applyNumberFormat="0" applyProtection="0">
      <alignment horizontal="center" vertical="center"/>
    </xf>
    <xf numFmtId="4" fontId="99" fillId="110" borderId="0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4" fillId="0" borderId="24" applyNumberFormat="0" applyProtection="0">
      <alignment horizontal="left" vertical="center" indent="1"/>
    </xf>
    <xf numFmtId="4" fontId="46" fillId="127" borderId="24" applyNumberFormat="0" applyProtection="0">
      <alignment horizontal="left" vertical="center"/>
    </xf>
    <xf numFmtId="4" fontId="14" fillId="24" borderId="8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28" fillId="20" borderId="8" applyNumberFormat="0" applyAlignment="0" applyProtection="0"/>
    <xf numFmtId="184" fontId="3" fillId="0" borderId="0"/>
    <xf numFmtId="0" fontId="3" fillId="0" borderId="0"/>
    <xf numFmtId="184" fontId="122" fillId="0" borderId="0"/>
    <xf numFmtId="184" fontId="3" fillId="0" borderId="0"/>
    <xf numFmtId="0" fontId="3" fillId="0" borderId="0"/>
    <xf numFmtId="184" fontId="27" fillId="22" borderId="0" applyNumberFormat="0" applyBorder="0" applyAlignment="0" applyProtection="0"/>
    <xf numFmtId="184" fontId="26" fillId="0" borderId="6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82" fillId="0" borderId="65" applyNumberFormat="0" applyFill="0" applyAlignment="0" applyProtection="0"/>
    <xf numFmtId="184" fontId="24" fillId="0" borderId="0" applyNumberFormat="0" applyFill="0" applyBorder="0" applyAlignment="0" applyProtection="0"/>
    <xf numFmtId="184" fontId="24" fillId="0" borderId="5" applyNumberFormat="0" applyFill="0" applyAlignment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28">
      <alignment horizontal="left" vertical="center"/>
    </xf>
    <xf numFmtId="184" fontId="77" fillId="0" borderId="0" applyNumberFormat="0" applyFill="0" applyBorder="0" applyAlignment="0" applyProtection="0"/>
    <xf numFmtId="184" fontId="20" fillId="0" borderId="0" applyNumberForma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19" fillId="21" borderId="2" applyNumberFormat="0" applyAlignment="0" applyProtection="0"/>
    <xf numFmtId="184" fontId="18" fillId="20" borderId="1" applyNumberFormat="0" applyAlignment="0" applyProtection="0"/>
    <xf numFmtId="184" fontId="17" fillId="3" borderId="0" applyNumberFormat="0" applyBorder="0" applyAlignment="0" applyProtection="0"/>
    <xf numFmtId="184" fontId="16" fillId="19" borderId="0" applyNumberFormat="0" applyBorder="0" applyAlignment="0" applyProtection="0"/>
    <xf numFmtId="184" fontId="16" fillId="14" borderId="0" applyNumberFormat="0" applyBorder="0" applyAlignment="0" applyProtection="0"/>
    <xf numFmtId="184" fontId="16" fillId="13" borderId="0" applyNumberFormat="0" applyBorder="0" applyAlignment="0" applyProtection="0"/>
    <xf numFmtId="184" fontId="16" fillId="18" borderId="0" applyNumberFormat="0" applyBorder="0" applyAlignment="0" applyProtection="0"/>
    <xf numFmtId="184" fontId="16" fillId="17" borderId="0" applyNumberFormat="0" applyBorder="0" applyAlignment="0" applyProtection="0"/>
    <xf numFmtId="184" fontId="16" fillId="16" borderId="0" applyNumberFormat="0" applyBorder="0" applyAlignment="0" applyProtection="0"/>
    <xf numFmtId="184" fontId="16" fillId="15" borderId="0" applyNumberFormat="0" applyBorder="0" applyAlignment="0" applyProtection="0"/>
    <xf numFmtId="184" fontId="16" fillId="14" borderId="0" applyNumberFormat="0" applyBorder="0" applyAlignment="0" applyProtection="0"/>
    <xf numFmtId="184" fontId="15" fillId="8" borderId="0" applyNumberFormat="0" applyBorder="0" applyAlignment="0" applyProtection="0"/>
    <xf numFmtId="184" fontId="16" fillId="12" borderId="0" applyNumberFormat="0" applyBorder="0" applyAlignment="0" applyProtection="0"/>
    <xf numFmtId="184" fontId="15" fillId="11" borderId="0" applyNumberFormat="0" applyBorder="0" applyAlignment="0" applyProtection="0"/>
    <xf numFmtId="184" fontId="15" fillId="10" borderId="0" applyNumberFormat="0" applyBorder="0" applyAlignment="0" applyProtection="0"/>
    <xf numFmtId="184" fontId="15" fillId="6" borderId="0" applyNumberFormat="0" applyBorder="0" applyAlignment="0" applyProtection="0"/>
    <xf numFmtId="184" fontId="15" fillId="5" borderId="0" applyNumberFormat="0" applyBorder="0" applyAlignment="0" applyProtection="0"/>
    <xf numFmtId="184" fontId="15" fillId="4" borderId="0" applyNumberFormat="0" applyBorder="0" applyAlignment="0" applyProtection="0"/>
    <xf numFmtId="184" fontId="15" fillId="3" borderId="0" applyNumberFormat="0" applyBorder="0" applyAlignment="0" applyProtection="0"/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4" fillId="24" borderId="8" applyNumberForma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4" fontId="3" fillId="23" borderId="7" applyNumberFormat="0" applyFont="0" applyAlignment="0" applyProtection="0"/>
    <xf numFmtId="184" fontId="3" fillId="0" borderId="0"/>
    <xf numFmtId="184" fontId="122" fillId="0" borderId="0"/>
    <xf numFmtId="184" fontId="79" fillId="0" borderId="0" applyNumberFormat="0" applyFont="0" applyFill="0" applyBorder="0" applyProtection="0"/>
    <xf numFmtId="184" fontId="4" fillId="0" borderId="64" applyNumberFormat="0" applyAlignment="0" applyProtection="0">
      <alignment horizontal="left" vertical="center"/>
    </xf>
    <xf numFmtId="184" fontId="21" fillId="4" borderId="0" applyNumberFormat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31" fillId="0" borderId="0"/>
    <xf numFmtId="4" fontId="97" fillId="108" borderId="55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100" fillId="0" borderId="0" applyNumberFormat="0" applyProtection="0">
      <alignment horizontal="left" vertical="center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4" fontId="95" fillId="24" borderId="55" applyNumberFormat="0" applyProtection="0">
      <alignment vertical="center"/>
    </xf>
    <xf numFmtId="184" fontId="16" fillId="10" borderId="0" applyNumberFormat="0" applyBorder="0" applyAlignment="0" applyProtection="0"/>
    <xf numFmtId="184" fontId="15" fillId="7" borderId="0" applyNumberFormat="0" applyBorder="0" applyAlignment="0" applyProtection="0"/>
    <xf numFmtId="0" fontId="3" fillId="0" borderId="0"/>
    <xf numFmtId="184" fontId="131" fillId="0" borderId="0"/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0" fontId="3" fillId="0" borderId="0"/>
    <xf numFmtId="184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148" fillId="137" borderId="1" applyNumberFormat="0" applyAlignment="0" applyProtection="0"/>
    <xf numFmtId="186" fontId="3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81" fillId="0" borderId="73" applyNumberFormat="0" applyFill="0" applyAlignment="0" applyProtection="0"/>
    <xf numFmtId="0" fontId="28" fillId="137" borderId="8" applyNumberFormat="0" applyAlignment="0" applyProtection="0"/>
    <xf numFmtId="0" fontId="3" fillId="8" borderId="55" applyNumberFormat="0" applyProtection="0">
      <alignment horizontal="left" vertical="top" indent="1"/>
    </xf>
    <xf numFmtId="0" fontId="3" fillId="109" borderId="55" applyNumberFormat="0" applyProtection="0">
      <alignment horizontal="left" vertical="top" indent="1"/>
    </xf>
    <xf numFmtId="0" fontId="2" fillId="40" borderId="0" applyNumberFormat="0" applyBorder="0" applyAlignment="0" applyProtection="0"/>
    <xf numFmtId="4" fontId="14" fillId="93" borderId="55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0" fontId="14" fillId="93" borderId="55" applyNumberFormat="0" applyProtection="0">
      <alignment horizontal="left" vertical="top" indent="1"/>
    </xf>
    <xf numFmtId="0" fontId="14" fillId="23" borderId="55" applyNumberFormat="0" applyProtection="0">
      <alignment horizontal="left" vertical="top" indent="1"/>
    </xf>
    <xf numFmtId="0" fontId="2" fillId="53" borderId="0" applyNumberFormat="0" applyBorder="0" applyAlignment="0" applyProtection="0"/>
    <xf numFmtId="4" fontId="14" fillId="93" borderId="0" applyNumberFormat="0" applyProtection="0">
      <alignment horizontal="left" vertical="center" indent="1"/>
    </xf>
    <xf numFmtId="0" fontId="30" fillId="0" borderId="62" applyNumberFormat="0" applyFill="0" applyAlignment="0" applyProtection="0"/>
    <xf numFmtId="0" fontId="63" fillId="58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4" fontId="94" fillId="22" borderId="55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97" fillId="23" borderId="55" applyNumberFormat="0" applyProtection="0">
      <alignment vertical="center"/>
    </xf>
    <xf numFmtId="0" fontId="2" fillId="41" borderId="0" applyNumberFormat="0" applyBorder="0" applyAlignment="0" applyProtection="0"/>
    <xf numFmtId="0" fontId="2" fillId="48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2" borderId="0" applyNumberFormat="0" applyBorder="0" applyAlignment="0" applyProtection="0"/>
    <xf numFmtId="4" fontId="99" fillId="109" borderId="0" applyNumberFormat="0" applyProtection="0">
      <alignment horizontal="left" vertical="center" indent="1"/>
    </xf>
    <xf numFmtId="0" fontId="63" fillId="54" borderId="0" applyNumberFormat="0" applyBorder="0" applyAlignment="0" applyProtection="0"/>
    <xf numFmtId="0" fontId="2" fillId="57" borderId="0" applyNumberFormat="0" applyBorder="0" applyAlignment="0" applyProtection="0"/>
    <xf numFmtId="0" fontId="54" fillId="28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3" fillId="109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3" fillId="108" borderId="55" applyNumberFormat="0" applyProtection="0">
      <alignment horizontal="left" vertical="top" indent="1"/>
    </xf>
    <xf numFmtId="4" fontId="49" fillId="108" borderId="55" applyNumberFormat="0" applyProtection="0">
      <alignment horizontal="right" vertical="center"/>
    </xf>
    <xf numFmtId="0" fontId="2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57" fillId="31" borderId="32" applyNumberFormat="0" applyAlignment="0" applyProtection="0"/>
    <xf numFmtId="0" fontId="61" fillId="33" borderId="35" applyNumberFormat="0" applyAlignment="0" applyProtection="0"/>
    <xf numFmtId="0" fontId="59" fillId="32" borderId="32" applyNumberFormat="0" applyAlignment="0" applyProtection="0"/>
    <xf numFmtId="4" fontId="14" fillId="23" borderId="55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0" fontId="2" fillId="36" borderId="0" applyNumberFormat="0" applyBorder="0" applyAlignment="0" applyProtection="0"/>
    <xf numFmtId="0" fontId="63" fillId="50" borderId="0" applyNumberFormat="0" applyBorder="0" applyAlignment="0" applyProtection="0"/>
    <xf numFmtId="0" fontId="62" fillId="0" borderId="0" applyNumberFormat="0" applyFill="0" applyBorder="0" applyAlignment="0" applyProtection="0"/>
    <xf numFmtId="0" fontId="55" fillId="29" borderId="0" applyNumberFormat="0" applyBorder="0" applyAlignment="0" applyProtection="0"/>
    <xf numFmtId="0" fontId="60" fillId="0" borderId="34" applyNumberFormat="0" applyFill="0" applyAlignment="0" applyProtection="0"/>
    <xf numFmtId="0" fontId="53" fillId="0" borderId="31" applyNumberFormat="0" applyFill="0" applyAlignment="0" applyProtection="0"/>
    <xf numFmtId="0" fontId="52" fillId="0" borderId="30" applyNumberFormat="0" applyFill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53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2" fillId="37" borderId="0" applyNumberFormat="0" applyBorder="0" applyAlignment="0" applyProtection="0"/>
    <xf numFmtId="0" fontId="2" fillId="49" borderId="0" applyNumberFormat="0" applyBorder="0" applyAlignment="0" applyProtection="0"/>
    <xf numFmtId="0" fontId="63" fillId="38" borderId="0" applyNumberFormat="0" applyBorder="0" applyAlignment="0" applyProtection="0"/>
    <xf numFmtId="0" fontId="63" fillId="43" borderId="0" applyNumberFormat="0" applyBorder="0" applyAlignment="0" applyProtection="0"/>
    <xf numFmtId="0" fontId="41" fillId="0" borderId="0" applyNumberFormat="0" applyFill="0" applyBorder="0" applyAlignment="0" applyProtection="0"/>
    <xf numFmtId="0" fontId="58" fillId="32" borderId="33" applyNumberFormat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63" fillId="43" borderId="0" applyNumberFormat="0" applyBorder="0" applyAlignment="0" applyProtection="0"/>
    <xf numFmtId="0" fontId="2" fillId="40" borderId="0" applyNumberFormat="0" applyBorder="0" applyAlignment="0" applyProtection="0"/>
    <xf numFmtId="0" fontId="63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65" fillId="30" borderId="0" applyNumberFormat="0" applyBorder="0" applyAlignment="0" applyProtection="0"/>
    <xf numFmtId="4" fontId="14" fillId="23" borderId="55" applyNumberFormat="0" applyProtection="0">
      <alignment vertical="center"/>
    </xf>
    <xf numFmtId="4" fontId="14" fillId="108" borderId="0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94" fillId="106" borderId="57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4" fontId="94" fillId="22" borderId="55" applyNumberFormat="0" applyProtection="0">
      <alignment vertical="center"/>
    </xf>
    <xf numFmtId="0" fontId="3" fillId="79" borderId="7" applyNumberFormat="0" applyFont="0" applyAlignment="0" applyProtection="0"/>
    <xf numFmtId="0" fontId="27" fillId="80" borderId="0" applyNumberFormat="0" applyBorder="0" applyAlignment="0" applyProtection="0"/>
    <xf numFmtId="0" fontId="150" fillId="0" borderId="74" applyNumberFormat="0" applyFill="0" applyAlignment="0" applyProtection="0"/>
    <xf numFmtId="0" fontId="81" fillId="0" borderId="0" applyNumberFormat="0" applyFill="0" applyBorder="0" applyAlignment="0" applyProtection="0"/>
    <xf numFmtId="0" fontId="78" fillId="0" borderId="49" applyNumberFormat="0" applyFill="0" applyAlignment="0" applyProtection="0"/>
    <xf numFmtId="0" fontId="21" fillId="138" borderId="0" applyNumberFormat="0" applyBorder="0" applyAlignment="0" applyProtection="0"/>
    <xf numFmtId="185" fontId="3" fillId="0" borderId="0" applyFont="0" applyFill="0" applyBorder="0" applyAlignment="0" applyProtection="0"/>
    <xf numFmtId="0" fontId="19" fillId="71" borderId="2" applyNumberFormat="0" applyAlignment="0" applyProtection="0"/>
    <xf numFmtId="0" fontId="147" fillId="69" borderId="0" applyNumberFormat="0" applyBorder="0" applyAlignment="0" applyProtection="0"/>
    <xf numFmtId="0" fontId="16" fillId="136" borderId="0" applyNumberFormat="0" applyBorder="0" applyAlignment="0" applyProtection="0"/>
    <xf numFmtId="0" fontId="16" fillId="135" borderId="0" applyNumberFormat="0" applyBorder="0" applyAlignment="0" applyProtection="0"/>
    <xf numFmtId="0" fontId="16" fillId="134" borderId="0" applyNumberFormat="0" applyBorder="0" applyAlignment="0" applyProtection="0"/>
    <xf numFmtId="0" fontId="16" fillId="71" borderId="0" applyNumberFormat="0" applyBorder="0" applyAlignment="0" applyProtection="0"/>
    <xf numFmtId="0" fontId="115" fillId="109" borderId="0" applyNumberFormat="0" applyBorder="0" applyAlignment="0" applyProtection="0"/>
    <xf numFmtId="0" fontId="115" fillId="20" borderId="0" applyNumberFormat="0" applyBorder="0" applyAlignment="0" applyProtection="0"/>
    <xf numFmtId="0" fontId="115" fillId="18" borderId="0" applyNumberFormat="0" applyBorder="0" applyAlignment="0" applyProtection="0"/>
    <xf numFmtId="0" fontId="115" fillId="109" borderId="0" applyNumberFormat="0" applyBorder="0" applyAlignment="0" applyProtection="0"/>
    <xf numFmtId="0" fontId="14" fillId="7" borderId="0" applyNumberFormat="0" applyBorder="0" applyAlignment="0" applyProtection="0"/>
    <xf numFmtId="0" fontId="14" fillId="109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09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114" borderId="0" applyNumberFormat="0" applyBorder="0" applyAlignment="0" applyProtection="0"/>
    <xf numFmtId="0" fontId="14" fillId="23" borderId="0" applyNumberFormat="0" applyBorder="0" applyAlignment="0" applyProtection="0"/>
    <xf numFmtId="0" fontId="14" fillId="9" borderId="0" applyNumberFormat="0" applyBorder="0" applyAlignment="0" applyProtection="0"/>
    <xf numFmtId="0" fontId="14" fillId="93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115" fillId="7" borderId="0" applyNumberFormat="0" applyBorder="0" applyAlignment="0" applyProtection="0"/>
    <xf numFmtId="0" fontId="2" fillId="52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3" fillId="108" borderId="55" applyNumberFormat="0" applyProtection="0">
      <alignment horizontal="left" vertical="center" indent="1"/>
    </xf>
    <xf numFmtId="0" fontId="63" fillId="55" borderId="0" applyNumberFormat="0" applyBorder="0" applyAlignment="0" applyProtection="0"/>
    <xf numFmtId="0" fontId="2" fillId="44" borderId="0" applyNumberFormat="0" applyBorder="0" applyAlignment="0" applyProtection="0"/>
    <xf numFmtId="4" fontId="95" fillId="22" borderId="55" applyNumberFormat="0" applyProtection="0">
      <alignment vertical="center"/>
    </xf>
    <xf numFmtId="0" fontId="63" fillId="35" borderId="0" applyNumberFormat="0" applyBorder="0" applyAlignment="0" applyProtection="0"/>
    <xf numFmtId="0" fontId="86" fillId="80" borderId="1" applyNumberFormat="0" applyAlignment="0" applyProtection="0"/>
    <xf numFmtId="0" fontId="115" fillId="9" borderId="0" applyNumberFormat="0" applyBorder="0" applyAlignment="0" applyProtection="0"/>
    <xf numFmtId="0" fontId="2" fillId="34" borderId="36" applyNumberFormat="0" applyFont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64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57" fillId="31" borderId="32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1" fillId="0" borderId="0"/>
    <xf numFmtId="0" fontId="2" fillId="0" borderId="0"/>
    <xf numFmtId="0" fontId="152" fillId="0" borderId="0"/>
    <xf numFmtId="9" fontId="3" fillId="0" borderId="0" applyFont="0" applyFill="0" applyBorder="0" applyAlignment="0" applyProtection="0"/>
    <xf numFmtId="0" fontId="45" fillId="0" borderId="0"/>
    <xf numFmtId="0" fontId="152" fillId="0" borderId="0"/>
    <xf numFmtId="0" fontId="151" fillId="0" borderId="0"/>
    <xf numFmtId="9" fontId="3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3" fillId="0" borderId="0" applyFont="0" applyFill="0" applyBorder="0" applyAlignment="0" applyProtection="0"/>
    <xf numFmtId="0" fontId="2" fillId="0" borderId="0"/>
    <xf numFmtId="9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43" fontId="4" fillId="0" borderId="0" xfId="29" applyNumberFormat="1" applyFont="1"/>
    <xf numFmtId="43" fontId="0" fillId="0" borderId="0" xfId="29" applyNumberFormat="1" applyFont="1"/>
    <xf numFmtId="43" fontId="8" fillId="0" borderId="0" xfId="29" applyNumberFormat="1" applyFont="1"/>
    <xf numFmtId="43" fontId="4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5" fillId="0" borderId="12" xfId="29" applyNumberFormat="1" applyFont="1" applyBorder="1" applyAlignment="1">
      <alignment horizontal="center"/>
    </xf>
    <xf numFmtId="43" fontId="4" fillId="0" borderId="13" xfId="29" applyNumberFormat="1" applyFont="1" applyBorder="1"/>
    <xf numFmtId="43" fontId="5" fillId="0" borderId="14" xfId="29" applyNumberFormat="1" applyFont="1" applyBorder="1" applyAlignment="1">
      <alignment horizontal="center"/>
    </xf>
    <xf numFmtId="43" fontId="5" fillId="0" borderId="15" xfId="29" applyNumberFormat="1" applyFont="1" applyFill="1" applyBorder="1" applyAlignment="1">
      <alignment horizontal="center"/>
    </xf>
    <xf numFmtId="43" fontId="4" fillId="0" borderId="16" xfId="29" applyNumberFormat="1" applyFont="1" applyBorder="1"/>
    <xf numFmtId="43" fontId="5" fillId="0" borderId="16" xfId="29" applyNumberFormat="1" applyFont="1" applyBorder="1"/>
    <xf numFmtId="43" fontId="6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3" fillId="0" borderId="0" xfId="29" applyNumberFormat="1"/>
    <xf numFmtId="43" fontId="6" fillId="0" borderId="16" xfId="29" applyNumberFormat="1" applyFont="1" applyBorder="1"/>
    <xf numFmtId="43" fontId="4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5" fillId="0" borderId="13" xfId="29" applyNumberFormat="1" applyFont="1" applyBorder="1"/>
    <xf numFmtId="43" fontId="9" fillId="0" borderId="16" xfId="29" applyNumberFormat="1" applyFont="1" applyBorder="1"/>
    <xf numFmtId="43" fontId="5" fillId="0" borderId="19" xfId="29" applyNumberFormat="1" applyFont="1" applyBorder="1" applyAlignment="1">
      <alignment horizontal="left"/>
    </xf>
    <xf numFmtId="0" fontId="5" fillId="0" borderId="16" xfId="0" applyFont="1" applyBorder="1"/>
    <xf numFmtId="0" fontId="0" fillId="0" borderId="16" xfId="0" applyBorder="1"/>
    <xf numFmtId="43" fontId="6" fillId="0" borderId="0" xfId="29" applyFont="1"/>
    <xf numFmtId="0" fontId="12" fillId="0" borderId="0" xfId="0" applyFont="1"/>
    <xf numFmtId="0" fontId="0" fillId="0" borderId="16" xfId="0" applyBorder="1" applyAlignment="1">
      <alignment horizontal="left"/>
    </xf>
    <xf numFmtId="0" fontId="6" fillId="0" borderId="16" xfId="0" applyFont="1" applyBorder="1"/>
    <xf numFmtId="165" fontId="0" fillId="0" borderId="0" xfId="29" applyNumberFormat="1" applyFont="1"/>
    <xf numFmtId="165" fontId="6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5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5" fillId="0" borderId="12" xfId="29" applyNumberFormat="1" applyFont="1" applyBorder="1" applyAlignment="1">
      <alignment horizontal="center"/>
    </xf>
    <xf numFmtId="165" fontId="5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5" fillId="0" borderId="0" xfId="29" applyNumberFormat="1" applyFont="1" applyBorder="1" applyAlignment="1">
      <alignment horizontal="center"/>
    </xf>
    <xf numFmtId="165" fontId="6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5" fillId="0" borderId="21" xfId="29" applyNumberFormat="1" applyFont="1" applyBorder="1" applyAlignment="1">
      <alignment horizontal="left"/>
    </xf>
    <xf numFmtId="165" fontId="5" fillId="0" borderId="17" xfId="29" applyNumberFormat="1" applyFont="1" applyFill="1" applyBorder="1" applyAlignment="1">
      <alignment horizontal="center"/>
    </xf>
    <xf numFmtId="165" fontId="5" fillId="0" borderId="20" xfId="29" applyNumberFormat="1" applyFont="1" applyBorder="1" applyAlignment="1">
      <alignment horizontal="left"/>
    </xf>
    <xf numFmtId="165" fontId="3" fillId="0" borderId="0" xfId="29" applyNumberFormat="1"/>
    <xf numFmtId="165" fontId="6" fillId="0" borderId="17" xfId="29" applyNumberFormat="1" applyFont="1" applyBorder="1"/>
    <xf numFmtId="165" fontId="0" fillId="0" borderId="15" xfId="29" applyNumberFormat="1" applyFont="1" applyBorder="1"/>
    <xf numFmtId="16" fontId="5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5" fillId="0" borderId="17" xfId="29" applyNumberFormat="1" applyFont="1" applyFill="1" applyBorder="1" applyAlignment="1">
      <alignment horizontal="center"/>
    </xf>
    <xf numFmtId="43" fontId="32" fillId="0" borderId="0" xfId="29" applyFont="1"/>
    <xf numFmtId="43" fontId="32" fillId="0" borderId="0" xfId="29" applyFont="1" applyBorder="1"/>
    <xf numFmtId="0" fontId="32" fillId="0" borderId="0" xfId="0" applyFont="1" applyAlignment="1">
      <alignment horizontal="left"/>
    </xf>
    <xf numFmtId="0" fontId="32" fillId="0" borderId="0" xfId="0" applyFont="1"/>
    <xf numFmtId="165" fontId="32" fillId="0" borderId="0" xfId="29" applyNumberFormat="1" applyFont="1" applyBorder="1"/>
    <xf numFmtId="0" fontId="32" fillId="0" borderId="0" xfId="0" applyFont="1" applyAlignment="1">
      <alignment horizontal="center"/>
    </xf>
    <xf numFmtId="0" fontId="34" fillId="0" borderId="0" xfId="43" applyFont="1" applyFill="1" applyBorder="1" applyAlignment="1"/>
    <xf numFmtId="166" fontId="6" fillId="0" borderId="0" xfId="0" applyNumberFormat="1" applyFont="1" applyFill="1"/>
    <xf numFmtId="165" fontId="0" fillId="0" borderId="12" xfId="29" applyNumberFormat="1" applyFont="1" applyBorder="1"/>
    <xf numFmtId="0" fontId="5" fillId="0" borderId="13" xfId="0" applyFont="1" applyBorder="1"/>
    <xf numFmtId="41" fontId="13" fillId="0" borderId="14" xfId="29" applyNumberFormat="1" applyFont="1" applyBorder="1"/>
    <xf numFmtId="0" fontId="3" fillId="0" borderId="16" xfId="0" applyFont="1" applyBorder="1"/>
    <xf numFmtId="0" fontId="15" fillId="0" borderId="0" xfId="43" applyFont="1" applyFill="1" applyBorder="1" applyAlignment="1"/>
    <xf numFmtId="43" fontId="3" fillId="0" borderId="16" xfId="29" applyNumberFormat="1" applyFont="1" applyBorder="1"/>
    <xf numFmtId="43" fontId="3" fillId="0" borderId="0" xfId="29" quotePrefix="1" applyFont="1"/>
    <xf numFmtId="43" fontId="3" fillId="0" borderId="18" xfId="29" applyNumberFormat="1" applyFont="1" applyBorder="1"/>
    <xf numFmtId="43" fontId="3" fillId="0" borderId="0" xfId="29" applyNumberFormat="1" applyFont="1"/>
    <xf numFmtId="43" fontId="32" fillId="0" borderId="0" xfId="0" applyNumberFormat="1" applyFont="1"/>
    <xf numFmtId="43" fontId="32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7" fillId="0" borderId="0" xfId="51" applyFont="1"/>
    <xf numFmtId="43" fontId="38" fillId="0" borderId="0" xfId="30" applyFont="1" applyFill="1"/>
    <xf numFmtId="0" fontId="3" fillId="0" borderId="0" xfId="51" applyFont="1"/>
    <xf numFmtId="43" fontId="39" fillId="0" borderId="0" xfId="30" applyFont="1" applyFill="1"/>
    <xf numFmtId="43" fontId="3" fillId="0" borderId="0" xfId="51" applyNumberFormat="1" applyFont="1"/>
    <xf numFmtId="11" fontId="3" fillId="0" borderId="0" xfId="51" applyNumberFormat="1" applyFont="1"/>
    <xf numFmtId="6" fontId="4" fillId="0" borderId="0" xfId="51" quotePrefix="1" applyNumberFormat="1" applyFont="1"/>
    <xf numFmtId="0" fontId="39" fillId="0" borderId="0" xfId="51" applyFont="1"/>
    <xf numFmtId="10" fontId="38" fillId="0" borderId="0" xfId="52" applyNumberFormat="1" applyFont="1" applyFill="1"/>
    <xf numFmtId="0" fontId="3" fillId="0" borderId="10" xfId="51" applyFont="1" applyBorder="1"/>
    <xf numFmtId="43" fontId="38" fillId="0" borderId="11" xfId="30" applyFont="1" applyFill="1" applyBorder="1" applyAlignment="1">
      <alignment horizontal="center"/>
    </xf>
    <xf numFmtId="0" fontId="3" fillId="0" borderId="11" xfId="51" applyFont="1" applyBorder="1" applyAlignment="1">
      <alignment horizontal="center"/>
    </xf>
    <xf numFmtId="43" fontId="5" fillId="0" borderId="12" xfId="30" applyFont="1" applyFill="1" applyBorder="1" applyAlignment="1">
      <alignment horizontal="center"/>
    </xf>
    <xf numFmtId="0" fontId="4" fillId="0" borderId="13" xfId="51" applyFont="1" applyBorder="1"/>
    <xf numFmtId="43" fontId="5" fillId="0" borderId="14" xfId="30" applyFont="1" applyFill="1" applyBorder="1" applyAlignment="1">
      <alignment horizontal="center"/>
    </xf>
    <xf numFmtId="0" fontId="5" fillId="0" borderId="14" xfId="51" applyFont="1" applyBorder="1" applyAlignment="1">
      <alignment horizontal="center"/>
    </xf>
    <xf numFmtId="43" fontId="5" fillId="0" borderId="15" xfId="30" applyFont="1" applyFill="1" applyBorder="1" applyAlignment="1">
      <alignment horizontal="center"/>
    </xf>
    <xf numFmtId="0" fontId="4" fillId="0" borderId="16" xfId="51" applyFont="1" applyBorder="1"/>
    <xf numFmtId="43" fontId="5" fillId="0" borderId="0" xfId="30" applyFont="1" applyFill="1" applyBorder="1" applyAlignment="1">
      <alignment horizontal="center"/>
    </xf>
    <xf numFmtId="0" fontId="5" fillId="0" borderId="0" xfId="51" applyFont="1" applyAlignment="1">
      <alignment horizontal="center"/>
    </xf>
    <xf numFmtId="43" fontId="5" fillId="0" borderId="17" xfId="30" applyFont="1" applyFill="1" applyBorder="1" applyAlignment="1">
      <alignment horizontal="center"/>
    </xf>
    <xf numFmtId="0" fontId="5" fillId="0" borderId="16" xfId="51" applyFont="1" applyBorder="1"/>
    <xf numFmtId="43" fontId="36" fillId="0" borderId="0" xfId="30" applyFont="1" applyFill="1"/>
    <xf numFmtId="43" fontId="36" fillId="0" borderId="17" xfId="30" applyFont="1" applyFill="1" applyBorder="1"/>
    <xf numFmtId="0" fontId="3" fillId="0" borderId="16" xfId="51" applyFont="1" applyBorder="1"/>
    <xf numFmtId="165" fontId="36" fillId="0" borderId="0" xfId="29" applyNumberFormat="1" applyFont="1" applyFill="1"/>
    <xf numFmtId="165" fontId="36" fillId="0" borderId="17" xfId="29" applyNumberFormat="1" applyFont="1" applyFill="1" applyBorder="1"/>
    <xf numFmtId="0" fontId="3" fillId="0" borderId="18" xfId="51" applyFont="1" applyBorder="1"/>
    <xf numFmtId="165" fontId="36" fillId="0" borderId="22" xfId="29" applyNumberFormat="1" applyFont="1" applyFill="1" applyBorder="1"/>
    <xf numFmtId="165" fontId="36" fillId="0" borderId="23" xfId="29" applyNumberFormat="1" applyFont="1" applyFill="1" applyBorder="1"/>
    <xf numFmtId="43" fontId="36" fillId="0" borderId="0" xfId="30" applyFont="1" applyFill="1" applyBorder="1"/>
    <xf numFmtId="0" fontId="40" fillId="0" borderId="0" xfId="51" applyFont="1"/>
    <xf numFmtId="0" fontId="42" fillId="0" borderId="0" xfId="55223" applyFont="1" applyBorder="1"/>
    <xf numFmtId="166" fontId="1" fillId="0" borderId="0" xfId="55223" applyNumberFormat="1" applyBorder="1"/>
    <xf numFmtId="43" fontId="5" fillId="0" borderId="0" xfId="55223" applyNumberFormat="1" applyFont="1" applyBorder="1"/>
    <xf numFmtId="0" fontId="5" fillId="0" borderId="0" xfId="55223" applyFont="1" applyBorder="1"/>
    <xf numFmtId="43" fontId="5" fillId="0" borderId="0" xfId="55222" applyFont="1" applyBorder="1"/>
    <xf numFmtId="166" fontId="3" fillId="0" borderId="0" xfId="55223" applyNumberFormat="1" applyFont="1" applyBorder="1"/>
    <xf numFmtId="43" fontId="3" fillId="0" borderId="0" xfId="55223" applyNumberFormat="1" applyFont="1" applyBorder="1"/>
    <xf numFmtId="0" fontId="3" fillId="0" borderId="0" xfId="55223" applyFont="1" applyBorder="1"/>
    <xf numFmtId="43" fontId="3" fillId="0" borderId="0" xfId="55222" applyFont="1" applyBorder="1"/>
    <xf numFmtId="0" fontId="3" fillId="0" borderId="0" xfId="55223" applyFont="1" applyBorder="1" applyAlignment="1">
      <alignment horizontal="right"/>
    </xf>
    <xf numFmtId="43" fontId="3" fillId="0" borderId="0" xfId="55222" applyFont="1" applyFill="1" applyBorder="1"/>
    <xf numFmtId="0" fontId="1" fillId="0" borderId="0" xfId="55223" applyBorder="1"/>
    <xf numFmtId="0" fontId="36" fillId="0" borderId="0" xfId="0" applyFont="1" applyAlignment="1">
      <alignment horizontal="left" wrapText="1"/>
    </xf>
  </cellXfs>
  <cellStyles count="55224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 94" xfId="55221" xr:uid="{4CC87CFA-7CC6-4AE6-9E60-2F1853179856}"/>
    <cellStyle name="Comma 95" xfId="55222" xr:uid="{B8374C32-F1F9-4811-8771-9379613CF1C8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78" xfId="55220" xr:uid="{D7F54DDA-6C84-4D80-B80D-AE272F28D396}"/>
    <cellStyle name="Normal 179" xfId="55223" xr:uid="{1CB55A49-FD11-40F7-986E-29EA0ABF069E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H8" activePane="bottomRight" state="frozen"/>
      <selection pane="topRight" activeCell="B1" sqref="B1"/>
      <selection pane="bottomLeft" activeCell="A8" sqref="A8"/>
      <selection pane="bottomRight" activeCell="I19" sqref="I19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1910011.71</v>
      </c>
      <c r="G9" s="31">
        <v>1695049.27</v>
      </c>
      <c r="H9" s="31">
        <v>1432781.72</v>
      </c>
      <c r="I9" s="31">
        <v>1267723.31</v>
      </c>
      <c r="J9" s="31">
        <v>0</v>
      </c>
      <c r="K9" s="31">
        <v>0</v>
      </c>
      <c r="L9" s="31">
        <v>0</v>
      </c>
      <c r="M9" s="31">
        <v>0</v>
      </c>
      <c r="N9" s="37">
        <f t="shared" ref="N9:N19" si="0">SUM(B9:M9)</f>
        <v>20840125.799999997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4230937.75</v>
      </c>
      <c r="G10" s="31">
        <v>3995114.77</v>
      </c>
      <c r="H10" s="31">
        <v>3625570.7</v>
      </c>
      <c r="I10" s="31">
        <v>3396777.78</v>
      </c>
      <c r="J10" s="31">
        <v>0</v>
      </c>
      <c r="K10" s="31">
        <v>0</v>
      </c>
      <c r="L10" s="31">
        <v>0</v>
      </c>
      <c r="M10" s="31">
        <v>0</v>
      </c>
      <c r="N10" s="37">
        <f t="shared" si="0"/>
        <v>37338878.660000004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2434.73</v>
      </c>
      <c r="G11" s="31">
        <v>3113.67</v>
      </c>
      <c r="H11" s="31">
        <v>3258.05</v>
      </c>
      <c r="I11" s="31">
        <v>2831.27</v>
      </c>
      <c r="J11" s="31">
        <v>0</v>
      </c>
      <c r="K11" s="31">
        <v>0</v>
      </c>
      <c r="L11" s="31">
        <v>0</v>
      </c>
      <c r="M11" s="31">
        <v>0</v>
      </c>
      <c r="N11" s="37">
        <f t="shared" si="0"/>
        <v>17376.46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91326.77</v>
      </c>
      <c r="G12" s="31">
        <v>124204.57</v>
      </c>
      <c r="H12" s="31">
        <v>137601.99</v>
      </c>
      <c r="I12" s="31">
        <v>135785.19</v>
      </c>
      <c r="J12" s="31">
        <v>0</v>
      </c>
      <c r="K12" s="31">
        <v>0</v>
      </c>
      <c r="L12" s="31">
        <v>0</v>
      </c>
      <c r="M12" s="31">
        <v>0</v>
      </c>
      <c r="N12" s="37">
        <f t="shared" si="0"/>
        <v>706642.1399999999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669732.16</v>
      </c>
      <c r="G13" s="31">
        <v>724255.07</v>
      </c>
      <c r="H13" s="31">
        <v>646026.31999999995</v>
      </c>
      <c r="I13" s="31">
        <v>684749.03</v>
      </c>
      <c r="J13" s="31">
        <v>0</v>
      </c>
      <c r="K13" s="31">
        <v>0</v>
      </c>
      <c r="L13" s="31">
        <v>0</v>
      </c>
      <c r="M13" s="31">
        <v>0</v>
      </c>
      <c r="N13" s="37">
        <f t="shared" si="0"/>
        <v>5525592.7700000005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648943.01</v>
      </c>
      <c r="G15" s="31">
        <v>576336.11</v>
      </c>
      <c r="H15" s="31">
        <v>501212.54</v>
      </c>
      <c r="I15" s="31">
        <v>447879.25</v>
      </c>
      <c r="J15" s="31">
        <v>0</v>
      </c>
      <c r="K15" s="31">
        <v>0</v>
      </c>
      <c r="L15" s="31">
        <v>0</v>
      </c>
      <c r="M15" s="31">
        <v>0</v>
      </c>
      <c r="N15" s="37">
        <f t="shared" si="0"/>
        <v>6994701.7599999998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10938.59</v>
      </c>
      <c r="G16" s="31">
        <v>9884.48</v>
      </c>
      <c r="H16" s="31">
        <v>8703.3799999999992</v>
      </c>
      <c r="I16" s="31">
        <v>7832.49</v>
      </c>
      <c r="J16" s="31">
        <v>0</v>
      </c>
      <c r="K16" s="31">
        <v>0</v>
      </c>
      <c r="L16" s="31">
        <v>0</v>
      </c>
      <c r="M16" s="31">
        <v>0</v>
      </c>
      <c r="N16" s="37">
        <f t="shared" si="0"/>
        <v>103505.78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-18643.671194656199</v>
      </c>
      <c r="G18" s="31">
        <v>-20849.990000000002</v>
      </c>
      <c r="H18" s="31">
        <v>-24254.79</v>
      </c>
      <c r="I18" s="31">
        <v>-18917.060000000001</v>
      </c>
      <c r="J18" s="31">
        <v>0</v>
      </c>
      <c r="K18" s="31">
        <v>0</v>
      </c>
      <c r="L18" s="31">
        <v>0</v>
      </c>
      <c r="M18" s="31">
        <v>0</v>
      </c>
      <c r="N18" s="37">
        <f t="shared" si="0"/>
        <v>-170495.2011946562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7545681.0488053439</v>
      </c>
      <c r="G20" s="34">
        <f t="shared" si="1"/>
        <v>7107107.9500000011</v>
      </c>
      <c r="H20" s="34">
        <f t="shared" si="1"/>
        <v>6330899.9100000001</v>
      </c>
      <c r="I20" s="34">
        <f t="shared" si="1"/>
        <v>5924661.2600000007</v>
      </c>
      <c r="J20" s="34">
        <f t="shared" si="1"/>
        <v>0</v>
      </c>
      <c r="K20" s="34">
        <f t="shared" si="1"/>
        <v>0</v>
      </c>
      <c r="L20" s="34">
        <f t="shared" si="1"/>
        <v>0</v>
      </c>
      <c r="M20" s="34">
        <f t="shared" si="1"/>
        <v>0</v>
      </c>
      <c r="N20" s="38">
        <f>SUM(B20:M20)</f>
        <v>71356328.168805361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Q479"/>
  <sheetViews>
    <sheetView zoomScaleNormal="100" workbookViewId="0">
      <pane xSplit="1" ySplit="6" topLeftCell="I7" activePane="bottomRight" state="frozen"/>
      <selection pane="topRight" activeCell="B1" sqref="B1"/>
      <selection pane="bottomLeft" activeCell="A7" sqref="A7"/>
      <selection pane="bottomRight" activeCell="S16" sqref="S16"/>
    </sheetView>
  </sheetViews>
  <sheetFormatPr defaultColWidth="9.140625" defaultRowHeight="12.75"/>
  <cols>
    <col min="1" max="1" width="50.8554687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16" bestFit="1" customWidth="1"/>
    <col min="17" max="17" width="12.85546875" style="16" bestFit="1" customWidth="1"/>
    <col min="18" max="16384" width="9.140625" style="2"/>
  </cols>
  <sheetData>
    <row r="1" spans="1:17" ht="15.75">
      <c r="A1" s="1" t="s">
        <v>20</v>
      </c>
    </row>
    <row r="2" spans="1:17" ht="15.75">
      <c r="A2" s="3" t="s">
        <v>43</v>
      </c>
    </row>
    <row r="3" spans="1:17" ht="15.75">
      <c r="A3" s="1" t="str">
        <f>'Table G-1'!A3</f>
        <v>Calendar Year 2022</v>
      </c>
    </row>
    <row r="4" spans="1:17" ht="16.5" thickBot="1">
      <c r="A4" s="4"/>
    </row>
    <row r="5" spans="1:17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7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7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7">
      <c r="A8" s="22" t="s">
        <v>31</v>
      </c>
      <c r="B8" s="30">
        <f>2394318-B43-B85</f>
        <v>1544274.9332672853</v>
      </c>
      <c r="C8" s="30">
        <f>5201877-C43-C85</f>
        <v>3018303.1060010558</v>
      </c>
      <c r="D8" s="30">
        <f>14041265-D43-D85</f>
        <v>10727702.07</v>
      </c>
      <c r="E8" s="30">
        <f>3550510.21-E43-E85</f>
        <v>2148985.58</v>
      </c>
      <c r="F8" s="30">
        <f>6050066.26-F43-F85</f>
        <v>5152293.66</v>
      </c>
      <c r="G8" s="30">
        <f>13798560.1-G43-G85</f>
        <v>12424111.049999999</v>
      </c>
      <c r="H8" s="30">
        <f>3081877.25-H43-H85</f>
        <v>2123873.71</v>
      </c>
      <c r="I8" s="30">
        <f>5362181.44-I43-I85</f>
        <v>4327011.7700000005</v>
      </c>
      <c r="J8" s="30">
        <f>0-J43-J85</f>
        <v>0</v>
      </c>
      <c r="K8" s="30">
        <f>0-K43-K85</f>
        <v>0</v>
      </c>
      <c r="L8" s="30">
        <f>0-L43-L85</f>
        <v>0</v>
      </c>
      <c r="M8" s="30">
        <f>0-M43-M85</f>
        <v>0</v>
      </c>
      <c r="N8" s="14">
        <f>SUM(B8:M8)</f>
        <v>41466555.879268348</v>
      </c>
    </row>
    <row r="9" spans="1:17">
      <c r="A9" s="15" t="s">
        <v>49</v>
      </c>
      <c r="N9" s="14">
        <f>SUM(B9:M9)</f>
        <v>0</v>
      </c>
      <c r="P9" s="116"/>
      <c r="Q9" s="115"/>
    </row>
    <row r="10" spans="1:17">
      <c r="A10" s="22" t="s">
        <v>30</v>
      </c>
      <c r="N10" s="14"/>
      <c r="P10" s="116"/>
      <c r="Q10" s="115"/>
    </row>
    <row r="11" spans="1:17" ht="15">
      <c r="A11" s="59" t="s">
        <v>167</v>
      </c>
      <c r="B11" s="30">
        <v>788.53163183958804</v>
      </c>
      <c r="C11" s="30">
        <v>994.15799291839403</v>
      </c>
      <c r="D11" s="30">
        <v>321.93</v>
      </c>
      <c r="E11" s="30">
        <v>279.34000000000003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0" si="0">SUM(B11:M11)</f>
        <v>2383.9596247579821</v>
      </c>
      <c r="O11"/>
      <c r="P11" s="116"/>
      <c r="Q11" s="115"/>
    </row>
    <row r="12" spans="1:17" ht="15">
      <c r="A12" s="65" t="s">
        <v>176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7">
        <f t="shared" si="0"/>
        <v>0</v>
      </c>
      <c r="O12"/>
      <c r="P12" s="116"/>
      <c r="Q12" s="114"/>
    </row>
    <row r="13" spans="1:17" ht="15">
      <c r="A13" s="65" t="s">
        <v>177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0</v>
      </c>
      <c r="O13"/>
      <c r="P13" s="116"/>
      <c r="Q13" s="112"/>
    </row>
    <row r="14" spans="1:17" ht="15">
      <c r="A14" s="65" t="s">
        <v>178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0</v>
      </c>
      <c r="O14"/>
      <c r="P14" s="116"/>
      <c r="Q14" s="115"/>
    </row>
    <row r="15" spans="1:17" ht="15">
      <c r="A15" s="59" t="s">
        <v>164</v>
      </c>
      <c r="B15" s="30">
        <v>786.81875255149566</v>
      </c>
      <c r="C15" s="30">
        <v>565.45715274227223</v>
      </c>
      <c r="D15" s="30">
        <v>418.02000000000004</v>
      </c>
      <c r="E15" s="30">
        <v>284.84000000000003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2055.1359052937678</v>
      </c>
      <c r="O15"/>
      <c r="P15" s="114"/>
      <c r="Q15" s="112"/>
    </row>
    <row r="16" spans="1:17" ht="15">
      <c r="A16" s="65" t="s">
        <v>139</v>
      </c>
      <c r="B16" s="30">
        <v>37.511661836120716</v>
      </c>
      <c r="C16" s="30">
        <v>18.666674709716993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56.178336545837709</v>
      </c>
      <c r="O16"/>
      <c r="P16" s="114"/>
      <c r="Q16" s="109"/>
    </row>
    <row r="17" spans="1:17" ht="15">
      <c r="A17" s="59" t="s">
        <v>169</v>
      </c>
      <c r="B17" s="30">
        <v>877.18351934479756</v>
      </c>
      <c r="C17" s="30">
        <v>628.09563201936021</v>
      </c>
      <c r="D17" s="30">
        <v>477.17999999999995</v>
      </c>
      <c r="E17" s="30">
        <v>386.21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2368.6691513641576</v>
      </c>
      <c r="O17"/>
      <c r="P17" s="114"/>
      <c r="Q17" s="113"/>
    </row>
    <row r="18" spans="1:17" ht="15">
      <c r="A18" s="65" t="s">
        <v>159</v>
      </c>
      <c r="B18" s="30">
        <v>786.81875255149566</v>
      </c>
      <c r="C18" s="30">
        <v>560.426757052315</v>
      </c>
      <c r="D18" s="30">
        <v>32767.110000000008</v>
      </c>
      <c r="E18" s="30">
        <v>-11806.470000000001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22307.885509603817</v>
      </c>
      <c r="O18"/>
      <c r="P18" s="116"/>
      <c r="Q18" s="112"/>
    </row>
    <row r="19" spans="1:17" ht="17.25" customHeight="1">
      <c r="A19" s="59" t="s">
        <v>168</v>
      </c>
      <c r="B19" s="30">
        <v>736.81194401444623</v>
      </c>
      <c r="C19" s="30">
        <v>607.8874281105825</v>
      </c>
      <c r="D19" s="30">
        <v>599.39</v>
      </c>
      <c r="E19" s="30">
        <v>376.82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2320.9093721250288</v>
      </c>
      <c r="O19"/>
      <c r="P19" s="116"/>
      <c r="Q19" s="115"/>
    </row>
    <row r="20" spans="1:17" ht="17.25" customHeight="1">
      <c r="A20" s="65" t="s">
        <v>172</v>
      </c>
      <c r="B20" s="30">
        <v>42.70770127460905</v>
      </c>
      <c r="C20" s="30">
        <v>94619.420094081681</v>
      </c>
      <c r="D20" s="30">
        <v>25870.880000000001</v>
      </c>
      <c r="E20" s="30">
        <v>25870.880000000001</v>
      </c>
      <c r="F20" s="30">
        <v>25870.880000000001</v>
      </c>
      <c r="G20" s="30">
        <v>25870.880000000001</v>
      </c>
      <c r="H20" s="30">
        <v>25870.880000000001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14">
        <f t="shared" si="0"/>
        <v>224016.52779535632</v>
      </c>
      <c r="O20"/>
      <c r="P20" s="114"/>
      <c r="Q20" s="111"/>
    </row>
    <row r="21" spans="1:17" ht="17.25" customHeight="1">
      <c r="A21" s="65" t="s">
        <v>171</v>
      </c>
      <c r="B21" s="30">
        <v>42.70770127460905</v>
      </c>
      <c r="C21" s="30">
        <v>97398.418452703263</v>
      </c>
      <c r="D21" s="30">
        <v>26322.35</v>
      </c>
      <c r="E21" s="30">
        <v>26322.35</v>
      </c>
      <c r="F21" s="30">
        <v>26322.35</v>
      </c>
      <c r="G21" s="30">
        <v>26322.35</v>
      </c>
      <c r="H21" s="30">
        <v>26322.35</v>
      </c>
      <c r="I21" s="30">
        <v>26322.35</v>
      </c>
      <c r="J21" s="30">
        <v>0</v>
      </c>
      <c r="K21" s="30">
        <v>0</v>
      </c>
      <c r="L21" s="30">
        <v>0</v>
      </c>
      <c r="M21" s="30">
        <v>0</v>
      </c>
      <c r="N21" s="14">
        <f t="shared" si="0"/>
        <v>255375.22615397791</v>
      </c>
      <c r="O21"/>
      <c r="P21" s="114"/>
      <c r="Q21" s="112"/>
    </row>
    <row r="22" spans="1:17" ht="17.25" customHeight="1">
      <c r="A22" s="65" t="s">
        <v>174</v>
      </c>
      <c r="B22" s="30">
        <v>10307.729102854653</v>
      </c>
      <c r="C22" s="30">
        <v>1470.3127331134929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25870.880000000001</v>
      </c>
      <c r="J22" s="30">
        <v>0</v>
      </c>
      <c r="K22" s="30">
        <v>0</v>
      </c>
      <c r="L22" s="30">
        <v>0</v>
      </c>
      <c r="M22" s="30">
        <v>0</v>
      </c>
      <c r="N22" s="14">
        <f t="shared" si="0"/>
        <v>37648.921835968147</v>
      </c>
      <c r="O22"/>
      <c r="P22" s="116"/>
      <c r="Q22" s="115"/>
    </row>
    <row r="23" spans="1:17" ht="17.25" customHeight="1">
      <c r="A23" s="65" t="s">
        <v>173</v>
      </c>
      <c r="B23" s="30">
        <v>9.4024095008747466</v>
      </c>
      <c r="C23" s="30">
        <v>64118.128192586635</v>
      </c>
      <c r="D23" s="30">
        <v>27067.3</v>
      </c>
      <c r="E23" s="30">
        <v>27067.3</v>
      </c>
      <c r="F23" s="30">
        <v>27067.3</v>
      </c>
      <c r="G23" s="30">
        <v>27067.3</v>
      </c>
      <c r="H23" s="30">
        <v>27067.3</v>
      </c>
      <c r="I23" s="30">
        <v>27067.3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226531.33060208746</v>
      </c>
      <c r="O23"/>
      <c r="P23" s="116"/>
      <c r="Q23" s="115"/>
    </row>
    <row r="24" spans="1:17" ht="17.25" customHeight="1">
      <c r="A24" s="59" t="s">
        <v>111</v>
      </c>
      <c r="B24" s="30">
        <v>800.36904792234122</v>
      </c>
      <c r="C24" s="30">
        <v>507.69554127762126</v>
      </c>
      <c r="D24" s="30">
        <v>352.68</v>
      </c>
      <c r="E24" s="30">
        <v>1269.2500000000002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2929.9945891999628</v>
      </c>
      <c r="O24"/>
      <c r="P24" s="118"/>
      <c r="Q24" s="111"/>
    </row>
    <row r="25" spans="1:17" ht="15">
      <c r="A25" s="59" t="s">
        <v>170</v>
      </c>
      <c r="B25" s="30">
        <v>404.19851165580576</v>
      </c>
      <c r="C25" s="30">
        <v>345.95962450792695</v>
      </c>
      <c r="D25" s="30">
        <v>228.93</v>
      </c>
      <c r="E25" s="30">
        <v>439.52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1418.6081361637328</v>
      </c>
      <c r="O25"/>
      <c r="P25" s="118"/>
      <c r="Q25" s="112"/>
    </row>
    <row r="26" spans="1:17" ht="15">
      <c r="A26" s="65" t="s">
        <v>163</v>
      </c>
      <c r="B26" s="30">
        <v>803.59626612587886</v>
      </c>
      <c r="C26" s="30">
        <v>546.71817822888329</v>
      </c>
      <c r="D26" s="30">
        <v>6270.1500000000015</v>
      </c>
      <c r="E26" s="30">
        <v>-1560.0500000000002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si="0"/>
        <v>6060.4144443547639</v>
      </c>
      <c r="O26"/>
      <c r="P26" s="118"/>
      <c r="Q26" s="112"/>
    </row>
    <row r="27" spans="1:17" ht="15">
      <c r="A27" s="65" t="s">
        <v>180</v>
      </c>
      <c r="B27" s="30">
        <v>0</v>
      </c>
      <c r="C27" s="30">
        <v>0</v>
      </c>
      <c r="D27" s="30">
        <v>0</v>
      </c>
      <c r="E27" s="30">
        <v>0</v>
      </c>
      <c r="F27" s="30">
        <v>3344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7">
        <f t="shared" si="0"/>
        <v>3344</v>
      </c>
      <c r="O27"/>
      <c r="P27" s="118"/>
      <c r="Q27" s="112"/>
    </row>
    <row r="28" spans="1:17" ht="15">
      <c r="A28" s="59" t="s">
        <v>175</v>
      </c>
      <c r="B28" s="30">
        <v>1496.6484448838125</v>
      </c>
      <c r="C28" s="30">
        <v>1124.2808096739152</v>
      </c>
      <c r="D28" s="30">
        <v>723.12</v>
      </c>
      <c r="E28" s="30">
        <v>957.73</v>
      </c>
      <c r="F28" s="30">
        <v>699.34</v>
      </c>
      <c r="G28" s="30">
        <v>155.60999999999996</v>
      </c>
      <c r="H28" s="30">
        <v>179.46</v>
      </c>
      <c r="I28" s="30">
        <v>111.09</v>
      </c>
      <c r="J28" s="30">
        <v>0</v>
      </c>
      <c r="K28" s="30">
        <v>0</v>
      </c>
      <c r="L28" s="30">
        <v>0</v>
      </c>
      <c r="M28" s="30">
        <v>0</v>
      </c>
      <c r="N28" s="14">
        <f t="shared" si="0"/>
        <v>5447.2792545577277</v>
      </c>
      <c r="O28"/>
      <c r="P28" s="116"/>
      <c r="Q28" s="115"/>
    </row>
    <row r="29" spans="1:17" ht="15">
      <c r="A29" s="59" t="s">
        <v>126</v>
      </c>
      <c r="B29" s="30">
        <v>773.00014397073687</v>
      </c>
      <c r="C29" s="30">
        <v>1422.6133263750696</v>
      </c>
      <c r="D29" s="30">
        <v>544.57999999999993</v>
      </c>
      <c r="E29" s="30">
        <v>560.61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3300.8034703458065</v>
      </c>
      <c r="O29"/>
      <c r="P29" s="116"/>
      <c r="Q29" s="111"/>
    </row>
    <row r="30" spans="1:17" ht="15">
      <c r="A30" s="59" t="s">
        <v>131</v>
      </c>
      <c r="B30" s="30">
        <v>58515.077602257421</v>
      </c>
      <c r="C30" s="30">
        <v>-15655.063457124474</v>
      </c>
      <c r="D30" s="30">
        <v>3385.8799999999997</v>
      </c>
      <c r="E30" s="30">
        <v>4989.3599999999997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51235.254145132945</v>
      </c>
      <c r="O30"/>
      <c r="P30" s="116"/>
      <c r="Q30" s="115"/>
    </row>
    <row r="31" spans="1:17" ht="15">
      <c r="A31" s="59" t="s">
        <v>138</v>
      </c>
      <c r="B31" s="30">
        <v>314.1569284757436</v>
      </c>
      <c r="C31" s="30">
        <v>437.67879365232181</v>
      </c>
      <c r="D31" s="30">
        <v>351.59</v>
      </c>
      <c r="E31" s="30">
        <v>237.62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1341.0457221280653</v>
      </c>
      <c r="O31"/>
      <c r="P31" s="116"/>
      <c r="Q31" s="115"/>
    </row>
    <row r="32" spans="1:17" ht="15">
      <c r="A32" s="65" t="s">
        <v>158</v>
      </c>
      <c r="B32" s="30">
        <v>530.42775560342693</v>
      </c>
      <c r="C32" s="30">
        <v>633.69006233627806</v>
      </c>
      <c r="D32" s="30">
        <v>11438.25</v>
      </c>
      <c r="E32" s="30">
        <v>557.57999999999993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13159.947817939705</v>
      </c>
      <c r="O32"/>
      <c r="P32" s="118"/>
      <c r="Q32" s="115"/>
    </row>
    <row r="33" spans="1:17" ht="15">
      <c r="A33" s="65" t="s">
        <v>161</v>
      </c>
      <c r="B33" s="30">
        <v>3003.149346097809</v>
      </c>
      <c r="C33" s="30">
        <v>7730.397149826882</v>
      </c>
      <c r="D33" s="30">
        <v>9068.0399999999991</v>
      </c>
      <c r="E33" s="30">
        <v>3374.79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 t="shared" si="0"/>
        <v>23176.376495924691</v>
      </c>
      <c r="O33"/>
      <c r="P33" s="118"/>
      <c r="Q33" s="111"/>
    </row>
    <row r="34" spans="1:17" ht="15">
      <c r="A34" s="59" t="s">
        <v>117</v>
      </c>
      <c r="B34" s="30">
        <v>807.30725107230774</v>
      </c>
      <c r="C34" s="30">
        <v>533.3680448385287</v>
      </c>
      <c r="D34" s="30">
        <v>9395.4199999999983</v>
      </c>
      <c r="E34" s="30">
        <v>-8592.77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2143.325295910834</v>
      </c>
      <c r="O34"/>
      <c r="P34" s="118"/>
      <c r="Q34" s="115"/>
    </row>
    <row r="35" spans="1:17" ht="15">
      <c r="A35" s="59" t="s">
        <v>135</v>
      </c>
      <c r="B35" s="30">
        <v>387.83059954713269</v>
      </c>
      <c r="C35" s="30">
        <v>564.94079098125883</v>
      </c>
      <c r="D35" s="30">
        <v>590.25</v>
      </c>
      <c r="E35" s="30">
        <v>557.57999999999993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2100.6013905283917</v>
      </c>
      <c r="O35"/>
      <c r="P35" s="116"/>
      <c r="Q35" s="115"/>
    </row>
    <row r="36" spans="1:17" ht="15">
      <c r="A36" s="59" t="s">
        <v>165</v>
      </c>
      <c r="B36" s="30">
        <v>1305.1038034921107</v>
      </c>
      <c r="C36" s="30">
        <v>1039.1137521252354</v>
      </c>
      <c r="D36" s="30">
        <v>909.2299999999999</v>
      </c>
      <c r="E36" s="30">
        <v>903.44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4156.8875556173462</v>
      </c>
      <c r="O36"/>
      <c r="P36" s="118"/>
      <c r="Q36" s="115"/>
    </row>
    <row r="37" spans="1:17" ht="17.25" customHeight="1">
      <c r="A37" s="59" t="s">
        <v>166</v>
      </c>
      <c r="B37" s="30">
        <v>1469.9887999863336</v>
      </c>
      <c r="C37" s="30">
        <v>3646.0992257220055</v>
      </c>
      <c r="D37" s="30">
        <v>2516.1999999999998</v>
      </c>
      <c r="E37" s="30">
        <v>2465.6300000000006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10097.918025708339</v>
      </c>
      <c r="O37"/>
      <c r="P37" s="118"/>
      <c r="Q37" s="111"/>
    </row>
    <row r="38" spans="1:17" ht="17.25" customHeight="1">
      <c r="A38" s="59" t="s">
        <v>137</v>
      </c>
      <c r="B38" s="30">
        <v>314.1569284757436</v>
      </c>
      <c r="C38" s="30">
        <v>437.67879365232181</v>
      </c>
      <c r="D38" s="30">
        <v>351.59</v>
      </c>
      <c r="E38" s="30">
        <v>237.62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14">
        <f t="shared" si="0"/>
        <v>1341.0457221280653</v>
      </c>
      <c r="O38"/>
      <c r="P38" s="118"/>
      <c r="Q38" s="115"/>
    </row>
    <row r="39" spans="1:17" ht="15">
      <c r="A39" s="65" t="s">
        <v>160</v>
      </c>
      <c r="B39" s="30">
        <v>4397.6842255780557</v>
      </c>
      <c r="C39" s="30">
        <v>47451.350788345277</v>
      </c>
      <c r="D39" s="30">
        <v>31475.830000000005</v>
      </c>
      <c r="E39" s="30">
        <v>11876.959999999997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14">
        <f t="shared" si="0"/>
        <v>95201.825013923328</v>
      </c>
      <c r="O39"/>
      <c r="P39" s="116"/>
      <c r="Q39" s="115"/>
    </row>
    <row r="40" spans="1:17" ht="15">
      <c r="A40" s="65" t="s">
        <v>162</v>
      </c>
      <c r="B40" s="30">
        <v>853.61337594073757</v>
      </c>
      <c r="C40" s="30">
        <v>3761.8982918728043</v>
      </c>
      <c r="D40" s="30">
        <v>4320.47</v>
      </c>
      <c r="E40" s="30">
        <v>740.31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9676.2916678135425</v>
      </c>
      <c r="O40"/>
      <c r="P40" s="116"/>
      <c r="Q40" s="117"/>
    </row>
    <row r="41" spans="1:17" ht="17.25" customHeight="1">
      <c r="A41" s="59" t="s">
        <v>207</v>
      </c>
      <c r="C41" s="30">
        <v>4.6639014161260217</v>
      </c>
      <c r="N41" s="14"/>
      <c r="O41"/>
      <c r="P41" s="116"/>
      <c r="Q41" s="115"/>
    </row>
    <row r="42" spans="1:17" ht="17.25" customHeight="1">
      <c r="A42" s="59" t="s">
        <v>114</v>
      </c>
      <c r="B42" s="30">
        <v>424.4745245866348</v>
      </c>
      <c r="C42" s="30">
        <v>4480.2092711988907</v>
      </c>
      <c r="D42" s="30">
        <v>3870.5600000000004</v>
      </c>
      <c r="E42" s="30">
        <v>3848.9399999999996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14">
        <f>SUM(B42:M42)</f>
        <v>12624.183795785524</v>
      </c>
      <c r="O42"/>
      <c r="P42" s="118"/>
      <c r="Q42" s="115"/>
    </row>
    <row r="43" spans="1:17" ht="15">
      <c r="A43" s="15" t="s">
        <v>28</v>
      </c>
      <c r="B43" s="30">
        <f t="shared" ref="B43:N43" si="1">SUM(B11:B42)</f>
        <v>91017.006732714712</v>
      </c>
      <c r="C43" s="30">
        <f t="shared" si="1"/>
        <v>319994.26399894466</v>
      </c>
      <c r="D43" s="30">
        <f t="shared" si="1"/>
        <v>199636.93000000008</v>
      </c>
      <c r="E43" s="30">
        <f t="shared" si="1"/>
        <v>91645.389999999985</v>
      </c>
      <c r="F43" s="30">
        <f t="shared" si="1"/>
        <v>83303.87</v>
      </c>
      <c r="G43" s="30">
        <f t="shared" si="1"/>
        <v>79416.14</v>
      </c>
      <c r="H43" s="30">
        <f t="shared" si="1"/>
        <v>79439.990000000005</v>
      </c>
      <c r="I43" s="30">
        <f t="shared" si="1"/>
        <v>79371.62</v>
      </c>
      <c r="J43" s="30">
        <f t="shared" si="1"/>
        <v>0</v>
      </c>
      <c r="K43" s="30">
        <f t="shared" si="1"/>
        <v>0</v>
      </c>
      <c r="L43" s="30">
        <f t="shared" si="1"/>
        <v>0</v>
      </c>
      <c r="M43" s="30">
        <f t="shared" si="1"/>
        <v>0</v>
      </c>
      <c r="N43" s="14">
        <f t="shared" si="1"/>
        <v>1023820.5468302428</v>
      </c>
      <c r="P43" s="107"/>
      <c r="Q43" s="108"/>
    </row>
    <row r="44" spans="1:17" ht="15">
      <c r="A44" s="15"/>
      <c r="N44" s="14"/>
      <c r="P44" s="110"/>
      <c r="Q44" s="108"/>
    </row>
    <row r="45" spans="1:17">
      <c r="A45" s="22" t="s">
        <v>29</v>
      </c>
      <c r="N45" s="14"/>
    </row>
    <row r="46" spans="1:17" ht="15">
      <c r="A46" s="65" t="s">
        <v>167</v>
      </c>
      <c r="B46" s="30">
        <v>4305.6400000000003</v>
      </c>
      <c r="C46" s="30">
        <v>5269.88</v>
      </c>
      <c r="D46" s="30">
        <v>5029.8999999999987</v>
      </c>
      <c r="E46" s="30">
        <v>4846.4400000000005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79" si="2">SUM(B46:M46)</f>
        <v>19451.86</v>
      </c>
      <c r="O46"/>
    </row>
    <row r="47" spans="1:17" ht="15">
      <c r="A47" s="65" t="s">
        <v>210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3425.04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7">
        <f t="shared" si="2"/>
        <v>3425.04</v>
      </c>
      <c r="O47"/>
    </row>
    <row r="48" spans="1:17" ht="15">
      <c r="A48" s="65" t="s">
        <v>176</v>
      </c>
      <c r="B48" s="30">
        <v>27585.3</v>
      </c>
      <c r="C48" s="30">
        <v>11600.16</v>
      </c>
      <c r="D48" s="30">
        <v>0</v>
      </c>
      <c r="E48" s="30">
        <v>-27585.3</v>
      </c>
      <c r="F48" s="30">
        <v>0</v>
      </c>
      <c r="G48" s="30">
        <v>250734</v>
      </c>
      <c r="H48" s="30">
        <v>12731.02</v>
      </c>
      <c r="I48" s="30">
        <v>41789</v>
      </c>
      <c r="J48" s="30">
        <v>0</v>
      </c>
      <c r="K48" s="30">
        <v>0</v>
      </c>
      <c r="L48" s="30">
        <v>0</v>
      </c>
      <c r="M48" s="30">
        <v>0</v>
      </c>
      <c r="N48" s="37">
        <f t="shared" si="2"/>
        <v>316854.18</v>
      </c>
      <c r="O48"/>
    </row>
    <row r="49" spans="1:15" ht="15">
      <c r="A49" s="59" t="s">
        <v>177</v>
      </c>
      <c r="B49" s="30">
        <v>39185.46</v>
      </c>
      <c r="C49" s="30">
        <v>-11600.16</v>
      </c>
      <c r="D49" s="30">
        <v>0</v>
      </c>
      <c r="E49" s="30">
        <v>-39185.46</v>
      </c>
      <c r="F49" s="30">
        <v>0</v>
      </c>
      <c r="G49" s="30">
        <v>76386.11</v>
      </c>
      <c r="H49" s="30">
        <v>41789</v>
      </c>
      <c r="I49" s="30">
        <v>12731.02</v>
      </c>
      <c r="J49" s="30">
        <v>0</v>
      </c>
      <c r="K49" s="30">
        <v>0</v>
      </c>
      <c r="L49" s="30">
        <v>0</v>
      </c>
      <c r="M49" s="30">
        <v>0</v>
      </c>
      <c r="N49" s="37">
        <f t="shared" si="2"/>
        <v>119305.97</v>
      </c>
      <c r="O49"/>
    </row>
    <row r="50" spans="1:15" ht="15">
      <c r="A50" s="59" t="s">
        <v>178</v>
      </c>
      <c r="B50" s="30">
        <v>24875.74</v>
      </c>
      <c r="C50" s="30">
        <v>0</v>
      </c>
      <c r="D50" s="30">
        <v>0</v>
      </c>
      <c r="E50" s="30">
        <v>-24875.74</v>
      </c>
      <c r="F50" s="30">
        <v>0</v>
      </c>
      <c r="G50" s="30">
        <v>222758.89</v>
      </c>
      <c r="H50" s="30">
        <v>37126.480000000003</v>
      </c>
      <c r="I50" s="30">
        <v>37126.480000000003</v>
      </c>
      <c r="J50" s="30">
        <v>0</v>
      </c>
      <c r="K50" s="30">
        <v>0</v>
      </c>
      <c r="L50" s="30">
        <v>0</v>
      </c>
      <c r="M50" s="30">
        <v>0</v>
      </c>
      <c r="N50" s="37">
        <f t="shared" si="2"/>
        <v>297011.85000000003</v>
      </c>
      <c r="O50"/>
    </row>
    <row r="51" spans="1:15" ht="15">
      <c r="A51" s="65" t="s">
        <v>164</v>
      </c>
      <c r="B51" s="30">
        <v>3652.5799999999995</v>
      </c>
      <c r="C51" s="30">
        <v>4320.1400000000012</v>
      </c>
      <c r="D51" s="30">
        <v>4396.46</v>
      </c>
      <c r="E51" s="30">
        <v>10054.150000000001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22423.33</v>
      </c>
      <c r="O51"/>
    </row>
    <row r="52" spans="1:15" ht="15">
      <c r="A52" s="59" t="s">
        <v>139</v>
      </c>
      <c r="B52" s="30">
        <v>340.75000000000006</v>
      </c>
      <c r="C52" s="30">
        <v>464.00000000000017</v>
      </c>
      <c r="D52" s="30">
        <v>469.39</v>
      </c>
      <c r="E52" s="30">
        <v>407.99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1682.1300000000003</v>
      </c>
      <c r="O52"/>
    </row>
    <row r="53" spans="1:15" ht="15">
      <c r="A53" s="65" t="s">
        <v>169</v>
      </c>
      <c r="B53" s="30">
        <v>3810.83</v>
      </c>
      <c r="C53" s="30">
        <v>4239.2700000000013</v>
      </c>
      <c r="D53" s="30">
        <v>4219.99</v>
      </c>
      <c r="E53" s="30">
        <v>4105.2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16375.29</v>
      </c>
      <c r="O53"/>
    </row>
    <row r="54" spans="1:15" ht="15">
      <c r="A54" s="59" t="s">
        <v>159</v>
      </c>
      <c r="B54" s="30">
        <v>3652.5799999999995</v>
      </c>
      <c r="C54" s="30">
        <v>4248.08</v>
      </c>
      <c r="D54" s="30">
        <v>262511.92000000004</v>
      </c>
      <c r="E54" s="30">
        <v>-83273.130000000019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 t="shared" si="2"/>
        <v>187139.45</v>
      </c>
      <c r="O54"/>
    </row>
    <row r="55" spans="1:15" ht="15">
      <c r="A55" s="65" t="s">
        <v>168</v>
      </c>
      <c r="B55" s="30">
        <v>2218.58</v>
      </c>
      <c r="C55" s="30">
        <v>2520.09</v>
      </c>
      <c r="D55" s="30">
        <v>2996.8900000000003</v>
      </c>
      <c r="E55" s="30">
        <v>1884.1799999999998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 t="shared" si="2"/>
        <v>9619.74</v>
      </c>
      <c r="O55"/>
    </row>
    <row r="56" spans="1:15" ht="15">
      <c r="A56" s="59" t="s">
        <v>171</v>
      </c>
      <c r="B56" s="30">
        <v>387.9500000000001</v>
      </c>
      <c r="C56" s="30">
        <v>588672.42999999993</v>
      </c>
      <c r="D56" s="30">
        <v>294302.32999999996</v>
      </c>
      <c r="E56" s="30">
        <v>294237.83999999997</v>
      </c>
      <c r="F56" s="30">
        <v>294229.87</v>
      </c>
      <c r="G56" s="30">
        <v>294435.7</v>
      </c>
      <c r="H56" s="30">
        <v>294167.59999999998</v>
      </c>
      <c r="I56" s="30">
        <v>294233.52</v>
      </c>
      <c r="J56" s="30">
        <v>0</v>
      </c>
      <c r="K56" s="30">
        <v>0</v>
      </c>
      <c r="L56" s="30">
        <v>0</v>
      </c>
      <c r="M56" s="30">
        <v>0</v>
      </c>
      <c r="N56" s="37">
        <f>SUM(B56:M56)</f>
        <v>2354667.2399999998</v>
      </c>
      <c r="O56"/>
    </row>
    <row r="57" spans="1:15" ht="15">
      <c r="A57" s="59" t="s">
        <v>172</v>
      </c>
      <c r="B57" s="30">
        <v>387.9500000000001</v>
      </c>
      <c r="C57" s="30">
        <v>562700.99</v>
      </c>
      <c r="D57" s="30">
        <v>281316.61</v>
      </c>
      <c r="E57" s="30">
        <v>281252.12</v>
      </c>
      <c r="F57" s="30">
        <v>281244.15000000002</v>
      </c>
      <c r="G57" s="30">
        <v>281365.74</v>
      </c>
      <c r="H57" s="30">
        <v>281205.75</v>
      </c>
      <c r="I57" s="30">
        <v>281247.80000000005</v>
      </c>
      <c r="J57" s="30">
        <v>0</v>
      </c>
      <c r="K57" s="30">
        <v>0</v>
      </c>
      <c r="L57" s="30">
        <v>0</v>
      </c>
      <c r="M57" s="30">
        <v>0</v>
      </c>
      <c r="N57" s="37">
        <f t="shared" si="2"/>
        <v>2250721.11</v>
      </c>
      <c r="O57"/>
    </row>
    <row r="58" spans="1:15" ht="15">
      <c r="A58" s="65" t="s">
        <v>211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9320.2199999999993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7">
        <f t="shared" si="2"/>
        <v>9320.2199999999993</v>
      </c>
      <c r="O58"/>
    </row>
    <row r="59" spans="1:15" ht="17.25" customHeight="1">
      <c r="A59" s="59" t="s">
        <v>174</v>
      </c>
      <c r="B59" s="30">
        <v>93633.78</v>
      </c>
      <c r="C59" s="30">
        <v>75085.69</v>
      </c>
      <c r="D59" s="30">
        <v>113338.90999999999</v>
      </c>
      <c r="E59" s="30">
        <v>92603.62999999999</v>
      </c>
      <c r="F59" s="30">
        <v>93790.23</v>
      </c>
      <c r="G59" s="30">
        <v>93187.969999999972</v>
      </c>
      <c r="H59" s="30">
        <v>92638.910000000018</v>
      </c>
      <c r="I59" s="30">
        <v>92930.360000000015</v>
      </c>
      <c r="J59" s="30">
        <v>0</v>
      </c>
      <c r="K59" s="30">
        <v>0</v>
      </c>
      <c r="L59" s="30">
        <v>0</v>
      </c>
      <c r="M59" s="30">
        <v>0</v>
      </c>
      <c r="N59" s="37">
        <f t="shared" si="2"/>
        <v>747209.48</v>
      </c>
      <c r="O59"/>
    </row>
    <row r="60" spans="1:15" ht="15">
      <c r="A60" s="59" t="s">
        <v>173</v>
      </c>
      <c r="B60" s="30">
        <v>85.41</v>
      </c>
      <c r="C60" s="30">
        <v>88927.890000000014</v>
      </c>
      <c r="D60" s="30">
        <v>44480.090000000004</v>
      </c>
      <c r="E60" s="30">
        <v>44480.090000000004</v>
      </c>
      <c r="F60" s="30">
        <v>51391.340000000004</v>
      </c>
      <c r="G60" s="30">
        <v>44480.090000000004</v>
      </c>
      <c r="H60" s="30">
        <v>44480.090000000004</v>
      </c>
      <c r="I60" s="30">
        <v>44480.090000000004</v>
      </c>
      <c r="J60" s="30">
        <v>0</v>
      </c>
      <c r="K60" s="30">
        <v>0</v>
      </c>
      <c r="L60" s="30">
        <v>0</v>
      </c>
      <c r="M60" s="30">
        <v>0</v>
      </c>
      <c r="N60" s="37">
        <f t="shared" si="2"/>
        <v>362805.09000000008</v>
      </c>
      <c r="O60"/>
    </row>
    <row r="61" spans="1:15" ht="17.25" customHeight="1">
      <c r="A61" s="59" t="s">
        <v>111</v>
      </c>
      <c r="B61" s="30">
        <v>4164.3000000000011</v>
      </c>
      <c r="C61" s="30">
        <v>4570.8900000000012</v>
      </c>
      <c r="D61" s="30">
        <v>4703.2099999999991</v>
      </c>
      <c r="E61" s="30">
        <v>225040.71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 t="shared" si="2"/>
        <v>238479.11</v>
      </c>
      <c r="O61"/>
    </row>
    <row r="62" spans="1:15" ht="17.25" customHeight="1">
      <c r="A62" s="65" t="s">
        <v>212</v>
      </c>
      <c r="B62" s="30">
        <v>11829.09</v>
      </c>
      <c r="C62" s="30">
        <v>11829.09</v>
      </c>
      <c r="D62" s="30">
        <v>11829.09</v>
      </c>
      <c r="E62" s="30">
        <v>11829.09</v>
      </c>
      <c r="F62" s="30">
        <v>11829.09</v>
      </c>
      <c r="G62" s="30">
        <v>11829.09</v>
      </c>
      <c r="H62" s="30">
        <v>11829.09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7">
        <f t="shared" si="2"/>
        <v>82803.62999999999</v>
      </c>
      <c r="O62"/>
    </row>
    <row r="63" spans="1:15" ht="15">
      <c r="A63" s="65" t="s">
        <v>170</v>
      </c>
      <c r="B63" s="30">
        <v>607.69999999999993</v>
      </c>
      <c r="C63" s="30">
        <v>632.82000000000005</v>
      </c>
      <c r="D63" s="30">
        <v>457.86</v>
      </c>
      <c r="E63" s="30">
        <v>879.04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2577.42</v>
      </c>
      <c r="O63"/>
    </row>
    <row r="64" spans="1:15" ht="15">
      <c r="A64" s="65" t="s">
        <v>163</v>
      </c>
      <c r="B64" s="30">
        <v>3455.6800000000003</v>
      </c>
      <c r="C64" s="30">
        <v>3795.0300000000007</v>
      </c>
      <c r="D64" s="30">
        <v>192143.58999999994</v>
      </c>
      <c r="E64" s="30">
        <v>-58126.589999999982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14">
        <f t="shared" si="2"/>
        <v>141267.70999999996</v>
      </c>
      <c r="O64"/>
    </row>
    <row r="65" spans="1:15" ht="15">
      <c r="A65" s="65" t="s">
        <v>180</v>
      </c>
      <c r="B65" s="30">
        <v>0</v>
      </c>
      <c r="C65" s="30">
        <v>0</v>
      </c>
      <c r="D65" s="30">
        <v>0</v>
      </c>
      <c r="E65" s="30">
        <v>0</v>
      </c>
      <c r="F65" s="30">
        <v>48569.95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7">
        <f t="shared" si="2"/>
        <v>48569.95</v>
      </c>
      <c r="O65"/>
    </row>
    <row r="66" spans="1:15" ht="15">
      <c r="A66" s="59" t="s">
        <v>175</v>
      </c>
      <c r="B66" s="30">
        <v>4717.0999999999995</v>
      </c>
      <c r="C66" s="30">
        <v>5024.1099999999997</v>
      </c>
      <c r="D66" s="30">
        <v>3948.63</v>
      </c>
      <c r="E66" s="30">
        <v>4738.67</v>
      </c>
      <c r="F66" s="30">
        <v>3312.79</v>
      </c>
      <c r="G66" s="30">
        <v>654.80999999999995</v>
      </c>
      <c r="H66" s="30">
        <v>538.39</v>
      </c>
      <c r="I66" s="30">
        <v>333.28</v>
      </c>
      <c r="J66" s="30">
        <v>0</v>
      </c>
      <c r="K66" s="30">
        <v>0</v>
      </c>
      <c r="L66" s="30">
        <v>0</v>
      </c>
      <c r="M66" s="30">
        <v>0</v>
      </c>
      <c r="N66" s="37">
        <f t="shared" si="2"/>
        <v>23267.780000000002</v>
      </c>
      <c r="O66"/>
    </row>
    <row r="67" spans="1:15" ht="15">
      <c r="A67" s="65" t="s">
        <v>213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2804.88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7">
        <f t="shared" si="2"/>
        <v>2804.88</v>
      </c>
      <c r="O67"/>
    </row>
    <row r="68" spans="1:15" ht="15">
      <c r="A68" s="59" t="s">
        <v>126</v>
      </c>
      <c r="B68" s="30">
        <v>1994.31</v>
      </c>
      <c r="C68" s="30">
        <v>13635.46</v>
      </c>
      <c r="D68" s="30">
        <v>16678.34</v>
      </c>
      <c r="E68" s="30">
        <v>15742.400000000001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48050.51</v>
      </c>
      <c r="O68"/>
    </row>
    <row r="69" spans="1:15" ht="15">
      <c r="A69" s="59" t="s">
        <v>131</v>
      </c>
      <c r="B69" s="30">
        <v>509425.42</v>
      </c>
      <c r="C69" s="30">
        <v>18693.139999999839</v>
      </c>
      <c r="D69" s="30">
        <v>21601.96</v>
      </c>
      <c r="E69" s="30">
        <v>35373.94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585094.45999999973</v>
      </c>
      <c r="O69"/>
    </row>
    <row r="70" spans="1:15" ht="15">
      <c r="A70" s="59" t="s">
        <v>138</v>
      </c>
      <c r="B70" s="30">
        <v>387.9500000000001</v>
      </c>
      <c r="C70" s="30">
        <v>375.1699999999999</v>
      </c>
      <c r="D70" s="30">
        <v>159.54</v>
      </c>
      <c r="E70" s="30">
        <v>107.07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1029.73</v>
      </c>
      <c r="O70"/>
    </row>
    <row r="71" spans="1:15" ht="17.25" customHeight="1">
      <c r="A71" s="59" t="s">
        <v>158</v>
      </c>
      <c r="B71" s="30">
        <v>1295.33</v>
      </c>
      <c r="C71" s="30">
        <v>1732.19</v>
      </c>
      <c r="D71" s="30">
        <v>240963.08999999997</v>
      </c>
      <c r="E71" s="30">
        <v>1596.3799999999997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245586.98999999996</v>
      </c>
      <c r="O71"/>
    </row>
    <row r="72" spans="1:15" ht="17.25" customHeight="1">
      <c r="A72" s="65" t="s">
        <v>161</v>
      </c>
      <c r="B72" s="30">
        <v>535.97</v>
      </c>
      <c r="C72" s="30">
        <v>43803.89</v>
      </c>
      <c r="D72" s="30">
        <v>181085.84000000003</v>
      </c>
      <c r="E72" s="30">
        <v>17747.399999999998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243173.1</v>
      </c>
      <c r="O72" s="51"/>
    </row>
    <row r="73" spans="1:15" ht="17.25" customHeight="1">
      <c r="A73" s="59" t="s">
        <v>117</v>
      </c>
      <c r="B73" s="30">
        <v>3489.3900000000003</v>
      </c>
      <c r="C73" s="30">
        <v>3623.2400000000007</v>
      </c>
      <c r="D73" s="30">
        <v>145336.51999999996</v>
      </c>
      <c r="E73" s="30">
        <v>-137877.32000000004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 t="shared" si="2"/>
        <v>14571.829999999929</v>
      </c>
      <c r="O73"/>
    </row>
    <row r="74" spans="1:15" ht="15">
      <c r="A74" s="59" t="s">
        <v>135</v>
      </c>
      <c r="B74" s="30">
        <v>0</v>
      </c>
      <c r="C74" s="30">
        <v>0</v>
      </c>
      <c r="D74" s="30">
        <v>353250</v>
      </c>
      <c r="E74" s="30">
        <v>353250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706500</v>
      </c>
      <c r="O74"/>
    </row>
    <row r="75" spans="1:15" ht="17.25" customHeight="1">
      <c r="A75" s="65" t="s">
        <v>165</v>
      </c>
      <c r="B75" s="30">
        <v>4273.82</v>
      </c>
      <c r="C75" s="30">
        <v>4898.6000000000004</v>
      </c>
      <c r="D75" s="30">
        <v>5460.37</v>
      </c>
      <c r="E75" s="30">
        <v>5327.78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19960.57</v>
      </c>
      <c r="O75"/>
    </row>
    <row r="76" spans="1:15" ht="17.25" customHeight="1">
      <c r="A76" s="65" t="s">
        <v>166</v>
      </c>
      <c r="B76" s="30">
        <v>6547.46</v>
      </c>
      <c r="C76" s="30">
        <v>19663.77</v>
      </c>
      <c r="D76" s="30">
        <v>75380.53</v>
      </c>
      <c r="E76" s="30">
        <v>11724.99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113316.75</v>
      </c>
      <c r="O76"/>
    </row>
    <row r="77" spans="1:15" ht="17.25" customHeight="1">
      <c r="A77" s="59" t="s">
        <v>137</v>
      </c>
      <c r="B77" s="30">
        <v>387.9500000000001</v>
      </c>
      <c r="C77" s="30">
        <v>375.1699999999999</v>
      </c>
      <c r="D77" s="30">
        <v>228.11999999999998</v>
      </c>
      <c r="E77" s="30">
        <v>74.58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7">
        <f t="shared" si="2"/>
        <v>1065.82</v>
      </c>
      <c r="O77"/>
    </row>
    <row r="78" spans="1:15" ht="17.25" customHeight="1">
      <c r="A78" s="65" t="s">
        <v>160</v>
      </c>
      <c r="B78" s="30">
        <v>1435.76</v>
      </c>
      <c r="C78" s="30">
        <v>371431.56</v>
      </c>
      <c r="D78" s="30">
        <v>688916.98999999987</v>
      </c>
      <c r="E78" s="30">
        <v>220920.90000000008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7">
        <f t="shared" si="2"/>
        <v>1282705.21</v>
      </c>
      <c r="O78" s="51"/>
    </row>
    <row r="79" spans="1:15" ht="15">
      <c r="A79" s="65" t="s">
        <v>162</v>
      </c>
      <c r="B79" s="30">
        <v>356.28000000000003</v>
      </c>
      <c r="C79" s="30">
        <v>19567.870000000003</v>
      </c>
      <c r="D79" s="30">
        <v>68095.98</v>
      </c>
      <c r="E79" s="30">
        <v>-5652.130000000001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7">
        <f t="shared" si="2"/>
        <v>82368</v>
      </c>
      <c r="O79" s="51"/>
    </row>
    <row r="80" spans="1:15" ht="15">
      <c r="A80" s="59" t="s">
        <v>207</v>
      </c>
      <c r="C80" s="30">
        <v>66.81</v>
      </c>
      <c r="D80" s="30">
        <v>-19.03</v>
      </c>
      <c r="H80" s="30">
        <v>26415.37</v>
      </c>
      <c r="I80" s="30">
        <v>117792.65</v>
      </c>
      <c r="N80" s="37"/>
      <c r="O80"/>
    </row>
    <row r="81" spans="1:15" ht="15">
      <c r="A81" s="65" t="s">
        <v>214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7857.87</v>
      </c>
      <c r="N81" s="37"/>
      <c r="O81"/>
    </row>
    <row r="82" spans="1:15" ht="15">
      <c r="A82" s="59" t="s">
        <v>114</v>
      </c>
      <c r="B82" s="30">
        <v>0</v>
      </c>
      <c r="C82" s="30">
        <v>3412.36</v>
      </c>
      <c r="D82" s="30">
        <v>47275.200000000004</v>
      </c>
      <c r="E82" s="30">
        <v>32663.399999999998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7">
        <f>SUM(B82:M82)</f>
        <v>83350.960000000006</v>
      </c>
      <c r="O82"/>
    </row>
    <row r="83" spans="1:15" ht="15">
      <c r="A83" s="65" t="s">
        <v>209</v>
      </c>
      <c r="D83" s="30">
        <v>20834.09</v>
      </c>
      <c r="E83" s="30">
        <v>6966.67</v>
      </c>
      <c r="F83" s="30">
        <v>23134.639999999999</v>
      </c>
      <c r="G83" s="30">
        <v>12233.84</v>
      </c>
      <c r="H83" s="30">
        <v>12233.84</v>
      </c>
      <c r="I83" s="30">
        <v>12233.84</v>
      </c>
      <c r="N83" s="37"/>
      <c r="O83"/>
    </row>
    <row r="84" spans="1:15" ht="15">
      <c r="A84" s="65" t="s">
        <v>208</v>
      </c>
      <c r="B84" s="30">
        <v>0</v>
      </c>
      <c r="C84" s="30">
        <v>0</v>
      </c>
      <c r="D84" s="30">
        <v>22533.59</v>
      </c>
      <c r="E84" s="30">
        <v>8600.25</v>
      </c>
      <c r="F84" s="30">
        <v>6966.67</v>
      </c>
      <c r="G84" s="30">
        <v>6966.67</v>
      </c>
      <c r="H84" s="30">
        <v>0</v>
      </c>
      <c r="I84" s="30">
        <v>20900.010000000002</v>
      </c>
      <c r="J84" s="30">
        <v>0</v>
      </c>
      <c r="K84" s="30">
        <v>0</v>
      </c>
      <c r="L84" s="30">
        <v>0</v>
      </c>
      <c r="M84" s="30">
        <v>0</v>
      </c>
      <c r="N84" s="37">
        <f>SUM(B84:M84)</f>
        <v>65967.19</v>
      </c>
      <c r="O84"/>
    </row>
    <row r="85" spans="1:15">
      <c r="A85" s="15" t="s">
        <v>28</v>
      </c>
      <c r="B85" s="30">
        <f t="shared" ref="B85:N85" si="3">SUM(B46:B84)</f>
        <v>759026.05999999982</v>
      </c>
      <c r="C85" s="30">
        <f t="shared" si="3"/>
        <v>1863579.6300000001</v>
      </c>
      <c r="D85" s="30">
        <f t="shared" si="3"/>
        <v>3113926</v>
      </c>
      <c r="E85" s="30">
        <f t="shared" si="3"/>
        <v>1309879.24</v>
      </c>
      <c r="F85" s="30">
        <f t="shared" si="3"/>
        <v>814468.73</v>
      </c>
      <c r="G85" s="30">
        <f t="shared" si="3"/>
        <v>1295032.9100000001</v>
      </c>
      <c r="H85" s="30">
        <f t="shared" si="3"/>
        <v>878563.54999999993</v>
      </c>
      <c r="I85" s="30">
        <f t="shared" si="3"/>
        <v>955798.05</v>
      </c>
      <c r="J85" s="30">
        <f t="shared" si="3"/>
        <v>0</v>
      </c>
      <c r="K85" s="30">
        <f t="shared" si="3"/>
        <v>0</v>
      </c>
      <c r="L85" s="30">
        <f t="shared" si="3"/>
        <v>0</v>
      </c>
      <c r="M85" s="30">
        <f t="shared" si="3"/>
        <v>0</v>
      </c>
      <c r="N85" s="30">
        <f t="shared" si="3"/>
        <v>10750523.58</v>
      </c>
    </row>
    <row r="86" spans="1:15">
      <c r="A86" s="15"/>
      <c r="N86" s="14"/>
    </row>
    <row r="87" spans="1:15" ht="16.5" thickBot="1">
      <c r="A87" s="19" t="s">
        <v>15</v>
      </c>
      <c r="B87" s="34">
        <f t="shared" ref="B87:M87" si="4">+B85+B43+B8</f>
        <v>2394318</v>
      </c>
      <c r="C87" s="34">
        <f t="shared" si="4"/>
        <v>5201877</v>
      </c>
      <c r="D87" s="34">
        <f t="shared" si="4"/>
        <v>14041265</v>
      </c>
      <c r="E87" s="34">
        <f t="shared" si="4"/>
        <v>3550510.21</v>
      </c>
      <c r="F87" s="34">
        <f t="shared" si="4"/>
        <v>6050066.2599999998</v>
      </c>
      <c r="G87" s="34">
        <f t="shared" si="4"/>
        <v>13798560.1</v>
      </c>
      <c r="H87" s="34">
        <f t="shared" si="4"/>
        <v>3081877.25</v>
      </c>
      <c r="I87" s="34">
        <f t="shared" si="4"/>
        <v>5362181.4400000004</v>
      </c>
      <c r="J87" s="34">
        <f t="shared" si="4"/>
        <v>0</v>
      </c>
      <c r="K87" s="34">
        <f t="shared" si="4"/>
        <v>0</v>
      </c>
      <c r="L87" s="34">
        <f t="shared" si="4"/>
        <v>0</v>
      </c>
      <c r="M87" s="34">
        <f t="shared" si="4"/>
        <v>0</v>
      </c>
      <c r="N87" s="20">
        <f>+N85+N9+N43+N8</f>
        <v>53240900.006098591</v>
      </c>
    </row>
    <row r="88" spans="1:15" ht="16.5" thickBot="1">
      <c r="A88" s="4"/>
    </row>
    <row r="89" spans="1:15">
      <c r="A89" s="5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7" t="s">
        <v>0</v>
      </c>
    </row>
    <row r="90" spans="1:15" ht="13.5" thickBot="1">
      <c r="A90" s="21" t="s">
        <v>152</v>
      </c>
      <c r="B90" s="33" t="s">
        <v>2</v>
      </c>
      <c r="C90" s="33" t="s">
        <v>3</v>
      </c>
      <c r="D90" s="33" t="s">
        <v>4</v>
      </c>
      <c r="E90" s="33" t="s">
        <v>5</v>
      </c>
      <c r="F90" s="33" t="s">
        <v>6</v>
      </c>
      <c r="G90" s="33" t="s">
        <v>7</v>
      </c>
      <c r="H90" s="33" t="s">
        <v>8</v>
      </c>
      <c r="I90" s="33" t="s">
        <v>9</v>
      </c>
      <c r="J90" s="33" t="s">
        <v>10</v>
      </c>
      <c r="K90" s="33" t="s">
        <v>11</v>
      </c>
      <c r="L90" s="33" t="s">
        <v>12</v>
      </c>
      <c r="M90" s="33" t="s">
        <v>13</v>
      </c>
      <c r="N90" s="10" t="s">
        <v>14</v>
      </c>
    </row>
    <row r="91" spans="1:15">
      <c r="A91" s="60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52"/>
    </row>
    <row r="92" spans="1:15">
      <c r="A92" s="22" t="s">
        <v>31</v>
      </c>
      <c r="B92" s="30">
        <f>-274301-B125-B163</f>
        <v>424404.22999999975</v>
      </c>
      <c r="C92" s="30">
        <f>-2326875-C125-C163</f>
        <v>-1998416.6</v>
      </c>
      <c r="D92" s="30">
        <f>2935778-D125-D163</f>
        <v>2340040.0700000003</v>
      </c>
      <c r="E92" s="30">
        <f>-3860361.64-E125-E163</f>
        <v>-3646142.0300000003</v>
      </c>
      <c r="F92" s="30">
        <f>-261941.55-F125-F163</f>
        <v>164779.24</v>
      </c>
      <c r="G92" s="30">
        <f>1594729.25-G125-G163</f>
        <v>1241747.47</v>
      </c>
      <c r="H92" s="30">
        <f>5443180.45-H125-H163</f>
        <v>5450132.2599999998</v>
      </c>
      <c r="I92" s="30">
        <f>1483353.04-I125-I163</f>
        <v>1484470.54</v>
      </c>
      <c r="J92" s="30">
        <f t="shared" ref="J92:M92" si="5">0-J125-J163</f>
        <v>0</v>
      </c>
      <c r="K92" s="30">
        <f t="shared" si="5"/>
        <v>0</v>
      </c>
      <c r="L92" s="30">
        <f t="shared" si="5"/>
        <v>0</v>
      </c>
      <c r="M92" s="30">
        <f t="shared" si="5"/>
        <v>0</v>
      </c>
      <c r="N92" s="14">
        <f>SUM(B92:M92)</f>
        <v>5461015.1799999997</v>
      </c>
    </row>
    <row r="93" spans="1:15">
      <c r="A93" s="15" t="s">
        <v>49</v>
      </c>
      <c r="N93" s="14">
        <f>SUM(B93:M93)</f>
        <v>0</v>
      </c>
    </row>
    <row r="94" spans="1:15">
      <c r="A94" s="22" t="s">
        <v>30</v>
      </c>
      <c r="N94" s="14"/>
    </row>
    <row r="95" spans="1:15" ht="15">
      <c r="A95" s="59" t="s">
        <v>182</v>
      </c>
      <c r="B95" s="30">
        <v>36633.599999999991</v>
      </c>
      <c r="C95" s="30">
        <v>3704.98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14">
        <f t="shared" ref="N95:N124" si="6">SUM(B95:M95)</f>
        <v>40338.579999999994</v>
      </c>
      <c r="O95"/>
    </row>
    <row r="96" spans="1:15" ht="15">
      <c r="A96" s="65" t="s">
        <v>190</v>
      </c>
      <c r="B96" s="30">
        <v>406.88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14">
        <f t="shared" si="6"/>
        <v>406.88</v>
      </c>
      <c r="O96"/>
    </row>
    <row r="97" spans="1:15" ht="15">
      <c r="A97" s="65" t="s">
        <v>139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6"/>
        <v>0</v>
      </c>
      <c r="O97"/>
    </row>
    <row r="98" spans="1:15" ht="15">
      <c r="A98" s="59" t="s">
        <v>187</v>
      </c>
      <c r="B98" s="30">
        <v>-66.56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2415.6999999999998</v>
      </c>
      <c r="I98" s="30">
        <v>-2465</v>
      </c>
      <c r="J98" s="30">
        <v>0</v>
      </c>
      <c r="K98" s="30">
        <v>0</v>
      </c>
      <c r="L98" s="30">
        <v>0</v>
      </c>
      <c r="M98" s="30">
        <v>0</v>
      </c>
      <c r="N98" s="14">
        <f t="shared" si="6"/>
        <v>-115.86000000000013</v>
      </c>
      <c r="O98"/>
    </row>
    <row r="99" spans="1:15" ht="15">
      <c r="A99" s="65" t="s">
        <v>140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14">
        <f t="shared" si="6"/>
        <v>0</v>
      </c>
      <c r="O99"/>
    </row>
    <row r="100" spans="1:15" ht="15">
      <c r="A100" s="59" t="s">
        <v>184</v>
      </c>
      <c r="B100" s="30">
        <v>306.64999999999964</v>
      </c>
      <c r="C100" s="30">
        <v>427.28</v>
      </c>
      <c r="D100" s="30">
        <v>88.48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6"/>
        <v>822.40999999999963</v>
      </c>
      <c r="O100"/>
    </row>
    <row r="101" spans="1:15" ht="15">
      <c r="A101" s="59" t="s">
        <v>111</v>
      </c>
      <c r="B101" s="30">
        <v>-38.11999999999999</v>
      </c>
      <c r="C101" s="30">
        <v>0</v>
      </c>
      <c r="D101" s="30">
        <v>0</v>
      </c>
      <c r="E101" s="30">
        <v>0</v>
      </c>
      <c r="F101" s="30">
        <v>965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6"/>
        <v>926.88</v>
      </c>
      <c r="O101"/>
    </row>
    <row r="102" spans="1:15" ht="15">
      <c r="A102" s="59" t="s">
        <v>192</v>
      </c>
      <c r="B102" s="30">
        <v>-53.79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14">
        <f t="shared" si="6"/>
        <v>-53.79</v>
      </c>
      <c r="O102"/>
    </row>
    <row r="103" spans="1:15" ht="17.25" customHeight="1">
      <c r="A103" s="65" t="s">
        <v>155</v>
      </c>
      <c r="B103" s="30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7">
        <f t="shared" si="6"/>
        <v>0</v>
      </c>
      <c r="O103"/>
    </row>
    <row r="104" spans="1:15" ht="17.25" customHeight="1">
      <c r="A104" s="59" t="s">
        <v>186</v>
      </c>
      <c r="B104" s="30">
        <v>-24580.629999999997</v>
      </c>
      <c r="C104" s="30">
        <v>677.52</v>
      </c>
      <c r="D104" s="30">
        <v>8389.7999999999993</v>
      </c>
      <c r="E104" s="30">
        <v>4292.53</v>
      </c>
      <c r="F104" s="30">
        <v>-15.76999999999498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14">
        <f t="shared" si="6"/>
        <v>-11236.549999999994</v>
      </c>
      <c r="O104"/>
    </row>
    <row r="105" spans="1:15" ht="17.25" customHeight="1">
      <c r="A105" s="65" t="s">
        <v>180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14">
        <f t="shared" si="6"/>
        <v>0</v>
      </c>
      <c r="O105"/>
    </row>
    <row r="106" spans="1:15" ht="17.25" customHeight="1">
      <c r="A106" s="65" t="s">
        <v>188</v>
      </c>
      <c r="B106" s="30">
        <v>-11688</v>
      </c>
      <c r="C106" s="30">
        <v>16012.76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6"/>
        <v>4324.76</v>
      </c>
      <c r="O106"/>
    </row>
    <row r="107" spans="1:15" ht="17.25" customHeight="1">
      <c r="A107" s="65" t="s">
        <v>179</v>
      </c>
      <c r="B107" s="30">
        <v>-78.250000000000014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6"/>
        <v>-78.250000000000014</v>
      </c>
      <c r="O107"/>
    </row>
    <row r="108" spans="1:15" ht="17.25" customHeight="1">
      <c r="A108" s="65" t="s">
        <v>189</v>
      </c>
      <c r="B108" s="30">
        <v>3173.24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562.75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6"/>
        <v>3735.99</v>
      </c>
      <c r="O108"/>
    </row>
    <row r="109" spans="1:15" ht="15">
      <c r="A109" s="65" t="s">
        <v>147</v>
      </c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6"/>
        <v>0</v>
      </c>
      <c r="O109"/>
    </row>
    <row r="110" spans="1:15" ht="15">
      <c r="A110" s="59" t="s">
        <v>126</v>
      </c>
      <c r="B110" s="30">
        <v>-25.7</v>
      </c>
      <c r="C110" s="30">
        <v>0</v>
      </c>
      <c r="D110" s="30">
        <v>0</v>
      </c>
      <c r="E110" s="30">
        <v>0</v>
      </c>
      <c r="F110" s="30">
        <v>659.75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6"/>
        <v>634.04999999999995</v>
      </c>
      <c r="O110"/>
    </row>
    <row r="111" spans="1:15" ht="15">
      <c r="A111" s="59" t="s">
        <v>131</v>
      </c>
      <c r="B111" s="30">
        <v>-381.73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6"/>
        <v>-381.73</v>
      </c>
      <c r="O111"/>
    </row>
    <row r="112" spans="1:15" ht="15">
      <c r="A112" s="65" t="s">
        <v>138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6"/>
        <v>0</v>
      </c>
      <c r="O112"/>
    </row>
    <row r="113" spans="1:15" ht="15">
      <c r="A113" s="65" t="s">
        <v>158</v>
      </c>
      <c r="B113" s="30">
        <v>-1</v>
      </c>
      <c r="C113" s="30">
        <v>-34563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6"/>
        <v>-34564</v>
      </c>
      <c r="O113"/>
    </row>
    <row r="114" spans="1:15" ht="15">
      <c r="A114" s="59" t="s">
        <v>136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 t="shared" si="6"/>
        <v>0</v>
      </c>
      <c r="O114"/>
    </row>
    <row r="115" spans="1:15" ht="15">
      <c r="A115" s="59" t="s">
        <v>183</v>
      </c>
      <c r="B115" s="30">
        <v>49.449999999999989</v>
      </c>
      <c r="C115" s="30">
        <v>15649.13</v>
      </c>
      <c r="D115" s="30">
        <v>5942.69</v>
      </c>
      <c r="E115" s="30">
        <v>2754.22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14">
        <f t="shared" si="6"/>
        <v>24395.49</v>
      </c>
      <c r="O115"/>
    </row>
    <row r="116" spans="1:15" ht="15">
      <c r="A116" s="59" t="s">
        <v>117</v>
      </c>
      <c r="B116" s="30">
        <v>9946.4299999999985</v>
      </c>
      <c r="C116" s="30">
        <v>-10640</v>
      </c>
      <c r="D116" s="30">
        <v>8366.08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si="6"/>
        <v>7672.5099999999984</v>
      </c>
      <c r="O116"/>
    </row>
    <row r="117" spans="1:15" ht="15">
      <c r="A117" s="59" t="s">
        <v>135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6"/>
        <v>0</v>
      </c>
      <c r="O117"/>
    </row>
    <row r="118" spans="1:15" ht="15">
      <c r="A118" s="65" t="s">
        <v>137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14">
        <f t="shared" si="6"/>
        <v>0</v>
      </c>
      <c r="O118"/>
    </row>
    <row r="119" spans="1:15" ht="17.25" customHeight="1">
      <c r="A119" s="59" t="s">
        <v>154</v>
      </c>
      <c r="B119" s="30">
        <v>-38.56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14">
        <f t="shared" si="6"/>
        <v>-38.56</v>
      </c>
      <c r="O119"/>
    </row>
    <row r="120" spans="1:15" ht="17.25" customHeight="1">
      <c r="A120" s="59" t="s">
        <v>181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14">
        <f t="shared" si="6"/>
        <v>0</v>
      </c>
      <c r="O120"/>
    </row>
    <row r="121" spans="1:15" ht="15">
      <c r="A121" s="65" t="s">
        <v>191</v>
      </c>
      <c r="B121" s="30">
        <v>19348.990000000002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14">
        <f t="shared" si="6"/>
        <v>19348.990000000002</v>
      </c>
      <c r="O121"/>
    </row>
    <row r="122" spans="1:15" ht="15">
      <c r="A122" s="59" t="s">
        <v>185</v>
      </c>
      <c r="B122" s="30">
        <v>347.57999999999993</v>
      </c>
      <c r="C122" s="30">
        <v>0</v>
      </c>
      <c r="D122" s="30">
        <v>0</v>
      </c>
      <c r="E122" s="30">
        <v>197.04</v>
      </c>
      <c r="F122" s="30">
        <v>-5.91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14">
        <f t="shared" si="6"/>
        <v>538.70999999999992</v>
      </c>
      <c r="O122"/>
    </row>
    <row r="123" spans="1:15" ht="17.25" customHeight="1">
      <c r="A123" s="65" t="s">
        <v>148</v>
      </c>
      <c r="B123" s="30">
        <v>0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14">
        <f t="shared" si="6"/>
        <v>0</v>
      </c>
      <c r="O123"/>
    </row>
    <row r="124" spans="1:15" ht="17.25" customHeight="1">
      <c r="A124" s="59" t="s">
        <v>114</v>
      </c>
      <c r="B124" s="30">
        <v>-58.840000000000146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14">
        <f t="shared" si="6"/>
        <v>-58.840000000000146</v>
      </c>
      <c r="O124"/>
    </row>
    <row r="125" spans="1:15">
      <c r="A125" s="15" t="s">
        <v>28</v>
      </c>
      <c r="B125" s="30">
        <f t="shared" ref="B125:N125" si="7">SUM(B95:B124)</f>
        <v>33201.64</v>
      </c>
      <c r="C125" s="30">
        <f>SUM(C95:C124)</f>
        <v>-8731.33</v>
      </c>
      <c r="D125" s="30">
        <f t="shared" si="7"/>
        <v>22787.049999999996</v>
      </c>
      <c r="E125" s="30">
        <f t="shared" si="7"/>
        <v>7243.79</v>
      </c>
      <c r="F125" s="30">
        <f t="shared" si="7"/>
        <v>1603.0700000000049</v>
      </c>
      <c r="G125" s="30">
        <f t="shared" si="7"/>
        <v>0</v>
      </c>
      <c r="H125" s="30">
        <f t="shared" si="7"/>
        <v>2978.45</v>
      </c>
      <c r="I125" s="30">
        <f t="shared" si="7"/>
        <v>-2465</v>
      </c>
      <c r="J125" s="30">
        <f t="shared" si="7"/>
        <v>0</v>
      </c>
      <c r="K125" s="30">
        <f t="shared" si="7"/>
        <v>0</v>
      </c>
      <c r="L125" s="30">
        <f t="shared" si="7"/>
        <v>0</v>
      </c>
      <c r="M125" s="30">
        <f t="shared" si="7"/>
        <v>0</v>
      </c>
      <c r="N125" s="14">
        <f t="shared" si="7"/>
        <v>56617.669999999984</v>
      </c>
    </row>
    <row r="126" spans="1:15">
      <c r="A126" s="15"/>
      <c r="N126" s="14"/>
    </row>
    <row r="127" spans="1:15">
      <c r="A127" s="22" t="s">
        <v>29</v>
      </c>
      <c r="N127" s="14"/>
    </row>
    <row r="128" spans="1:15" ht="15">
      <c r="A128" s="59" t="s">
        <v>190</v>
      </c>
      <c r="B128" s="30">
        <v>-305.65999999999997</v>
      </c>
      <c r="C128" s="30">
        <v>114.22</v>
      </c>
      <c r="D128" s="30">
        <v>0</v>
      </c>
      <c r="E128" s="30">
        <v>33.31</v>
      </c>
      <c r="F128" s="30">
        <v>1311.3999999999999</v>
      </c>
      <c r="G128" s="30">
        <v>-1473.16</v>
      </c>
      <c r="H128" s="30">
        <v>69.739999999999995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7">
        <f t="shared" ref="N128:N162" si="8">SUM(B128:M128)</f>
        <v>-250.15000000000009</v>
      </c>
      <c r="O128"/>
    </row>
    <row r="129" spans="1:15" ht="15">
      <c r="A129" s="65" t="s">
        <v>139</v>
      </c>
      <c r="B129" s="30">
        <v>842.31999999999994</v>
      </c>
      <c r="C129" s="30">
        <v>-318.39</v>
      </c>
      <c r="D129" s="30">
        <v>-1008.24</v>
      </c>
      <c r="E129" s="30">
        <v>477.6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7">
        <f t="shared" si="8"/>
        <v>-6.7100000000000364</v>
      </c>
      <c r="O129"/>
    </row>
    <row r="130" spans="1:15" ht="15">
      <c r="A130" s="65" t="s">
        <v>187</v>
      </c>
      <c r="B130" s="30">
        <v>-3688.1899999999996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si="8"/>
        <v>-3688.1899999999996</v>
      </c>
      <c r="O130"/>
    </row>
    <row r="131" spans="1:15" ht="15">
      <c r="A131" s="65" t="s">
        <v>140</v>
      </c>
      <c r="B131" s="30">
        <v>-22.53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8"/>
        <v>-22.53</v>
      </c>
      <c r="O131" s="51"/>
    </row>
    <row r="132" spans="1:15" ht="15">
      <c r="A132" s="65" t="s">
        <v>184</v>
      </c>
      <c r="B132" s="30">
        <v>64059.66</v>
      </c>
      <c r="C132" s="30">
        <v>34079.99</v>
      </c>
      <c r="D132" s="30">
        <v>2127.34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8"/>
        <v>100266.98999999999</v>
      </c>
      <c r="O132"/>
    </row>
    <row r="133" spans="1:15" ht="15">
      <c r="A133" s="65" t="s">
        <v>174</v>
      </c>
      <c r="C133" s="30">
        <v>0</v>
      </c>
      <c r="D133" s="30">
        <v>0</v>
      </c>
      <c r="E133" s="30">
        <v>0</v>
      </c>
      <c r="F133" s="30">
        <v>-346002.46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7">
        <f t="shared" si="8"/>
        <v>-346002.46</v>
      </c>
      <c r="O133"/>
    </row>
    <row r="134" spans="1:15" ht="15">
      <c r="A134" s="65" t="s">
        <v>173</v>
      </c>
      <c r="B134" s="30">
        <v>-39707.900000000009</v>
      </c>
      <c r="C134" s="30">
        <v>0</v>
      </c>
      <c r="D134" s="30">
        <v>0.02</v>
      </c>
      <c r="E134" s="30">
        <v>-218169</v>
      </c>
      <c r="F134" s="30">
        <v>22558.129999999997</v>
      </c>
      <c r="G134" s="30">
        <v>181779</v>
      </c>
      <c r="H134" s="30">
        <v>-10000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7">
        <f t="shared" si="8"/>
        <v>-63539.75</v>
      </c>
      <c r="O134"/>
    </row>
    <row r="135" spans="1:15" ht="15">
      <c r="A135" s="65" t="s">
        <v>173</v>
      </c>
      <c r="B135" s="30">
        <v>-343.55999999999995</v>
      </c>
      <c r="C135" s="30">
        <v>0</v>
      </c>
      <c r="D135" s="30">
        <v>0</v>
      </c>
      <c r="E135" s="30">
        <v>0</v>
      </c>
      <c r="F135" s="30">
        <v>0</v>
      </c>
      <c r="G135" s="30">
        <v>10000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7">
        <f t="shared" si="8"/>
        <v>9656.44</v>
      </c>
      <c r="O135"/>
    </row>
    <row r="136" spans="1:15" ht="15">
      <c r="A136" s="65" t="s">
        <v>111</v>
      </c>
      <c r="B136" s="30">
        <v>-39707.900000000009</v>
      </c>
      <c r="C136" s="30">
        <v>0</v>
      </c>
      <c r="D136" s="30">
        <v>0.02</v>
      </c>
      <c r="E136" s="30">
        <v>-218169</v>
      </c>
      <c r="F136" s="30">
        <v>22558.129999999997</v>
      </c>
      <c r="G136" s="30">
        <v>181779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7">
        <f t="shared" si="8"/>
        <v>-53539.75</v>
      </c>
      <c r="O136"/>
    </row>
    <row r="137" spans="1:15" ht="15">
      <c r="A137" s="59" t="s">
        <v>192</v>
      </c>
      <c r="B137" s="30">
        <v>-394.56999999999994</v>
      </c>
      <c r="C137" s="30">
        <v>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7">
        <f t="shared" si="8"/>
        <v>-394.56999999999994</v>
      </c>
      <c r="O137"/>
    </row>
    <row r="138" spans="1:15" ht="15">
      <c r="A138" s="65" t="s">
        <v>155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7">
        <f t="shared" si="8"/>
        <v>0</v>
      </c>
      <c r="O138"/>
    </row>
    <row r="139" spans="1:15" ht="15">
      <c r="A139" s="65" t="s">
        <v>186</v>
      </c>
      <c r="B139" s="30">
        <v>-793796.59999999974</v>
      </c>
      <c r="C139" s="30">
        <v>21909.85</v>
      </c>
      <c r="D139" s="30">
        <v>271271.3</v>
      </c>
      <c r="E139" s="30">
        <v>138792.32000000001</v>
      </c>
      <c r="F139" s="30">
        <v>-510.18000000002121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7">
        <f t="shared" si="8"/>
        <v>-362333.30999999976</v>
      </c>
      <c r="O139"/>
    </row>
    <row r="140" spans="1:15" ht="15">
      <c r="A140" s="65" t="s">
        <v>180</v>
      </c>
      <c r="B140" s="30">
        <v>-104.30999999999999</v>
      </c>
      <c r="C140" s="30">
        <v>35.92</v>
      </c>
      <c r="D140" s="30">
        <v>0</v>
      </c>
      <c r="E140" s="30">
        <v>0</v>
      </c>
      <c r="F140" s="30">
        <v>-17514.7</v>
      </c>
      <c r="G140" s="30">
        <v>34833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14">
        <f t="shared" si="8"/>
        <v>17249.91</v>
      </c>
      <c r="O140"/>
    </row>
    <row r="141" spans="1:15" ht="15">
      <c r="A141" s="59" t="s">
        <v>188</v>
      </c>
      <c r="B141" s="30">
        <v>-53920</v>
      </c>
      <c r="C141" s="30">
        <v>47313.69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7">
        <f t="shared" si="8"/>
        <v>-6606.3099999999977</v>
      </c>
      <c r="O141"/>
    </row>
    <row r="142" spans="1:15" ht="15">
      <c r="A142" s="65" t="s">
        <v>179</v>
      </c>
      <c r="B142" s="30">
        <v>-704.21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7">
        <f t="shared" si="8"/>
        <v>-704.21</v>
      </c>
      <c r="O142" s="51"/>
    </row>
    <row r="143" spans="1:15" ht="15">
      <c r="A143" s="59" t="s">
        <v>189</v>
      </c>
      <c r="B143" s="30">
        <v>7461.7199999999993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8"/>
        <v>7461.7199999999993</v>
      </c>
      <c r="O143"/>
    </row>
    <row r="144" spans="1:15" ht="15">
      <c r="A144" s="59" t="s">
        <v>147</v>
      </c>
      <c r="B144" s="30">
        <v>0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8"/>
        <v>0</v>
      </c>
      <c r="O144"/>
    </row>
    <row r="145" spans="1:15" ht="17.25" customHeight="1">
      <c r="A145" s="65" t="s">
        <v>126</v>
      </c>
      <c r="B145" s="30">
        <v>-488.30000000000058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8"/>
        <v>-488.30000000000058</v>
      </c>
      <c r="O145"/>
    </row>
    <row r="146" spans="1:15" ht="15">
      <c r="A146" s="65" t="s">
        <v>131</v>
      </c>
      <c r="B146" s="30">
        <v>-290458.77999999985</v>
      </c>
      <c r="C146" s="30">
        <v>25625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7">
        <f t="shared" si="8"/>
        <v>-264833.77999999985</v>
      </c>
      <c r="O146"/>
    </row>
    <row r="147" spans="1:15" ht="15">
      <c r="A147" s="65" t="s">
        <v>138</v>
      </c>
      <c r="B147" s="30">
        <v>317.94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7">
        <f t="shared" si="8"/>
        <v>317.94</v>
      </c>
      <c r="O147"/>
    </row>
    <row r="148" spans="1:15" ht="15">
      <c r="A148" s="65" t="s">
        <v>158</v>
      </c>
      <c r="B148" s="30">
        <v>11484.48</v>
      </c>
      <c r="C148" s="30">
        <v>-767505</v>
      </c>
      <c r="D148" s="30">
        <v>0</v>
      </c>
      <c r="E148" s="30">
        <v>0</v>
      </c>
      <c r="F148" s="30">
        <v>0</v>
      </c>
      <c r="G148" s="30">
        <v>14509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 t="shared" si="8"/>
        <v>-741511.52</v>
      </c>
      <c r="O148" s="51"/>
    </row>
    <row r="149" spans="1:15" ht="17.25" customHeight="1">
      <c r="A149" s="65" t="s">
        <v>136</v>
      </c>
      <c r="B149" s="30">
        <v>0</v>
      </c>
      <c r="C149" s="30">
        <v>0</v>
      </c>
      <c r="D149" s="30">
        <v>-514.08000000000004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si="8"/>
        <v>-514.08000000000004</v>
      </c>
      <c r="O149"/>
    </row>
    <row r="150" spans="1:15" ht="17.25" customHeight="1">
      <c r="A150" s="65" t="s">
        <v>183</v>
      </c>
      <c r="B150" s="30">
        <v>0</v>
      </c>
      <c r="C150" s="30">
        <v>450065.59</v>
      </c>
      <c r="D150" s="30">
        <v>148667.9</v>
      </c>
      <c r="E150" s="30">
        <v>69615.73000000001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8"/>
        <v>668349.22</v>
      </c>
      <c r="O150"/>
    </row>
    <row r="151" spans="1:15" ht="17.25" customHeight="1">
      <c r="A151" s="65" t="s">
        <v>117</v>
      </c>
      <c r="B151" s="30">
        <v>157343.98000000001</v>
      </c>
      <c r="C151" s="30">
        <v>-168000</v>
      </c>
      <c r="D151" s="30">
        <v>132096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7">
        <f t="shared" si="8"/>
        <v>121439.98000000001</v>
      </c>
      <c r="O151"/>
    </row>
    <row r="152" spans="1:15" ht="17.25" customHeight="1">
      <c r="A152" s="65" t="s">
        <v>135</v>
      </c>
      <c r="B152" s="30">
        <v>2365.56</v>
      </c>
      <c r="C152" s="30">
        <v>2359.7199999999998</v>
      </c>
      <c r="D152" s="30">
        <v>2352.15</v>
      </c>
      <c r="E152" s="30">
        <v>2345.5700000000002</v>
      </c>
      <c r="F152" s="30">
        <v>473.04999999999995</v>
      </c>
      <c r="G152" s="30">
        <v>0</v>
      </c>
      <c r="H152" s="30">
        <v>0</v>
      </c>
      <c r="I152" s="30">
        <v>1347.5</v>
      </c>
      <c r="J152" s="30">
        <v>0</v>
      </c>
      <c r="K152" s="30">
        <v>0</v>
      </c>
      <c r="L152" s="30">
        <v>0</v>
      </c>
      <c r="M152" s="30">
        <v>0</v>
      </c>
      <c r="N152" s="37">
        <f t="shared" si="8"/>
        <v>11243.55</v>
      </c>
      <c r="O152"/>
    </row>
    <row r="153" spans="1:15" ht="17.25" customHeight="1">
      <c r="A153" s="65" t="s">
        <v>137</v>
      </c>
      <c r="B153" s="30">
        <v>317.94</v>
      </c>
      <c r="C153" s="30">
        <v>0</v>
      </c>
      <c r="D153" s="30">
        <v>17958.47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7">
        <f t="shared" si="8"/>
        <v>18276.41</v>
      </c>
      <c r="O153"/>
    </row>
    <row r="154" spans="1:15" ht="17.25" customHeight="1">
      <c r="A154" s="65" t="s">
        <v>154</v>
      </c>
      <c r="B154" s="30">
        <v>-16362.689999999988</v>
      </c>
      <c r="C154" s="30">
        <v>0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7">
        <f t="shared" si="8"/>
        <v>-16362.689999999988</v>
      </c>
      <c r="O154"/>
    </row>
    <row r="155" spans="1:15" ht="15">
      <c r="A155" s="65" t="s">
        <v>181</v>
      </c>
      <c r="B155" s="30">
        <v>-749.81</v>
      </c>
      <c r="C155" s="30">
        <v>0</v>
      </c>
      <c r="D155" s="30">
        <v>0</v>
      </c>
      <c r="E155" s="30">
        <v>0</v>
      </c>
      <c r="F155" s="30">
        <v>0</v>
      </c>
      <c r="G155" s="30">
        <v>-68445.06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7">
        <f t="shared" si="8"/>
        <v>-69194.87</v>
      </c>
      <c r="O155"/>
    </row>
    <row r="156" spans="1:15" ht="15">
      <c r="A156" s="59" t="s">
        <v>191</v>
      </c>
      <c r="B156" s="30">
        <v>-255.01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7">
        <f t="shared" si="8"/>
        <v>-255.01</v>
      </c>
      <c r="O156"/>
    </row>
    <row r="157" spans="1:15" ht="15">
      <c r="A157" s="65" t="s">
        <v>215</v>
      </c>
      <c r="B157" s="30">
        <v>262335.97000000003</v>
      </c>
      <c r="C157" s="30">
        <v>34592.339999999997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7">
        <f t="shared" si="8"/>
        <v>296928.31000000006</v>
      </c>
      <c r="O157"/>
    </row>
    <row r="158" spans="1:15" ht="15">
      <c r="A158" s="65" t="s">
        <v>185</v>
      </c>
      <c r="B158" s="30">
        <v>2917.1399999999981</v>
      </c>
      <c r="C158" s="30">
        <v>0</v>
      </c>
      <c r="D158" s="30">
        <v>0</v>
      </c>
      <c r="E158" s="30">
        <v>3610.0699999999997</v>
      </c>
      <c r="F158" s="30">
        <v>-108.3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7">
        <f t="shared" si="8"/>
        <v>6418.9099999999971</v>
      </c>
      <c r="O158"/>
    </row>
    <row r="159" spans="1:15" ht="15">
      <c r="A159" s="59" t="s">
        <v>148</v>
      </c>
      <c r="B159" s="30">
        <v>0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7">
        <f t="shared" si="8"/>
        <v>0</v>
      </c>
      <c r="O159"/>
    </row>
    <row r="160" spans="1:15" ht="15">
      <c r="A160" s="65" t="s">
        <v>114</v>
      </c>
      <c r="B160" s="30">
        <v>-343.55999999999995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7">
        <f t="shared" si="8"/>
        <v>-343.55999999999995</v>
      </c>
      <c r="O160"/>
    </row>
    <row r="161" spans="1:15" ht="15">
      <c r="A161" s="65" t="s">
        <v>209</v>
      </c>
      <c r="B161" s="30">
        <v>0</v>
      </c>
      <c r="C161" s="30">
        <v>0</v>
      </c>
      <c r="D161" s="30">
        <v>0</v>
      </c>
      <c r="E161" s="30">
        <v>0</v>
      </c>
      <c r="F161" s="30">
        <v>-69427.75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7">
        <f t="shared" si="8"/>
        <v>-69427.75</v>
      </c>
      <c r="O161"/>
    </row>
    <row r="162" spans="1:15" ht="15">
      <c r="A162" s="65" t="s">
        <v>208</v>
      </c>
      <c r="C162" s="30">
        <v>0</v>
      </c>
      <c r="D162" s="30">
        <v>0</v>
      </c>
      <c r="E162" s="30">
        <v>0</v>
      </c>
      <c r="F162" s="30">
        <v>-41661.18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7">
        <f t="shared" si="8"/>
        <v>-41661.18</v>
      </c>
      <c r="O162"/>
    </row>
    <row r="163" spans="1:15">
      <c r="A163" s="15" t="s">
        <v>28</v>
      </c>
      <c r="B163" s="30">
        <f>SUM(B128:B162)</f>
        <v>-731906.86999999976</v>
      </c>
      <c r="C163" s="30">
        <f>SUM(C128:C162)</f>
        <v>-319727.06999999995</v>
      </c>
      <c r="D163" s="30">
        <f>SUM(D128:D162)</f>
        <v>572950.88</v>
      </c>
      <c r="E163" s="30">
        <f t="shared" ref="E163:N163" si="9">SUM(E128:E162)</f>
        <v>-221463.39999999994</v>
      </c>
      <c r="F163" s="30">
        <f t="shared" si="9"/>
        <v>-428323.86</v>
      </c>
      <c r="G163" s="30">
        <f t="shared" si="9"/>
        <v>352981.77999999997</v>
      </c>
      <c r="H163" s="30">
        <f t="shared" si="9"/>
        <v>-9930.26</v>
      </c>
      <c r="I163" s="30">
        <f t="shared" si="9"/>
        <v>1347.5</v>
      </c>
      <c r="J163" s="30">
        <f t="shared" si="9"/>
        <v>0</v>
      </c>
      <c r="K163" s="30">
        <f t="shared" si="9"/>
        <v>0</v>
      </c>
      <c r="L163" s="30">
        <f t="shared" si="9"/>
        <v>0</v>
      </c>
      <c r="M163" s="30">
        <f t="shared" si="9"/>
        <v>0</v>
      </c>
      <c r="N163" s="37">
        <f t="shared" si="9"/>
        <v>-784071.29999999958</v>
      </c>
    </row>
    <row r="164" spans="1:15">
      <c r="A164" s="15"/>
      <c r="N164" s="14"/>
    </row>
    <row r="165" spans="1:15" ht="16.5" thickBot="1">
      <c r="A165" s="19" t="s">
        <v>15</v>
      </c>
      <c r="B165" s="34">
        <f t="shared" ref="B165:M165" si="10">+B163+B125+B92</f>
        <v>-274301</v>
      </c>
      <c r="C165" s="34">
        <f t="shared" si="10"/>
        <v>-2326875</v>
      </c>
      <c r="D165" s="34">
        <f t="shared" si="10"/>
        <v>2935778.0000000005</v>
      </c>
      <c r="E165" s="34">
        <f t="shared" si="10"/>
        <v>-3860361.64</v>
      </c>
      <c r="F165" s="34">
        <f t="shared" si="10"/>
        <v>-261941.55</v>
      </c>
      <c r="G165" s="34">
        <f t="shared" si="10"/>
        <v>1594729.25</v>
      </c>
      <c r="H165" s="34">
        <f t="shared" si="10"/>
        <v>5443180.4500000002</v>
      </c>
      <c r="I165" s="34">
        <f t="shared" si="10"/>
        <v>1483353.04</v>
      </c>
      <c r="J165" s="34">
        <f t="shared" si="10"/>
        <v>0</v>
      </c>
      <c r="K165" s="34">
        <f t="shared" si="10"/>
        <v>0</v>
      </c>
      <c r="L165" s="34">
        <f t="shared" si="10"/>
        <v>0</v>
      </c>
      <c r="M165" s="34">
        <f t="shared" si="10"/>
        <v>0</v>
      </c>
      <c r="N165" s="20">
        <f>+N163+N93+N125+N92</f>
        <v>4733561.55</v>
      </c>
    </row>
    <row r="166" spans="1:15" ht="16.5" thickBot="1">
      <c r="A166" s="4"/>
    </row>
    <row r="167" spans="1:15">
      <c r="A167" s="5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7" t="s">
        <v>0</v>
      </c>
    </row>
    <row r="168" spans="1:15" ht="13.5" thickBot="1">
      <c r="A168" s="21" t="s">
        <v>142</v>
      </c>
      <c r="B168" s="33" t="s">
        <v>2</v>
      </c>
      <c r="C168" s="33" t="s">
        <v>3</v>
      </c>
      <c r="D168" s="33" t="s">
        <v>4</v>
      </c>
      <c r="E168" s="33" t="s">
        <v>5</v>
      </c>
      <c r="F168" s="33" t="s">
        <v>6</v>
      </c>
      <c r="G168" s="33" t="s">
        <v>7</v>
      </c>
      <c r="H168" s="33" t="s">
        <v>8</v>
      </c>
      <c r="I168" s="33" t="s">
        <v>9</v>
      </c>
      <c r="J168" s="33" t="s">
        <v>10</v>
      </c>
      <c r="K168" s="33" t="s">
        <v>11</v>
      </c>
      <c r="L168" s="33" t="s">
        <v>12</v>
      </c>
      <c r="M168" s="33" t="s">
        <v>13</v>
      </c>
      <c r="N168" s="10" t="s">
        <v>14</v>
      </c>
    </row>
    <row r="169" spans="1:15">
      <c r="A169" s="60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52"/>
    </row>
    <row r="170" spans="1:15">
      <c r="A170" s="22" t="s">
        <v>31</v>
      </c>
      <c r="B170" s="30">
        <f>365841-B201-B232</f>
        <v>365841</v>
      </c>
      <c r="C170" s="30">
        <f>342829.77-C201-C232</f>
        <v>342829.77</v>
      </c>
      <c r="D170" s="30">
        <f>46887-D201-D232</f>
        <v>46887</v>
      </c>
      <c r="E170" s="30">
        <f>-315417.51-E201-E232</f>
        <v>-315417.51</v>
      </c>
      <c r="F170" s="30">
        <f>-6761778.17-F201-F232</f>
        <v>-6761778.1699999999</v>
      </c>
      <c r="G170" s="30">
        <f>4628022.64-G201-G232</f>
        <v>4628022.6399999997</v>
      </c>
      <c r="H170" s="30">
        <f>-4410583.5-H201-H232</f>
        <v>-4410583.5</v>
      </c>
      <c r="I170" s="30">
        <f>1382506.94-I201-I232</f>
        <v>1382506.94</v>
      </c>
      <c r="J170" s="30">
        <f t="shared" ref="J170:M170" si="11">0-J201-J232</f>
        <v>0</v>
      </c>
      <c r="K170" s="30">
        <f t="shared" si="11"/>
        <v>0</v>
      </c>
      <c r="L170" s="30">
        <f t="shared" si="11"/>
        <v>0</v>
      </c>
      <c r="M170" s="30">
        <f t="shared" si="11"/>
        <v>0</v>
      </c>
      <c r="N170" s="14">
        <f>SUM(B170:M170)</f>
        <v>-4721691.83</v>
      </c>
    </row>
    <row r="171" spans="1:15">
      <c r="A171" s="15" t="s">
        <v>49</v>
      </c>
      <c r="N171" s="14">
        <f>SUM(B171:M171)</f>
        <v>0</v>
      </c>
    </row>
    <row r="172" spans="1:15">
      <c r="A172" s="22" t="s">
        <v>30</v>
      </c>
      <c r="N172" s="14"/>
    </row>
    <row r="173" spans="1:15" ht="15">
      <c r="A173" s="59" t="s">
        <v>111</v>
      </c>
      <c r="B173" s="30">
        <v>0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4">
        <f t="shared" ref="N173:N198" si="12">SUM(B173:M173)</f>
        <v>0</v>
      </c>
      <c r="O173"/>
    </row>
    <row r="174" spans="1:15" ht="15">
      <c r="A174" s="59" t="s">
        <v>114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14">
        <f t="shared" ref="N174:N194" si="13">SUM(B174:M174)</f>
        <v>0</v>
      </c>
      <c r="O174"/>
    </row>
    <row r="175" spans="1:15" ht="15">
      <c r="A175" s="59" t="s">
        <v>115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si="13"/>
        <v>0</v>
      </c>
      <c r="O175"/>
    </row>
    <row r="176" spans="1:15" ht="15">
      <c r="A176" s="59" t="s">
        <v>116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si="13"/>
        <v>0</v>
      </c>
      <c r="O176"/>
    </row>
    <row r="177" spans="1:15" ht="15">
      <c r="A177" s="59" t="s">
        <v>117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3"/>
        <v>0</v>
      </c>
      <c r="O177"/>
    </row>
    <row r="178" spans="1:15" ht="15">
      <c r="A178" s="59" t="s">
        <v>118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3"/>
        <v>0</v>
      </c>
      <c r="O178"/>
    </row>
    <row r="179" spans="1:15" ht="15">
      <c r="A179" s="59" t="s">
        <v>119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3"/>
        <v>0</v>
      </c>
      <c r="O179"/>
    </row>
    <row r="180" spans="1:15" ht="15">
      <c r="A180" s="59" t="s">
        <v>120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3"/>
        <v>0</v>
      </c>
      <c r="O180"/>
    </row>
    <row r="181" spans="1:15" ht="15">
      <c r="A181" s="59" t="s">
        <v>122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3"/>
        <v>0</v>
      </c>
      <c r="O181"/>
    </row>
    <row r="182" spans="1:15" ht="17.25" customHeight="1">
      <c r="A182" s="65" t="s">
        <v>125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3"/>
        <v>0</v>
      </c>
      <c r="O182"/>
    </row>
    <row r="183" spans="1:15" ht="17.25" customHeight="1">
      <c r="A183" s="65" t="s">
        <v>126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3"/>
        <v>0</v>
      </c>
      <c r="O183"/>
    </row>
    <row r="184" spans="1:15" ht="17.25" customHeight="1">
      <c r="A184" s="65" t="s">
        <v>127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3"/>
        <v>0</v>
      </c>
      <c r="O184"/>
    </row>
    <row r="185" spans="1:15" ht="17.25" customHeight="1">
      <c r="A185" s="65" t="s">
        <v>128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3"/>
        <v>0</v>
      </c>
      <c r="O185"/>
    </row>
    <row r="186" spans="1:15" ht="17.25" customHeight="1">
      <c r="A186" s="65" t="s">
        <v>129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3"/>
        <v>0</v>
      </c>
      <c r="O186"/>
    </row>
    <row r="187" spans="1:15" ht="17.25" customHeight="1">
      <c r="A187" s="65" t="s">
        <v>131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si="13"/>
        <v>0</v>
      </c>
      <c r="O187"/>
    </row>
    <row r="188" spans="1:15" ht="15">
      <c r="A188" s="59" t="s">
        <v>135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3"/>
        <v>0</v>
      </c>
      <c r="O188"/>
    </row>
    <row r="189" spans="1:15" ht="15">
      <c r="A189" s="59" t="s">
        <v>136</v>
      </c>
      <c r="B189" s="30">
        <v>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14">
        <f t="shared" si="13"/>
        <v>0</v>
      </c>
      <c r="O189"/>
    </row>
    <row r="190" spans="1:15" ht="15">
      <c r="A190" s="59" t="s">
        <v>137</v>
      </c>
      <c r="B190" s="30">
        <v>0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14">
        <f t="shared" si="13"/>
        <v>0</v>
      </c>
      <c r="O190"/>
    </row>
    <row r="191" spans="1:15" ht="15">
      <c r="A191" s="59" t="s">
        <v>138</v>
      </c>
      <c r="B191" s="30">
        <v>0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14">
        <f t="shared" si="13"/>
        <v>0</v>
      </c>
      <c r="O191"/>
    </row>
    <row r="192" spans="1:15" ht="15">
      <c r="A192" s="59" t="s">
        <v>139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14">
        <f t="shared" si="13"/>
        <v>0</v>
      </c>
      <c r="O192"/>
    </row>
    <row r="193" spans="1:15" ht="15">
      <c r="A193" s="59" t="s">
        <v>140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14">
        <f t="shared" si="13"/>
        <v>0</v>
      </c>
      <c r="O193"/>
    </row>
    <row r="194" spans="1:15" ht="15">
      <c r="A194" s="59" t="s">
        <v>141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14">
        <f t="shared" si="13"/>
        <v>0</v>
      </c>
      <c r="O194"/>
    </row>
    <row r="195" spans="1:15" ht="15">
      <c r="A195" s="65" t="s">
        <v>143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14">
        <f t="shared" si="12"/>
        <v>0</v>
      </c>
      <c r="O195"/>
    </row>
    <row r="196" spans="1:15" ht="15">
      <c r="A196" s="65" t="s">
        <v>144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14">
        <f t="shared" si="12"/>
        <v>0</v>
      </c>
      <c r="O196"/>
    </row>
    <row r="197" spans="1:15" ht="17.25" customHeight="1">
      <c r="A197" s="65" t="s">
        <v>145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14">
        <f t="shared" si="12"/>
        <v>0</v>
      </c>
      <c r="O197"/>
    </row>
    <row r="198" spans="1:15" ht="17.25" customHeight="1">
      <c r="A198" s="65" t="s">
        <v>146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14">
        <f t="shared" si="12"/>
        <v>0</v>
      </c>
      <c r="O198"/>
    </row>
    <row r="199" spans="1:15" ht="17.25" customHeight="1">
      <c r="A199" s="65" t="s">
        <v>147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14">
        <f t="shared" ref="N199:N200" si="14">SUM(B199:M199)</f>
        <v>0</v>
      </c>
      <c r="O199"/>
    </row>
    <row r="200" spans="1:15" ht="17.25" customHeight="1">
      <c r="A200" s="65" t="s">
        <v>148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14">
        <f t="shared" si="14"/>
        <v>0</v>
      </c>
      <c r="O200"/>
    </row>
    <row r="201" spans="1:15">
      <c r="A201" s="15" t="s">
        <v>28</v>
      </c>
      <c r="B201" s="30">
        <f>SUM(B173:B200)</f>
        <v>0</v>
      </c>
      <c r="C201" s="30">
        <f t="shared" ref="C201:M201" si="15">SUM(C173:C200)</f>
        <v>0</v>
      </c>
      <c r="D201" s="30">
        <f>SUM(D173:D200)</f>
        <v>0</v>
      </c>
      <c r="E201" s="30">
        <f>SUM(E173:E200)</f>
        <v>0</v>
      </c>
      <c r="F201" s="30">
        <f t="shared" si="15"/>
        <v>0</v>
      </c>
      <c r="G201" s="30">
        <f>SUM(G173:G200)</f>
        <v>0</v>
      </c>
      <c r="H201" s="30">
        <f t="shared" si="15"/>
        <v>0</v>
      </c>
      <c r="I201" s="30">
        <f t="shared" si="15"/>
        <v>0</v>
      </c>
      <c r="J201" s="30">
        <f t="shared" si="15"/>
        <v>0</v>
      </c>
      <c r="K201" s="30">
        <f t="shared" si="15"/>
        <v>0</v>
      </c>
      <c r="L201" s="30">
        <f t="shared" si="15"/>
        <v>0</v>
      </c>
      <c r="M201" s="30">
        <f t="shared" si="15"/>
        <v>0</v>
      </c>
      <c r="N201" s="14">
        <f>SUM(N173:N200)</f>
        <v>0</v>
      </c>
    </row>
    <row r="202" spans="1:15">
      <c r="A202" s="15"/>
      <c r="N202" s="14"/>
    </row>
    <row r="203" spans="1:15">
      <c r="A203" s="22" t="s">
        <v>29</v>
      </c>
      <c r="N203" s="14"/>
    </row>
    <row r="204" spans="1:15" ht="15">
      <c r="A204" s="59" t="s">
        <v>111</v>
      </c>
      <c r="B204" s="30">
        <v>0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7">
        <f>SUM(B204:M204)</f>
        <v>0</v>
      </c>
      <c r="O204"/>
    </row>
    <row r="205" spans="1:15" ht="15">
      <c r="A205" s="59" t="s">
        <v>114</v>
      </c>
      <c r="B205" s="30">
        <v>0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7">
        <f t="shared" ref="N205:N231" si="16">SUM(B205:M205)</f>
        <v>0</v>
      </c>
      <c r="O205"/>
    </row>
    <row r="206" spans="1:15" ht="15">
      <c r="A206" s="59" t="s">
        <v>115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 t="shared" si="16"/>
        <v>0</v>
      </c>
      <c r="O206"/>
    </row>
    <row r="207" spans="1:15" ht="15">
      <c r="A207" s="59" t="s">
        <v>116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si="16"/>
        <v>0</v>
      </c>
      <c r="O207"/>
    </row>
    <row r="208" spans="1:15" ht="15">
      <c r="A208" s="59" t="s">
        <v>117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6"/>
        <v>0</v>
      </c>
      <c r="O208"/>
    </row>
    <row r="209" spans="1:15" ht="15">
      <c r="A209" s="59" t="s">
        <v>118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6"/>
        <v>0</v>
      </c>
      <c r="O209"/>
    </row>
    <row r="210" spans="1:15" ht="15">
      <c r="A210" s="59" t="s">
        <v>119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6"/>
        <v>0</v>
      </c>
      <c r="O210"/>
    </row>
    <row r="211" spans="1:15" ht="15">
      <c r="A211" s="59" t="s">
        <v>120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6"/>
        <v>0</v>
      </c>
      <c r="O211"/>
    </row>
    <row r="212" spans="1:15" ht="15">
      <c r="A212" s="59" t="s">
        <v>122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6"/>
        <v>0</v>
      </c>
      <c r="O212"/>
    </row>
    <row r="213" spans="1:15" ht="15">
      <c r="A213" s="59" t="s">
        <v>125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6"/>
        <v>0</v>
      </c>
      <c r="O213"/>
    </row>
    <row r="214" spans="1:15" ht="15">
      <c r="A214" s="59" t="s">
        <v>126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6"/>
        <v>0</v>
      </c>
      <c r="O214"/>
    </row>
    <row r="215" spans="1:15" ht="15">
      <c r="A215" s="59" t="s">
        <v>127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6"/>
        <v>0</v>
      </c>
      <c r="O215"/>
    </row>
    <row r="216" spans="1:15" ht="15">
      <c r="A216" s="65" t="s">
        <v>128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6"/>
        <v>0</v>
      </c>
      <c r="O216" s="51"/>
    </row>
    <row r="217" spans="1:15" ht="15">
      <c r="A217" s="65" t="s">
        <v>129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6"/>
        <v>0</v>
      </c>
      <c r="O217" s="51"/>
    </row>
    <row r="218" spans="1:15" ht="15">
      <c r="A218" s="65" t="s">
        <v>131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6"/>
        <v>0</v>
      </c>
      <c r="O218" s="51"/>
    </row>
    <row r="219" spans="1:15" ht="17.25" customHeight="1">
      <c r="A219" s="65" t="s">
        <v>135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6"/>
        <v>0</v>
      </c>
      <c r="O219"/>
    </row>
    <row r="220" spans="1:15" ht="17.25" customHeight="1">
      <c r="A220" s="65" t="s">
        <v>136</v>
      </c>
      <c r="B220" s="30">
        <v>0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7">
        <f t="shared" si="16"/>
        <v>0</v>
      </c>
      <c r="O220"/>
    </row>
    <row r="221" spans="1:15" ht="17.25" customHeight="1">
      <c r="A221" s="65" t="s">
        <v>137</v>
      </c>
      <c r="B221" s="30">
        <v>0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7">
        <f t="shared" si="16"/>
        <v>0</v>
      </c>
      <c r="O221"/>
    </row>
    <row r="222" spans="1:15" ht="17.25" customHeight="1">
      <c r="A222" s="65" t="s">
        <v>138</v>
      </c>
      <c r="B222" s="30">
        <v>0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7">
        <f t="shared" si="16"/>
        <v>0</v>
      </c>
      <c r="O222"/>
    </row>
    <row r="223" spans="1:15" ht="17.25" customHeight="1">
      <c r="A223" s="65" t="s">
        <v>139</v>
      </c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7">
        <f t="shared" si="16"/>
        <v>0</v>
      </c>
      <c r="O223"/>
    </row>
    <row r="224" spans="1:15" ht="17.25" customHeight="1">
      <c r="A224" s="65" t="s">
        <v>140</v>
      </c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7">
        <f t="shared" si="16"/>
        <v>0</v>
      </c>
      <c r="O224"/>
    </row>
    <row r="225" spans="1:15" ht="17.25" customHeight="1">
      <c r="A225" s="65" t="s">
        <v>141</v>
      </c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7">
        <f t="shared" si="16"/>
        <v>0</v>
      </c>
      <c r="O225"/>
    </row>
    <row r="226" spans="1:15" ht="15">
      <c r="A226" s="59" t="s">
        <v>143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7">
        <f t="shared" si="16"/>
        <v>0</v>
      </c>
      <c r="O226"/>
    </row>
    <row r="227" spans="1:15" ht="15">
      <c r="A227" s="59" t="s">
        <v>144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7">
        <f t="shared" si="16"/>
        <v>0</v>
      </c>
      <c r="O227"/>
    </row>
    <row r="228" spans="1:15" ht="15">
      <c r="A228" s="59" t="s">
        <v>145</v>
      </c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7">
        <f t="shared" si="16"/>
        <v>0</v>
      </c>
      <c r="O228"/>
    </row>
    <row r="229" spans="1:15" ht="15">
      <c r="A229" s="59" t="s">
        <v>146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7">
        <f t="shared" si="16"/>
        <v>0</v>
      </c>
      <c r="O229"/>
    </row>
    <row r="230" spans="1:15" ht="15">
      <c r="A230" s="59" t="s">
        <v>147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7">
        <f t="shared" si="16"/>
        <v>0</v>
      </c>
      <c r="O230"/>
    </row>
    <row r="231" spans="1:15" ht="15">
      <c r="A231" s="59" t="s">
        <v>148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7">
        <f t="shared" si="16"/>
        <v>0</v>
      </c>
      <c r="O231"/>
    </row>
    <row r="232" spans="1:15">
      <c r="A232" s="15" t="s">
        <v>28</v>
      </c>
      <c r="B232" s="30">
        <f>SUM(B204:B231)</f>
        <v>0</v>
      </c>
      <c r="C232" s="30">
        <f t="shared" ref="C232" si="17">SUM(C204:C225)</f>
        <v>0</v>
      </c>
      <c r="D232" s="30">
        <f>SUM(D204:D231)</f>
        <v>0</v>
      </c>
      <c r="E232" s="30">
        <f t="shared" ref="E232:M232" si="18">SUM(E204:E231)</f>
        <v>0</v>
      </c>
      <c r="F232" s="30">
        <f>SUM(F204:F231)</f>
        <v>0</v>
      </c>
      <c r="G232" s="30">
        <f t="shared" si="18"/>
        <v>0</v>
      </c>
      <c r="H232" s="30">
        <f t="shared" si="18"/>
        <v>0</v>
      </c>
      <c r="I232" s="30">
        <f t="shared" si="18"/>
        <v>0</v>
      </c>
      <c r="J232" s="30">
        <f t="shared" si="18"/>
        <v>0</v>
      </c>
      <c r="K232" s="30">
        <f t="shared" si="18"/>
        <v>0</v>
      </c>
      <c r="L232" s="30">
        <f t="shared" si="18"/>
        <v>0</v>
      </c>
      <c r="M232" s="30">
        <f t="shared" si="18"/>
        <v>0</v>
      </c>
      <c r="N232" s="37">
        <f>SUM(N204:N231)</f>
        <v>0</v>
      </c>
    </row>
    <row r="233" spans="1:15">
      <c r="A233" s="15"/>
      <c r="N233" s="14"/>
    </row>
    <row r="234" spans="1:15" ht="16.5" thickBot="1">
      <c r="A234" s="19" t="s">
        <v>15</v>
      </c>
      <c r="B234" s="34">
        <f>+B232+B201+B170</f>
        <v>365841</v>
      </c>
      <c r="C234" s="34">
        <f t="shared" ref="C234:M234" si="19">+C232+C201+C170</f>
        <v>342829.77</v>
      </c>
      <c r="D234" s="34">
        <f t="shared" si="19"/>
        <v>46887</v>
      </c>
      <c r="E234" s="34">
        <f t="shared" si="19"/>
        <v>-315417.51</v>
      </c>
      <c r="F234" s="34">
        <f>+F232+F201+F170</f>
        <v>-6761778.1699999999</v>
      </c>
      <c r="G234" s="34">
        <f t="shared" si="19"/>
        <v>4628022.6399999997</v>
      </c>
      <c r="H234" s="34">
        <f t="shared" si="19"/>
        <v>-4410583.5</v>
      </c>
      <c r="I234" s="34">
        <f t="shared" si="19"/>
        <v>1382506.94</v>
      </c>
      <c r="J234" s="34">
        <f t="shared" si="19"/>
        <v>0</v>
      </c>
      <c r="K234" s="34">
        <f t="shared" si="19"/>
        <v>0</v>
      </c>
      <c r="L234" s="34">
        <f t="shared" si="19"/>
        <v>0</v>
      </c>
      <c r="M234" s="34">
        <f t="shared" si="19"/>
        <v>0</v>
      </c>
      <c r="N234" s="20">
        <f>+N232+N171+N201+N170</f>
        <v>-4721691.83</v>
      </c>
    </row>
    <row r="235" spans="1:15">
      <c r="A235" s="5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7" t="s">
        <v>0</v>
      </c>
    </row>
    <row r="236" spans="1:15" ht="13.5" thickBot="1">
      <c r="A236" s="21" t="s">
        <v>109</v>
      </c>
      <c r="B236" s="33" t="s">
        <v>2</v>
      </c>
      <c r="C236" s="33" t="s">
        <v>3</v>
      </c>
      <c r="D236" s="33" t="s">
        <v>4</v>
      </c>
      <c r="E236" s="33" t="s">
        <v>5</v>
      </c>
      <c r="F236" s="33" t="s">
        <v>6</v>
      </c>
      <c r="G236" s="33" t="s">
        <v>7</v>
      </c>
      <c r="H236" s="33" t="s">
        <v>8</v>
      </c>
      <c r="I236" s="33" t="s">
        <v>9</v>
      </c>
      <c r="J236" s="33" t="s">
        <v>10</v>
      </c>
      <c r="K236" s="33" t="s">
        <v>11</v>
      </c>
      <c r="L236" s="33" t="s">
        <v>12</v>
      </c>
      <c r="M236" s="33" t="s">
        <v>13</v>
      </c>
      <c r="N236" s="10" t="s">
        <v>14</v>
      </c>
    </row>
    <row r="237" spans="1:15">
      <c r="A237" s="60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52"/>
    </row>
    <row r="238" spans="1:15">
      <c r="A238" s="22" t="s">
        <v>31</v>
      </c>
      <c r="B238" s="30">
        <f>29815-B272-B306</f>
        <v>29815</v>
      </c>
      <c r="C238" s="30">
        <f>123629.86-C272-C306</f>
        <v>123629.86</v>
      </c>
      <c r="D238" s="30">
        <f>147719-D272-D306</f>
        <v>147719</v>
      </c>
      <c r="E238" s="30">
        <f>-101163.14-E272-E306</f>
        <v>73054.240000000005</v>
      </c>
      <c r="F238" s="30">
        <f>90929.82-F272-F306</f>
        <v>88920.3</v>
      </c>
      <c r="G238" s="30">
        <f>36452.82-G272-G306</f>
        <v>36452.82</v>
      </c>
      <c r="H238" s="30">
        <f>55720.68-H272-H306</f>
        <v>55720.68</v>
      </c>
      <c r="I238" s="30">
        <f>-4256.91-I272-I306</f>
        <v>-4256.91</v>
      </c>
      <c r="J238" s="30">
        <f t="shared" ref="J238:M238" si="20">0-J272-J306</f>
        <v>0</v>
      </c>
      <c r="K238" s="30">
        <f t="shared" si="20"/>
        <v>0</v>
      </c>
      <c r="L238" s="30">
        <f t="shared" si="20"/>
        <v>0</v>
      </c>
      <c r="M238" s="30">
        <f t="shared" si="20"/>
        <v>0</v>
      </c>
      <c r="N238" s="14">
        <f>SUM(B238:M238)</f>
        <v>551054.99</v>
      </c>
    </row>
    <row r="239" spans="1:15">
      <c r="A239" s="15" t="s">
        <v>49</v>
      </c>
      <c r="N239" s="14">
        <f>SUM(B239:M239)</f>
        <v>0</v>
      </c>
    </row>
    <row r="240" spans="1:15">
      <c r="A240" s="22" t="s">
        <v>30</v>
      </c>
      <c r="N240" s="14"/>
    </row>
    <row r="241" spans="1:15" ht="15">
      <c r="A241" s="59" t="s">
        <v>111</v>
      </c>
      <c r="B241" s="30">
        <v>0</v>
      </c>
      <c r="C241" s="30">
        <v>0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14">
        <f>SUM(B241:M241)</f>
        <v>0</v>
      </c>
      <c r="O241"/>
    </row>
    <row r="242" spans="1:15" ht="15">
      <c r="A242" s="59" t="s">
        <v>112</v>
      </c>
      <c r="B242" s="30">
        <v>0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14">
        <f t="shared" ref="N242:N256" si="21">SUM(B242:M242)</f>
        <v>0</v>
      </c>
      <c r="O242"/>
    </row>
    <row r="243" spans="1:15" ht="15">
      <c r="A243" s="59" t="s">
        <v>113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 t="shared" si="21"/>
        <v>0</v>
      </c>
      <c r="O243"/>
    </row>
    <row r="244" spans="1:15" ht="15">
      <c r="A244" s="59" t="s">
        <v>114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si="21"/>
        <v>0</v>
      </c>
      <c r="O244"/>
    </row>
    <row r="245" spans="1:15" ht="15">
      <c r="A245" s="59" t="s">
        <v>115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 t="shared" si="21"/>
        <v>0</v>
      </c>
      <c r="O245"/>
    </row>
    <row r="246" spans="1:15" ht="15">
      <c r="A246" s="59" t="s">
        <v>116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si="21"/>
        <v>0</v>
      </c>
      <c r="O246"/>
    </row>
    <row r="247" spans="1:15" ht="15">
      <c r="A247" s="59" t="s">
        <v>117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21"/>
        <v>0</v>
      </c>
      <c r="O247"/>
    </row>
    <row r="248" spans="1:15" ht="15">
      <c r="A248" s="59" t="s">
        <v>118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21"/>
        <v>0</v>
      </c>
      <c r="O248"/>
    </row>
    <row r="249" spans="1:15" ht="15">
      <c r="A249" s="59" t="s">
        <v>119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21"/>
        <v>0</v>
      </c>
      <c r="O249"/>
    </row>
    <row r="250" spans="1:15" ht="15">
      <c r="A250" s="59" t="s">
        <v>120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21"/>
        <v>0</v>
      </c>
      <c r="O250"/>
    </row>
    <row r="251" spans="1:15" ht="15">
      <c r="A251" s="59" t="s">
        <v>121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21"/>
        <v>0</v>
      </c>
      <c r="O251"/>
    </row>
    <row r="252" spans="1:15" ht="15">
      <c r="A252" s="59" t="s">
        <v>122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21"/>
        <v>0</v>
      </c>
      <c r="O252"/>
    </row>
    <row r="253" spans="1:15" ht="17.25" customHeight="1">
      <c r="A253" s="65" t="s">
        <v>123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21"/>
        <v>0</v>
      </c>
      <c r="O253"/>
    </row>
    <row r="254" spans="1:15" ht="17.25" customHeight="1">
      <c r="A254" s="65" t="s">
        <v>124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21"/>
        <v>0</v>
      </c>
      <c r="O254"/>
    </row>
    <row r="255" spans="1:15" ht="17.25" customHeight="1">
      <c r="A255" s="65" t="s">
        <v>125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14">
        <f t="shared" si="21"/>
        <v>0</v>
      </c>
      <c r="O255"/>
    </row>
    <row r="256" spans="1:15" ht="17.25" customHeight="1">
      <c r="A256" s="65" t="s">
        <v>126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14">
        <f t="shared" si="21"/>
        <v>0</v>
      </c>
      <c r="O256"/>
    </row>
    <row r="257" spans="1:15" ht="17.25" customHeight="1">
      <c r="A257" s="65" t="s">
        <v>127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>SUM(B257:M257)</f>
        <v>0</v>
      </c>
      <c r="O257"/>
    </row>
    <row r="258" spans="1:15" ht="17.25" customHeight="1">
      <c r="A258" s="65" t="s">
        <v>128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 t="shared" ref="N258:N271" si="22">SUM(B258:M258)</f>
        <v>0</v>
      </c>
      <c r="O258"/>
    </row>
    <row r="259" spans="1:15" ht="17.25" customHeight="1">
      <c r="A259" s="65" t="s">
        <v>129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 t="shared" si="22"/>
        <v>0</v>
      </c>
      <c r="O259"/>
    </row>
    <row r="260" spans="1:15" ht="17.25" customHeight="1">
      <c r="A260" s="65" t="s">
        <v>130</v>
      </c>
      <c r="B260" s="30">
        <v>0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14">
        <f t="shared" si="22"/>
        <v>0</v>
      </c>
      <c r="O260"/>
    </row>
    <row r="261" spans="1:15" ht="17.25" customHeight="1">
      <c r="A261" s="65" t="s">
        <v>131</v>
      </c>
      <c r="B261" s="30">
        <v>0</v>
      </c>
      <c r="C261" s="30">
        <v>0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14">
        <f t="shared" si="22"/>
        <v>0</v>
      </c>
      <c r="O261"/>
    </row>
    <row r="262" spans="1:15" ht="17.25" customHeight="1">
      <c r="A262" s="65" t="s">
        <v>132</v>
      </c>
      <c r="B262" s="30">
        <v>0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14">
        <f t="shared" si="22"/>
        <v>0</v>
      </c>
      <c r="O262"/>
    </row>
    <row r="263" spans="1:15" ht="15">
      <c r="A263" s="59" t="s">
        <v>133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 t="shared" si="22"/>
        <v>0</v>
      </c>
      <c r="O263"/>
    </row>
    <row r="264" spans="1:15" ht="15">
      <c r="A264" s="59" t="s">
        <v>134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si="22"/>
        <v>0</v>
      </c>
      <c r="O264"/>
    </row>
    <row r="265" spans="1:15" ht="15">
      <c r="A265" s="59" t="s">
        <v>135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2"/>
        <v>0</v>
      </c>
      <c r="O265"/>
    </row>
    <row r="266" spans="1:15" ht="15">
      <c r="A266" s="59" t="s">
        <v>136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2"/>
        <v>0</v>
      </c>
      <c r="O266"/>
    </row>
    <row r="267" spans="1:15" ht="15">
      <c r="A267" s="59" t="s">
        <v>137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2"/>
        <v>0</v>
      </c>
      <c r="O267"/>
    </row>
    <row r="268" spans="1:15" ht="15">
      <c r="A268" s="59" t="s">
        <v>138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2"/>
        <v>0</v>
      </c>
      <c r="O268"/>
    </row>
    <row r="269" spans="1:15" ht="15">
      <c r="A269" s="59" t="s">
        <v>139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2"/>
        <v>0</v>
      </c>
      <c r="O269"/>
    </row>
    <row r="270" spans="1:15" ht="15">
      <c r="A270" s="59" t="s">
        <v>140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2"/>
        <v>0</v>
      </c>
      <c r="O270"/>
    </row>
    <row r="271" spans="1:15" ht="15">
      <c r="A271" s="59" t="s">
        <v>141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2"/>
        <v>0</v>
      </c>
      <c r="O271"/>
    </row>
    <row r="272" spans="1:15">
      <c r="A272" s="15" t="s">
        <v>28</v>
      </c>
      <c r="B272" s="30">
        <f>SUM(B241:B271)</f>
        <v>0</v>
      </c>
      <c r="C272" s="30">
        <f>SUM(C241:C271)</f>
        <v>0</v>
      </c>
      <c r="D272" s="30">
        <f t="shared" ref="D272:M272" si="23">SUM(D241:D271)</f>
        <v>0</v>
      </c>
      <c r="E272" s="30">
        <f t="shared" si="23"/>
        <v>0</v>
      </c>
      <c r="F272" s="30">
        <f t="shared" si="23"/>
        <v>0</v>
      </c>
      <c r="G272" s="30">
        <f t="shared" si="23"/>
        <v>0</v>
      </c>
      <c r="H272" s="30">
        <f t="shared" si="23"/>
        <v>0</v>
      </c>
      <c r="I272" s="30">
        <f t="shared" si="23"/>
        <v>0</v>
      </c>
      <c r="J272" s="30">
        <f t="shared" si="23"/>
        <v>0</v>
      </c>
      <c r="K272" s="30">
        <f t="shared" si="23"/>
        <v>0</v>
      </c>
      <c r="L272" s="30">
        <f t="shared" si="23"/>
        <v>0</v>
      </c>
      <c r="M272" s="30">
        <f t="shared" si="23"/>
        <v>0</v>
      </c>
      <c r="N272" s="14">
        <f>SUM(N241:N271)</f>
        <v>0</v>
      </c>
    </row>
    <row r="273" spans="1:15">
      <c r="A273" s="15"/>
      <c r="N273" s="14"/>
    </row>
    <row r="274" spans="1:15">
      <c r="A274" s="22" t="s">
        <v>29</v>
      </c>
      <c r="N274" s="14"/>
    </row>
    <row r="275" spans="1:15" ht="15">
      <c r="A275" s="59" t="s">
        <v>111</v>
      </c>
      <c r="B275" s="30">
        <v>0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14">
        <f>SUM(B275:M275)</f>
        <v>0</v>
      </c>
      <c r="O275"/>
    </row>
    <row r="276" spans="1:15" ht="15">
      <c r="A276" s="59" t="s">
        <v>112</v>
      </c>
      <c r="B276" s="30">
        <v>0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14">
        <f t="shared" ref="N276:N306" si="24">SUM(B276:M276)</f>
        <v>0</v>
      </c>
      <c r="O276"/>
    </row>
    <row r="277" spans="1:15" ht="15">
      <c r="A277" s="59" t="s">
        <v>113</v>
      </c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 t="shared" si="24"/>
        <v>0</v>
      </c>
      <c r="O277"/>
    </row>
    <row r="278" spans="1:15" ht="15">
      <c r="A278" s="59" t="s">
        <v>114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si="24"/>
        <v>0</v>
      </c>
      <c r="O278"/>
    </row>
    <row r="279" spans="1:15" ht="15">
      <c r="A279" s="59" t="s">
        <v>115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4"/>
        <v>0</v>
      </c>
      <c r="O279"/>
    </row>
    <row r="280" spans="1:15" ht="15">
      <c r="A280" s="59" t="s">
        <v>116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4"/>
        <v>0</v>
      </c>
      <c r="O280"/>
    </row>
    <row r="281" spans="1:15" ht="15">
      <c r="A281" s="59" t="s">
        <v>117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4"/>
        <v>0</v>
      </c>
      <c r="O281"/>
    </row>
    <row r="282" spans="1:15" ht="15">
      <c r="A282" s="59" t="s">
        <v>118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4"/>
        <v>0</v>
      </c>
      <c r="O282"/>
    </row>
    <row r="283" spans="1:15" ht="15">
      <c r="A283" s="59" t="s">
        <v>119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4"/>
        <v>0</v>
      </c>
      <c r="O283"/>
    </row>
    <row r="284" spans="1:15" ht="15">
      <c r="A284" s="59" t="s">
        <v>120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4"/>
        <v>0</v>
      </c>
      <c r="O284"/>
    </row>
    <row r="285" spans="1:15" ht="15">
      <c r="A285" s="59" t="s">
        <v>121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4"/>
        <v>0</v>
      </c>
      <c r="O285"/>
    </row>
    <row r="286" spans="1:15" ht="15">
      <c r="A286" s="59" t="s">
        <v>122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4"/>
        <v>0</v>
      </c>
      <c r="O286"/>
    </row>
    <row r="287" spans="1:15" ht="15">
      <c r="A287" s="65" t="s">
        <v>123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4"/>
        <v>0</v>
      </c>
      <c r="O287" s="51"/>
    </row>
    <row r="288" spans="1:15" ht="15">
      <c r="A288" s="65" t="s">
        <v>124</v>
      </c>
      <c r="B288" s="30">
        <v>0</v>
      </c>
      <c r="C288" s="30">
        <v>0</v>
      </c>
      <c r="D288" s="30">
        <v>0</v>
      </c>
      <c r="E288" s="30">
        <v>-174284</v>
      </c>
      <c r="F288" s="30">
        <v>1967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4"/>
        <v>-172317</v>
      </c>
      <c r="O288" s="51"/>
    </row>
    <row r="289" spans="1:15" ht="15">
      <c r="A289" s="65" t="s">
        <v>125</v>
      </c>
      <c r="B289" s="30">
        <v>0</v>
      </c>
      <c r="C289" s="30">
        <v>0</v>
      </c>
      <c r="D289" s="30">
        <v>0</v>
      </c>
      <c r="E289" s="30">
        <v>66.62</v>
      </c>
      <c r="F289" s="30">
        <v>42.519999999999996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4"/>
        <v>109.14</v>
      </c>
      <c r="O289" s="51"/>
    </row>
    <row r="290" spans="1:15" ht="17.25" customHeight="1">
      <c r="A290" s="65" t="s">
        <v>126</v>
      </c>
      <c r="B290" s="30">
        <v>0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4"/>
        <v>0</v>
      </c>
      <c r="O290"/>
    </row>
    <row r="291" spans="1:15" ht="17.25" customHeight="1">
      <c r="A291" s="65" t="s">
        <v>127</v>
      </c>
      <c r="B291" s="30">
        <v>0</v>
      </c>
      <c r="C291" s="30">
        <v>0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4"/>
        <v>0</v>
      </c>
      <c r="O291"/>
    </row>
    <row r="292" spans="1:15" ht="17.25" customHeight="1">
      <c r="A292" s="65" t="s">
        <v>128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4"/>
        <v>0</v>
      </c>
      <c r="O292"/>
    </row>
    <row r="293" spans="1:15" ht="17.25" customHeight="1">
      <c r="A293" s="65" t="s">
        <v>129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4"/>
        <v>0</v>
      </c>
      <c r="O293"/>
    </row>
    <row r="294" spans="1:15" ht="17.25" customHeight="1">
      <c r="A294" s="65" t="s">
        <v>130</v>
      </c>
      <c r="B294" s="30">
        <v>0</v>
      </c>
      <c r="C294" s="30">
        <v>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14">
        <f t="shared" si="24"/>
        <v>0</v>
      </c>
      <c r="O294"/>
    </row>
    <row r="295" spans="1:15" ht="17.25" customHeight="1">
      <c r="A295" s="65" t="s">
        <v>131</v>
      </c>
      <c r="B295" s="30">
        <v>0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14">
        <f t="shared" si="24"/>
        <v>0</v>
      </c>
      <c r="O295"/>
    </row>
    <row r="296" spans="1:15" ht="17.25" customHeight="1">
      <c r="A296" s="65" t="s">
        <v>132</v>
      </c>
      <c r="B296" s="30">
        <v>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14">
        <f t="shared" si="24"/>
        <v>0</v>
      </c>
      <c r="O296"/>
    </row>
    <row r="297" spans="1:15" ht="15">
      <c r="A297" s="59" t="s">
        <v>133</v>
      </c>
      <c r="B297" s="30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14">
        <f t="shared" si="24"/>
        <v>0</v>
      </c>
      <c r="O297"/>
    </row>
    <row r="298" spans="1:15" ht="15">
      <c r="A298" s="59" t="s">
        <v>134</v>
      </c>
      <c r="B298" s="30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14">
        <f t="shared" si="24"/>
        <v>0</v>
      </c>
      <c r="O298"/>
    </row>
    <row r="299" spans="1:15" ht="15">
      <c r="A299" s="59" t="s">
        <v>135</v>
      </c>
      <c r="B299" s="30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14">
        <f t="shared" si="24"/>
        <v>0</v>
      </c>
      <c r="O299"/>
    </row>
    <row r="300" spans="1:15" ht="15">
      <c r="A300" s="59" t="s">
        <v>136</v>
      </c>
      <c r="B300" s="30">
        <v>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14">
        <f t="shared" si="24"/>
        <v>0</v>
      </c>
      <c r="O300"/>
    </row>
    <row r="301" spans="1:15" ht="15">
      <c r="A301" s="59" t="s">
        <v>137</v>
      </c>
      <c r="B301" s="30">
        <v>0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14">
        <f t="shared" si="24"/>
        <v>0</v>
      </c>
      <c r="O301"/>
    </row>
    <row r="302" spans="1:15" ht="15">
      <c r="A302" s="59" t="s">
        <v>138</v>
      </c>
      <c r="B302" s="30">
        <v>0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14">
        <f t="shared" si="24"/>
        <v>0</v>
      </c>
      <c r="O302"/>
    </row>
    <row r="303" spans="1:15" ht="15">
      <c r="A303" s="59" t="s">
        <v>139</v>
      </c>
      <c r="B303" s="30">
        <v>0</v>
      </c>
      <c r="C303" s="30">
        <v>0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14">
        <f t="shared" si="24"/>
        <v>0</v>
      </c>
      <c r="O303"/>
    </row>
    <row r="304" spans="1:15" ht="15">
      <c r="A304" s="59" t="s">
        <v>140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si="24"/>
        <v>0</v>
      </c>
      <c r="O304"/>
    </row>
    <row r="305" spans="1:15" ht="15">
      <c r="A305" s="59" t="s">
        <v>141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4"/>
        <v>0</v>
      </c>
      <c r="O305"/>
    </row>
    <row r="306" spans="1:15">
      <c r="A306" s="15" t="s">
        <v>28</v>
      </c>
      <c r="B306" s="30">
        <f>SUM(B275:B305)</f>
        <v>0</v>
      </c>
      <c r="C306" s="30">
        <f t="shared" ref="C306:M306" si="25">SUM(C275:C305)</f>
        <v>0</v>
      </c>
      <c r="D306" s="30">
        <f t="shared" si="25"/>
        <v>0</v>
      </c>
      <c r="E306" s="30">
        <f t="shared" si="25"/>
        <v>-174217.38</v>
      </c>
      <c r="F306" s="30">
        <f t="shared" si="25"/>
        <v>2009.52</v>
      </c>
      <c r="G306" s="30">
        <f t="shared" si="25"/>
        <v>0</v>
      </c>
      <c r="H306" s="30">
        <f t="shared" si="25"/>
        <v>0</v>
      </c>
      <c r="I306" s="30">
        <f t="shared" si="25"/>
        <v>0</v>
      </c>
      <c r="J306" s="30">
        <f t="shared" si="25"/>
        <v>0</v>
      </c>
      <c r="K306" s="30">
        <f t="shared" si="25"/>
        <v>0</v>
      </c>
      <c r="L306" s="30">
        <f t="shared" si="25"/>
        <v>0</v>
      </c>
      <c r="M306" s="30">
        <f t="shared" si="25"/>
        <v>0</v>
      </c>
      <c r="N306" s="14">
        <f t="shared" si="24"/>
        <v>-172207.86000000002</v>
      </c>
    </row>
    <row r="307" spans="1:15">
      <c r="A307" s="15"/>
      <c r="N307" s="14"/>
    </row>
    <row r="308" spans="1:15" ht="16.5" thickBot="1">
      <c r="A308" s="19" t="s">
        <v>15</v>
      </c>
      <c r="B308" s="34">
        <f t="shared" ref="B308:M308" si="26">+B306+B272+B238</f>
        <v>29815</v>
      </c>
      <c r="C308" s="34">
        <f t="shared" si="26"/>
        <v>123629.86</v>
      </c>
      <c r="D308" s="34">
        <f t="shared" si="26"/>
        <v>147719</v>
      </c>
      <c r="E308" s="34">
        <f t="shared" si="26"/>
        <v>-101163.14</v>
      </c>
      <c r="F308" s="34">
        <f t="shared" si="26"/>
        <v>90929.82</v>
      </c>
      <c r="G308" s="34">
        <f t="shared" si="26"/>
        <v>36452.82</v>
      </c>
      <c r="H308" s="34">
        <f t="shared" si="26"/>
        <v>55720.68</v>
      </c>
      <c r="I308" s="34">
        <f t="shared" si="26"/>
        <v>-4256.91</v>
      </c>
      <c r="J308" s="34">
        <f t="shared" si="26"/>
        <v>0</v>
      </c>
      <c r="K308" s="34">
        <f t="shared" si="26"/>
        <v>0</v>
      </c>
      <c r="L308" s="34">
        <f t="shared" si="26"/>
        <v>0</v>
      </c>
      <c r="M308" s="34">
        <f t="shared" si="26"/>
        <v>0</v>
      </c>
      <c r="N308" s="20">
        <f>+N306+N239+N272+N238</f>
        <v>378847.13</v>
      </c>
    </row>
    <row r="309" spans="1:15" ht="16.5" thickBot="1">
      <c r="A309" s="4"/>
    </row>
    <row r="310" spans="1:15">
      <c r="A310" s="5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7" t="s">
        <v>0</v>
      </c>
    </row>
    <row r="311" spans="1:15" ht="13.5" thickBot="1">
      <c r="A311" s="21" t="s">
        <v>105</v>
      </c>
      <c r="B311" s="33" t="s">
        <v>2</v>
      </c>
      <c r="C311" s="33" t="s">
        <v>3</v>
      </c>
      <c r="D311" s="33" t="s">
        <v>4</v>
      </c>
      <c r="E311" s="33" t="s">
        <v>5</v>
      </c>
      <c r="F311" s="33" t="s">
        <v>6</v>
      </c>
      <c r="G311" s="33" t="s">
        <v>7</v>
      </c>
      <c r="H311" s="33" t="s">
        <v>8</v>
      </c>
      <c r="I311" s="33" t="s">
        <v>9</v>
      </c>
      <c r="J311" s="33" t="s">
        <v>10</v>
      </c>
      <c r="K311" s="33" t="s">
        <v>11</v>
      </c>
      <c r="L311" s="33" t="s">
        <v>12</v>
      </c>
      <c r="M311" s="33" t="s">
        <v>13</v>
      </c>
      <c r="N311" s="10" t="s">
        <v>14</v>
      </c>
    </row>
    <row r="312" spans="1:15">
      <c r="A312" s="60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52"/>
    </row>
    <row r="313" spans="1:15">
      <c r="A313" s="22" t="s">
        <v>31</v>
      </c>
      <c r="B313" s="30">
        <f>-383-B338-B363</f>
        <v>-383</v>
      </c>
      <c r="C313" s="30">
        <f>23567.25-C338-C363</f>
        <v>23567.25</v>
      </c>
      <c r="D313" s="30">
        <f>17858-D338-D363</f>
        <v>17858</v>
      </c>
      <c r="E313" s="30">
        <f>182893.52-E338-E363</f>
        <v>182893.52</v>
      </c>
      <c r="F313" s="30">
        <f>995357.86-F338-F363</f>
        <v>995357.86</v>
      </c>
      <c r="G313" s="30">
        <f>9382.97-G338-G363</f>
        <v>9382.9699999999993</v>
      </c>
      <c r="H313" s="30">
        <f>9630.9-H338-H363</f>
        <v>9630.9</v>
      </c>
      <c r="I313" s="30">
        <f t="shared" ref="I313:M313" si="27">0-I338-I363</f>
        <v>0</v>
      </c>
      <c r="J313" s="30">
        <f t="shared" si="27"/>
        <v>0</v>
      </c>
      <c r="K313" s="30">
        <f t="shared" si="27"/>
        <v>0</v>
      </c>
      <c r="L313" s="30">
        <f t="shared" si="27"/>
        <v>0</v>
      </c>
      <c r="M313" s="30">
        <f t="shared" si="27"/>
        <v>0</v>
      </c>
      <c r="N313" s="14">
        <f>SUM(B313:M313)</f>
        <v>1238307.4999999998</v>
      </c>
    </row>
    <row r="314" spans="1:15">
      <c r="A314" s="15" t="s">
        <v>49</v>
      </c>
      <c r="N314" s="14">
        <f>SUM(B314:M314)</f>
        <v>0</v>
      </c>
    </row>
    <row r="315" spans="1:15">
      <c r="A315" s="22" t="s">
        <v>30</v>
      </c>
      <c r="N315" s="14"/>
    </row>
    <row r="316" spans="1:15" ht="15">
      <c r="A316" s="59" t="s">
        <v>73</v>
      </c>
      <c r="B316" s="30">
        <v>0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14">
        <f t="shared" ref="N316:N331" si="28">SUM(B316:M316)</f>
        <v>0</v>
      </c>
      <c r="O316"/>
    </row>
    <row r="317" spans="1:15" ht="15">
      <c r="A317" s="59" t="s">
        <v>74</v>
      </c>
      <c r="B317" s="30">
        <v>0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14">
        <f t="shared" si="28"/>
        <v>0</v>
      </c>
      <c r="O317"/>
    </row>
    <row r="318" spans="1:15" ht="15">
      <c r="A318" s="59" t="s">
        <v>75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si="28"/>
        <v>0</v>
      </c>
      <c r="O318"/>
    </row>
    <row r="319" spans="1:15" ht="15">
      <c r="A319" s="59" t="s">
        <v>76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8"/>
        <v>0</v>
      </c>
      <c r="O319"/>
    </row>
    <row r="320" spans="1:15" ht="15">
      <c r="A320" s="59" t="s">
        <v>77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 t="shared" si="28"/>
        <v>0</v>
      </c>
      <c r="O320"/>
    </row>
    <row r="321" spans="1:15" ht="15">
      <c r="A321" s="59" t="s">
        <v>78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si="28"/>
        <v>0</v>
      </c>
      <c r="O321"/>
    </row>
    <row r="322" spans="1:15" ht="15">
      <c r="A322" s="59" t="s">
        <v>79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8"/>
        <v>0</v>
      </c>
      <c r="O322"/>
    </row>
    <row r="323" spans="1:15" ht="15">
      <c r="A323" s="59" t="s">
        <v>80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8"/>
        <v>0</v>
      </c>
      <c r="O323"/>
    </row>
    <row r="324" spans="1:15" ht="15">
      <c r="A324" s="59" t="s">
        <v>81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8"/>
        <v>0</v>
      </c>
      <c r="O324"/>
    </row>
    <row r="325" spans="1:15" ht="15">
      <c r="A325" s="59" t="s">
        <v>83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8"/>
        <v>0</v>
      </c>
      <c r="O325"/>
    </row>
    <row r="326" spans="1:15" ht="15">
      <c r="A326" s="59" t="s">
        <v>84</v>
      </c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14">
        <f t="shared" si="28"/>
        <v>0</v>
      </c>
      <c r="O326"/>
    </row>
    <row r="327" spans="1:15" ht="15">
      <c r="A327" s="59" t="s">
        <v>85</v>
      </c>
      <c r="B327" s="30">
        <v>0</v>
      </c>
      <c r="C327" s="30">
        <v>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14">
        <f t="shared" si="28"/>
        <v>0</v>
      </c>
      <c r="O327"/>
    </row>
    <row r="328" spans="1:15" ht="17.25" customHeight="1">
      <c r="A328" s="65" t="s">
        <v>86</v>
      </c>
      <c r="B328" s="30">
        <v>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14">
        <f t="shared" si="28"/>
        <v>0</v>
      </c>
      <c r="O328"/>
    </row>
    <row r="329" spans="1:15" ht="17.25" customHeight="1">
      <c r="A329" s="65" t="s">
        <v>88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si="28"/>
        <v>0</v>
      </c>
      <c r="O329"/>
    </row>
    <row r="330" spans="1:15" ht="17.25" customHeight="1">
      <c r="A330" s="65" t="s">
        <v>89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28"/>
        <v>0</v>
      </c>
      <c r="O330"/>
    </row>
    <row r="331" spans="1:15" ht="17.25" customHeight="1">
      <c r="A331" s="65" t="s">
        <v>90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28"/>
        <v>0</v>
      </c>
      <c r="O331"/>
    </row>
    <row r="332" spans="1:15" ht="17.25" customHeight="1">
      <c r="A332" s="65" t="s">
        <v>96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>SUM(B332:M332)</f>
        <v>0</v>
      </c>
      <c r="O332"/>
    </row>
    <row r="333" spans="1:15" ht="17.25" customHeight="1">
      <c r="A333" s="65" t="s">
        <v>91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 t="shared" ref="N333:N337" si="29">SUM(B333:M333)</f>
        <v>0</v>
      </c>
      <c r="O333"/>
    </row>
    <row r="334" spans="1:15" ht="17.25" customHeight="1">
      <c r="A334" s="65" t="s">
        <v>95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 t="shared" si="29"/>
        <v>0</v>
      </c>
      <c r="O334"/>
    </row>
    <row r="335" spans="1:15" ht="17.25" customHeight="1">
      <c r="A335" s="65" t="s">
        <v>97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si="29"/>
        <v>0</v>
      </c>
      <c r="O335"/>
    </row>
    <row r="336" spans="1:15" ht="17.25" customHeight="1">
      <c r="A336" s="65" t="s">
        <v>98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29"/>
        <v>0</v>
      </c>
      <c r="O336"/>
    </row>
    <row r="337" spans="1:15" ht="17.25" customHeight="1">
      <c r="A337" s="65" t="s">
        <v>100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29"/>
        <v>0</v>
      </c>
      <c r="O337"/>
    </row>
    <row r="338" spans="1:15">
      <c r="A338" s="15" t="s">
        <v>28</v>
      </c>
      <c r="B338" s="30">
        <f>SUM(B316:B337)</f>
        <v>0</v>
      </c>
      <c r="C338" s="30">
        <f t="shared" ref="C338:N338" si="30">SUM(C316:C337)</f>
        <v>0</v>
      </c>
      <c r="D338" s="30">
        <f t="shared" si="30"/>
        <v>0</v>
      </c>
      <c r="E338" s="30">
        <f t="shared" si="30"/>
        <v>0</v>
      </c>
      <c r="F338" s="30">
        <f t="shared" si="30"/>
        <v>0</v>
      </c>
      <c r="G338" s="30">
        <f t="shared" si="30"/>
        <v>0</v>
      </c>
      <c r="H338" s="30">
        <f t="shared" si="30"/>
        <v>0</v>
      </c>
      <c r="I338" s="30">
        <f t="shared" si="30"/>
        <v>0</v>
      </c>
      <c r="J338" s="30">
        <f t="shared" si="30"/>
        <v>0</v>
      </c>
      <c r="K338" s="30">
        <f t="shared" si="30"/>
        <v>0</v>
      </c>
      <c r="L338" s="30">
        <f t="shared" si="30"/>
        <v>0</v>
      </c>
      <c r="M338" s="30">
        <f t="shared" si="30"/>
        <v>0</v>
      </c>
      <c r="N338" s="14">
        <f t="shared" si="30"/>
        <v>0</v>
      </c>
    </row>
    <row r="339" spans="1:15">
      <c r="A339" s="15"/>
      <c r="N339" s="14"/>
    </row>
    <row r="340" spans="1:15">
      <c r="A340" s="22" t="s">
        <v>29</v>
      </c>
      <c r="N340" s="14"/>
    </row>
    <row r="341" spans="1:15" ht="15">
      <c r="A341" s="59" t="s">
        <v>73</v>
      </c>
      <c r="B341" s="30">
        <v>0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14">
        <f t="shared" ref="N341:N355" si="31">SUM(B341:M341)</f>
        <v>0</v>
      </c>
      <c r="O341"/>
    </row>
    <row r="342" spans="1:15" ht="15">
      <c r="A342" s="59" t="s">
        <v>74</v>
      </c>
      <c r="B342" s="30">
        <v>0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14">
        <f t="shared" si="31"/>
        <v>0</v>
      </c>
      <c r="O342"/>
    </row>
    <row r="343" spans="1:15" ht="15">
      <c r="A343" s="59" t="s">
        <v>75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si="31"/>
        <v>0</v>
      </c>
      <c r="O343"/>
    </row>
    <row r="344" spans="1:15" ht="15">
      <c r="A344" s="59" t="s">
        <v>76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 t="shared" si="31"/>
        <v>0</v>
      </c>
      <c r="O344"/>
    </row>
    <row r="345" spans="1:15" ht="15">
      <c r="A345" s="59" t="s">
        <v>77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 t="shared" si="31"/>
        <v>0</v>
      </c>
      <c r="O345"/>
    </row>
    <row r="346" spans="1:15" ht="15">
      <c r="A346" s="59" t="s">
        <v>78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 t="shared" si="31"/>
        <v>0</v>
      </c>
      <c r="O346"/>
    </row>
    <row r="347" spans="1:15" ht="15">
      <c r="A347" s="59" t="s">
        <v>79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si="31"/>
        <v>0</v>
      </c>
      <c r="O347"/>
    </row>
    <row r="348" spans="1:15" ht="15">
      <c r="A348" s="59" t="s">
        <v>80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31"/>
        <v>0</v>
      </c>
      <c r="O348"/>
    </row>
    <row r="349" spans="1:15" ht="15">
      <c r="A349" s="59" t="s">
        <v>81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31"/>
        <v>0</v>
      </c>
      <c r="O349"/>
    </row>
    <row r="350" spans="1:15" ht="15">
      <c r="A350" s="59" t="s">
        <v>83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31"/>
        <v>0</v>
      </c>
      <c r="O350"/>
    </row>
    <row r="351" spans="1:15" ht="15">
      <c r="A351" s="59" t="s">
        <v>84</v>
      </c>
      <c r="B351" s="30">
        <v>0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14">
        <f t="shared" si="31"/>
        <v>0</v>
      </c>
      <c r="O351"/>
    </row>
    <row r="352" spans="1:15" ht="15">
      <c r="A352" s="59" t="s">
        <v>85</v>
      </c>
      <c r="B352" s="30">
        <v>0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14">
        <f t="shared" si="31"/>
        <v>0</v>
      </c>
      <c r="O352"/>
    </row>
    <row r="353" spans="1:15" ht="15">
      <c r="A353" s="65" t="s">
        <v>86</v>
      </c>
      <c r="B353" s="30">
        <v>0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14">
        <f t="shared" si="31"/>
        <v>0</v>
      </c>
      <c r="O353" s="51"/>
    </row>
    <row r="354" spans="1:15" ht="15">
      <c r="A354" s="65" t="s">
        <v>88</v>
      </c>
      <c r="B354" s="30">
        <v>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14">
        <f t="shared" si="31"/>
        <v>0</v>
      </c>
      <c r="O354" s="51"/>
    </row>
    <row r="355" spans="1:15" ht="15">
      <c r="A355" s="65" t="s">
        <v>89</v>
      </c>
      <c r="B355" s="30">
        <v>0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14">
        <f t="shared" si="31"/>
        <v>0</v>
      </c>
      <c r="O355" s="51"/>
    </row>
    <row r="356" spans="1:15" ht="17.25" customHeight="1">
      <c r="A356" s="65" t="s">
        <v>90</v>
      </c>
      <c r="B356" s="30">
        <v>0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14">
        <f>SUM(B356:M356)</f>
        <v>0</v>
      </c>
      <c r="O356"/>
    </row>
    <row r="357" spans="1:15" ht="17.25" customHeight="1">
      <c r="A357" s="65" t="s">
        <v>96</v>
      </c>
      <c r="B357" s="30">
        <v>0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14">
        <f>SUM(B357:M357)</f>
        <v>0</v>
      </c>
      <c r="O357"/>
    </row>
    <row r="358" spans="1:15" ht="17.25" customHeight="1">
      <c r="A358" s="65" t="s">
        <v>91</v>
      </c>
      <c r="B358" s="30">
        <v>0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14">
        <f>SUM(B358:M358)</f>
        <v>0</v>
      </c>
      <c r="O358"/>
    </row>
    <row r="359" spans="1:15" ht="17.25" customHeight="1">
      <c r="A359" s="65" t="s">
        <v>95</v>
      </c>
      <c r="B359" s="30">
        <v>0</v>
      </c>
      <c r="C359" s="30">
        <v>0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14">
        <f t="shared" ref="N359:N362" si="32">SUM(B359:M359)</f>
        <v>0</v>
      </c>
      <c r="O359"/>
    </row>
    <row r="360" spans="1:15" ht="17.25" customHeight="1">
      <c r="A360" s="65" t="s">
        <v>97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 t="shared" si="32"/>
        <v>0</v>
      </c>
      <c r="O360"/>
    </row>
    <row r="361" spans="1:15" ht="17.25" customHeight="1">
      <c r="A361" s="65" t="s">
        <v>98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si="32"/>
        <v>0</v>
      </c>
      <c r="O361"/>
    </row>
    <row r="362" spans="1:15" ht="17.25" customHeight="1">
      <c r="A362" s="65" t="s">
        <v>100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2"/>
        <v>0</v>
      </c>
      <c r="O362"/>
    </row>
    <row r="363" spans="1:15">
      <c r="A363" s="15" t="s">
        <v>28</v>
      </c>
      <c r="B363" s="30">
        <f>SUM(B341:B362)</f>
        <v>0</v>
      </c>
      <c r="C363" s="30">
        <f t="shared" ref="C363:N363" si="33">SUM(C341:C362)</f>
        <v>0</v>
      </c>
      <c r="D363" s="30">
        <f t="shared" si="33"/>
        <v>0</v>
      </c>
      <c r="E363" s="30">
        <f t="shared" si="33"/>
        <v>0</v>
      </c>
      <c r="F363" s="30">
        <f t="shared" si="33"/>
        <v>0</v>
      </c>
      <c r="G363" s="30">
        <f t="shared" si="33"/>
        <v>0</v>
      </c>
      <c r="H363" s="30">
        <f t="shared" si="33"/>
        <v>0</v>
      </c>
      <c r="I363" s="30">
        <f t="shared" si="33"/>
        <v>0</v>
      </c>
      <c r="J363" s="30">
        <f t="shared" si="33"/>
        <v>0</v>
      </c>
      <c r="K363" s="30">
        <f t="shared" si="33"/>
        <v>0</v>
      </c>
      <c r="L363" s="30">
        <f t="shared" si="33"/>
        <v>0</v>
      </c>
      <c r="M363" s="30">
        <f t="shared" si="33"/>
        <v>0</v>
      </c>
      <c r="N363" s="14">
        <f t="shared" si="33"/>
        <v>0</v>
      </c>
    </row>
    <row r="364" spans="1:15">
      <c r="A364" s="15"/>
      <c r="N364" s="14"/>
    </row>
    <row r="365" spans="1:15" ht="16.5" thickBot="1">
      <c r="A365" s="19" t="s">
        <v>15</v>
      </c>
      <c r="B365" s="34">
        <f t="shared" ref="B365:M365" si="34">+B363+B338+B313</f>
        <v>-383</v>
      </c>
      <c r="C365" s="34">
        <f t="shared" si="34"/>
        <v>23567.25</v>
      </c>
      <c r="D365" s="34">
        <f t="shared" si="34"/>
        <v>17858</v>
      </c>
      <c r="E365" s="34">
        <f t="shared" si="34"/>
        <v>182893.52</v>
      </c>
      <c r="F365" s="34">
        <f t="shared" si="34"/>
        <v>995357.86</v>
      </c>
      <c r="G365" s="34">
        <f t="shared" si="34"/>
        <v>9382.9699999999993</v>
      </c>
      <c r="H365" s="34">
        <f t="shared" si="34"/>
        <v>9630.9</v>
      </c>
      <c r="I365" s="34">
        <f t="shared" si="34"/>
        <v>0</v>
      </c>
      <c r="J365" s="34">
        <f t="shared" si="34"/>
        <v>0</v>
      </c>
      <c r="K365" s="34">
        <f t="shared" si="34"/>
        <v>0</v>
      </c>
      <c r="L365" s="34">
        <f t="shared" si="34"/>
        <v>0</v>
      </c>
      <c r="M365" s="34">
        <f t="shared" si="34"/>
        <v>0</v>
      </c>
      <c r="N365" s="20">
        <f>+N363+N314+N338+N313</f>
        <v>1238307.4999999998</v>
      </c>
    </row>
    <row r="366" spans="1:15">
      <c r="A366" s="5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7" t="s">
        <v>0</v>
      </c>
    </row>
    <row r="367" spans="1:15" ht="13.5" thickBot="1">
      <c r="A367" s="21" t="s">
        <v>104</v>
      </c>
      <c r="B367" s="33" t="s">
        <v>2</v>
      </c>
      <c r="C367" s="33" t="s">
        <v>3</v>
      </c>
      <c r="D367" s="33" t="s">
        <v>4</v>
      </c>
      <c r="E367" s="33" t="s">
        <v>5</v>
      </c>
      <c r="F367" s="33" t="s">
        <v>6</v>
      </c>
      <c r="G367" s="33" t="s">
        <v>7</v>
      </c>
      <c r="H367" s="33" t="s">
        <v>8</v>
      </c>
      <c r="I367" s="33" t="s">
        <v>9</v>
      </c>
      <c r="J367" s="33" t="s">
        <v>10</v>
      </c>
      <c r="K367" s="33" t="s">
        <v>11</v>
      </c>
      <c r="L367" s="33" t="s">
        <v>12</v>
      </c>
      <c r="M367" s="33" t="s">
        <v>13</v>
      </c>
      <c r="N367" s="10" t="s">
        <v>14</v>
      </c>
    </row>
    <row r="368" spans="1:15">
      <c r="A368" s="60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52"/>
    </row>
    <row r="369" spans="1:15">
      <c r="A369" s="22" t="s">
        <v>31</v>
      </c>
      <c r="B369" s="30">
        <f>162830-B396-B423</f>
        <v>162830</v>
      </c>
      <c r="C369" s="30">
        <f>258150.81-C396-C423</f>
        <v>258150.81</v>
      </c>
      <c r="D369" s="30">
        <f>194781-D396-D423</f>
        <v>194781</v>
      </c>
      <c r="E369" s="30">
        <f>12061.42-E396-E423</f>
        <v>12061.42</v>
      </c>
      <c r="F369" s="30">
        <f>-16870.42-F396-F423</f>
        <v>-16870.419999999998</v>
      </c>
      <c r="G369" s="30">
        <f>262098.4-G396-G423</f>
        <v>262098.4</v>
      </c>
      <c r="H369" s="30">
        <f>-64299.33-H396-H423</f>
        <v>-64299.33</v>
      </c>
      <c r="I369" s="30">
        <f>-2326.25-I396-I423</f>
        <v>-2326.25</v>
      </c>
      <c r="J369" s="30">
        <f t="shared" ref="J369:M369" si="35">0-J396-J423</f>
        <v>0</v>
      </c>
      <c r="K369" s="30">
        <f t="shared" si="35"/>
        <v>0</v>
      </c>
      <c r="L369" s="30">
        <f t="shared" si="35"/>
        <v>0</v>
      </c>
      <c r="M369" s="30">
        <f t="shared" si="35"/>
        <v>0</v>
      </c>
      <c r="N369" s="14">
        <f>SUM(B369:M369)</f>
        <v>806425.63000000012</v>
      </c>
    </row>
    <row r="370" spans="1:15">
      <c r="A370" s="15" t="s">
        <v>49</v>
      </c>
      <c r="N370" s="14">
        <f>SUM(B370:M370)</f>
        <v>0</v>
      </c>
    </row>
    <row r="371" spans="1:15">
      <c r="A371" s="22" t="s">
        <v>30</v>
      </c>
      <c r="N371" s="14"/>
    </row>
    <row r="372" spans="1:15" ht="15">
      <c r="A372" s="59" t="s">
        <v>72</v>
      </c>
      <c r="B372" s="30">
        <v>0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14">
        <f t="shared" ref="N372:N385" si="36">SUM(B372:M372)</f>
        <v>0</v>
      </c>
      <c r="O372"/>
    </row>
    <row r="373" spans="1:15" ht="15">
      <c r="A373" s="59" t="s">
        <v>73</v>
      </c>
      <c r="B373" s="30">
        <v>0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14">
        <f t="shared" si="36"/>
        <v>0</v>
      </c>
      <c r="O373"/>
    </row>
    <row r="374" spans="1:15" ht="15">
      <c r="A374" s="59" t="s">
        <v>74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si="36"/>
        <v>0</v>
      </c>
      <c r="O374"/>
    </row>
    <row r="375" spans="1:15" ht="15">
      <c r="A375" s="59" t="s">
        <v>75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6"/>
        <v>0</v>
      </c>
      <c r="O375"/>
    </row>
    <row r="376" spans="1:15" ht="15">
      <c r="A376" s="59" t="s">
        <v>76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6"/>
        <v>0</v>
      </c>
      <c r="O376"/>
    </row>
    <row r="377" spans="1:15" ht="15">
      <c r="A377" s="59" t="s">
        <v>77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6"/>
        <v>0</v>
      </c>
      <c r="O377"/>
    </row>
    <row r="378" spans="1:15" ht="15">
      <c r="A378" s="59" t="s">
        <v>78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 t="shared" si="36"/>
        <v>0</v>
      </c>
      <c r="O378"/>
    </row>
    <row r="379" spans="1:15" ht="15">
      <c r="A379" s="59" t="s">
        <v>79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si="36"/>
        <v>0</v>
      </c>
      <c r="O379"/>
    </row>
    <row r="380" spans="1:15" ht="15">
      <c r="A380" s="59" t="s">
        <v>80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6"/>
        <v>0</v>
      </c>
      <c r="O380"/>
    </row>
    <row r="381" spans="1:15" ht="15">
      <c r="A381" s="59" t="s">
        <v>81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si="36"/>
        <v>0</v>
      </c>
      <c r="O381"/>
    </row>
    <row r="382" spans="1:15" ht="15">
      <c r="A382" s="59" t="s">
        <v>82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si="36"/>
        <v>0</v>
      </c>
      <c r="O382"/>
    </row>
    <row r="383" spans="1:15" ht="15">
      <c r="A383" s="59" t="s">
        <v>83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si="36"/>
        <v>0</v>
      </c>
      <c r="O383"/>
    </row>
    <row r="384" spans="1:15" ht="15">
      <c r="A384" s="59" t="s">
        <v>84</v>
      </c>
      <c r="B384" s="30">
        <v>0</v>
      </c>
      <c r="C384" s="30">
        <v>0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14">
        <f t="shared" si="36"/>
        <v>0</v>
      </c>
      <c r="O384"/>
    </row>
    <row r="385" spans="1:15" ht="15">
      <c r="A385" s="59" t="s">
        <v>85</v>
      </c>
      <c r="B385" s="30">
        <v>0</v>
      </c>
      <c r="C385" s="30">
        <v>0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14">
        <f t="shared" si="36"/>
        <v>0</v>
      </c>
      <c r="O385"/>
    </row>
    <row r="386" spans="1:15" ht="17.25" customHeight="1">
      <c r="A386" s="65" t="s">
        <v>86</v>
      </c>
      <c r="B386" s="30">
        <v>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14">
        <f t="shared" ref="N386:N389" si="37">SUM(B386:M386)</f>
        <v>0</v>
      </c>
      <c r="O386"/>
    </row>
    <row r="387" spans="1:15" ht="17.25" customHeight="1">
      <c r="A387" s="65" t="s">
        <v>88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si="37"/>
        <v>0</v>
      </c>
      <c r="O387"/>
    </row>
    <row r="388" spans="1:15" ht="17.25" customHeight="1">
      <c r="A388" s="65" t="s">
        <v>89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si="37"/>
        <v>0</v>
      </c>
      <c r="O388"/>
    </row>
    <row r="389" spans="1:15" ht="17.25" customHeight="1">
      <c r="A389" s="65" t="s">
        <v>90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37"/>
        <v>0</v>
      </c>
      <c r="O389"/>
    </row>
    <row r="390" spans="1:15" ht="17.25" customHeight="1">
      <c r="A390" s="65" t="s">
        <v>96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>SUM(B390:M390)</f>
        <v>0</v>
      </c>
      <c r="O390"/>
    </row>
    <row r="391" spans="1:15" ht="17.25" customHeight="1">
      <c r="A391" s="65" t="s">
        <v>91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 t="shared" ref="N391:N392" si="38">SUM(B391:M391)</f>
        <v>0</v>
      </c>
      <c r="O391"/>
    </row>
    <row r="392" spans="1:15" ht="17.25" customHeight="1">
      <c r="A392" s="65" t="s">
        <v>95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 t="shared" si="38"/>
        <v>0</v>
      </c>
      <c r="O392"/>
    </row>
    <row r="393" spans="1:15" ht="17.25" customHeight="1">
      <c r="A393" s="65" t="s">
        <v>97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ref="N393" si="39">SUM(B393:M393)</f>
        <v>0</v>
      </c>
      <c r="O393"/>
    </row>
    <row r="394" spans="1:15" ht="17.25" customHeight="1">
      <c r="A394" s="65" t="s">
        <v>98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ref="N394" si="40">SUM(B394:M394)</f>
        <v>0</v>
      </c>
      <c r="O394"/>
    </row>
    <row r="395" spans="1:15" ht="17.25" customHeight="1">
      <c r="A395" s="65" t="s">
        <v>99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ref="N395" si="41">SUM(B395:M395)</f>
        <v>0</v>
      </c>
      <c r="O395"/>
    </row>
    <row r="396" spans="1:15">
      <c r="A396" s="15" t="s">
        <v>28</v>
      </c>
      <c r="B396" s="30">
        <f t="shared" ref="B396:N396" si="42">SUM(B372:B395)</f>
        <v>0</v>
      </c>
      <c r="C396" s="30">
        <f t="shared" si="42"/>
        <v>0</v>
      </c>
      <c r="D396" s="30">
        <f t="shared" si="42"/>
        <v>0</v>
      </c>
      <c r="E396" s="30">
        <f t="shared" si="42"/>
        <v>0</v>
      </c>
      <c r="F396" s="30">
        <f t="shared" si="42"/>
        <v>0</v>
      </c>
      <c r="G396" s="30">
        <f t="shared" si="42"/>
        <v>0</v>
      </c>
      <c r="H396" s="30">
        <f t="shared" si="42"/>
        <v>0</v>
      </c>
      <c r="I396" s="30">
        <f t="shared" si="42"/>
        <v>0</v>
      </c>
      <c r="J396" s="30">
        <f t="shared" si="42"/>
        <v>0</v>
      </c>
      <c r="K396" s="30">
        <f t="shared" si="42"/>
        <v>0</v>
      </c>
      <c r="L396" s="30">
        <f t="shared" si="42"/>
        <v>0</v>
      </c>
      <c r="M396" s="30">
        <f t="shared" si="42"/>
        <v>0</v>
      </c>
      <c r="N396" s="14">
        <f t="shared" si="42"/>
        <v>0</v>
      </c>
    </row>
    <row r="397" spans="1:15">
      <c r="A397" s="15"/>
      <c r="N397" s="14"/>
    </row>
    <row r="398" spans="1:15">
      <c r="A398" s="22" t="s">
        <v>29</v>
      </c>
      <c r="N398" s="14"/>
    </row>
    <row r="399" spans="1:15" ht="15">
      <c r="A399" s="59" t="s">
        <v>72</v>
      </c>
      <c r="B399" s="30">
        <v>0</v>
      </c>
      <c r="C399" s="30">
        <v>0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14">
        <f t="shared" ref="N399:N413" si="43">SUM(B399:M399)</f>
        <v>0</v>
      </c>
      <c r="O399"/>
    </row>
    <row r="400" spans="1:15" ht="15">
      <c r="A400" s="59" t="s">
        <v>73</v>
      </c>
      <c r="B400" s="30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14">
        <f t="shared" si="43"/>
        <v>0</v>
      </c>
      <c r="O400"/>
    </row>
    <row r="401" spans="1:15" ht="15">
      <c r="A401" s="59" t="s">
        <v>74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si="43"/>
        <v>0</v>
      </c>
      <c r="O401"/>
    </row>
    <row r="402" spans="1:15" ht="15">
      <c r="A402" s="59" t="s">
        <v>75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si="43"/>
        <v>0</v>
      </c>
      <c r="O402"/>
    </row>
    <row r="403" spans="1:15" ht="15">
      <c r="A403" s="59" t="s">
        <v>76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si="43"/>
        <v>0</v>
      </c>
      <c r="O403"/>
    </row>
    <row r="404" spans="1:15" ht="15">
      <c r="A404" s="59" t="s">
        <v>77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 t="shared" si="43"/>
        <v>0</v>
      </c>
      <c r="O404"/>
    </row>
    <row r="405" spans="1:15" ht="15">
      <c r="A405" s="59" t="s">
        <v>78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 t="shared" si="43"/>
        <v>0</v>
      </c>
      <c r="O405"/>
    </row>
    <row r="406" spans="1:15" ht="15">
      <c r="A406" s="59" t="s">
        <v>79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 t="shared" si="43"/>
        <v>0</v>
      </c>
      <c r="O406"/>
    </row>
    <row r="407" spans="1:15" ht="15">
      <c r="A407" s="59" t="s">
        <v>80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si="43"/>
        <v>0</v>
      </c>
      <c r="O407"/>
    </row>
    <row r="408" spans="1:15" ht="15">
      <c r="A408" s="59" t="s">
        <v>81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si="43"/>
        <v>0</v>
      </c>
      <c r="O408"/>
    </row>
    <row r="409" spans="1:15" ht="15">
      <c r="A409" s="59" t="s">
        <v>82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3"/>
        <v>0</v>
      </c>
      <c r="O409"/>
    </row>
    <row r="410" spans="1:15" ht="15">
      <c r="A410" s="59" t="s">
        <v>83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3"/>
        <v>0</v>
      </c>
      <c r="O410"/>
    </row>
    <row r="411" spans="1:15" ht="15">
      <c r="A411" s="59" t="s">
        <v>84</v>
      </c>
      <c r="B411" s="30">
        <v>0</v>
      </c>
      <c r="C411" s="30">
        <v>0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14">
        <f t="shared" si="43"/>
        <v>0</v>
      </c>
      <c r="O411"/>
    </row>
    <row r="412" spans="1:15" ht="15">
      <c r="A412" s="59" t="s">
        <v>85</v>
      </c>
      <c r="B412" s="30">
        <v>0</v>
      </c>
      <c r="C412" s="30">
        <v>0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14">
        <f t="shared" si="43"/>
        <v>0</v>
      </c>
      <c r="O412"/>
    </row>
    <row r="413" spans="1:15" ht="15">
      <c r="A413" s="65" t="s">
        <v>86</v>
      </c>
      <c r="B413" s="30">
        <v>0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14">
        <f t="shared" si="43"/>
        <v>0</v>
      </c>
      <c r="O413" s="51"/>
    </row>
    <row r="414" spans="1:15" ht="15">
      <c r="A414" s="65" t="s">
        <v>88</v>
      </c>
      <c r="B414" s="30">
        <v>0</v>
      </c>
      <c r="C414" s="30">
        <v>0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14">
        <f t="shared" ref="N414" si="44">SUM(B414:M414)</f>
        <v>0</v>
      </c>
      <c r="O414" s="51"/>
    </row>
    <row r="415" spans="1:15" ht="15">
      <c r="A415" s="65" t="s">
        <v>89</v>
      </c>
      <c r="B415" s="30">
        <v>0</v>
      </c>
      <c r="C415" s="30">
        <v>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14">
        <f t="shared" ref="N415" si="45">SUM(B415:M415)</f>
        <v>0</v>
      </c>
      <c r="O415" s="51"/>
    </row>
    <row r="416" spans="1:15" ht="17.25" customHeight="1">
      <c r="A416" s="65" t="s">
        <v>90</v>
      </c>
      <c r="B416" s="30">
        <v>0</v>
      </c>
      <c r="C416" s="30">
        <v>0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14">
        <f>SUM(B416:M416)</f>
        <v>0</v>
      </c>
      <c r="O416"/>
    </row>
    <row r="417" spans="1:15" ht="17.25" customHeight="1">
      <c r="A417" s="65" t="s">
        <v>96</v>
      </c>
      <c r="B417" s="30">
        <v>0</v>
      </c>
      <c r="C417" s="30">
        <v>0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14">
        <f>SUM(B417:M417)</f>
        <v>0</v>
      </c>
      <c r="O417"/>
    </row>
    <row r="418" spans="1:15" ht="17.25" customHeight="1">
      <c r="A418" s="65" t="s">
        <v>91</v>
      </c>
      <c r="B418" s="30">
        <v>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14">
        <f>SUM(B418:M418)</f>
        <v>0</v>
      </c>
      <c r="O418"/>
    </row>
    <row r="419" spans="1:15" ht="17.25" customHeight="1">
      <c r="A419" s="65" t="s">
        <v>95</v>
      </c>
      <c r="B419" s="30">
        <v>0</v>
      </c>
      <c r="C419" s="30">
        <v>0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14">
        <f t="shared" ref="N419" si="46">SUM(B419:M419)</f>
        <v>0</v>
      </c>
      <c r="O419"/>
    </row>
    <row r="420" spans="1:15" ht="17.25" customHeight="1">
      <c r="A420" s="65" t="s">
        <v>97</v>
      </c>
      <c r="B420" s="30">
        <v>0</v>
      </c>
      <c r="C420" s="30">
        <v>0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14">
        <f t="shared" ref="N420:N422" si="47">SUM(B420:M420)</f>
        <v>0</v>
      </c>
      <c r="O420"/>
    </row>
    <row r="421" spans="1:15" ht="17.25" customHeight="1">
      <c r="A421" s="65" t="s">
        <v>98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si="47"/>
        <v>0</v>
      </c>
      <c r="O421"/>
    </row>
    <row r="422" spans="1:15" ht="17.25" customHeight="1">
      <c r="A422" s="65" t="s">
        <v>100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si="47"/>
        <v>0</v>
      </c>
      <c r="O422"/>
    </row>
    <row r="423" spans="1:15">
      <c r="A423" s="15" t="s">
        <v>28</v>
      </c>
      <c r="B423" s="30">
        <f t="shared" ref="B423:N423" si="48">SUM(B399:B422)</f>
        <v>0</v>
      </c>
      <c r="C423" s="30">
        <f t="shared" si="48"/>
        <v>0</v>
      </c>
      <c r="D423" s="30">
        <f t="shared" si="48"/>
        <v>0</v>
      </c>
      <c r="E423" s="30">
        <f t="shared" si="48"/>
        <v>0</v>
      </c>
      <c r="F423" s="30">
        <f t="shared" si="48"/>
        <v>0</v>
      </c>
      <c r="G423" s="30">
        <f t="shared" si="48"/>
        <v>0</v>
      </c>
      <c r="H423" s="30">
        <f t="shared" si="48"/>
        <v>0</v>
      </c>
      <c r="I423" s="30">
        <f t="shared" si="48"/>
        <v>0</v>
      </c>
      <c r="J423" s="30">
        <f t="shared" si="48"/>
        <v>0</v>
      </c>
      <c r="K423" s="30">
        <f t="shared" si="48"/>
        <v>0</v>
      </c>
      <c r="L423" s="30">
        <f t="shared" si="48"/>
        <v>0</v>
      </c>
      <c r="M423" s="30">
        <f t="shared" si="48"/>
        <v>0</v>
      </c>
      <c r="N423" s="14">
        <f t="shared" si="48"/>
        <v>0</v>
      </c>
    </row>
    <row r="424" spans="1:15">
      <c r="A424" s="15"/>
      <c r="N424" s="14"/>
    </row>
    <row r="425" spans="1:15" ht="16.5" thickBot="1">
      <c r="A425" s="19" t="s">
        <v>15</v>
      </c>
      <c r="B425" s="34">
        <f t="shared" ref="B425:M425" si="49">+B423+B396+B369</f>
        <v>162830</v>
      </c>
      <c r="C425" s="34">
        <f t="shared" si="49"/>
        <v>258150.81</v>
      </c>
      <c r="D425" s="34">
        <f t="shared" si="49"/>
        <v>194781</v>
      </c>
      <c r="E425" s="34">
        <f t="shared" si="49"/>
        <v>12061.42</v>
      </c>
      <c r="F425" s="34">
        <f t="shared" si="49"/>
        <v>-16870.419999999998</v>
      </c>
      <c r="G425" s="34">
        <f t="shared" si="49"/>
        <v>262098.4</v>
      </c>
      <c r="H425" s="34">
        <f t="shared" si="49"/>
        <v>-64299.33</v>
      </c>
      <c r="I425" s="34">
        <f t="shared" si="49"/>
        <v>-2326.25</v>
      </c>
      <c r="J425" s="34">
        <f t="shared" si="49"/>
        <v>0</v>
      </c>
      <c r="K425" s="34">
        <f>+K423+K396+K369</f>
        <v>0</v>
      </c>
      <c r="L425" s="34">
        <f t="shared" si="49"/>
        <v>0</v>
      </c>
      <c r="M425" s="34">
        <f t="shared" si="49"/>
        <v>0</v>
      </c>
      <c r="N425" s="20">
        <f>+N423+N370+N396+N369</f>
        <v>806425.63000000012</v>
      </c>
    </row>
    <row r="426" spans="1:15" ht="16.5" thickBot="1">
      <c r="A426" s="4"/>
    </row>
    <row r="427" spans="1:15">
      <c r="A427" s="5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7" t="s">
        <v>0</v>
      </c>
    </row>
    <row r="428" spans="1:15" ht="13.5" thickBot="1">
      <c r="A428" s="21" t="s">
        <v>52</v>
      </c>
      <c r="B428" s="33" t="s">
        <v>2</v>
      </c>
      <c r="C428" s="33" t="s">
        <v>3</v>
      </c>
      <c r="D428" s="33" t="s">
        <v>4</v>
      </c>
      <c r="E428" s="33" t="s">
        <v>5</v>
      </c>
      <c r="F428" s="33" t="s">
        <v>6</v>
      </c>
      <c r="G428" s="33" t="s">
        <v>7</v>
      </c>
      <c r="H428" s="33" t="s">
        <v>8</v>
      </c>
      <c r="I428" s="33" t="s">
        <v>9</v>
      </c>
      <c r="J428" s="33" t="s">
        <v>10</v>
      </c>
      <c r="K428" s="33" t="s">
        <v>11</v>
      </c>
      <c r="L428" s="33" t="s">
        <v>12</v>
      </c>
      <c r="M428" s="33" t="s">
        <v>13</v>
      </c>
      <c r="N428" s="10" t="s">
        <v>14</v>
      </c>
    </row>
    <row r="429" spans="1:15">
      <c r="A429" s="60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52"/>
    </row>
    <row r="430" spans="1:15">
      <c r="A430" s="22" t="s">
        <v>31</v>
      </c>
      <c r="B430" s="30">
        <f>0-B451-B472</f>
        <v>0</v>
      </c>
      <c r="C430" s="30">
        <f t="shared" ref="C430:E430" si="50">0-C451-C472</f>
        <v>0</v>
      </c>
      <c r="D430" s="30">
        <f t="shared" si="50"/>
        <v>0</v>
      </c>
      <c r="E430" s="30">
        <f t="shared" si="50"/>
        <v>0</v>
      </c>
      <c r="F430" s="30">
        <f t="shared" ref="F430:L430" si="51">0-F451-F472</f>
        <v>0</v>
      </c>
      <c r="G430" s="30">
        <f t="shared" si="51"/>
        <v>0</v>
      </c>
      <c r="H430" s="30">
        <f t="shared" si="51"/>
        <v>0</v>
      </c>
      <c r="I430" s="30">
        <f t="shared" si="51"/>
        <v>0</v>
      </c>
      <c r="J430" s="30">
        <f t="shared" si="51"/>
        <v>0</v>
      </c>
      <c r="K430" s="30">
        <f t="shared" si="51"/>
        <v>0</v>
      </c>
      <c r="L430" s="30">
        <f t="shared" si="51"/>
        <v>0</v>
      </c>
      <c r="M430" s="30">
        <f t="shared" ref="M430" si="52">0-M451-M472</f>
        <v>0</v>
      </c>
      <c r="N430" s="14">
        <f>SUM(B430:M430)</f>
        <v>0</v>
      </c>
    </row>
    <row r="431" spans="1:15">
      <c r="A431" s="15" t="s">
        <v>49</v>
      </c>
      <c r="N431" s="14"/>
    </row>
    <row r="432" spans="1:15">
      <c r="A432" s="22" t="s">
        <v>30</v>
      </c>
      <c r="N432" s="14"/>
    </row>
    <row r="433" spans="1:15">
      <c r="A433" s="15" t="s">
        <v>53</v>
      </c>
      <c r="B433" s="30">
        <v>0</v>
      </c>
      <c r="C433" s="30">
        <v>0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14">
        <f t="shared" ref="N433:N446" si="53">SUM(B433:M433)</f>
        <v>0</v>
      </c>
      <c r="O433"/>
    </row>
    <row r="434" spans="1:15">
      <c r="A434" s="15" t="s">
        <v>54</v>
      </c>
      <c r="B434" s="30">
        <v>0</v>
      </c>
      <c r="C434" s="30">
        <v>0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14">
        <f t="shared" si="53"/>
        <v>0</v>
      </c>
      <c r="O434"/>
    </row>
    <row r="435" spans="1:15">
      <c r="A435" s="15" t="s">
        <v>55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 t="shared" si="53"/>
        <v>0</v>
      </c>
      <c r="O435"/>
    </row>
    <row r="436" spans="1:15">
      <c r="A436" s="15" t="s">
        <v>56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 t="shared" si="53"/>
        <v>0</v>
      </c>
      <c r="O436"/>
    </row>
    <row r="437" spans="1:15">
      <c r="A437" s="15" t="s">
        <v>57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 t="shared" si="53"/>
        <v>0</v>
      </c>
      <c r="O437"/>
    </row>
    <row r="438" spans="1:15">
      <c r="A438" s="15" t="s">
        <v>58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 t="shared" si="53"/>
        <v>0</v>
      </c>
      <c r="O438"/>
    </row>
    <row r="439" spans="1:15">
      <c r="A439" s="15" t="s">
        <v>59</v>
      </c>
      <c r="B439" s="30">
        <v>0</v>
      </c>
      <c r="C439" s="30">
        <v>0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14">
        <f t="shared" si="53"/>
        <v>0</v>
      </c>
      <c r="O439"/>
    </row>
    <row r="440" spans="1:15">
      <c r="A440" s="15" t="s">
        <v>60</v>
      </c>
      <c r="B440" s="30">
        <v>0</v>
      </c>
      <c r="C440" s="30">
        <v>0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14">
        <f t="shared" si="53"/>
        <v>0</v>
      </c>
      <c r="O440"/>
    </row>
    <row r="441" spans="1:15">
      <c r="A441" s="15" t="s">
        <v>61</v>
      </c>
      <c r="B441" s="30">
        <v>0</v>
      </c>
      <c r="C441" s="30">
        <v>0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14">
        <f t="shared" si="53"/>
        <v>0</v>
      </c>
      <c r="O441"/>
    </row>
    <row r="442" spans="1:15">
      <c r="A442" s="15" t="s">
        <v>62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si="53"/>
        <v>0</v>
      </c>
      <c r="O442"/>
    </row>
    <row r="443" spans="1:15">
      <c r="A443" s="15" t="s">
        <v>63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3"/>
        <v>0</v>
      </c>
      <c r="O443"/>
    </row>
    <row r="444" spans="1:15">
      <c r="A444" s="15" t="s">
        <v>64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3"/>
        <v>0</v>
      </c>
      <c r="O444"/>
    </row>
    <row r="445" spans="1:15">
      <c r="A445" s="15" t="s">
        <v>65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3"/>
        <v>0</v>
      </c>
      <c r="O445"/>
    </row>
    <row r="446" spans="1:15">
      <c r="A446" s="15" t="s">
        <v>66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3"/>
        <v>0</v>
      </c>
      <c r="O446"/>
    </row>
    <row r="447" spans="1:15">
      <c r="A447" s="15" t="s">
        <v>67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>SUM(B447:M447)</f>
        <v>0</v>
      </c>
      <c r="O447"/>
    </row>
    <row r="448" spans="1:15">
      <c r="A448" s="15" t="s">
        <v>68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>SUM(B448:M448)</f>
        <v>0</v>
      </c>
      <c r="O448" s="51"/>
    </row>
    <row r="449" spans="1:15">
      <c r="A449" s="15" t="s">
        <v>69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>SUM(B449:M449)</f>
        <v>0</v>
      </c>
      <c r="O449"/>
    </row>
    <row r="450" spans="1:15">
      <c r="A450" s="15" t="s">
        <v>70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>SUM(B450:M450)</f>
        <v>0</v>
      </c>
      <c r="O450"/>
    </row>
    <row r="451" spans="1:15">
      <c r="A451" s="15" t="s">
        <v>28</v>
      </c>
      <c r="B451" s="30">
        <f t="shared" ref="B451:M451" si="54">SUM(B433:B450)</f>
        <v>0</v>
      </c>
      <c r="C451" s="30">
        <f t="shared" si="54"/>
        <v>0</v>
      </c>
      <c r="D451" s="30">
        <f t="shared" si="54"/>
        <v>0</v>
      </c>
      <c r="E451" s="30">
        <f t="shared" si="54"/>
        <v>0</v>
      </c>
      <c r="F451" s="30">
        <f t="shared" si="54"/>
        <v>0</v>
      </c>
      <c r="G451" s="30">
        <f t="shared" si="54"/>
        <v>0</v>
      </c>
      <c r="H451" s="30">
        <f t="shared" si="54"/>
        <v>0</v>
      </c>
      <c r="I451" s="30">
        <f t="shared" si="54"/>
        <v>0</v>
      </c>
      <c r="J451" s="30">
        <f t="shared" si="54"/>
        <v>0</v>
      </c>
      <c r="K451" s="30">
        <f t="shared" si="54"/>
        <v>0</v>
      </c>
      <c r="L451" s="30">
        <f t="shared" si="54"/>
        <v>0</v>
      </c>
      <c r="M451" s="30">
        <f t="shared" si="54"/>
        <v>0</v>
      </c>
      <c r="N451" s="14">
        <f>SUM(B451:M451)</f>
        <v>0</v>
      </c>
    </row>
    <row r="452" spans="1:15">
      <c r="A452" s="15"/>
      <c r="N452" s="14"/>
    </row>
    <row r="453" spans="1:15">
      <c r="A453" s="22" t="s">
        <v>29</v>
      </c>
      <c r="N453" s="14"/>
    </row>
    <row r="454" spans="1:15">
      <c r="A454" s="15" t="s">
        <v>53</v>
      </c>
      <c r="B454" s="30">
        <v>0</v>
      </c>
      <c r="C454" s="30">
        <v>0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14">
        <f t="shared" ref="N454:N472" si="55">SUM(B454:M454)</f>
        <v>0</v>
      </c>
      <c r="O454"/>
    </row>
    <row r="455" spans="1:15">
      <c r="A455" s="15" t="s">
        <v>54</v>
      </c>
      <c r="B455" s="30">
        <v>0</v>
      </c>
      <c r="C455" s="30">
        <v>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14">
        <f t="shared" si="55"/>
        <v>0</v>
      </c>
      <c r="O455"/>
    </row>
    <row r="456" spans="1:15">
      <c r="A456" s="15" t="s">
        <v>55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si="55"/>
        <v>0</v>
      </c>
      <c r="O456"/>
    </row>
    <row r="457" spans="1:15">
      <c r="A457" s="15" t="s">
        <v>56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5"/>
        <v>0</v>
      </c>
      <c r="O457"/>
    </row>
    <row r="458" spans="1:15">
      <c r="A458" s="15" t="s">
        <v>57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5"/>
        <v>0</v>
      </c>
      <c r="O458"/>
    </row>
    <row r="459" spans="1:15">
      <c r="A459" s="15" t="s">
        <v>58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5"/>
        <v>0</v>
      </c>
      <c r="O459"/>
    </row>
    <row r="460" spans="1:15">
      <c r="A460" s="15" t="s">
        <v>59</v>
      </c>
      <c r="B460" s="30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14">
        <f t="shared" si="55"/>
        <v>0</v>
      </c>
      <c r="O460"/>
    </row>
    <row r="461" spans="1:15">
      <c r="A461" s="15" t="s">
        <v>60</v>
      </c>
      <c r="B461" s="30">
        <v>0</v>
      </c>
      <c r="C461" s="30">
        <v>0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14">
        <f t="shared" si="55"/>
        <v>0</v>
      </c>
      <c r="O461"/>
    </row>
    <row r="462" spans="1:15">
      <c r="A462" s="15" t="s">
        <v>61</v>
      </c>
      <c r="B462" s="30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14">
        <f t="shared" si="55"/>
        <v>0</v>
      </c>
      <c r="O462"/>
    </row>
    <row r="463" spans="1:15">
      <c r="A463" s="15" t="s">
        <v>62</v>
      </c>
      <c r="B463" s="30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14">
        <f t="shared" si="55"/>
        <v>0</v>
      </c>
      <c r="O463"/>
    </row>
    <row r="464" spans="1:15">
      <c r="A464" s="15" t="s">
        <v>63</v>
      </c>
      <c r="B464" s="30">
        <v>0</v>
      </c>
      <c r="C464" s="30">
        <v>0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14">
        <f t="shared" si="55"/>
        <v>0</v>
      </c>
      <c r="O464"/>
    </row>
    <row r="465" spans="1:15">
      <c r="A465" s="15" t="s">
        <v>64</v>
      </c>
      <c r="B465" s="30">
        <v>0</v>
      </c>
      <c r="C465" s="30">
        <v>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14">
        <f t="shared" si="55"/>
        <v>0</v>
      </c>
      <c r="O465"/>
    </row>
    <row r="466" spans="1:15">
      <c r="A466" s="15" t="s">
        <v>65</v>
      </c>
      <c r="B466" s="30">
        <v>0</v>
      </c>
      <c r="C466" s="30">
        <v>0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14">
        <f t="shared" si="55"/>
        <v>0</v>
      </c>
      <c r="O466"/>
    </row>
    <row r="467" spans="1:15">
      <c r="A467" s="15" t="s">
        <v>66</v>
      </c>
      <c r="B467" s="30">
        <v>0</v>
      </c>
      <c r="C467" s="30">
        <v>0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14">
        <f t="shared" si="55"/>
        <v>0</v>
      </c>
      <c r="O467"/>
    </row>
    <row r="468" spans="1:15">
      <c r="A468" s="15" t="s">
        <v>67</v>
      </c>
      <c r="B468" s="30">
        <v>0</v>
      </c>
      <c r="C468" s="30">
        <v>0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14">
        <f t="shared" si="55"/>
        <v>0</v>
      </c>
      <c r="O468" s="51"/>
    </row>
    <row r="469" spans="1:15">
      <c r="A469" s="15" t="s">
        <v>68</v>
      </c>
      <c r="B469" s="30">
        <v>0</v>
      </c>
      <c r="C469" s="30">
        <v>0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14">
        <f t="shared" si="55"/>
        <v>0</v>
      </c>
      <c r="O469" s="51"/>
    </row>
    <row r="470" spans="1:15">
      <c r="A470" s="15" t="s">
        <v>69</v>
      </c>
      <c r="B470" s="30">
        <v>0</v>
      </c>
      <c r="C470" s="30">
        <v>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14">
        <f t="shared" si="55"/>
        <v>0</v>
      </c>
      <c r="O470" s="51"/>
    </row>
    <row r="471" spans="1:15">
      <c r="A471" s="15" t="s">
        <v>70</v>
      </c>
      <c r="B471" s="30">
        <v>0</v>
      </c>
      <c r="C471" s="30">
        <v>0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14">
        <f t="shared" si="55"/>
        <v>0</v>
      </c>
      <c r="O471" s="51"/>
    </row>
    <row r="472" spans="1:15">
      <c r="A472" s="15" t="s">
        <v>28</v>
      </c>
      <c r="B472" s="30">
        <f t="shared" ref="B472:M472" si="56">SUM(B454:B471)</f>
        <v>0</v>
      </c>
      <c r="C472" s="30">
        <f t="shared" si="56"/>
        <v>0</v>
      </c>
      <c r="D472" s="30">
        <f t="shared" si="56"/>
        <v>0</v>
      </c>
      <c r="E472" s="30">
        <f t="shared" si="56"/>
        <v>0</v>
      </c>
      <c r="F472" s="30">
        <f t="shared" si="56"/>
        <v>0</v>
      </c>
      <c r="G472" s="30">
        <f t="shared" si="56"/>
        <v>0</v>
      </c>
      <c r="H472" s="30">
        <f t="shared" si="56"/>
        <v>0</v>
      </c>
      <c r="I472" s="30">
        <f t="shared" si="56"/>
        <v>0</v>
      </c>
      <c r="J472" s="30">
        <f t="shared" si="56"/>
        <v>0</v>
      </c>
      <c r="K472" s="30">
        <f t="shared" si="56"/>
        <v>0</v>
      </c>
      <c r="L472" s="30">
        <f t="shared" si="56"/>
        <v>0</v>
      </c>
      <c r="M472" s="30">
        <f t="shared" si="56"/>
        <v>0</v>
      </c>
      <c r="N472" s="14">
        <f t="shared" si="55"/>
        <v>0</v>
      </c>
    </row>
    <row r="473" spans="1:15">
      <c r="A473" s="15"/>
      <c r="N473" s="14"/>
    </row>
    <row r="474" spans="1:15" ht="16.5" thickBot="1">
      <c r="A474" s="19" t="s">
        <v>15</v>
      </c>
      <c r="B474" s="34">
        <f t="shared" ref="B474:M474" si="57">+B472+B451+B430</f>
        <v>0</v>
      </c>
      <c r="C474" s="34">
        <f t="shared" si="57"/>
        <v>0</v>
      </c>
      <c r="D474" s="34">
        <f t="shared" si="57"/>
        <v>0</v>
      </c>
      <c r="E474" s="34">
        <f t="shared" si="57"/>
        <v>0</v>
      </c>
      <c r="F474" s="34">
        <f t="shared" si="57"/>
        <v>0</v>
      </c>
      <c r="G474" s="34">
        <f t="shared" si="57"/>
        <v>0</v>
      </c>
      <c r="H474" s="34">
        <f t="shared" si="57"/>
        <v>0</v>
      </c>
      <c r="I474" s="34">
        <f t="shared" si="57"/>
        <v>0</v>
      </c>
      <c r="J474" s="34">
        <f t="shared" si="57"/>
        <v>0</v>
      </c>
      <c r="K474" s="34">
        <f t="shared" si="57"/>
        <v>0</v>
      </c>
      <c r="L474" s="34">
        <f t="shared" si="57"/>
        <v>0</v>
      </c>
      <c r="M474" s="34">
        <f t="shared" si="57"/>
        <v>0</v>
      </c>
      <c r="N474" s="20">
        <f>+N472+N431+N451+N430</f>
        <v>0</v>
      </c>
    </row>
    <row r="475" spans="1:15">
      <c r="A475" s="2" t="s">
        <v>32</v>
      </c>
    </row>
    <row r="476" spans="1:15">
      <c r="A476" s="2" t="s">
        <v>151</v>
      </c>
    </row>
    <row r="477" spans="1:15">
      <c r="A477" s="2" t="s">
        <v>150</v>
      </c>
    </row>
    <row r="478" spans="1:15">
      <c r="A478" s="2" t="s">
        <v>149</v>
      </c>
    </row>
    <row r="479" spans="1:15">
      <c r="A479" s="2" t="s">
        <v>33</v>
      </c>
    </row>
  </sheetData>
  <sortState xmlns:xlrd2="http://schemas.microsoft.com/office/spreadsheetml/2017/richdata2" ref="A128:O162">
    <sortCondition ref="A128:A162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tabSelected="1" zoomScaleNormal="100" workbookViewId="0">
      <pane xSplit="1" ySplit="7" topLeftCell="I8" activePane="bottomRight" state="frozen"/>
      <selection pane="topRight" activeCell="B1" sqref="B1"/>
      <selection pane="bottomLeft" activeCell="A8" sqref="A8"/>
      <selection pane="bottomRight" activeCell="N28" sqref="N28:N29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 t="shared" ref="C10:I10" si="0">B25</f>
        <v>-30414341.690000009</v>
      </c>
      <c r="D10" s="40">
        <f t="shared" si="0"/>
        <v>-40100245.360000014</v>
      </c>
      <c r="E10" s="40">
        <f t="shared" si="0"/>
        <v>-42840424.517788023</v>
      </c>
      <c r="F10" s="40">
        <f t="shared" si="0"/>
        <v>-10970998.260000017</v>
      </c>
      <c r="G10" s="40">
        <f t="shared" si="0"/>
        <v>-25913747.346593361</v>
      </c>
      <c r="H10" s="40">
        <f t="shared" si="0"/>
        <v>-49494323.876593366</v>
      </c>
      <c r="I10" s="40">
        <f t="shared" si="0"/>
        <v>-30049731.276593365</v>
      </c>
      <c r="J10" s="40">
        <v>0</v>
      </c>
      <c r="K10" s="40">
        <f t="shared" ref="K10:M10" si="1">J25</f>
        <v>0</v>
      </c>
      <c r="L10" s="40">
        <f t="shared" si="1"/>
        <v>0</v>
      </c>
      <c r="M10" s="40">
        <f t="shared" si="1"/>
        <v>0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7545681.0488053439</v>
      </c>
      <c r="G12" s="41">
        <f>'Table G-1'!G20</f>
        <v>7107107.9500000011</v>
      </c>
      <c r="H12" s="41">
        <f>'Table G-1'!H20</f>
        <v>6330899.9100000001</v>
      </c>
      <c r="I12" s="41">
        <f>'Table G-1'!I20</f>
        <v>5924661.2600000007</v>
      </c>
      <c r="J12" s="41">
        <f>'Table G-1'!J20</f>
        <v>0</v>
      </c>
      <c r="K12" s="41">
        <f>'Table G-1'!K20</f>
        <v>0</v>
      </c>
      <c r="L12" s="41">
        <f>'Table G-1'!L20</f>
        <v>0</v>
      </c>
      <c r="M12" s="41">
        <f>'Table G-1'!M20</f>
        <v>0</v>
      </c>
      <c r="N12" s="48">
        <f>SUM(B12:M12)</f>
        <v>71356328.168805361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2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-23029852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0</v>
      </c>
      <c r="L14" s="41">
        <f>'Table G-4'!L20+'Table G-4'!L11</f>
        <v>0</v>
      </c>
      <c r="M14" s="41">
        <f>'Table G-4'!M20+'Table G-4'!M11</f>
        <v>0</v>
      </c>
      <c r="N14" s="48">
        <f t="shared" si="2"/>
        <v>-86633083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-45706</v>
      </c>
      <c r="G15" s="41">
        <v>-70414</v>
      </c>
      <c r="H15" s="41">
        <v>-70702</v>
      </c>
      <c r="I15" s="41">
        <v>-137805</v>
      </c>
      <c r="J15" s="41">
        <v>0</v>
      </c>
      <c r="K15" s="41">
        <v>0</v>
      </c>
      <c r="L15" s="41">
        <v>0</v>
      </c>
      <c r="M15" s="41">
        <v>0</v>
      </c>
      <c r="N15" s="48">
        <f t="shared" si="2"/>
        <v>-390036</v>
      </c>
    </row>
    <row r="16" spans="1:14">
      <c r="A16" s="15" t="s">
        <v>87</v>
      </c>
      <c r="B16" s="72">
        <f>'Table G-2'!B87+'Table G-2'!B165+'Table G-2'!B234+'Table G-2'!B308+'Table G-2'!B365+'Table G-2'!B425+'Table G-2'!B474</f>
        <v>2678120</v>
      </c>
      <c r="C16" s="72">
        <f>'Table G-2'!C87+'Table G-2'!C165+'Table G-2'!C234+'Table G-2'!C308+'Table G-2'!C365+'Table G-2'!C425+'Table G-2'!C474</f>
        <v>3623179.69</v>
      </c>
      <c r="D16" s="72">
        <f>'Table G-2'!D87+'Table G-2'!D165+'Table G-2'!D234+'Table G-2'!D308+'Table G-2'!D365+'Table G-2'!D425+'Table G-2'!D474</f>
        <v>17384288</v>
      </c>
      <c r="E16" s="72">
        <f>'Table G-2'!E87+'Table G-2'!E165+'Table G-2'!E234+'Table G-2'!E308+'Table G-2'!E365+'Table G-2'!E425+'Table G-2'!E474</f>
        <v>-531477.14000000013</v>
      </c>
      <c r="F16" s="72">
        <f>'Table G-2'!F87+'Table G-2'!F165+'Table G-2'!F234+'Table G-2'!F308+'Table G-2'!F365+'Table G-2'!F425+'Table G-2'!F474</f>
        <v>95763.80000000009</v>
      </c>
      <c r="G16" s="72">
        <f>'Table G-2'!G87+'Table G-2'!G165+'Table G-2'!G234+'Table G-2'!G308+'Table G-2'!G365+'Table G-2'!G425+'Table G-2'!G474</f>
        <v>20329246.179999996</v>
      </c>
      <c r="H16" s="72">
        <f>'Table G-2'!H87+'Table G-2'!H165+'Table G-2'!H234+'Table G-2'!H308+'Table G-2'!H365+'Table G-2'!H425+'Table G-2'!H474+'Table G-5'!H13</f>
        <v>4182942.4499999993</v>
      </c>
      <c r="I16" s="72">
        <f>'Table G-2'!I87+'Table G-2'!I165+'Table G-2'!I234+'Table G-2'!I308+'Table G-2'!I365+'Table G-2'!I425+'Table G-2'!I474</f>
        <v>8221458.2599999998</v>
      </c>
      <c r="J16" s="72">
        <f>'Table G-2'!J87+'Table G-2'!J165+'Table G-2'!J234+'Table G-2'!J308+'Table G-2'!J365+'Table G-2'!J425+'Table G-2'!J474</f>
        <v>0</v>
      </c>
      <c r="K16" s="72">
        <f>'Table G-2'!K87+'Table G-2'!K165+'Table G-2'!K234+'Table G-2'!K308+'Table G-2'!K365+'Table G-2'!K425+'Table G-2'!K474</f>
        <v>0</v>
      </c>
      <c r="L16" s="72">
        <f>'Table G-2'!L87+'Table G-2'!L165+'Table G-2'!L234+'Table G-2'!L308+'Table G-2'!L365+'Table G-2'!L425+'Table G-2'!L474</f>
        <v>0</v>
      </c>
      <c r="M16" s="72">
        <f>'Table G-2'!M87+'Table G-2'!M165+'Table G-2'!M234+'Table G-2'!M308+'Table G-2'!M365+'Table G-2'!M425+'Table G-2'!M474</f>
        <v>0</v>
      </c>
      <c r="N16" s="48">
        <f t="shared" si="2"/>
        <v>55983521.239999987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36070915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0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0</v>
      </c>
      <c r="N17" s="48">
        <f t="shared" si="2"/>
        <v>83167983</v>
      </c>
      <c r="O17" s="74"/>
      <c r="P17"/>
    </row>
    <row r="18" spans="1:16" ht="14.25">
      <c r="A18" s="64" t="s">
        <v>205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>
        <v>-144000</v>
      </c>
      <c r="H18" s="41">
        <v>0</v>
      </c>
      <c r="I18" s="41"/>
      <c r="J18" s="41"/>
      <c r="K18" s="41"/>
      <c r="L18" s="41"/>
      <c r="M18" s="41"/>
      <c r="N18" s="37">
        <f t="shared" ref="N18:N20" si="3">SUM(B18:M18)</f>
        <v>5350175.83</v>
      </c>
      <c r="O18" s="74"/>
      <c r="P18"/>
    </row>
    <row r="19" spans="1:16" ht="14.25">
      <c r="A19" s="64" t="s">
        <v>193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v>-370100.27778800204</v>
      </c>
      <c r="G19" s="41">
        <v>-127712.82999999821</v>
      </c>
      <c r="H19" s="41">
        <v>-1216717.9700000025</v>
      </c>
      <c r="I19" s="41">
        <v>-1565625</v>
      </c>
      <c r="J19" s="41">
        <v>0</v>
      </c>
      <c r="K19" s="41">
        <v>0</v>
      </c>
      <c r="L19" s="41">
        <v>0</v>
      </c>
      <c r="M19" s="41">
        <v>0</v>
      </c>
      <c r="N19" s="37">
        <f t="shared" si="3"/>
        <v>19361858.922211997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v>2232366.7000000002</v>
      </c>
      <c r="G20" s="41">
        <v>-160200</v>
      </c>
      <c r="H20" s="41">
        <v>-55850</v>
      </c>
      <c r="I20" s="41">
        <v>-883600</v>
      </c>
      <c r="J20" s="41">
        <v>0</v>
      </c>
      <c r="K20" s="41">
        <v>0</v>
      </c>
      <c r="L20" s="41">
        <v>0</v>
      </c>
      <c r="M20" s="41">
        <v>0</v>
      </c>
      <c r="N20" s="37">
        <f t="shared" si="3"/>
        <v>6263122.7000000002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v>-179877.49999999997</v>
      </c>
      <c r="G21" s="41">
        <f>'Table G-4'!G12+'Table G-4'!G21</f>
        <v>0</v>
      </c>
      <c r="H21" s="30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37">
        <f t="shared" ref="N21" si="4">SUM(B21:M21)</f>
        <v>206289.09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v>-1152065.1399999997</v>
      </c>
      <c r="G22" s="41">
        <v>0</v>
      </c>
      <c r="H22" s="41">
        <v>-174284.00000000012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37">
        <f t="shared" ref="N22" si="5">SUM(B22:M22)</f>
        <v>123743.41000000003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-6638660.6199999973</v>
      </c>
      <c r="G23" s="41">
        <v>-229472.93000000063</v>
      </c>
      <c r="H23" s="41">
        <v>80252.030000000304</v>
      </c>
      <c r="I23" s="41">
        <v>-2057.75</v>
      </c>
      <c r="J23" s="41">
        <v>0</v>
      </c>
      <c r="K23" s="41">
        <v>0</v>
      </c>
      <c r="L23" s="41">
        <v>0</v>
      </c>
      <c r="M23" s="41">
        <v>0</v>
      </c>
      <c r="N23" s="37">
        <f t="shared" si="2"/>
        <v>5115304.879999999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-1338789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2"/>
        <v>0.11000000033527613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6">C10+C16-(C12+C14+C17)+C15+C18+C19+C20+C21+C22+C23+C24</f>
        <v>-40100245.360000014</v>
      </c>
      <c r="D25" s="41">
        <f t="shared" si="6"/>
        <v>-42840424.517788023</v>
      </c>
      <c r="E25" s="41">
        <f t="shared" si="6"/>
        <v>-10970998.260000017</v>
      </c>
      <c r="F25" s="41">
        <f t="shared" si="6"/>
        <v>-25913747.346593361</v>
      </c>
      <c r="G25" s="41">
        <f t="shared" si="6"/>
        <v>-49494323.876593366</v>
      </c>
      <c r="H25" s="41">
        <f>H10+H16-(H12+H14+H17)+H15+H18+H19+H20+H21+H22+H23+H24</f>
        <v>-30049731.276593365</v>
      </c>
      <c r="I25" s="41">
        <f t="shared" si="6"/>
        <v>-30342022.026593369</v>
      </c>
      <c r="J25" s="41">
        <f t="shared" si="6"/>
        <v>0</v>
      </c>
      <c r="K25" s="41">
        <f t="shared" si="6"/>
        <v>0</v>
      </c>
      <c r="L25" s="41">
        <f t="shared" si="6"/>
        <v>0</v>
      </c>
      <c r="M25" s="41">
        <f t="shared" si="6"/>
        <v>0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206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11" sqref="H11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195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36070915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37">
        <f>SUM(B9:M9)</f>
        <v>36070915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-23029852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-59100767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36070915</v>
      </c>
      <c r="H13" s="44">
        <f t="shared" si="0"/>
        <v>-23029852</v>
      </c>
      <c r="I13" s="44">
        <f t="shared" si="0"/>
        <v>0</v>
      </c>
      <c r="J13" s="44">
        <f t="shared" si="0"/>
        <v>0</v>
      </c>
      <c r="K13" s="44">
        <f t="shared" si="0"/>
        <v>0</v>
      </c>
      <c r="L13" s="44">
        <f t="shared" si="0"/>
        <v>0</v>
      </c>
      <c r="M13" s="44">
        <f t="shared" si="0"/>
        <v>0</v>
      </c>
      <c r="N13" s="46">
        <f>SUM(B13:M13)</f>
        <v>-23029852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194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topLeftCell="B1" workbookViewId="0">
      <selection activeCell="H15" sqref="H15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196</v>
      </c>
    </row>
    <row r="2" spans="1:14" ht="15">
      <c r="A2" s="75" t="s">
        <v>197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198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199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200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201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67416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1">
        <f>SUM(B13:M13)</f>
        <v>67416</v>
      </c>
    </row>
    <row r="14" spans="1:14" ht="12.75">
      <c r="A14" s="99" t="s">
        <v>202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30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1">
        <f>SUM(B14:M14)</f>
        <v>30</v>
      </c>
    </row>
    <row r="15" spans="1:14" ht="12.75">
      <c r="A15" s="99" t="s">
        <v>203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67446</v>
      </c>
      <c r="I15" s="100">
        <f t="shared" si="1"/>
        <v>0</v>
      </c>
      <c r="J15" s="100">
        <f t="shared" si="1"/>
        <v>0</v>
      </c>
      <c r="K15" s="100">
        <f t="shared" si="1"/>
        <v>0</v>
      </c>
      <c r="L15" s="100">
        <f t="shared" si="1"/>
        <v>0</v>
      </c>
      <c r="M15" s="100">
        <f t="shared" si="1"/>
        <v>0</v>
      </c>
      <c r="N15" s="101">
        <f>SUM(B15:M15)</f>
        <v>67446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19" t="s">
        <v>204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</row>
    <row r="19" spans="1:14" ht="12.7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D70154-8D95-4EC9-83DF-ACCDAF0CAE24}"/>
</file>

<file path=customXml/itemProps2.xml><?xml version="1.0" encoding="utf-8"?>
<ds:datastoreItem xmlns:ds="http://schemas.openxmlformats.org/officeDocument/2006/customXml" ds:itemID="{15DDACAF-CA31-46BB-BCF7-5042E1EEC712}"/>
</file>

<file path=customXml/itemProps3.xml><?xml version="1.0" encoding="utf-8"?>
<ds:datastoreItem xmlns:ds="http://schemas.openxmlformats.org/officeDocument/2006/customXml" ds:itemID="{F3DF5035-81DE-4E8B-B57C-A488588E0B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2022-09-16T22:48:31Z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