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thanami_semprautilities_com/Documents/documents/PPP Monthly Report/2021/"/>
    </mc:Choice>
  </mc:AlternateContent>
  <xr:revisionPtr revIDLastSave="96" documentId="8_{A70F1628-92C9-4D86-B842-C91F648241FB}" xr6:coauthVersionLast="47" xr6:coauthVersionMax="47" xr10:uidLastSave="{71EAFFD7-078F-4E62-BD5E-4C2AF5B8730C}"/>
  <bookViews>
    <workbookView xWindow="-120" yWindow="-120" windowWidth="29040" windowHeight="15840" tabRatio="773" firstSheet="2" activeTab="3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5" l="1"/>
  <c r="M301" i="6"/>
  <c r="M245" i="6"/>
  <c r="M170" i="6"/>
  <c r="M102" i="6"/>
  <c r="M8" i="6"/>
  <c r="M97" i="6" l="1"/>
  <c r="N91" i="6"/>
  <c r="N90" i="6"/>
  <c r="N75" i="6"/>
  <c r="N71" i="6"/>
  <c r="M47" i="6"/>
  <c r="N43" i="6"/>
  <c r="N42" i="6"/>
  <c r="N17" i="6"/>
  <c r="L95" i="6" l="1"/>
  <c r="N83" i="6" l="1"/>
  <c r="N79" i="6"/>
  <c r="L47" i="6"/>
  <c r="L8" i="6" s="1"/>
  <c r="N34" i="6"/>
  <c r="N35" i="6"/>
  <c r="N33" i="6"/>
  <c r="N32" i="6"/>
  <c r="K47" i="6" l="1"/>
  <c r="N46" i="6"/>
  <c r="N66" i="6"/>
  <c r="N67" i="6"/>
  <c r="N57" i="6"/>
  <c r="N18" i="6"/>
  <c r="N24" i="6"/>
  <c r="N25" i="6"/>
  <c r="N15" i="9" l="1"/>
  <c r="B15" i="9"/>
  <c r="C15" i="9"/>
  <c r="E15" i="9"/>
  <c r="F15" i="9"/>
  <c r="G15" i="9"/>
  <c r="H15" i="9"/>
  <c r="I15" i="9"/>
  <c r="J15" i="9"/>
  <c r="K15" i="9"/>
  <c r="L15" i="9"/>
  <c r="M15" i="9"/>
  <c r="D15" i="9"/>
  <c r="I95" i="6" l="1"/>
  <c r="J95" i="6"/>
  <c r="K95" i="6"/>
  <c r="K8" i="6" s="1"/>
  <c r="M95" i="6"/>
  <c r="N94" i="6"/>
  <c r="N23" i="6"/>
  <c r="N12" i="9" l="1"/>
  <c r="H95" i="6" l="1"/>
  <c r="N93" i="6"/>
  <c r="N82" i="6" l="1"/>
  <c r="N81" i="6"/>
  <c r="N80" i="6"/>
  <c r="N78" i="6"/>
  <c r="N77" i="6"/>
  <c r="N73" i="6"/>
  <c r="N30" i="6"/>
  <c r="N36" i="6"/>
  <c r="N37" i="6"/>
  <c r="F17" i="5" l="1"/>
  <c r="G17" i="5"/>
  <c r="H17" i="5"/>
  <c r="I17" i="5"/>
  <c r="J17" i="5"/>
  <c r="K17" i="5"/>
  <c r="L17" i="5"/>
  <c r="M17" i="5"/>
  <c r="E17" i="5"/>
  <c r="F14" i="5"/>
  <c r="G14" i="5"/>
  <c r="H14" i="5"/>
  <c r="I14" i="5"/>
  <c r="J14" i="5"/>
  <c r="K14" i="5"/>
  <c r="L14" i="5"/>
  <c r="M14" i="5"/>
  <c r="E14" i="5"/>
  <c r="M13" i="8"/>
  <c r="L13" i="8"/>
  <c r="K13" i="8"/>
  <c r="J13" i="8"/>
  <c r="I13" i="8"/>
  <c r="H13" i="8"/>
  <c r="G13" i="8"/>
  <c r="F13" i="8"/>
  <c r="E13" i="8"/>
  <c r="D13" i="8"/>
  <c r="C13" i="8"/>
  <c r="B13" i="8"/>
  <c r="N11" i="8"/>
  <c r="N9" i="8"/>
  <c r="N13" i="8" l="1"/>
  <c r="G95" i="6" l="1"/>
  <c r="N92" i="6"/>
  <c r="N44" i="6"/>
  <c r="N85" i="6"/>
  <c r="F164" i="6" l="1"/>
  <c r="N87" i="6" l="1"/>
  <c r="N86" i="6"/>
  <c r="C47" i="6"/>
  <c r="D47" i="6"/>
  <c r="E47" i="6"/>
  <c r="B47" i="6"/>
  <c r="N39" i="6"/>
  <c r="N38" i="6"/>
  <c r="N14" i="9" l="1"/>
  <c r="N13" i="9"/>
  <c r="N11" i="9"/>
  <c r="N10" i="9"/>
  <c r="N89" i="6"/>
  <c r="N84" i="6"/>
  <c r="N45" i="6"/>
  <c r="C164" i="6" l="1"/>
  <c r="E95" i="6"/>
  <c r="D95" i="6"/>
  <c r="C95" i="6"/>
  <c r="B95" i="6"/>
  <c r="E8" i="6" l="1"/>
  <c r="E97" i="6" s="1"/>
  <c r="C8" i="6"/>
  <c r="C97" i="6" s="1"/>
  <c r="D164" i="6"/>
  <c r="E164" i="6"/>
  <c r="G164" i="6"/>
  <c r="H164" i="6"/>
  <c r="I164" i="6"/>
  <c r="J164" i="6"/>
  <c r="K164" i="6"/>
  <c r="L164" i="6"/>
  <c r="M164" i="6"/>
  <c r="B164" i="6"/>
  <c r="B133" i="6" l="1"/>
  <c r="N76" i="6" l="1"/>
  <c r="N60" i="6"/>
  <c r="C17" i="5" l="1"/>
  <c r="D17" i="5"/>
  <c r="D18" i="5"/>
  <c r="E18" i="5"/>
  <c r="G18" i="5"/>
  <c r="H18" i="5"/>
  <c r="M18" i="5"/>
  <c r="N19" i="5"/>
  <c r="E23" i="5"/>
  <c r="F23" i="5"/>
  <c r="G23" i="5"/>
  <c r="H23" i="5"/>
  <c r="I23" i="5"/>
  <c r="M23" i="5"/>
  <c r="F95" i="6"/>
  <c r="B8" i="6"/>
  <c r="B97" i="6" s="1"/>
  <c r="N72" i="6"/>
  <c r="N70" i="6"/>
  <c r="N69" i="6"/>
  <c r="N68" i="6"/>
  <c r="N65" i="6"/>
  <c r="N64" i="6"/>
  <c r="N63" i="6"/>
  <c r="N62" i="6"/>
  <c r="N61" i="6"/>
  <c r="N59" i="6"/>
  <c r="N58" i="6"/>
  <c r="N88" i="6"/>
  <c r="N56" i="6"/>
  <c r="N55" i="6"/>
  <c r="N54" i="6"/>
  <c r="N53" i="6"/>
  <c r="N52" i="6"/>
  <c r="N74" i="6"/>
  <c r="N51" i="6"/>
  <c r="N50" i="6"/>
  <c r="K97" i="6"/>
  <c r="J47" i="6"/>
  <c r="J8" i="6" s="1"/>
  <c r="I47" i="6"/>
  <c r="I8" i="6" s="1"/>
  <c r="H47" i="6"/>
  <c r="H8" i="6" s="1"/>
  <c r="G47" i="6"/>
  <c r="F47" i="6"/>
  <c r="D8" i="6"/>
  <c r="D97" i="6" s="1"/>
  <c r="N41" i="6"/>
  <c r="N29" i="6"/>
  <c r="N28" i="6"/>
  <c r="N27" i="6"/>
  <c r="N26" i="6"/>
  <c r="N22" i="6"/>
  <c r="N21" i="6"/>
  <c r="N20" i="6"/>
  <c r="N19" i="6"/>
  <c r="N40" i="6"/>
  <c r="N16" i="6"/>
  <c r="N15" i="6"/>
  <c r="N14" i="6"/>
  <c r="N13" i="6"/>
  <c r="N31" i="6"/>
  <c r="N12" i="6"/>
  <c r="N11" i="6"/>
  <c r="N9" i="6"/>
  <c r="N47" i="6" l="1"/>
  <c r="N95" i="6"/>
  <c r="G8" i="6"/>
  <c r="G97" i="6" s="1"/>
  <c r="F8" i="6"/>
  <c r="F97" i="6" s="1"/>
  <c r="J97" i="6"/>
  <c r="I97" i="6"/>
  <c r="H97" i="6"/>
  <c r="L97" i="6"/>
  <c r="G133" i="6"/>
  <c r="G102" i="6" s="1"/>
  <c r="N8" i="6" l="1"/>
  <c r="N97" i="6" s="1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07" i="6"/>
  <c r="C238" i="6"/>
  <c r="D238" i="6"/>
  <c r="E238" i="6"/>
  <c r="F238" i="6"/>
  <c r="G238" i="6"/>
  <c r="H238" i="6"/>
  <c r="I238" i="6"/>
  <c r="J238" i="6"/>
  <c r="K238" i="6"/>
  <c r="L238" i="6"/>
  <c r="M238" i="6"/>
  <c r="B238" i="6"/>
  <c r="N173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36" i="6"/>
  <c r="N164" i="6" l="1"/>
  <c r="N238" i="6"/>
  <c r="E133" i="6" l="1"/>
  <c r="E102" i="6" s="1"/>
  <c r="D133" i="6"/>
  <c r="D102" i="6" s="1"/>
  <c r="N18" i="5" l="1"/>
  <c r="B17" i="5" l="1"/>
  <c r="B295" i="6" l="1"/>
  <c r="B270" i="6"/>
  <c r="D204" i="6"/>
  <c r="D170" i="6" s="1"/>
  <c r="E204" i="6"/>
  <c r="E170" i="6" s="1"/>
  <c r="F204" i="6"/>
  <c r="F170" i="6" s="1"/>
  <c r="G204" i="6"/>
  <c r="G170" i="6" s="1"/>
  <c r="H204" i="6"/>
  <c r="H170" i="6" s="1"/>
  <c r="I204" i="6"/>
  <c r="I170" i="6" s="1"/>
  <c r="J204" i="6"/>
  <c r="J170" i="6" s="1"/>
  <c r="K204" i="6"/>
  <c r="K170" i="6" s="1"/>
  <c r="L204" i="6"/>
  <c r="L170" i="6" s="1"/>
  <c r="M204" i="6"/>
  <c r="B204" i="6"/>
  <c r="B170" i="6" s="1"/>
  <c r="C204" i="6"/>
  <c r="C170" i="6" s="1"/>
  <c r="B245" i="6" l="1"/>
  <c r="M32" i="8"/>
  <c r="L32" i="8"/>
  <c r="K32" i="8"/>
  <c r="J32" i="8"/>
  <c r="I32" i="8"/>
  <c r="H32" i="8"/>
  <c r="G32" i="8"/>
  <c r="F32" i="8"/>
  <c r="E32" i="8"/>
  <c r="D32" i="8"/>
  <c r="C32" i="8"/>
  <c r="B32" i="8"/>
  <c r="N30" i="8"/>
  <c r="N28" i="8"/>
  <c r="N32" i="8" l="1"/>
  <c r="M133" i="6"/>
  <c r="L133" i="6"/>
  <c r="L102" i="6" s="1"/>
  <c r="K133" i="6"/>
  <c r="K102" i="6" s="1"/>
  <c r="J133" i="6"/>
  <c r="J102" i="6" s="1"/>
  <c r="I133" i="6"/>
  <c r="I102" i="6" s="1"/>
  <c r="H133" i="6"/>
  <c r="H102" i="6" s="1"/>
  <c r="F133" i="6"/>
  <c r="F102" i="6" s="1"/>
  <c r="C133" i="6"/>
  <c r="C102" i="6" s="1"/>
  <c r="B102" i="6"/>
  <c r="B166" i="6" s="1"/>
  <c r="N126" i="6"/>
  <c r="N125" i="6"/>
  <c r="N124" i="6"/>
  <c r="N123" i="6"/>
  <c r="N122" i="6"/>
  <c r="N121" i="6"/>
  <c r="N120" i="6"/>
  <c r="N132" i="6"/>
  <c r="N119" i="6"/>
  <c r="N131" i="6"/>
  <c r="N118" i="6"/>
  <c r="N117" i="6"/>
  <c r="N116" i="6"/>
  <c r="N115" i="6"/>
  <c r="N114" i="6"/>
  <c r="N130" i="6"/>
  <c r="N129" i="6"/>
  <c r="N113" i="6"/>
  <c r="N128" i="6"/>
  <c r="N112" i="6"/>
  <c r="N111" i="6"/>
  <c r="N110" i="6"/>
  <c r="N109" i="6"/>
  <c r="N108" i="6"/>
  <c r="N107" i="6"/>
  <c r="N106" i="6"/>
  <c r="N127" i="6"/>
  <c r="N105" i="6"/>
  <c r="N103" i="6"/>
  <c r="J166" i="6" l="1"/>
  <c r="N133" i="6"/>
  <c r="F166" i="6"/>
  <c r="D166" i="6"/>
  <c r="H166" i="6"/>
  <c r="L166" i="6"/>
  <c r="M166" i="6"/>
  <c r="E166" i="6"/>
  <c r="I166" i="6"/>
  <c r="C166" i="6"/>
  <c r="K166" i="6"/>
  <c r="G166" i="6"/>
  <c r="N203" i="6"/>
  <c r="N202" i="6"/>
  <c r="N201" i="6"/>
  <c r="N200" i="6"/>
  <c r="N199" i="6"/>
  <c r="N198" i="6"/>
  <c r="N197" i="6"/>
  <c r="N196" i="6"/>
  <c r="N195" i="6"/>
  <c r="N102" i="6" l="1"/>
  <c r="N166" i="6" s="1"/>
  <c r="M295" i="6"/>
  <c r="L295" i="6"/>
  <c r="K295" i="6"/>
  <c r="J295" i="6"/>
  <c r="I295" i="6"/>
  <c r="H295" i="6"/>
  <c r="G295" i="6"/>
  <c r="F295" i="6"/>
  <c r="E295" i="6"/>
  <c r="D295" i="6"/>
  <c r="C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M270" i="6"/>
  <c r="L270" i="6"/>
  <c r="L245" i="6" s="1"/>
  <c r="K270" i="6"/>
  <c r="J270" i="6"/>
  <c r="J245" i="6" s="1"/>
  <c r="I270" i="6"/>
  <c r="H270" i="6"/>
  <c r="H245" i="6" s="1"/>
  <c r="G270" i="6"/>
  <c r="F270" i="6"/>
  <c r="F245" i="6" s="1"/>
  <c r="E270" i="6"/>
  <c r="E245" i="6" s="1"/>
  <c r="D270" i="6"/>
  <c r="D245" i="6" s="1"/>
  <c r="C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6" i="6"/>
  <c r="C14" i="5"/>
  <c r="D14" i="5"/>
  <c r="B14" i="5"/>
  <c r="I245" i="6" l="1"/>
  <c r="K245" i="6"/>
  <c r="G245" i="6"/>
  <c r="G297" i="6" s="1"/>
  <c r="I297" i="6"/>
  <c r="M297" i="6"/>
  <c r="C245" i="6"/>
  <c r="C297" i="6" s="1"/>
  <c r="K297" i="6"/>
  <c r="D297" i="6"/>
  <c r="H297" i="6"/>
  <c r="F297" i="6"/>
  <c r="L297" i="6"/>
  <c r="E297" i="6"/>
  <c r="J297" i="6"/>
  <c r="N295" i="6"/>
  <c r="N270" i="6"/>
  <c r="N245" i="6" l="1"/>
  <c r="N297" i="6" s="1"/>
  <c r="B297" i="6"/>
  <c r="N20" i="5" l="1"/>
  <c r="N23" i="5"/>
  <c r="N194" i="6" l="1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1" i="6"/>
  <c r="N204" i="6" l="1"/>
  <c r="J240" i="6"/>
  <c r="L240" i="6"/>
  <c r="C240" i="6"/>
  <c r="E240" i="6"/>
  <c r="I240" i="6"/>
  <c r="M240" i="6"/>
  <c r="B240" i="6"/>
  <c r="G240" i="6"/>
  <c r="K240" i="6"/>
  <c r="F240" i="6"/>
  <c r="H240" i="6" l="1"/>
  <c r="N170" i="6"/>
  <c r="N240" i="6" s="1"/>
  <c r="D240" i="6"/>
  <c r="C20" i="7"/>
  <c r="C355" i="6" l="1"/>
  <c r="D355" i="6"/>
  <c r="E355" i="6"/>
  <c r="F355" i="6"/>
  <c r="G355" i="6"/>
  <c r="H355" i="6"/>
  <c r="I355" i="6"/>
  <c r="J355" i="6"/>
  <c r="K355" i="6"/>
  <c r="L355" i="6"/>
  <c r="M355" i="6"/>
  <c r="B355" i="6"/>
  <c r="N354" i="6"/>
  <c r="B328" i="6"/>
  <c r="C328" i="6"/>
  <c r="C301" i="6" s="1"/>
  <c r="D328" i="6"/>
  <c r="E328" i="6"/>
  <c r="F328" i="6"/>
  <c r="G328" i="6"/>
  <c r="G301" i="6" s="1"/>
  <c r="H328" i="6"/>
  <c r="H301" i="6" s="1"/>
  <c r="I328" i="6"/>
  <c r="J328" i="6"/>
  <c r="K328" i="6"/>
  <c r="K301" i="6" s="1"/>
  <c r="L328" i="6"/>
  <c r="L301" i="6" s="1"/>
  <c r="M328" i="6"/>
  <c r="N327" i="6"/>
  <c r="J301" i="6" l="1"/>
  <c r="I301" i="6"/>
  <c r="F301" i="6"/>
  <c r="E301" i="6"/>
  <c r="D301" i="6"/>
  <c r="B301" i="6"/>
  <c r="K357" i="6"/>
  <c r="N19" i="7" l="1"/>
  <c r="N17" i="7"/>
  <c r="N18" i="7"/>
  <c r="C357" i="6" l="1"/>
  <c r="N22" i="5" l="1"/>
  <c r="N353" i="6" l="1"/>
  <c r="N326" i="6"/>
  <c r="M357" i="6" l="1"/>
  <c r="N352" i="6" l="1"/>
  <c r="N325" i="6"/>
  <c r="J357" i="6" l="1"/>
  <c r="G357" i="6" l="1"/>
  <c r="H357" i="6"/>
  <c r="I357" i="6"/>
  <c r="L357" i="6"/>
  <c r="F357" i="6"/>
  <c r="N349" i="6"/>
  <c r="N351" i="6"/>
  <c r="N324" i="6"/>
  <c r="N323" i="6"/>
  <c r="E20" i="7" l="1"/>
  <c r="E12" i="5" s="1"/>
  <c r="F20" i="7"/>
  <c r="F12" i="5" s="1"/>
  <c r="G20" i="7"/>
  <c r="G12" i="5" s="1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D12" i="5" s="1"/>
  <c r="C12" i="5" l="1"/>
  <c r="B20" i="7"/>
  <c r="B12" i="5" s="1"/>
  <c r="N13" i="5" l="1"/>
  <c r="N350" i="6" l="1"/>
  <c r="N322" i="6"/>
  <c r="N348" i="6"/>
  <c r="N321" i="6"/>
  <c r="N347" i="6" l="1"/>
  <c r="N320" i="6"/>
  <c r="N346" i="6" l="1"/>
  <c r="N319" i="6"/>
  <c r="E357" i="6" l="1"/>
  <c r="M23" i="8"/>
  <c r="L23" i="8"/>
  <c r="K23" i="8"/>
  <c r="J23" i="8"/>
  <c r="I23" i="8"/>
  <c r="H23" i="8"/>
  <c r="G23" i="8"/>
  <c r="F23" i="8"/>
  <c r="E23" i="8"/>
  <c r="D23" i="8"/>
  <c r="C23" i="8"/>
  <c r="B23" i="8"/>
  <c r="N21" i="8"/>
  <c r="N19" i="8"/>
  <c r="M404" i="6"/>
  <c r="L404" i="6"/>
  <c r="K404" i="6"/>
  <c r="J404" i="6"/>
  <c r="I404" i="6"/>
  <c r="H404" i="6"/>
  <c r="G404" i="6"/>
  <c r="F404" i="6"/>
  <c r="E404" i="6"/>
  <c r="D404" i="6"/>
  <c r="C404" i="6"/>
  <c r="B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M383" i="6"/>
  <c r="L383" i="6"/>
  <c r="L362" i="6" s="1"/>
  <c r="K383" i="6"/>
  <c r="K362" i="6" s="1"/>
  <c r="J383" i="6"/>
  <c r="I383" i="6"/>
  <c r="H383" i="6"/>
  <c r="H362" i="6" s="1"/>
  <c r="G383" i="6"/>
  <c r="G362" i="6" s="1"/>
  <c r="F383" i="6"/>
  <c r="E383" i="6"/>
  <c r="D383" i="6"/>
  <c r="D362" i="6" s="1"/>
  <c r="C383" i="6"/>
  <c r="C362" i="6" s="1"/>
  <c r="B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B455" i="6"/>
  <c r="C508" i="6"/>
  <c r="C493" i="6" s="1"/>
  <c r="D508" i="6"/>
  <c r="D493" i="6" s="1"/>
  <c r="E508" i="6"/>
  <c r="E493" i="6" s="1"/>
  <c r="F508" i="6"/>
  <c r="F493" i="6" s="1"/>
  <c r="G508" i="6"/>
  <c r="G493" i="6" s="1"/>
  <c r="H508" i="6"/>
  <c r="H493" i="6" s="1"/>
  <c r="I508" i="6"/>
  <c r="I493" i="6" s="1"/>
  <c r="J508" i="6"/>
  <c r="J493" i="6" s="1"/>
  <c r="K508" i="6"/>
  <c r="K493" i="6" s="1"/>
  <c r="L508" i="6"/>
  <c r="L493" i="6" s="1"/>
  <c r="M508" i="6"/>
  <c r="M493" i="6" s="1"/>
  <c r="B433" i="6"/>
  <c r="N302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B474" i="6"/>
  <c r="B486" i="6"/>
  <c r="C455" i="6"/>
  <c r="C433" i="6"/>
  <c r="D455" i="6"/>
  <c r="D433" i="6"/>
  <c r="E455" i="6"/>
  <c r="E433" i="6"/>
  <c r="F455" i="6"/>
  <c r="F433" i="6"/>
  <c r="G455" i="6"/>
  <c r="G433" i="6"/>
  <c r="H455" i="6"/>
  <c r="H433" i="6"/>
  <c r="I455" i="6"/>
  <c r="I433" i="6"/>
  <c r="J455" i="6"/>
  <c r="J433" i="6"/>
  <c r="K455" i="6"/>
  <c r="K433" i="6"/>
  <c r="L455" i="6"/>
  <c r="L433" i="6"/>
  <c r="M455" i="6"/>
  <c r="M433" i="6"/>
  <c r="C523" i="6"/>
  <c r="D523" i="6"/>
  <c r="E523" i="6"/>
  <c r="F523" i="6"/>
  <c r="G523" i="6"/>
  <c r="H523" i="6"/>
  <c r="I523" i="6"/>
  <c r="J523" i="6"/>
  <c r="K523" i="6"/>
  <c r="L523" i="6"/>
  <c r="M523" i="6"/>
  <c r="C474" i="6"/>
  <c r="C486" i="6"/>
  <c r="D474" i="6"/>
  <c r="D486" i="6"/>
  <c r="E474" i="6"/>
  <c r="E486" i="6"/>
  <c r="F474" i="6"/>
  <c r="F486" i="6"/>
  <c r="G474" i="6"/>
  <c r="G486" i="6"/>
  <c r="H474" i="6"/>
  <c r="H486" i="6"/>
  <c r="I474" i="6"/>
  <c r="I486" i="6"/>
  <c r="J474" i="6"/>
  <c r="J486" i="6"/>
  <c r="K474" i="6"/>
  <c r="K486" i="6"/>
  <c r="L474" i="6"/>
  <c r="L486" i="6"/>
  <c r="M474" i="6"/>
  <c r="M486" i="6"/>
  <c r="B523" i="6"/>
  <c r="B508" i="6"/>
  <c r="B493" i="6" s="1"/>
  <c r="N429" i="6"/>
  <c r="N451" i="6"/>
  <c r="N431" i="6"/>
  <c r="N430" i="6"/>
  <c r="N453" i="6"/>
  <c r="N452" i="6"/>
  <c r="N454" i="6"/>
  <c r="N428" i="6"/>
  <c r="N449" i="6"/>
  <c r="N432" i="6"/>
  <c r="N427" i="6"/>
  <c r="A3" i="5"/>
  <c r="A3" i="6"/>
  <c r="A3" i="8"/>
  <c r="N462" i="6"/>
  <c r="N412" i="6"/>
  <c r="N11" i="5"/>
  <c r="B41" i="8"/>
  <c r="C41" i="8"/>
  <c r="D41" i="8"/>
  <c r="E41" i="8"/>
  <c r="F41" i="8"/>
  <c r="G41" i="8"/>
  <c r="H41" i="8"/>
  <c r="I41" i="8"/>
  <c r="J41" i="8"/>
  <c r="K41" i="8"/>
  <c r="L41" i="8"/>
  <c r="M41" i="8"/>
  <c r="N39" i="8"/>
  <c r="N37" i="8"/>
  <c r="N448" i="6"/>
  <c r="N447" i="6"/>
  <c r="N446" i="6"/>
  <c r="N445" i="6"/>
  <c r="N426" i="6"/>
  <c r="N425" i="6"/>
  <c r="N424" i="6"/>
  <c r="N423" i="6"/>
  <c r="N444" i="6"/>
  <c r="N443" i="6"/>
  <c r="N442" i="6"/>
  <c r="N441" i="6"/>
  <c r="N440" i="6"/>
  <c r="N439" i="6"/>
  <c r="N438" i="6"/>
  <c r="N437" i="6"/>
  <c r="N436" i="6"/>
  <c r="N422" i="6"/>
  <c r="N421" i="6"/>
  <c r="N420" i="6"/>
  <c r="N419" i="6"/>
  <c r="N418" i="6"/>
  <c r="N417" i="6"/>
  <c r="N416" i="6"/>
  <c r="N415" i="6"/>
  <c r="N414" i="6"/>
  <c r="N15" i="5"/>
  <c r="N465" i="6"/>
  <c r="N466" i="6"/>
  <c r="N467" i="6"/>
  <c r="N468" i="6"/>
  <c r="N469" i="6"/>
  <c r="N470" i="6"/>
  <c r="N471" i="6"/>
  <c r="N472" i="6"/>
  <c r="N473" i="6"/>
  <c r="N477" i="6"/>
  <c r="N478" i="6"/>
  <c r="N479" i="6"/>
  <c r="N480" i="6"/>
  <c r="N481" i="6"/>
  <c r="N482" i="6"/>
  <c r="N483" i="6"/>
  <c r="N484" i="6"/>
  <c r="N485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8" i="7"/>
  <c r="N9" i="7"/>
  <c r="N10" i="7"/>
  <c r="N11" i="7"/>
  <c r="N12" i="7"/>
  <c r="N13" i="7"/>
  <c r="N15" i="7"/>
  <c r="N16" i="7"/>
  <c r="N450" i="6"/>
  <c r="N21" i="5" l="1"/>
  <c r="E362" i="6"/>
  <c r="B362" i="6"/>
  <c r="B406" i="6" s="1"/>
  <c r="H461" i="6"/>
  <c r="H488" i="6" s="1"/>
  <c r="F461" i="6"/>
  <c r="F488" i="6" s="1"/>
  <c r="H525" i="6"/>
  <c r="D525" i="6"/>
  <c r="I362" i="6"/>
  <c r="I406" i="6" s="1"/>
  <c r="M362" i="6"/>
  <c r="F362" i="6"/>
  <c r="F406" i="6" s="1"/>
  <c r="J362" i="6"/>
  <c r="J406" i="6" s="1"/>
  <c r="I461" i="6"/>
  <c r="I488" i="6" s="1"/>
  <c r="G461" i="6"/>
  <c r="G488" i="6" s="1"/>
  <c r="E461" i="6"/>
  <c r="E488" i="6" s="1"/>
  <c r="C461" i="6"/>
  <c r="C488" i="6" s="1"/>
  <c r="M525" i="6"/>
  <c r="I525" i="6"/>
  <c r="E525" i="6"/>
  <c r="D461" i="6"/>
  <c r="D488" i="6" s="1"/>
  <c r="G525" i="6"/>
  <c r="F525" i="6"/>
  <c r="J525" i="6"/>
  <c r="M461" i="6"/>
  <c r="M488" i="6" s="1"/>
  <c r="K461" i="6"/>
  <c r="K488" i="6" s="1"/>
  <c r="M411" i="6"/>
  <c r="M457" i="6" s="1"/>
  <c r="K411" i="6"/>
  <c r="K457" i="6" s="1"/>
  <c r="I411" i="6"/>
  <c r="I457" i="6" s="1"/>
  <c r="C411" i="6"/>
  <c r="C457" i="6" s="1"/>
  <c r="N523" i="6"/>
  <c r="L461" i="6"/>
  <c r="L488" i="6" s="1"/>
  <c r="J461" i="6"/>
  <c r="J488" i="6" s="1"/>
  <c r="K525" i="6"/>
  <c r="J411" i="6"/>
  <c r="J457" i="6" s="1"/>
  <c r="H411" i="6"/>
  <c r="H457" i="6" s="1"/>
  <c r="B461" i="6"/>
  <c r="B488" i="6" s="1"/>
  <c r="N455" i="6"/>
  <c r="N355" i="6"/>
  <c r="N328" i="6"/>
  <c r="D357" i="6"/>
  <c r="N493" i="6"/>
  <c r="B525" i="6"/>
  <c r="L525" i="6"/>
  <c r="G411" i="6"/>
  <c r="G457" i="6" s="1"/>
  <c r="E411" i="6"/>
  <c r="E457" i="6" s="1"/>
  <c r="N508" i="6"/>
  <c r="C525" i="6"/>
  <c r="B411" i="6"/>
  <c r="N433" i="6"/>
  <c r="N474" i="6"/>
  <c r="L411" i="6"/>
  <c r="L457" i="6" s="1"/>
  <c r="F411" i="6"/>
  <c r="F457" i="6" s="1"/>
  <c r="D411" i="6"/>
  <c r="D457" i="6" s="1"/>
  <c r="B357" i="6"/>
  <c r="H406" i="6"/>
  <c r="L406" i="6"/>
  <c r="M406" i="6"/>
  <c r="D406" i="6"/>
  <c r="K406" i="6"/>
  <c r="E406" i="6"/>
  <c r="C406" i="6"/>
  <c r="N41" i="8"/>
  <c r="N404" i="6"/>
  <c r="N486" i="6"/>
  <c r="N14" i="5"/>
  <c r="N17" i="5"/>
  <c r="N23" i="8"/>
  <c r="G406" i="6"/>
  <c r="N383" i="6"/>
  <c r="N12" i="5"/>
  <c r="N20" i="7"/>
  <c r="E16" i="5" l="1"/>
  <c r="G16" i="5"/>
  <c r="F16" i="5"/>
  <c r="M16" i="5"/>
  <c r="K16" i="5"/>
  <c r="H16" i="5"/>
  <c r="I16" i="5"/>
  <c r="L16" i="5"/>
  <c r="D16" i="5"/>
  <c r="J16" i="5"/>
  <c r="C16" i="5"/>
  <c r="N461" i="6"/>
  <c r="N488" i="6" s="1"/>
  <c r="N411" i="6"/>
  <c r="N457" i="6" s="1"/>
  <c r="N525" i="6"/>
  <c r="B457" i="6"/>
  <c r="B16" i="5" s="1"/>
  <c r="N362" i="6"/>
  <c r="N406" i="6" s="1"/>
  <c r="N301" i="6"/>
  <c r="N357" i="6" s="1"/>
  <c r="B24" i="5" l="1"/>
  <c r="C10" i="5" l="1"/>
  <c r="C24" i="5" s="1"/>
  <c r="N16" i="5"/>
  <c r="D10" i="5" l="1"/>
  <c r="D24" i="5" s="1"/>
  <c r="E10" i="5" l="1"/>
  <c r="E24" i="5" s="1"/>
  <c r="F10" i="5" l="1"/>
  <c r="F24" i="5" s="1"/>
  <c r="G10" i="5" s="1"/>
  <c r="G24" i="5" s="1"/>
  <c r="H10" i="5" l="1"/>
  <c r="H24" i="5" s="1"/>
  <c r="I10" i="5" l="1"/>
  <c r="I24" i="5" s="1"/>
  <c r="J10" i="5" l="1"/>
  <c r="J24" i="5" s="1"/>
  <c r="K10" i="5" l="1"/>
  <c r="K24" i="5" s="1"/>
  <c r="L10" i="5" l="1"/>
  <c r="L24" i="5" s="1"/>
  <c r="M10" i="5" l="1"/>
  <c r="M24" i="5" s="1"/>
</calcChain>
</file>

<file path=xl/sharedStrings.xml><?xml version="1.0" encoding="utf-8"?>
<sst xmlns="http://schemas.openxmlformats.org/spreadsheetml/2006/main" count="788" uniqueCount="238">
  <si>
    <t>Table G-1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</si>
  <si>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</si>
  <si>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t>Calendar Year 2021</t>
  </si>
  <si>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</si>
  <si>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</si>
  <si>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</si>
  <si>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</si>
  <si>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</si>
  <si>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</si>
  <si>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</si>
  <si>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</si>
  <si>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</si>
  <si>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</si>
  <si>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</si>
  <si>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</si>
  <si>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</si>
  <si>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</si>
  <si>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</si>
  <si>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</si>
  <si>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</si>
  <si>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</si>
  <si>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</si>
  <si>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</si>
  <si>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</si>
  <si>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</si>
  <si>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</si>
  <si>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t>Less:  Uncoll  @ .3636%</t>
  </si>
  <si>
    <t>Add: Amortization from prior period</t>
  </si>
  <si>
    <t>Total</t>
  </si>
  <si>
    <t>Table G-2</t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</si>
  <si>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</si>
  <si>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t xml:space="preserve">Program Implementer (PY 2021) </t>
  </si>
  <si>
    <t>SoCalGas</t>
  </si>
  <si>
    <t>Prior Period Adjustment</t>
  </si>
  <si>
    <r>
      <t>IOU</t>
    </r>
    <r>
      <rPr>
        <sz val="10"/>
        <rFont val="Arial"/>
        <family val="2"/>
      </rPr>
      <t xml:space="preserve"> Program Adminstration--Non-IOU Programs</t>
    </r>
  </si>
  <si>
    <t>IND-Small Industrial Facility Upgrades</t>
  </si>
  <si>
    <t>WE&amp;T-HERS Rater Training Advancement</t>
  </si>
  <si>
    <t>RES-LivingWise</t>
  </si>
  <si>
    <t>RES-Manufactured Mobile Home</t>
  </si>
  <si>
    <t>COM-SW-Instant Rebates! Foodservice POS</t>
  </si>
  <si>
    <t>COM-AB793-CEMTL Program</t>
  </si>
  <si>
    <t>RES-AB793-REMTS Program</t>
  </si>
  <si>
    <t>COM-SW-Midstream Water Heating-Solic</t>
  </si>
  <si>
    <t>RES-Behavioral Program</t>
  </si>
  <si>
    <t>RES-Retail Partnering</t>
  </si>
  <si>
    <t>RES-Pasadena Home Upgrade</t>
  </si>
  <si>
    <t>RES-Burbank Home Upgrade</t>
  </si>
  <si>
    <t>COM-Pasadena Direct Install</t>
  </si>
  <si>
    <t>RES Single Family (Solicitation)</t>
  </si>
  <si>
    <t>RES Multi Family (Solicitation)</t>
  </si>
  <si>
    <t>RES Single Family</t>
  </si>
  <si>
    <t>RES Multi Family</t>
  </si>
  <si>
    <t>COM SMB Solicitation</t>
  </si>
  <si>
    <t>PUB Small/Medium Solicitaion</t>
  </si>
  <si>
    <t>RES-SW-New Construction</t>
  </si>
  <si>
    <t>RES-CLEO</t>
  </si>
  <si>
    <t>COM-SW-Midstream Food Service</t>
  </si>
  <si>
    <t>COM-SW-Midstream Commercial Water Heating</t>
  </si>
  <si>
    <t>ET-SW-Emerging Technologies, Gas</t>
  </si>
  <si>
    <t>MH Solic (manufacturing)</t>
  </si>
  <si>
    <t>Small and Medium Comm EE</t>
  </si>
  <si>
    <t>RES ACE Program</t>
  </si>
  <si>
    <t>Comprehensive Manufactured Home</t>
  </si>
  <si>
    <t xml:space="preserve">SoCalGas Residential Manufactured Home </t>
  </si>
  <si>
    <t>PUB-Direct Install Program</t>
  </si>
  <si>
    <t>C-Best</t>
  </si>
  <si>
    <t xml:space="preserve">Res MF Space and Water Heating Controls (SAWH)-Solic </t>
  </si>
  <si>
    <t xml:space="preserve">Res Multifamily Energy Alliance (MEA) </t>
  </si>
  <si>
    <t>Agriculture EE Pgm</t>
  </si>
  <si>
    <t xml:space="preserve">Service RCx+ Program </t>
  </si>
  <si>
    <t xml:space="preserve">Large Commercial Program </t>
  </si>
  <si>
    <t xml:space="preserve">   Subtotal</t>
  </si>
  <si>
    <t>Program Implementation Costs--Non-IOU Programs</t>
  </si>
  <si>
    <t>RES-Marketplace</t>
  </si>
  <si>
    <t>RES-EE Kits</t>
  </si>
  <si>
    <t>COM-LADWP Direct Install</t>
  </si>
  <si>
    <t>WE&amp;T-SW-WE&amp;T Career Connections</t>
  </si>
  <si>
    <t>WE&amp;T-SW-WE&amp;T Career and Workforce Readiness</t>
  </si>
  <si>
    <t>PUB-SW-Institutional Partnership: DGS &amp; DoC</t>
  </si>
  <si>
    <t>RES-SW-Plug Load and Appliance</t>
  </si>
  <si>
    <t>COM-SW-Upstream HVAC</t>
  </si>
  <si>
    <t>RES-SW-Plug Load and Appliance-PA</t>
  </si>
  <si>
    <t xml:space="preserve">Program Implementer (PY 2020) </t>
  </si>
  <si>
    <t>RES-MF Direct Therm Savings</t>
  </si>
  <si>
    <t>SOL-Innovative Designs for Energy Efficiency Activities (IDEEA365)</t>
  </si>
  <si>
    <t>COM-Direct Install Program</t>
  </si>
  <si>
    <t>RES-Direct Install Program</t>
  </si>
  <si>
    <t>IND-Direct Install Program</t>
  </si>
  <si>
    <t>RES-LADWP HVAC</t>
  </si>
  <si>
    <t>COM SMB</t>
  </si>
  <si>
    <t>PUB Sector Small/Medium</t>
  </si>
  <si>
    <t>RES SW-New Construction</t>
  </si>
  <si>
    <t>WE&amp;T SW-K-12 Connections</t>
  </si>
  <si>
    <t xml:space="preserve">Program Implementer (PY 2019) </t>
  </si>
  <si>
    <t>PUB-K-12 Performance Program</t>
  </si>
  <si>
    <t>RES-On Demand Efficiency</t>
  </si>
  <si>
    <t>COM-On-Premise Ozone Laundry</t>
  </si>
  <si>
    <t>COM-HOPPS-CRR Program</t>
  </si>
  <si>
    <t>RES-HOPPS-CWHMBS Program</t>
  </si>
  <si>
    <t>AG-Direct Install Program</t>
  </si>
  <si>
    <t>COM-Lodging Program</t>
  </si>
  <si>
    <t>COM-Mixed Use Building Program</t>
  </si>
  <si>
    <t>RES-Home Intel Program</t>
  </si>
  <si>
    <t xml:space="preserve">Program Implementer (PY 2018) 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</si>
  <si>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</si>
  <si>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</si>
  <si>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</si>
  <si>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</si>
  <si>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</si>
  <si>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</si>
  <si>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</si>
  <si>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</si>
  <si>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</si>
  <si>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3P-CA Sustainability Alliance</t>
  </si>
  <si>
    <t>3P-PoF</t>
  </si>
  <si>
    <t>3P-PACE</t>
  </si>
  <si>
    <t>3P-Innov Dsign Enrg Eff</t>
  </si>
  <si>
    <t>3P- IDEEA365 Insnt Rebate</t>
  </si>
  <si>
    <t xml:space="preserve">3P- IDEEA365 Water Loss Cntl </t>
  </si>
  <si>
    <t xml:space="preserve">3P IDEAA365 COMM SUS </t>
  </si>
  <si>
    <t>3P IDEEA365 ODE Housing</t>
  </si>
  <si>
    <t xml:space="preserve">3P IDEEA365 ENERGY ADV </t>
  </si>
  <si>
    <t>3P IDEEA365 Connect</t>
  </si>
  <si>
    <t>3P IDEEA365 HBEEP</t>
  </si>
  <si>
    <t xml:space="preserve">3P IDEEA365 CLEAR ICE </t>
  </si>
  <si>
    <t>3P IDEEA365 ON PREMISE OZONE LAUNDRY</t>
  </si>
  <si>
    <t xml:space="preserve">Program Implementer (PY 2013-2017) </t>
  </si>
  <si>
    <t>3P-Energy Challenger</t>
  </si>
  <si>
    <t>3P-SaveGas</t>
  </si>
  <si>
    <t>3P IDEEA365 ON REMISE OZONE LAUNDRY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</si>
  <si>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</si>
  <si>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</si>
  <si>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</si>
  <si>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</si>
  <si>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</si>
  <si>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</si>
  <si>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</si>
  <si>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</si>
  <si>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</si>
  <si>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</si>
  <si>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</si>
  <si>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</si>
  <si>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</si>
  <si>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</si>
  <si>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</si>
  <si>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</si>
  <si>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</si>
  <si>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</si>
  <si>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</si>
  <si>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t>Program Implementer (PY 2006-2008) Plus Bridge Funding</t>
  </si>
  <si>
    <t>Quantum Energy  - CVRP</t>
  </si>
  <si>
    <t>HMG - Design for Comfort</t>
  </si>
  <si>
    <t>Cypress - Gas Cooling Upgrade Prog</t>
  </si>
  <si>
    <t>Cal-UCONS - Laundry Coin-Op Prog</t>
  </si>
  <si>
    <t xml:space="preserve">American Synergy- Mobile/Manuf Home </t>
  </si>
  <si>
    <t>Resource Action - School Target Lvng Wise</t>
  </si>
  <si>
    <t>CSG -Up/Midstream Gas Heating</t>
  </si>
  <si>
    <t>Calif Mfg Tech -VeSM Adv Plus</t>
  </si>
  <si>
    <t>Global Enrgy - Chinese Language Outreach</t>
  </si>
  <si>
    <t>PACE -  EE Ethnic Outreach Prog</t>
  </si>
  <si>
    <t>Intergy Corp - EE Kiosk Pilot</t>
  </si>
  <si>
    <t xml:space="preserve">Navigant - Calif Sustainability Alliance </t>
  </si>
  <si>
    <t>CSA - Portfolio of  the Future</t>
  </si>
  <si>
    <t>EDC Tech Inc</t>
  </si>
  <si>
    <t>Demand Ventilation Pgm</t>
  </si>
  <si>
    <t>Benningfield Group - Advanced Water Heater Technology</t>
  </si>
  <si>
    <t>Energy Eff. Smart Controllers for Pools &amp; Spas</t>
  </si>
  <si>
    <t>En Vinta Corp / Energy Challenger Pgm</t>
  </si>
  <si>
    <t>Upstream HE Gas WH Rebate/HE Hot Water Dist</t>
  </si>
  <si>
    <t>Program Implementer (PY 2004-2005)</t>
  </si>
  <si>
    <t>CA UWCC</t>
  </si>
  <si>
    <t>Energy Analysis Technologies</t>
  </si>
  <si>
    <t>Heschong Mahone Group, Inc</t>
  </si>
  <si>
    <t>SESCO</t>
  </si>
  <si>
    <t>ADM</t>
  </si>
  <si>
    <t>ASC</t>
  </si>
  <si>
    <t>CSU Chico</t>
  </si>
  <si>
    <t>CSU Fresno</t>
  </si>
  <si>
    <t>GES (Global Energy Services)</t>
  </si>
  <si>
    <t>Program Implementer (PY 2002-2003)</t>
  </si>
  <si>
    <t>Energx</t>
  </si>
  <si>
    <t>Heschong Mahone</t>
  </si>
  <si>
    <t>Energy Analysis</t>
  </si>
  <si>
    <t>ICF</t>
  </si>
  <si>
    <t>TPI American Synergy Corporation</t>
  </si>
  <si>
    <t>CA State University - Fresno</t>
  </si>
  <si>
    <t>Electric &amp; Gas Industries Association</t>
  </si>
  <si>
    <t>Energy Solutions</t>
  </si>
  <si>
    <t>Global Energy Services</t>
  </si>
  <si>
    <t>Rita Norton &amp; Associates</t>
  </si>
  <si>
    <t>Notes:</t>
  </si>
  <si>
    <t xml:space="preserve">•  Line "SocalGas" is for the reporting IOU. </t>
  </si>
  <si>
    <t>•  IOU Porgram Admisntration section is for the deatiled administrative cost of managing each non-IOU program in the reporting utility's service territory.</t>
  </si>
  <si>
    <t xml:space="preserve">•  Program Implementation Costs section is for the detailed reporting of the costs paid to the other  IOU's adminstering programs in the reporting utility's service territory </t>
  </si>
  <si>
    <t xml:space="preserve">   and for the costs paid to the non-IOU programs in the reporting utility's service territory.</t>
  </si>
  <si>
    <t>Table G-3</t>
  </si>
  <si>
    <r>
      <t>SoCalGas</t>
    </r>
    <r>
      <rPr>
        <b/>
        <sz val="12"/>
        <rFont val="Arial"/>
        <family val="2"/>
      </rPr>
      <t xml:space="preserve"> Status of Gas PGC Funds</t>
    </r>
  </si>
  <si>
    <t>Sept</t>
  </si>
  <si>
    <t xml:space="preserve">Oct </t>
  </si>
  <si>
    <t>Nov</t>
  </si>
  <si>
    <t>Dec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</si>
  <si>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</si>
  <si>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 xml:space="preserve">     Beginning Balance</t>
  </si>
  <si>
    <t>Not Applicable</t>
  </si>
  <si>
    <t xml:space="preserve">     Prior Period Adj/OBF Return</t>
  </si>
  <si>
    <t xml:space="preserve">     Collection(Rates)(PPP Rev+Amort) </t>
  </si>
  <si>
    <t xml:space="preserve">      Amortization from Prior Cycles</t>
  </si>
  <si>
    <t xml:space="preserve">      PPP Remittance</t>
  </si>
  <si>
    <t xml:space="preserve">     Interest Accrued</t>
  </si>
  <si>
    <t xml:space="preserve">     Program Expenses</t>
  </si>
  <si>
    <t xml:space="preserve">      PPP Reimbursements</t>
  </si>
  <si>
    <r>
      <t xml:space="preserve">      Incentive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</si>
  <si>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</si>
  <si>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</si>
  <si>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</si>
  <si>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</si>
  <si>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(2010 - 2012)</t>
    </r>
  </si>
  <si>
    <t xml:space="preserve">     Ending Balance</t>
  </si>
  <si>
    <t>(1) This section was revised per discussions with the Energy Division (11/19).  The information provided in this format will not parallel how Balancing Accounts are tracked.</t>
  </si>
  <si>
    <t>(2) Incremental commitments are reflected on a monthly basis.  For program cycles prior to 2021, estimated commitments are considered encumbered funds.</t>
  </si>
  <si>
    <t>Table G-4</t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</si>
  <si>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</si>
  <si>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 xml:space="preserve">2021 Gas PGC Funds </t>
  </si>
  <si>
    <t>PPP Reimbursement</t>
  </si>
  <si>
    <t>PPP Remittance</t>
  </si>
  <si>
    <t>Net Receipts from BOE</t>
  </si>
  <si>
    <t xml:space="preserve">2020 Gas PGC Funds </t>
  </si>
  <si>
    <t xml:space="preserve">2019 Gas PGC Funds </t>
  </si>
  <si>
    <t xml:space="preserve">2018 Gas PGC Funds </t>
  </si>
  <si>
    <t>Table G-5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</si>
  <si>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</si>
  <si>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</si>
  <si>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</si>
  <si>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</si>
  <si>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</si>
  <si>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t xml:space="preserve">     Interest Accrued </t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</si>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</sst>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  <numFmt numFmtId="167" formatCode="_-* #,##0.00_-;\-* #,##0.00_-;_-* &quot;-&quot;_-;_-@_-"/>
    <numFmt numFmtId="168" formatCode="_-* #,##0.0_-;\-* #,##0.0_-;_-* &quot;-&quot;??_-;_-@_-"/>
    <numFmt numFmtId="169" formatCode="#,##0.00&quot; $&quot;;\-#,##0.00&quot; $&quot;"/>
    <numFmt numFmtId="170" formatCode="0.0%;_(* &quot;-&quot;_)"/>
    <numFmt numFmtId="171" formatCode="&quot;$&quot;#,##0"/>
  </numFmts>
  <fonts count="5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name val="Times New Roman"/>
    </font>
    <font>
      <sz val="10"/>
      <color indexed="12"/>
      <name val="Arial"/>
      <family val="2"/>
    </font>
    <font>
      <sz val="8"/>
      <name val="Arial"/>
      <family val="2"/>
    </font>
    <font>
      <sz val="9"/>
      <name val="Helv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b/>
      <sz val="10"/>
      <color indexed="8"/>
      <name val="Helv"/>
    </font>
    <font>
      <sz val="7"/>
      <name val="Small Fonts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9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164" fontId="9" fillId="0" borderId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4" fillId="0" borderId="0"/>
    <xf numFmtId="0" fontId="11" fillId="0" borderId="0"/>
    <xf numFmtId="0" fontId="32" fillId="0" borderId="0"/>
    <xf numFmtId="0" fontId="12" fillId="0" borderId="0"/>
    <xf numFmtId="0" fontId="11" fillId="23" borderId="7" applyNumberFormat="0" applyFont="0" applyAlignment="0" applyProtection="0"/>
    <xf numFmtId="0" fontId="27" fillId="20" borderId="8" applyNumberFormat="0" applyAlignment="0" applyProtection="0"/>
    <xf numFmtId="4" fontId="13" fillId="24" borderId="8" applyNumberFormat="0" applyProtection="0">
      <alignment vertical="center"/>
    </xf>
    <xf numFmtId="4" fontId="13" fillId="25" borderId="8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39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27" borderId="26">
      <alignment horizontal="center" vertical="center"/>
    </xf>
    <xf numFmtId="3" fontId="42" fillId="0" borderId="0" applyFill="0" applyBorder="0" applyProtection="0">
      <alignment horizontal="right"/>
    </xf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6" fontId="43" fillId="0" borderId="0">
      <protection locked="0"/>
    </xf>
    <xf numFmtId="168" fontId="1" fillId="0" borderId="0">
      <protection locked="0"/>
    </xf>
    <xf numFmtId="38" fontId="41" fillId="26" borderId="0" applyNumberFormat="0" applyBorder="0" applyAlignment="0" applyProtection="0"/>
    <xf numFmtId="0" fontId="44" fillId="0" borderId="0" applyNumberFormat="0" applyFill="0" applyBorder="0" applyAlignment="0" applyProtection="0"/>
    <xf numFmtId="169" fontId="1" fillId="0" borderId="0">
      <protection locked="0"/>
    </xf>
    <xf numFmtId="169" fontId="1" fillId="0" borderId="0">
      <protection locked="0"/>
    </xf>
    <xf numFmtId="0" fontId="40" fillId="0" borderId="27" applyNumberFormat="0" applyFill="0" applyAlignment="0" applyProtection="0"/>
    <xf numFmtId="10" fontId="41" fillId="28" borderId="24" applyNumberFormat="0" applyBorder="0" applyAlignment="0" applyProtection="0"/>
    <xf numFmtId="0" fontId="45" fillId="0" borderId="14">
      <alignment horizontal="right"/>
    </xf>
    <xf numFmtId="0" fontId="45" fillId="0" borderId="14">
      <alignment horizontal="left"/>
    </xf>
    <xf numFmtId="3" fontId="46" fillId="0" borderId="0"/>
    <xf numFmtId="170" fontId="1" fillId="0" borderId="0"/>
    <xf numFmtId="10" fontId="1" fillId="0" borderId="0" applyFont="0" applyFill="0" applyBorder="0" applyAlignment="0" applyProtection="0"/>
    <xf numFmtId="171" fontId="42" fillId="0" borderId="0" applyFill="0" applyBorder="0" applyProtection="0">
      <alignment horizontal="right"/>
    </xf>
    <xf numFmtId="4" fontId="47" fillId="24" borderId="28" applyNumberFormat="0" applyProtection="0">
      <alignment vertical="center"/>
    </xf>
    <xf numFmtId="4" fontId="48" fillId="24" borderId="28" applyNumberFormat="0" applyProtection="0">
      <alignment horizontal="left" vertical="center" indent="1"/>
    </xf>
    <xf numFmtId="4" fontId="48" fillId="29" borderId="0" applyNumberFormat="0" applyProtection="0">
      <alignment horizontal="left" vertical="center" indent="1"/>
    </xf>
    <xf numFmtId="4" fontId="48" fillId="30" borderId="28" applyNumberFormat="0" applyProtection="0">
      <alignment horizontal="right" vertical="center"/>
    </xf>
    <xf numFmtId="4" fontId="47" fillId="27" borderId="28" applyNumberFormat="0" applyProtection="0">
      <alignment horizontal="left" vertical="center" indent="1"/>
    </xf>
    <xf numFmtId="0" fontId="45" fillId="0" borderId="0">
      <alignment horizontal="left"/>
      <protection locked="0"/>
    </xf>
    <xf numFmtId="3" fontId="10" fillId="0" borderId="25"/>
    <xf numFmtId="37" fontId="41" fillId="24" borderId="0" applyNumberFormat="0" applyBorder="0" applyAlignment="0" applyProtection="0"/>
    <xf numFmtId="37" fontId="41" fillId="0" borderId="0"/>
    <xf numFmtId="3" fontId="49" fillId="0" borderId="27" applyProtection="0"/>
    <xf numFmtId="0" fontId="45" fillId="0" borderId="14">
      <alignment horizontal="right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43" fontId="2" fillId="0" borderId="0" xfId="29" applyFont="1"/>
    <xf numFmtId="43" fontId="0" fillId="0" borderId="0" xfId="29" applyFont="1"/>
    <xf numFmtId="43" fontId="6" fillId="0" borderId="0" xfId="29" applyFont="1"/>
    <xf numFmtId="43" fontId="2" fillId="0" borderId="0" xfId="29" quotePrefix="1" applyFont="1"/>
    <xf numFmtId="43" fontId="0" fillId="0" borderId="10" xfId="29" applyFont="1" applyBorder="1"/>
    <xf numFmtId="43" fontId="0" fillId="0" borderId="11" xfId="29" applyFont="1" applyBorder="1" applyAlignment="1">
      <alignment horizontal="center"/>
    </xf>
    <xf numFmtId="43" fontId="3" fillId="0" borderId="12" xfId="29" applyFont="1" applyBorder="1" applyAlignment="1">
      <alignment horizontal="center"/>
    </xf>
    <xf numFmtId="43" fontId="2" fillId="0" borderId="13" xfId="29" applyFont="1" applyBorder="1"/>
    <xf numFmtId="43" fontId="3" fillId="0" borderId="14" xfId="29" applyFont="1" applyBorder="1" applyAlignment="1">
      <alignment horizontal="center"/>
    </xf>
    <xf numFmtId="43" fontId="3" fillId="0" borderId="15" xfId="29" applyFont="1" applyFill="1" applyBorder="1" applyAlignment="1">
      <alignment horizontal="center"/>
    </xf>
    <xf numFmtId="43" fontId="2" fillId="0" borderId="16" xfId="29" applyFont="1" applyBorder="1"/>
    <xf numFmtId="43" fontId="3" fillId="0" borderId="16" xfId="29" applyFont="1" applyBorder="1"/>
    <xf numFmtId="43" fontId="0" fillId="0" borderId="17" xfId="29" applyFont="1" applyBorder="1"/>
    <xf numFmtId="43" fontId="0" fillId="0" borderId="16" xfId="29" applyFont="1" applyBorder="1"/>
    <xf numFmtId="43" fontId="0" fillId="0" borderId="0" xfId="29" applyFont="1" applyBorder="1"/>
    <xf numFmtId="43" fontId="1" fillId="0" borderId="0" xfId="29"/>
    <xf numFmtId="43" fontId="2" fillId="0" borderId="19" xfId="29" applyFont="1" applyBorder="1" applyAlignment="1">
      <alignment horizontal="right"/>
    </xf>
    <xf numFmtId="43" fontId="0" fillId="0" borderId="20" xfId="29" applyFont="1" applyBorder="1"/>
    <xf numFmtId="43" fontId="3" fillId="0" borderId="13" xfId="29" applyFont="1" applyBorder="1"/>
    <xf numFmtId="43" fontId="7" fillId="0" borderId="16" xfId="29" applyFont="1" applyBorder="1"/>
    <xf numFmtId="43" fontId="3" fillId="0" borderId="19" xfId="29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0" fontId="10" fillId="0" borderId="0" xfId="0" applyFont="1"/>
    <xf numFmtId="0" fontId="0" fillId="0" borderId="16" xfId="0" applyBorder="1" applyAlignment="1">
      <alignment horizontal="left"/>
    </xf>
    <xf numFmtId="165" fontId="0" fillId="0" borderId="0" xfId="29" applyNumberFormat="1" applyFont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0" fillId="0" borderId="15" xfId="29" applyNumberFormat="1" applyFont="1" applyBorder="1"/>
    <xf numFmtId="16" fontId="3" fillId="0" borderId="14" xfId="0" quotePrefix="1" applyNumberFormat="1" applyFont="1" applyBorder="1" applyAlignment="1">
      <alignment horizontal="center"/>
    </xf>
    <xf numFmtId="43" fontId="0" fillId="0" borderId="0" xfId="0" applyNumberFormat="1"/>
    <xf numFmtId="43" fontId="3" fillId="0" borderId="17" xfId="29" applyFont="1" applyFill="1" applyBorder="1" applyAlignment="1">
      <alignment horizontal="center"/>
    </xf>
    <xf numFmtId="43" fontId="12" fillId="0" borderId="0" xfId="44" applyNumberFormat="1"/>
    <xf numFmtId="43" fontId="31" fillId="0" borderId="0" xfId="29" applyFont="1"/>
    <xf numFmtId="43" fontId="31" fillId="0" borderId="0" xfId="29" applyFont="1" applyBorder="1"/>
    <xf numFmtId="0" fontId="31" fillId="0" borderId="0" xfId="0" applyFont="1" applyAlignment="1">
      <alignment horizontal="left"/>
    </xf>
    <xf numFmtId="0" fontId="31" fillId="0" borderId="0" xfId="0" applyFont="1"/>
    <xf numFmtId="165" fontId="31" fillId="0" borderId="0" xfId="29" applyNumberFormat="1" applyFont="1" applyBorder="1"/>
    <xf numFmtId="0" fontId="31" fillId="0" borderId="0" xfId="0" applyFont="1" applyAlignment="1">
      <alignment horizontal="center"/>
    </xf>
    <xf numFmtId="43" fontId="3" fillId="0" borderId="16" xfId="29" applyFont="1" applyBorder="1" applyAlignment="1">
      <alignment horizontal="left"/>
    </xf>
    <xf numFmtId="165" fontId="3" fillId="0" borderId="0" xfId="29" applyNumberFormat="1" applyFont="1" applyBorder="1" applyAlignment="1">
      <alignment horizontal="left"/>
    </xf>
    <xf numFmtId="165" fontId="3" fillId="0" borderId="17" xfId="29" applyNumberFormat="1" applyFont="1" applyBorder="1" applyAlignment="1">
      <alignment horizontal="left"/>
    </xf>
    <xf numFmtId="165" fontId="0" fillId="0" borderId="12" xfId="29" applyNumberFormat="1" applyFont="1" applyBorder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4" fillId="0" borderId="0" xfId="43" applyFont="1"/>
    <xf numFmtId="43" fontId="1" fillId="0" borderId="16" xfId="29" applyFont="1" applyBorder="1"/>
    <xf numFmtId="43" fontId="1" fillId="0" borderId="0" xfId="29" quotePrefix="1" applyFont="1"/>
    <xf numFmtId="43" fontId="1" fillId="0" borderId="18" xfId="29" applyFont="1" applyBorder="1"/>
    <xf numFmtId="43" fontId="1" fillId="0" borderId="0" xfId="29" applyFont="1"/>
    <xf numFmtId="43" fontId="31" fillId="0" borderId="0" xfId="0" applyNumberFormat="1" applyFont="1"/>
    <xf numFmtId="165" fontId="0" fillId="0" borderId="0" xfId="29" applyNumberFormat="1" applyFont="1" applyFill="1"/>
    <xf numFmtId="43" fontId="0" fillId="0" borderId="0" xfId="29" applyFont="1" applyFill="1"/>
    <xf numFmtId="43" fontId="0" fillId="0" borderId="0" xfId="29" applyFont="1" applyFill="1" applyBorder="1"/>
    <xf numFmtId="0" fontId="35" fillId="0" borderId="0" xfId="52" applyFont="1"/>
    <xf numFmtId="43" fontId="36" fillId="0" borderId="0" xfId="30" applyFont="1" applyFill="1"/>
    <xf numFmtId="0" fontId="1" fillId="0" borderId="0" xfId="52" applyFont="1"/>
    <xf numFmtId="43" fontId="37" fillId="0" borderId="0" xfId="30" applyFont="1" applyFill="1"/>
    <xf numFmtId="43" fontId="1" fillId="0" borderId="0" xfId="52" applyNumberFormat="1" applyFont="1"/>
    <xf numFmtId="11" fontId="1" fillId="0" borderId="0" xfId="52" applyNumberFormat="1" applyFont="1"/>
    <xf numFmtId="6" fontId="2" fillId="0" borderId="0" xfId="52" quotePrefix="1" applyNumberFormat="1" applyFont="1"/>
    <xf numFmtId="0" fontId="37" fillId="0" borderId="0" xfId="52" applyFont="1"/>
    <xf numFmtId="10" fontId="36" fillId="0" borderId="0" xfId="53" applyNumberFormat="1" applyFont="1" applyFill="1"/>
    <xf numFmtId="0" fontId="1" fillId="0" borderId="10" xfId="52" applyFont="1" applyBorder="1"/>
    <xf numFmtId="43" fontId="36" fillId="0" borderId="11" xfId="30" applyFont="1" applyFill="1" applyBorder="1" applyAlignment="1">
      <alignment horizontal="center"/>
    </xf>
    <xf numFmtId="0" fontId="1" fillId="0" borderId="11" xfId="52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2" applyFont="1" applyBorder="1"/>
    <xf numFmtId="43" fontId="3" fillId="0" borderId="14" xfId="30" applyFont="1" applyFill="1" applyBorder="1" applyAlignment="1">
      <alignment horizontal="center"/>
    </xf>
    <xf numFmtId="0" fontId="3" fillId="0" borderId="14" xfId="52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2" applyFont="1" applyBorder="1"/>
    <xf numFmtId="43" fontId="3" fillId="0" borderId="0" xfId="30" applyFont="1" applyFill="1" applyBorder="1" applyAlignment="1">
      <alignment horizontal="center"/>
    </xf>
    <xf numFmtId="0" fontId="3" fillId="0" borderId="0" xfId="52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2" applyFont="1" applyBorder="1"/>
    <xf numFmtId="43" fontId="34" fillId="0" borderId="0" xfId="30" applyFont="1" applyFill="1"/>
    <xf numFmtId="43" fontId="34" fillId="0" borderId="17" xfId="30" applyFont="1" applyFill="1" applyBorder="1"/>
    <xf numFmtId="0" fontId="1" fillId="0" borderId="16" xfId="52" applyFont="1" applyBorder="1"/>
    <xf numFmtId="165" fontId="34" fillId="0" borderId="0" xfId="29" applyNumberFormat="1" applyFont="1" applyFill="1"/>
    <xf numFmtId="165" fontId="34" fillId="0" borderId="17" xfId="29" applyNumberFormat="1" applyFont="1" applyFill="1" applyBorder="1"/>
    <xf numFmtId="0" fontId="1" fillId="0" borderId="18" xfId="52" applyFont="1" applyBorder="1"/>
    <xf numFmtId="165" fontId="34" fillId="0" borderId="22" xfId="29" applyNumberFormat="1" applyFont="1" applyFill="1" applyBorder="1"/>
    <xf numFmtId="165" fontId="34" fillId="0" borderId="23" xfId="29" applyNumberFormat="1" applyFont="1" applyFill="1" applyBorder="1"/>
    <xf numFmtId="43" fontId="34" fillId="0" borderId="0" xfId="30" applyFont="1" applyFill="1" applyBorder="1"/>
    <xf numFmtId="0" fontId="38" fillId="0" borderId="0" xfId="52" applyFont="1"/>
    <xf numFmtId="165" fontId="0" fillId="0" borderId="0" xfId="29" applyNumberFormat="1" applyFont="1" applyFill="1" applyBorder="1"/>
    <xf numFmtId="0" fontId="34" fillId="0" borderId="0" xfId="0" applyFont="1" applyAlignment="1">
      <alignment horizontal="left" wrapText="1"/>
    </xf>
    <xf numFmtId="165" fontId="1" fillId="0" borderId="0" xfId="29" applyNumberFormat="1" applyFont="1" applyBorder="1"/>
    <xf numFmtId="166" fontId="1" fillId="0" borderId="0" xfId="0" applyNumberFormat="1" applyFont="1"/>
    <xf numFmtId="1" fontId="1" fillId="0" borderId="0" xfId="0" applyNumberFormat="1" applyFont="1" applyAlignment="1">
      <alignment horizontal="center"/>
    </xf>
    <xf numFmtId="165" fontId="1" fillId="0" borderId="0" xfId="29" applyNumberFormat="1" applyFont="1"/>
    <xf numFmtId="165" fontId="1" fillId="0" borderId="17" xfId="29" applyNumberFormat="1" applyFont="1" applyBorder="1"/>
  </cellXfs>
  <cellStyles count="9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ctual Date" xfId="59" xr:uid="{B4B64717-6EE0-4311-8951-5EA762C49D52}"/>
    <cellStyle name="ariel" xfId="25" xr:uid="{00000000-0005-0000-0000-000018000000}"/>
    <cellStyle name="Bad" xfId="26" builtinId="27" customBuiltin="1"/>
    <cellStyle name="basic" xfId="60" xr:uid="{C0B29B01-F5BD-4C85-B019-F2D2D4F86773}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omma 2 2" xfId="58" xr:uid="{660B95A1-A4AE-4701-954B-FB7C87704E51}"/>
    <cellStyle name="Comma 3" xfId="89" xr:uid="{153FC89E-727C-4788-A999-2D5697D7FC56}"/>
    <cellStyle name="Comma 4" xfId="55" xr:uid="{448DFD21-80BC-4247-8306-E077B22DE5BD}"/>
    <cellStyle name="Comma0" xfId="61" xr:uid="{11D35244-6A06-47FA-AF47-EAD5CCA25154}"/>
    <cellStyle name="Currency 2" xfId="31" xr:uid="{00000000-0005-0000-0000-00001E000000}"/>
    <cellStyle name="Currency 2 2" xfId="90" xr:uid="{53957286-3A10-4D86-9DB3-39D9D7A88F55}"/>
    <cellStyle name="Currency0" xfId="62" xr:uid="{4EB06EEB-350B-479A-8F67-EE5D266EA27C}"/>
    <cellStyle name="Date" xfId="63" xr:uid="{B2D17C73-B429-47B4-8DB8-68C68C3F9776}"/>
    <cellStyle name="Explanatory Text" xfId="32" builtinId="53" customBuiltin="1"/>
    <cellStyle name="Fixed" xfId="64" xr:uid="{F0A1F8F7-F677-47D4-A2B2-25B3489E240B}"/>
    <cellStyle name="Good" xfId="33" builtinId="26" customBuiltin="1"/>
    <cellStyle name="Grey" xfId="65" xr:uid="{3825B1A9-FD9D-40F9-9621-DEC50EB85D37}"/>
    <cellStyle name="HEADER" xfId="66" xr:uid="{20FEEA03-E8C5-4A8F-A6E9-E51D27719E2E}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eading1" xfId="67" xr:uid="{1B15F2E7-675F-43DD-8862-688B74DF2317}"/>
    <cellStyle name="Heading2" xfId="68" xr:uid="{BE31991D-13C5-41D9-B405-0246A4E8E9F8}"/>
    <cellStyle name="HIGHLIGHT" xfId="69" xr:uid="{F1A92443-D0DD-4B27-9A2D-9100FE16997E}"/>
    <cellStyle name="Input" xfId="38" builtinId="20" customBuiltin="1"/>
    <cellStyle name="Input [yellow]" xfId="70" xr:uid="{B1E8912B-6080-4CA9-A969-0A930A4384C7}"/>
    <cellStyle name="LINE (right)" xfId="71" xr:uid="{29E140A8-85C9-4ABD-ADA1-56866D266948}"/>
    <cellStyle name="LINE/GAS SUPPLY" xfId="72" xr:uid="{40CCE2DF-28CD-48CD-94B4-094E1747785F}"/>
    <cellStyle name="Linked Cell" xfId="39" builtinId="24" customBuiltin="1"/>
    <cellStyle name="Neutral" xfId="40" builtinId="28" customBuiltin="1"/>
    <cellStyle name="no dec" xfId="73" xr:uid="{19BEEA4B-B7E4-409D-9DC7-C7BBEF213CE6}"/>
    <cellStyle name="Normal" xfId="0" builtinId="0"/>
    <cellStyle name="Normal - Style1" xfId="74" xr:uid="{EDEDE337-DA68-4C6C-A936-C84BAD253343}"/>
    <cellStyle name="Normal 2" xfId="41" xr:uid="{00000000-0005-0000-0000-000029000000}"/>
    <cellStyle name="Normal 2 2" xfId="57" xr:uid="{69CF24A6-C31C-41B4-AB92-148052AB7809}"/>
    <cellStyle name="Normal 3" xfId="42" xr:uid="{00000000-0005-0000-0000-00002A000000}"/>
    <cellStyle name="Normal 3 2" xfId="88" xr:uid="{56657966-A005-4219-A645-BCE9F589CE27}"/>
    <cellStyle name="Normal 4" xfId="54" xr:uid="{18BC1504-1873-4581-A10E-EC714DFFC593}"/>
    <cellStyle name="Normal 8" xfId="52" xr:uid="{2D6D2CE4-4462-44F2-B68C-D51568FFD75B}"/>
    <cellStyle name="Normal_Sheet2" xfId="43" xr:uid="{00000000-0005-0000-0000-00002B000000}"/>
    <cellStyle name="Normal_Table G-2" xfId="44" xr:uid="{00000000-0005-0000-0000-00002C000000}"/>
    <cellStyle name="Note" xfId="45" builtinId="10" customBuiltin="1"/>
    <cellStyle name="Output" xfId="46" builtinId="21" customBuiltin="1"/>
    <cellStyle name="Percent [2]" xfId="75" xr:uid="{F6DC16BD-D180-44B5-B140-688F8CCE8D60}"/>
    <cellStyle name="Percent 2" xfId="53" xr:uid="{2AEBA42A-41D3-4B79-9439-53100E250608}"/>
    <cellStyle name="Percent 3" xfId="56" xr:uid="{6AA96E03-F2D2-476F-B8C9-85A7714A2AEF}"/>
    <cellStyle name="Revenue" xfId="76" xr:uid="{A4D41615-97E0-43D5-A2C7-BBDC1485DD82}"/>
    <cellStyle name="SAPBEXaggData" xfId="47" xr:uid="{00000000-0005-0000-0000-00002F000000}"/>
    <cellStyle name="SAPBEXaggData 2" xfId="77" xr:uid="{784F93A8-0B96-4370-A4BE-6D3B9C480C45}"/>
    <cellStyle name="SAPBEXaggItem" xfId="78" xr:uid="{C834638F-BD38-4C4D-99FC-15360E84CA0F}"/>
    <cellStyle name="SAPBEXchaText" xfId="79" xr:uid="{F0CA6250-835D-48AA-9385-49C45D522BAD}"/>
    <cellStyle name="SAPBEXstdData" xfId="48" xr:uid="{00000000-0005-0000-0000-000030000000}"/>
    <cellStyle name="SAPBEXstdData 2" xfId="80" xr:uid="{D12020B7-A47A-4D2C-959B-28EAA97E6F81}"/>
    <cellStyle name="SAPBEXstdItem" xfId="81" xr:uid="{44DC4B5B-E27B-4AF9-9474-50CEEB7B0574}"/>
    <cellStyle name="Table reference" xfId="82" xr:uid="{10CECE52-6234-414E-8197-866B99C23586}"/>
    <cellStyle name="Title" xfId="49" builtinId="15" customBuiltin="1"/>
    <cellStyle name="Total" xfId="50" builtinId="25" customBuiltin="1"/>
    <cellStyle name="totals" xfId="83" xr:uid="{E7023B4B-EA9E-4129-B3C1-A89653B26487}"/>
    <cellStyle name="Unprot" xfId="84" xr:uid="{AC5CC5D0-5A22-4B68-84F2-7D8D9DA76521}"/>
    <cellStyle name="Unprot$" xfId="85" xr:uid="{719AA682-AB16-4EDC-820A-CC274443641D}"/>
    <cellStyle name="Unprotect" xfId="86" xr:uid="{AB16A481-7086-4B3F-ACF7-8AB672A8343C}"/>
    <cellStyle name="Warning Text" xfId="51" builtinId="11" customBuiltin="1"/>
    <cellStyle name="year (column)" xfId="87" xr:uid="{95BFE02B-0125-4936-BBB0-1D1DCBFBD3B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zoomScale="110" zoomScaleNormal="110" workbookViewId="0">
      <pane xSplit="1" ySplit="7" topLeftCell="F14" activePane="bottomRight" state="frozen"/>
      <selection pane="bottomRight" activeCell="M18" sqref="M18"/>
      <selection pane="bottomLeft" activeCell="A8" sqref="A8"/>
      <selection pane="topRight" activeCell="B1" sqref="B1"/>
    </sheetView>
  </sheetViews>
  <sheetFormatPr defaultColWidth="9.140625" defaultRowHeight="12.75"/>
  <cols>
    <col min="1" max="1" width="33.42578125" style="2" customWidth="1"/>
    <col min="2" max="2" width="11.42578125" style="26" bestFit="1" customWidth="1"/>
    <col min="3" max="3" width="13.42578125" style="26" bestFit="1" customWidth="1"/>
    <col min="4" max="5" width="11.42578125" style="26" bestFit="1" customWidth="1"/>
    <col min="6" max="8" width="11.42578125" style="2" bestFit="1" customWidth="1"/>
    <col min="9" max="9" width="12.85546875" style="2" bestFit="1" customWidth="1"/>
    <col min="10" max="10" width="12.140625" style="26" bestFit="1" customWidth="1"/>
    <col min="11" max="11" width="11.42578125" style="26" bestFit="1" customWidth="1"/>
    <col min="12" max="12" width="11.42578125" style="2" bestFit="1" customWidth="1"/>
    <col min="13" max="13" width="12.85546875" style="2" bestFit="1" customWidth="1"/>
    <col min="14" max="14" width="12.85546875" style="26" bestFit="1" customWidth="1"/>
    <col min="15" max="16384" width="9.140625" style="2"/>
  </cols>
  <sheetData>
    <row r="1" spans="1:14" ht="15.75">
      <c r="A1" s="1" t="s">
        <v>0</v>
      </c>
    </row>
    <row r="2" spans="1:14" ht="15.75">
      <c r="A2" s="3" t="s">
        <v>1</v>
      </c>
    </row>
    <row r="3" spans="1:14" ht="15.75">
      <c r="A3" s="1" t="s">
        <v>2</v>
      </c>
    </row>
    <row r="4" spans="1:14" ht="15.75">
      <c r="A4" s="4"/>
    </row>
    <row r="5" spans="1:14" ht="16.5" thickBot="1">
      <c r="A5" s="4"/>
    </row>
    <row r="6" spans="1:14">
      <c r="A6" s="5"/>
      <c r="B6" s="27"/>
      <c r="C6" s="27"/>
      <c r="D6" s="27"/>
      <c r="E6" s="27"/>
      <c r="F6" s="6"/>
      <c r="G6" s="6"/>
      <c r="H6" s="6"/>
      <c r="I6" s="6"/>
      <c r="J6" s="27"/>
      <c r="K6" s="27"/>
      <c r="L6" s="6"/>
      <c r="M6" s="6"/>
      <c r="N6" s="30" t="s">
        <v>3</v>
      </c>
    </row>
    <row r="7" spans="1:14" ht="16.5" thickBot="1">
      <c r="A7" s="8" t="s">
        <v>4</v>
      </c>
      <c r="B7" s="28" t="s">
        <v>5</v>
      </c>
      <c r="C7" s="28" t="s">
        <v>6</v>
      </c>
      <c r="D7" s="28" t="s">
        <v>7</v>
      </c>
      <c r="E7" s="28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28" t="s">
        <v>13</v>
      </c>
      <c r="K7" s="28" t="s">
        <v>14</v>
      </c>
      <c r="L7" s="9" t="s">
        <v>15</v>
      </c>
      <c r="M7" s="9" t="s">
        <v>16</v>
      </c>
      <c r="N7" s="31" t="s">
        <v>17</v>
      </c>
    </row>
    <row r="8" spans="1:14">
      <c r="A8" s="5"/>
      <c r="H8" s="16"/>
      <c r="I8" s="16"/>
      <c r="J8" s="41"/>
      <c r="K8" s="41"/>
      <c r="L8" s="16"/>
      <c r="M8" s="16"/>
      <c r="N8" s="32">
        <f>SUM(B8:M8)</f>
        <v>0</v>
      </c>
    </row>
    <row r="9" spans="1:14">
      <c r="A9" s="61" t="s">
        <v>18</v>
      </c>
      <c r="B9" s="103">
        <v>4504069.51</v>
      </c>
      <c r="C9" s="103">
        <v>4432875.99</v>
      </c>
      <c r="D9" s="103">
        <v>3944379.82</v>
      </c>
      <c r="E9" s="103">
        <v>2885519.33</v>
      </c>
      <c r="F9" s="103">
        <v>2127677.75</v>
      </c>
      <c r="G9" s="103">
        <v>1882201.77</v>
      </c>
      <c r="H9" s="103">
        <v>1508594.28</v>
      </c>
      <c r="I9" s="103">
        <v>1340309.57</v>
      </c>
      <c r="J9" s="103">
        <v>1466178.76</v>
      </c>
      <c r="K9" s="103">
        <v>1762796.47</v>
      </c>
      <c r="L9" s="103">
        <v>2265337.62</v>
      </c>
      <c r="M9" s="103">
        <v>3659186.64</v>
      </c>
      <c r="N9" s="32">
        <f t="shared" ref="N9:N19" si="0">SUM(B9:M9)</f>
        <v>31779127.510000002</v>
      </c>
    </row>
    <row r="10" spans="1:14">
      <c r="A10" s="61" t="s">
        <v>19</v>
      </c>
      <c r="B10" s="103">
        <v>4949509.28</v>
      </c>
      <c r="C10" s="103">
        <v>5774080.0599999996</v>
      </c>
      <c r="D10" s="103">
        <v>5225425.95</v>
      </c>
      <c r="E10" s="103">
        <v>4818563.1100000003</v>
      </c>
      <c r="F10" s="103">
        <v>4272263.21</v>
      </c>
      <c r="G10" s="103">
        <v>4113204.6</v>
      </c>
      <c r="H10" s="103">
        <v>3682626.58</v>
      </c>
      <c r="I10" s="103">
        <v>3509064.1</v>
      </c>
      <c r="J10" s="103">
        <v>3947644.15</v>
      </c>
      <c r="K10" s="103">
        <v>4476609.13</v>
      </c>
      <c r="L10" s="103">
        <v>4771199.37</v>
      </c>
      <c r="M10" s="103">
        <v>5555375.96</v>
      </c>
      <c r="N10" s="32">
        <f t="shared" si="0"/>
        <v>55095565.5</v>
      </c>
    </row>
    <row r="11" spans="1:14">
      <c r="A11" s="61" t="s">
        <v>20</v>
      </c>
      <c r="B11" s="103">
        <v>491.53</v>
      </c>
      <c r="C11" s="103">
        <v>1569.79</v>
      </c>
      <c r="D11" s="103">
        <v>249.24</v>
      </c>
      <c r="E11" s="103">
        <v>1014.43</v>
      </c>
      <c r="F11" s="103">
        <v>1952.96</v>
      </c>
      <c r="G11" s="103">
        <v>2158.87</v>
      </c>
      <c r="H11" s="103">
        <v>3504.31</v>
      </c>
      <c r="I11" s="103">
        <v>3691.01</v>
      </c>
      <c r="J11" s="103">
        <v>3385.08</v>
      </c>
      <c r="K11" s="103">
        <v>2516.36</v>
      </c>
      <c r="L11" s="103">
        <v>1896.29</v>
      </c>
      <c r="M11" s="103">
        <v>1870.6</v>
      </c>
      <c r="N11" s="32">
        <f t="shared" si="0"/>
        <v>24300.47</v>
      </c>
    </row>
    <row r="12" spans="1:14">
      <c r="A12" s="61" t="s">
        <v>21</v>
      </c>
      <c r="B12" s="103">
        <v>42435.42</v>
      </c>
      <c r="C12" s="103">
        <v>51254.49</v>
      </c>
      <c r="D12" s="103">
        <v>61254.09</v>
      </c>
      <c r="E12" s="103">
        <v>78842.53</v>
      </c>
      <c r="F12" s="103">
        <v>102406.51</v>
      </c>
      <c r="G12" s="103">
        <v>135592.92000000001</v>
      </c>
      <c r="H12" s="103">
        <v>149018.14000000001</v>
      </c>
      <c r="I12" s="103">
        <v>142429.68</v>
      </c>
      <c r="J12" s="103">
        <v>119271.71</v>
      </c>
      <c r="K12" s="103">
        <v>90682.2</v>
      </c>
      <c r="L12" s="103">
        <v>57906.239999999998</v>
      </c>
      <c r="M12" s="103">
        <v>42268.29</v>
      </c>
      <c r="N12" s="32">
        <f t="shared" si="0"/>
        <v>1073362.22</v>
      </c>
    </row>
    <row r="13" spans="1:14">
      <c r="A13" s="61" t="s">
        <v>22</v>
      </c>
      <c r="B13" s="103">
        <v>599273.85</v>
      </c>
      <c r="C13" s="103">
        <v>795357.84</v>
      </c>
      <c r="D13" s="103">
        <v>632819.29</v>
      </c>
      <c r="E13" s="103">
        <v>790836</v>
      </c>
      <c r="F13" s="103">
        <v>732825.63</v>
      </c>
      <c r="G13" s="103">
        <v>697622.36</v>
      </c>
      <c r="H13" s="103">
        <v>712874.37</v>
      </c>
      <c r="I13" s="103">
        <v>682446.47</v>
      </c>
      <c r="J13" s="103">
        <v>749571.13</v>
      </c>
      <c r="K13" s="103">
        <v>752727.16</v>
      </c>
      <c r="L13" s="103">
        <v>783888.72</v>
      </c>
      <c r="M13" s="103">
        <v>717005.68</v>
      </c>
      <c r="N13" s="32">
        <f t="shared" si="0"/>
        <v>8647248.5</v>
      </c>
    </row>
    <row r="14" spans="1:14">
      <c r="A14" s="61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32"/>
    </row>
    <row r="15" spans="1:14">
      <c r="A15" s="61" t="s">
        <v>23</v>
      </c>
      <c r="B15" s="103">
        <v>1415103.34</v>
      </c>
      <c r="C15" s="103">
        <v>1431482.93</v>
      </c>
      <c r="D15" s="103">
        <v>1280583.6499999999</v>
      </c>
      <c r="E15" s="103">
        <v>943921.76</v>
      </c>
      <c r="F15" s="103">
        <v>725866.68</v>
      </c>
      <c r="G15" s="103">
        <v>657020.68000000005</v>
      </c>
      <c r="H15" s="103">
        <v>551047.38</v>
      </c>
      <c r="I15" s="103">
        <v>500091.19</v>
      </c>
      <c r="J15" s="103">
        <v>545180.37</v>
      </c>
      <c r="K15" s="103">
        <v>622446.79</v>
      </c>
      <c r="L15" s="103">
        <v>786649.41</v>
      </c>
      <c r="M15" s="103">
        <v>1222048.1200000001</v>
      </c>
      <c r="N15" s="32">
        <f t="shared" si="0"/>
        <v>10681442.300000001</v>
      </c>
    </row>
    <row r="16" spans="1:14">
      <c r="A16" s="61" t="s">
        <v>24</v>
      </c>
      <c r="B16" s="103">
        <v>17434.47</v>
      </c>
      <c r="C16" s="103">
        <v>19257.61</v>
      </c>
      <c r="D16" s="103">
        <v>17527.990000000002</v>
      </c>
      <c r="E16" s="103">
        <v>13990.65</v>
      </c>
      <c r="F16" s="103">
        <v>11903.41</v>
      </c>
      <c r="G16" s="103">
        <v>10845.99</v>
      </c>
      <c r="H16" s="103">
        <v>9172.23</v>
      </c>
      <c r="I16" s="103">
        <v>8320.11</v>
      </c>
      <c r="J16" s="103">
        <v>9067.93</v>
      </c>
      <c r="K16" s="103">
        <v>10316.83</v>
      </c>
      <c r="L16" s="103">
        <v>12480.72</v>
      </c>
      <c r="M16" s="103">
        <v>17483.189999999999</v>
      </c>
      <c r="N16" s="32">
        <f t="shared" si="0"/>
        <v>157801.13</v>
      </c>
    </row>
    <row r="17" spans="1:14">
      <c r="A17" s="61" t="s">
        <v>25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32">
        <f t="shared" si="0"/>
        <v>0</v>
      </c>
    </row>
    <row r="18" spans="1:14" customFormat="1">
      <c r="A18" s="23" t="s">
        <v>26</v>
      </c>
      <c r="B18" s="103">
        <v>-12539.49</v>
      </c>
      <c r="C18" s="103">
        <v>-12866.07</v>
      </c>
      <c r="D18" s="103">
        <v>-15274.59</v>
      </c>
      <c r="E18" s="103">
        <v>-18174.48</v>
      </c>
      <c r="F18" s="103">
        <v>-17543.359302096698</v>
      </c>
      <c r="G18" s="103">
        <v>-21420.89</v>
      </c>
      <c r="H18" s="103">
        <v>-21442.67</v>
      </c>
      <c r="I18" s="103">
        <v>-28690.29</v>
      </c>
      <c r="J18" s="103">
        <v>-28604.26</v>
      </c>
      <c r="K18" s="103">
        <v>-29778.33</v>
      </c>
      <c r="L18" s="103">
        <v>-21956.01</v>
      </c>
      <c r="M18" s="103">
        <v>-28641.69</v>
      </c>
      <c r="N18" s="32">
        <f t="shared" si="0"/>
        <v>-256932.12930209673</v>
      </c>
    </row>
    <row r="19" spans="1:14">
      <c r="A19" s="63" t="s">
        <v>27</v>
      </c>
      <c r="B19" s="103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32">
        <f t="shared" si="0"/>
        <v>0</v>
      </c>
    </row>
    <row r="20" spans="1:14" ht="16.5" thickBot="1">
      <c r="A20" s="17" t="s">
        <v>28</v>
      </c>
      <c r="B20" s="29">
        <f>SUM(B8:B19)</f>
        <v>11515777.909999998</v>
      </c>
      <c r="C20" s="29">
        <f>SUM(C8:C19)</f>
        <v>12493012.639999999</v>
      </c>
      <c r="D20" s="29">
        <f>SUM(D8:D19)</f>
        <v>11146965.440000001</v>
      </c>
      <c r="E20" s="29">
        <f t="shared" ref="E20:M20" si="1">SUM(E8:E19)</f>
        <v>9514513.3300000001</v>
      </c>
      <c r="F20" s="29">
        <f t="shared" si="1"/>
        <v>7957352.7906979024</v>
      </c>
      <c r="G20" s="29">
        <f t="shared" si="1"/>
        <v>7477226.3000000007</v>
      </c>
      <c r="H20" s="29">
        <f t="shared" si="1"/>
        <v>6595394.6200000001</v>
      </c>
      <c r="I20" s="29">
        <f t="shared" si="1"/>
        <v>6157661.8399999999</v>
      </c>
      <c r="J20" s="29">
        <f t="shared" si="1"/>
        <v>6811694.8700000001</v>
      </c>
      <c r="K20" s="29">
        <f t="shared" si="1"/>
        <v>7688316.6100000003</v>
      </c>
      <c r="L20" s="29">
        <f t="shared" si="1"/>
        <v>8657402.3600000013</v>
      </c>
      <c r="M20" s="29">
        <f t="shared" si="1"/>
        <v>11186596.789999999</v>
      </c>
      <c r="N20" s="33">
        <f>SUM(B20:M20)</f>
        <v>107201915.50069788</v>
      </c>
    </row>
    <row r="21" spans="1:14">
      <c r="I21" s="26"/>
    </row>
    <row r="22" spans="1:14">
      <c r="A22" s="64"/>
      <c r="I22" s="26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530"/>
  <sheetViews>
    <sheetView zoomScaleNormal="100" workbookViewId="0">
      <pane xSplit="1" ySplit="6" topLeftCell="B705" activePane="bottomRight" state="frozen"/>
      <selection pane="bottomRight" activeCell="I393" sqref="I393"/>
      <selection pane="bottomLeft" activeCell="A7" sqref="A7"/>
      <selection pane="topRight" activeCell="B1" sqref="B1"/>
    </sheetView>
  </sheetViews>
  <sheetFormatPr defaultColWidth="9.140625" defaultRowHeight="12.75"/>
  <cols>
    <col min="1" max="1" width="38.42578125" style="2" customWidth="1"/>
    <col min="2" max="2" width="12.85546875" style="26" customWidth="1"/>
    <col min="3" max="3" width="11.85546875" style="26" customWidth="1"/>
    <col min="4" max="7" width="12.85546875" style="26" customWidth="1"/>
    <col min="8" max="9" width="13.5703125" style="26" customWidth="1"/>
    <col min="10" max="10" width="12.140625" style="26" bestFit="1" customWidth="1"/>
    <col min="11" max="11" width="13.5703125" style="26" bestFit="1" customWidth="1"/>
    <col min="12" max="12" width="12.42578125" style="26" bestFit="1" customWidth="1"/>
    <col min="13" max="13" width="11.85546875" style="26" bestFit="1" customWidth="1"/>
    <col min="14" max="14" width="14.5703125" style="2" bestFit="1" customWidth="1"/>
    <col min="15" max="15" width="14" style="2" customWidth="1"/>
    <col min="16" max="16" width="14" style="2" bestFit="1" customWidth="1"/>
    <col min="17" max="16384" width="9.140625" style="2"/>
  </cols>
  <sheetData>
    <row r="1" spans="1:15" ht="15.75">
      <c r="A1" s="1" t="s">
        <v>29</v>
      </c>
    </row>
    <row r="2" spans="1:15" ht="15.75">
      <c r="A2" s="3" t="s">
        <v>30</v>
      </c>
    </row>
    <row r="3" spans="1:15" ht="15.75">
      <c r="A3" s="1" t="str">
        <f>'Table G-1'!A3</f>
        <v>Calendar Year 2021</v>
      </c>
    </row>
    <row r="4" spans="1:15" ht="16.5" thickBot="1">
      <c r="A4" s="4"/>
    </row>
    <row r="5" spans="1:15">
      <c r="A5" s="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7" t="s">
        <v>3</v>
      </c>
    </row>
    <row r="6" spans="1:15" ht="13.5" thickBot="1">
      <c r="A6" s="19" t="s">
        <v>31</v>
      </c>
      <c r="B6" s="28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28" t="s">
        <v>14</v>
      </c>
      <c r="L6" s="28" t="s">
        <v>15</v>
      </c>
      <c r="M6" s="28" t="s">
        <v>16</v>
      </c>
      <c r="N6" s="10" t="s">
        <v>17</v>
      </c>
    </row>
    <row r="7" spans="1:15">
      <c r="A7" s="10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5"/>
    </row>
    <row r="8" spans="1:15">
      <c r="A8" s="20" t="s">
        <v>32</v>
      </c>
      <c r="B8" s="26">
        <f>2443095.03-B47-B95</f>
        <v>1363735.25</v>
      </c>
      <c r="C8" s="26">
        <f>2698318-C47-C95</f>
        <v>1586328.1999999997</v>
      </c>
      <c r="D8" s="26">
        <f>7096601-D47-D95</f>
        <v>5379034.419999999</v>
      </c>
      <c r="E8" s="26">
        <f>10815847.46-E47-E95</f>
        <v>9788860.3399999999</v>
      </c>
      <c r="F8" s="26">
        <f>7314186.33-F47-F95</f>
        <v>5179990.4000000004</v>
      </c>
      <c r="G8" s="26">
        <f>8092285.63-G47-G95</f>
        <v>5018065.8900000006</v>
      </c>
      <c r="H8" s="26">
        <f>5664020.8-H47-H95</f>
        <v>-5753526.910000002</v>
      </c>
      <c r="I8" s="26">
        <f>5692710-I47-I95</f>
        <v>4585553.8199999994</v>
      </c>
      <c r="J8" s="26">
        <f>10242730.42-J47-J95</f>
        <v>5501514.2699999996</v>
      </c>
      <c r="K8" s="26">
        <f>5488014.5-K47-K95</f>
        <v>3682086.5200000005</v>
      </c>
      <c r="L8" s="26">
        <f>6017837-L47-L95</f>
        <v>3829227.5899999989</v>
      </c>
      <c r="M8" s="26">
        <f>20422330-M47-M95</f>
        <v>11775617.059999999</v>
      </c>
      <c r="N8" s="13">
        <f>SUM(B8:M8)</f>
        <v>51936486.849999994</v>
      </c>
    </row>
    <row r="9" spans="1:15">
      <c r="A9" s="14" t="s">
        <v>33</v>
      </c>
      <c r="N9" s="13">
        <f>SUM(B9:M9)</f>
        <v>0</v>
      </c>
    </row>
    <row r="10" spans="1:15">
      <c r="A10" s="20" t="s">
        <v>34</v>
      </c>
      <c r="N10" s="13"/>
    </row>
    <row r="11" spans="1:15" ht="15">
      <c r="A11" s="60" t="s">
        <v>35</v>
      </c>
      <c r="B11" s="26">
        <v>243.32</v>
      </c>
      <c r="C11" s="26">
        <v>248.03</v>
      </c>
      <c r="D11" s="26">
        <v>299.54999999999995</v>
      </c>
      <c r="E11" s="26">
        <v>341.42</v>
      </c>
      <c r="F11" s="26">
        <v>1637.4099999999996</v>
      </c>
      <c r="G11" s="26">
        <v>1894.8600000000004</v>
      </c>
      <c r="H11" s="26">
        <v>4986.0199999999986</v>
      </c>
      <c r="I11" s="26">
        <v>2235.5199999999995</v>
      </c>
      <c r="J11" s="26">
        <v>1235.3800000000001</v>
      </c>
      <c r="K11" s="26">
        <v>-830.58999999999992</v>
      </c>
      <c r="L11" s="26">
        <v>1987.44</v>
      </c>
      <c r="M11" s="26">
        <v>2300.4099999999994</v>
      </c>
      <c r="N11" s="13">
        <f t="shared" ref="N11:N44" si="0">SUM(B11:M11)</f>
        <v>16578.769999999997</v>
      </c>
      <c r="O11"/>
    </row>
    <row r="12" spans="1:15" ht="15">
      <c r="A12" s="60" t="s">
        <v>36</v>
      </c>
      <c r="B12" s="26">
        <v>36.47</v>
      </c>
      <c r="C12" s="26">
        <v>34.79</v>
      </c>
      <c r="D12" s="26">
        <v>2414.27</v>
      </c>
      <c r="E12" s="26">
        <v>4558.8100000000004</v>
      </c>
      <c r="F12" s="26">
        <v>2486.7299999999996</v>
      </c>
      <c r="G12" s="26">
        <v>41.22</v>
      </c>
      <c r="H12" s="26">
        <v>14477.070000000002</v>
      </c>
      <c r="I12" s="26">
        <v>2568.86</v>
      </c>
      <c r="J12" s="26">
        <v>2402.0599999999995</v>
      </c>
      <c r="K12" s="26">
        <v>2343.0099999999998</v>
      </c>
      <c r="L12" s="26">
        <v>2561.8200000000002</v>
      </c>
      <c r="M12" s="26">
        <v>5305.76</v>
      </c>
      <c r="N12" s="13">
        <f t="shared" si="0"/>
        <v>39230.870000000003</v>
      </c>
      <c r="O12"/>
    </row>
    <row r="13" spans="1:15" ht="15">
      <c r="A13" s="60" t="s">
        <v>37</v>
      </c>
      <c r="B13" s="26">
        <v>136.63999999999999</v>
      </c>
      <c r="C13" s="26">
        <v>134.09</v>
      </c>
      <c r="D13" s="26">
        <v>311.95999999999998</v>
      </c>
      <c r="E13" s="26">
        <v>4131.07</v>
      </c>
      <c r="F13" s="26">
        <v>1317.3700000000001</v>
      </c>
      <c r="G13" s="26">
        <v>2979.8699999999994</v>
      </c>
      <c r="H13" s="26">
        <v>9175.269999999995</v>
      </c>
      <c r="I13" s="26">
        <v>228.63</v>
      </c>
      <c r="J13" s="26">
        <v>202.38000000000002</v>
      </c>
      <c r="K13" s="26">
        <v>125.03999999999998</v>
      </c>
      <c r="L13" s="26">
        <v>16903.620000000003</v>
      </c>
      <c r="M13" s="26">
        <v>10921.169999999998</v>
      </c>
      <c r="N13" s="13">
        <f t="shared" si="0"/>
        <v>46567.11</v>
      </c>
      <c r="O13"/>
    </row>
    <row r="14" spans="1:15" ht="15">
      <c r="A14" s="60" t="s">
        <v>38</v>
      </c>
      <c r="B14" s="26">
        <v>884.62</v>
      </c>
      <c r="C14" s="26">
        <v>0</v>
      </c>
      <c r="D14" s="26">
        <v>0</v>
      </c>
      <c r="E14" s="26">
        <v>0</v>
      </c>
      <c r="F14" s="26">
        <v>0</v>
      </c>
      <c r="G14" s="26">
        <v>855</v>
      </c>
      <c r="H14" s="26">
        <v>884.62</v>
      </c>
      <c r="I14" s="26">
        <v>0</v>
      </c>
      <c r="J14" s="26">
        <v>1605.31</v>
      </c>
      <c r="K14" s="26">
        <v>-1605.31</v>
      </c>
      <c r="L14" s="26">
        <v>0</v>
      </c>
      <c r="M14" s="26">
        <v>0</v>
      </c>
      <c r="N14" s="13">
        <f t="shared" si="0"/>
        <v>2624.2399999999993</v>
      </c>
      <c r="O14"/>
    </row>
    <row r="15" spans="1:15" ht="15">
      <c r="A15" s="60" t="s">
        <v>39</v>
      </c>
      <c r="B15" s="26">
        <v>0</v>
      </c>
      <c r="C15" s="26">
        <v>0</v>
      </c>
      <c r="D15" s="26">
        <v>0</v>
      </c>
      <c r="E15" s="26">
        <v>5578.89</v>
      </c>
      <c r="F15" s="26">
        <v>9506.25</v>
      </c>
      <c r="G15" s="26">
        <v>0</v>
      </c>
      <c r="H15" s="26">
        <v>15085.14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3">
        <f t="shared" si="0"/>
        <v>30170.28</v>
      </c>
      <c r="O15"/>
    </row>
    <row r="16" spans="1:15" ht="17.25" customHeight="1">
      <c r="A16" s="60" t="s">
        <v>40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2301.0299999999997</v>
      </c>
      <c r="N16" s="13">
        <f t="shared" si="0"/>
        <v>2301.0299999999997</v>
      </c>
      <c r="O16"/>
    </row>
    <row r="17" spans="1:15" ht="17.25" customHeight="1">
      <c r="A17" s="60" t="s">
        <v>41</v>
      </c>
      <c r="B17" s="26">
        <v>179.58</v>
      </c>
      <c r="C17" s="26">
        <v>186.03</v>
      </c>
      <c r="D17" s="26">
        <v>238.02</v>
      </c>
      <c r="E17" s="26">
        <v>149.6</v>
      </c>
      <c r="F17" s="26">
        <v>241.8</v>
      </c>
      <c r="G17" s="26">
        <v>198.89</v>
      </c>
      <c r="H17" s="26">
        <v>1359.55</v>
      </c>
      <c r="I17" s="26">
        <v>213.35000000000002</v>
      </c>
      <c r="J17" s="26">
        <v>204.23</v>
      </c>
      <c r="K17" s="26">
        <v>181.87</v>
      </c>
      <c r="L17" s="26">
        <v>93.460000000000008</v>
      </c>
      <c r="M17" s="26">
        <v>54.009999999999991</v>
      </c>
      <c r="N17" s="13">
        <f t="shared" ref="N17" si="1">SUM(B17:M17)</f>
        <v>3300.3900000000003</v>
      </c>
      <c r="O17"/>
    </row>
    <row r="18" spans="1:15" ht="17.25" customHeight="1">
      <c r="A18" s="60" t="s">
        <v>42</v>
      </c>
      <c r="E18" s="26">
        <v>15000</v>
      </c>
      <c r="H18" s="26">
        <v>25000</v>
      </c>
      <c r="I18" s="26">
        <v>10000</v>
      </c>
      <c r="N18" s="13">
        <f t="shared" si="0"/>
        <v>50000</v>
      </c>
      <c r="O18"/>
    </row>
    <row r="19" spans="1:15" ht="17.25" customHeight="1">
      <c r="A19" s="60" t="s">
        <v>43</v>
      </c>
      <c r="B19" s="26">
        <v>2351.5500000000002</v>
      </c>
      <c r="C19" s="26">
        <v>2055.0700000000002</v>
      </c>
      <c r="D19" s="26">
        <v>2727.58</v>
      </c>
      <c r="E19" s="26">
        <v>2052.84</v>
      </c>
      <c r="F19" s="26">
        <v>2737.63</v>
      </c>
      <c r="G19" s="26">
        <v>2779.43</v>
      </c>
      <c r="H19" s="26">
        <v>16820.070000000007</v>
      </c>
      <c r="I19" s="26">
        <v>2199.4</v>
      </c>
      <c r="J19" s="26">
        <v>2426.71</v>
      </c>
      <c r="K19" s="26">
        <v>1557.36</v>
      </c>
      <c r="L19" s="26">
        <v>3102.47</v>
      </c>
      <c r="M19" s="26">
        <v>1774.1200000000001</v>
      </c>
      <c r="N19" s="13">
        <f t="shared" si="0"/>
        <v>42584.23000000001</v>
      </c>
      <c r="O19"/>
    </row>
    <row r="20" spans="1:15" ht="15">
      <c r="A20" s="60" t="s">
        <v>44</v>
      </c>
      <c r="B20" s="26">
        <v>347.01</v>
      </c>
      <c r="C20" s="26">
        <v>370.59</v>
      </c>
      <c r="D20" s="26">
        <v>513.15</v>
      </c>
      <c r="E20" s="26">
        <v>404.11</v>
      </c>
      <c r="F20" s="26">
        <v>357.31</v>
      </c>
      <c r="G20" s="26">
        <v>25.570000000000022</v>
      </c>
      <c r="H20" s="26">
        <v>1084.0500000000002</v>
      </c>
      <c r="I20" s="26">
        <v>-361.35</v>
      </c>
      <c r="J20" s="26">
        <v>0</v>
      </c>
      <c r="K20" s="26">
        <v>514.46</v>
      </c>
      <c r="L20" s="26">
        <v>377.27</v>
      </c>
      <c r="M20" s="26">
        <v>233.22</v>
      </c>
      <c r="N20" s="13">
        <f t="shared" si="0"/>
        <v>3865.39</v>
      </c>
      <c r="O20"/>
    </row>
    <row r="21" spans="1:15" ht="15">
      <c r="A21" s="60" t="s">
        <v>45</v>
      </c>
      <c r="B21" s="26">
        <v>71.989999999999995</v>
      </c>
      <c r="C21" s="26">
        <v>0</v>
      </c>
      <c r="D21" s="26">
        <v>0</v>
      </c>
      <c r="E21" s="26">
        <v>374.47</v>
      </c>
      <c r="F21" s="26">
        <v>374.47</v>
      </c>
      <c r="G21" s="26">
        <v>326.47000000000003</v>
      </c>
      <c r="H21" s="26">
        <v>2017.7400000000002</v>
      </c>
      <c r="I21" s="26">
        <v>360.66</v>
      </c>
      <c r="J21" s="26">
        <v>0</v>
      </c>
      <c r="K21" s="26">
        <v>0</v>
      </c>
      <c r="L21" s="26">
        <v>0</v>
      </c>
      <c r="M21" s="26">
        <v>0</v>
      </c>
      <c r="N21" s="13">
        <f t="shared" si="0"/>
        <v>3525.8</v>
      </c>
      <c r="O21"/>
    </row>
    <row r="22" spans="1:15" ht="15">
      <c r="A22" s="60" t="s">
        <v>46</v>
      </c>
      <c r="B22" s="26">
        <v>71.989999999999995</v>
      </c>
      <c r="C22" s="26">
        <v>0</v>
      </c>
      <c r="D22" s="26">
        <v>0</v>
      </c>
      <c r="E22" s="26">
        <v>374.47</v>
      </c>
      <c r="F22" s="26">
        <v>374.47</v>
      </c>
      <c r="G22" s="26">
        <v>326.47000000000003</v>
      </c>
      <c r="H22" s="26">
        <v>1545.86</v>
      </c>
      <c r="I22" s="26">
        <v>360.66</v>
      </c>
      <c r="J22" s="26">
        <v>0</v>
      </c>
      <c r="K22" s="26">
        <v>0</v>
      </c>
      <c r="L22" s="26">
        <v>0</v>
      </c>
      <c r="M22" s="26">
        <v>0</v>
      </c>
      <c r="N22" s="13">
        <f t="shared" si="0"/>
        <v>3053.92</v>
      </c>
      <c r="O22"/>
    </row>
    <row r="23" spans="1:15" ht="15">
      <c r="A23" s="60" t="s">
        <v>47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15.150000000000002</v>
      </c>
      <c r="J23" s="26">
        <v>0</v>
      </c>
      <c r="K23" s="26">
        <v>0</v>
      </c>
      <c r="L23" s="26">
        <v>0</v>
      </c>
      <c r="M23" s="26">
        <v>0</v>
      </c>
      <c r="N23" s="13">
        <f t="shared" ref="N23:N25" si="2">SUM(B23:M23)</f>
        <v>15.150000000000002</v>
      </c>
      <c r="O23"/>
    </row>
    <row r="24" spans="1:15" ht="15">
      <c r="A24" s="60" t="s">
        <v>48</v>
      </c>
      <c r="E24" s="26">
        <v>2401.66</v>
      </c>
      <c r="F24" s="26">
        <v>1511.48</v>
      </c>
      <c r="G24" s="26">
        <v>4084.93</v>
      </c>
      <c r="H24" s="26">
        <v>1545.86</v>
      </c>
      <c r="J24" s="26">
        <v>-67.969999999999985</v>
      </c>
      <c r="K24" s="26">
        <v>514.46</v>
      </c>
      <c r="N24" s="13">
        <f t="shared" si="2"/>
        <v>9990.4200000000019</v>
      </c>
      <c r="O24"/>
    </row>
    <row r="25" spans="1:15" ht="15">
      <c r="A25" s="60" t="s">
        <v>49</v>
      </c>
      <c r="E25" s="26">
        <v>1459.39</v>
      </c>
      <c r="F25" s="26">
        <v>1640.53</v>
      </c>
      <c r="G25" s="26">
        <v>1471.23</v>
      </c>
      <c r="H25" s="26">
        <v>4325.84</v>
      </c>
      <c r="I25" s="26">
        <v>1616.1100000000001</v>
      </c>
      <c r="J25" s="26">
        <v>-67.969999999999985</v>
      </c>
      <c r="K25" s="26">
        <v>1441.13</v>
      </c>
      <c r="L25" s="26">
        <v>1106.42</v>
      </c>
      <c r="N25" s="13">
        <f t="shared" si="2"/>
        <v>12992.680000000002</v>
      </c>
      <c r="O25"/>
    </row>
    <row r="26" spans="1:15" ht="15">
      <c r="A26" s="60" t="s">
        <v>50</v>
      </c>
      <c r="B26" s="26">
        <v>729.59</v>
      </c>
      <c r="C26" s="26">
        <v>778.91</v>
      </c>
      <c r="D26" s="26">
        <v>1077.77</v>
      </c>
      <c r="E26" s="26">
        <v>0</v>
      </c>
      <c r="F26" s="26">
        <v>0</v>
      </c>
      <c r="G26" s="26">
        <v>0</v>
      </c>
      <c r="H26" s="26">
        <v>10314.259999999998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3">
        <f t="shared" si="0"/>
        <v>12900.529999999999</v>
      </c>
      <c r="O26"/>
    </row>
    <row r="27" spans="1:15" ht="15">
      <c r="A27" s="60" t="s">
        <v>51</v>
      </c>
      <c r="B27" s="26">
        <v>1318.02</v>
      </c>
      <c r="C27" s="26">
        <v>1365.31</v>
      </c>
      <c r="D27" s="26">
        <v>1715.76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1510.7</v>
      </c>
      <c r="K27" s="26">
        <v>0</v>
      </c>
      <c r="L27" s="26">
        <v>0</v>
      </c>
      <c r="M27" s="26">
        <v>654.35</v>
      </c>
      <c r="N27" s="13">
        <f t="shared" si="0"/>
        <v>6564.14</v>
      </c>
      <c r="O27"/>
    </row>
    <row r="28" spans="1:15" ht="17.25" customHeight="1">
      <c r="A28" s="60" t="s">
        <v>52</v>
      </c>
      <c r="B28" s="26">
        <v>546.51</v>
      </c>
      <c r="C28" s="26">
        <v>536.32000000000005</v>
      </c>
      <c r="D28" s="26">
        <v>6379.37</v>
      </c>
      <c r="E28" s="26">
        <v>-138.21</v>
      </c>
      <c r="F28" s="26">
        <v>-3786.08</v>
      </c>
      <c r="G28" s="26">
        <v>0</v>
      </c>
      <c r="H28" s="26">
        <v>3537.9099999999994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3">
        <f t="shared" si="0"/>
        <v>7075.82</v>
      </c>
      <c r="O28"/>
    </row>
    <row r="29" spans="1:15" ht="17.25" customHeight="1">
      <c r="A29" s="60" t="s">
        <v>53</v>
      </c>
      <c r="B29" s="26">
        <v>243.32</v>
      </c>
      <c r="C29" s="26">
        <v>248.03</v>
      </c>
      <c r="D29" s="26">
        <v>10015.31</v>
      </c>
      <c r="E29" s="26">
        <v>-452.45</v>
      </c>
      <c r="F29" s="26">
        <v>0</v>
      </c>
      <c r="G29" s="26">
        <v>25.9</v>
      </c>
      <c r="H29" s="26">
        <v>10079.589999999998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3">
        <f t="shared" si="0"/>
        <v>20159.699999999997</v>
      </c>
      <c r="O29"/>
    </row>
    <row r="30" spans="1:15" ht="15">
      <c r="A30" s="60" t="s">
        <v>54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32">
        <f t="shared" ref="N30:N35" si="3">SUM(B30:M30)</f>
        <v>0</v>
      </c>
      <c r="O30"/>
    </row>
    <row r="31" spans="1:15" ht="15">
      <c r="A31" s="60" t="s">
        <v>55</v>
      </c>
      <c r="B31" s="26">
        <v>176.4</v>
      </c>
      <c r="C31" s="26">
        <v>182.73</v>
      </c>
      <c r="D31" s="26">
        <v>7456.76</v>
      </c>
      <c r="E31" s="26">
        <v>3846.28</v>
      </c>
      <c r="F31" s="26">
        <v>5022.42</v>
      </c>
      <c r="G31" s="26">
        <v>3405.94</v>
      </c>
      <c r="H31" s="26">
        <v>23403.629999999997</v>
      </c>
      <c r="I31" s="26">
        <v>3416.21</v>
      </c>
      <c r="J31" s="26">
        <v>3731.11</v>
      </c>
      <c r="K31" s="26">
        <v>3851.2300000000005</v>
      </c>
      <c r="L31" s="26">
        <v>3802.1800000000003</v>
      </c>
      <c r="M31" s="26">
        <v>41830.14</v>
      </c>
      <c r="N31" s="13">
        <f t="shared" si="3"/>
        <v>100125.03</v>
      </c>
      <c r="O31"/>
    </row>
    <row r="32" spans="1:15" ht="15">
      <c r="A32" s="60" t="s">
        <v>56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-1762150.23</v>
      </c>
      <c r="M32" s="26">
        <v>40325.129999999997</v>
      </c>
      <c r="N32" s="32">
        <f t="shared" si="3"/>
        <v>-1721825.1</v>
      </c>
      <c r="O32"/>
    </row>
    <row r="33" spans="1:15" ht="15">
      <c r="A33" s="60" t="s">
        <v>57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-1860062</v>
      </c>
      <c r="M33" s="26">
        <v>41254.99</v>
      </c>
      <c r="N33" s="32">
        <f t="shared" si="3"/>
        <v>-1818807.01</v>
      </c>
      <c r="O33"/>
    </row>
    <row r="34" spans="1:15" ht="15">
      <c r="A34" s="60" t="s">
        <v>58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11411.4</v>
      </c>
      <c r="M34" s="26">
        <v>11411.4</v>
      </c>
      <c r="N34" s="32">
        <f t="shared" si="3"/>
        <v>22822.799999999999</v>
      </c>
      <c r="O34"/>
    </row>
    <row r="35" spans="1:15" ht="15">
      <c r="A35" s="60" t="s">
        <v>59</v>
      </c>
      <c r="B35" s="26">
        <v>0</v>
      </c>
      <c r="C35" s="26">
        <v>0</v>
      </c>
      <c r="D35" s="26">
        <v>9353.98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32">
        <f t="shared" si="3"/>
        <v>9353.98</v>
      </c>
      <c r="O35"/>
    </row>
    <row r="36" spans="1:15" ht="17.25" customHeight="1">
      <c r="A36" s="60" t="s">
        <v>60</v>
      </c>
      <c r="B36" s="26">
        <v>0</v>
      </c>
      <c r="C36" s="26">
        <v>0</v>
      </c>
      <c r="D36" s="26">
        <v>0</v>
      </c>
      <c r="E36" s="26">
        <v>415.11</v>
      </c>
      <c r="F36" s="26">
        <v>4044.36</v>
      </c>
      <c r="G36" s="26">
        <v>20453.480000000003</v>
      </c>
      <c r="H36" s="26">
        <v>28326.040000000008</v>
      </c>
      <c r="I36" s="26">
        <v>4949.8799999999992</v>
      </c>
      <c r="J36" s="26">
        <v>5804.54</v>
      </c>
      <c r="K36" s="26">
        <v>192.01999999999998</v>
      </c>
      <c r="L36" s="26">
        <v>129.70000000000002</v>
      </c>
      <c r="M36" s="26">
        <v>406.46000000000004</v>
      </c>
      <c r="N36" s="13">
        <f t="shared" ref="N36:N37" si="4">SUM(B36:M36)</f>
        <v>64721.590000000004</v>
      </c>
      <c r="O36"/>
    </row>
    <row r="37" spans="1:15" ht="17.25" customHeight="1">
      <c r="A37" s="60" t="s">
        <v>61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70690</v>
      </c>
      <c r="H37" s="26">
        <v>67814.680000000008</v>
      </c>
      <c r="I37" s="26">
        <v>7336.62</v>
      </c>
      <c r="J37" s="26">
        <v>2130.1800000000003</v>
      </c>
      <c r="K37" s="26">
        <v>34492.49</v>
      </c>
      <c r="L37" s="26">
        <v>6750.55</v>
      </c>
      <c r="M37" s="26">
        <v>38413.919999999998</v>
      </c>
      <c r="N37" s="13">
        <f t="shared" si="4"/>
        <v>227628.43999999994</v>
      </c>
      <c r="O37"/>
    </row>
    <row r="38" spans="1:15" ht="15">
      <c r="A38" s="60" t="s">
        <v>62</v>
      </c>
      <c r="B38" s="26">
        <v>0</v>
      </c>
      <c r="C38" s="26">
        <v>0</v>
      </c>
      <c r="D38" s="26">
        <v>0</v>
      </c>
      <c r="E38" s="26">
        <v>1123.4000000000001</v>
      </c>
      <c r="F38" s="26">
        <v>19875.079999999998</v>
      </c>
      <c r="G38" s="26">
        <v>11016.77</v>
      </c>
      <c r="H38" s="26">
        <v>34720.26</v>
      </c>
      <c r="I38" s="26">
        <v>6080.2000000000007</v>
      </c>
      <c r="J38" s="26">
        <v>5167.4900000000007</v>
      </c>
      <c r="K38" s="26">
        <v>4236.0999999999995</v>
      </c>
      <c r="L38" s="26">
        <v>5175.43</v>
      </c>
      <c r="M38" s="26">
        <v>5332.22</v>
      </c>
      <c r="N38" s="13">
        <f t="shared" ref="N38:N39" si="5">SUM(B38:M38)</f>
        <v>92726.950000000012</v>
      </c>
      <c r="O38"/>
    </row>
    <row r="39" spans="1:15" ht="15">
      <c r="A39" s="60" t="s">
        <v>63</v>
      </c>
      <c r="B39" s="26">
        <v>0</v>
      </c>
      <c r="C39" s="26">
        <v>0</v>
      </c>
      <c r="D39" s="26">
        <v>0</v>
      </c>
      <c r="E39" s="26">
        <v>1123.4000000000001</v>
      </c>
      <c r="F39" s="26">
        <v>2360.31</v>
      </c>
      <c r="G39" s="26">
        <v>1334.1399999999999</v>
      </c>
      <c r="H39" s="26">
        <v>6985.9000000000005</v>
      </c>
      <c r="I39" s="26">
        <v>2168.3000000000002</v>
      </c>
      <c r="J39" s="26">
        <v>456.41</v>
      </c>
      <c r="K39" s="26">
        <v>1167.44</v>
      </c>
      <c r="L39" s="26">
        <v>-773.58</v>
      </c>
      <c r="M39" s="26">
        <v>3527.8100000000004</v>
      </c>
      <c r="N39" s="13">
        <f t="shared" si="5"/>
        <v>18350.13</v>
      </c>
      <c r="O39"/>
    </row>
    <row r="40" spans="1:15" ht="17.25" customHeight="1">
      <c r="A40" s="60" t="s">
        <v>64</v>
      </c>
      <c r="B40" s="26">
        <v>0</v>
      </c>
      <c r="C40" s="26">
        <v>0</v>
      </c>
      <c r="D40" s="26">
        <v>0</v>
      </c>
      <c r="E40" s="26">
        <v>633.54</v>
      </c>
      <c r="F40" s="26">
        <v>353.35</v>
      </c>
      <c r="G40" s="26">
        <v>352.37</v>
      </c>
      <c r="H40" s="26">
        <v>1651.8400000000004</v>
      </c>
      <c r="I40" s="26">
        <v>363.65</v>
      </c>
      <c r="J40" s="26">
        <v>12105.499999999996</v>
      </c>
      <c r="K40" s="26">
        <v>154.59</v>
      </c>
      <c r="L40" s="26">
        <v>129.70000000000002</v>
      </c>
      <c r="M40" s="26">
        <v>23919.430000000004</v>
      </c>
      <c r="N40" s="13">
        <f>SUM(B40:M40)</f>
        <v>39663.97</v>
      </c>
      <c r="O40"/>
    </row>
    <row r="41" spans="1:15" ht="17.25" customHeight="1">
      <c r="A41" s="60" t="s">
        <v>65</v>
      </c>
      <c r="B41" s="26">
        <v>0</v>
      </c>
      <c r="C41" s="26">
        <v>0</v>
      </c>
      <c r="D41" s="26">
        <v>12444</v>
      </c>
      <c r="E41" s="26">
        <v>261.77</v>
      </c>
      <c r="F41" s="26">
        <v>430.26000000000005</v>
      </c>
      <c r="G41" s="26">
        <v>48448.47</v>
      </c>
      <c r="H41" s="26">
        <v>61381.020000000004</v>
      </c>
      <c r="I41" s="26">
        <v>375.02</v>
      </c>
      <c r="J41" s="26">
        <v>9410.6400000000012</v>
      </c>
      <c r="K41" s="26">
        <v>139.99</v>
      </c>
      <c r="L41" s="26">
        <v>502.44</v>
      </c>
      <c r="M41" s="26">
        <v>406.46000000000004</v>
      </c>
      <c r="N41" s="13">
        <f t="shared" si="0"/>
        <v>133800.07</v>
      </c>
      <c r="O41"/>
    </row>
    <row r="42" spans="1:15" ht="15">
      <c r="A42" s="60" t="s">
        <v>66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11688</v>
      </c>
      <c r="N42" s="32">
        <f t="shared" si="0"/>
        <v>11688</v>
      </c>
      <c r="O42"/>
    </row>
    <row r="43" spans="1:15" ht="15">
      <c r="A43" s="60" t="s">
        <v>67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99916</v>
      </c>
      <c r="N43" s="32">
        <f t="shared" ref="N43" si="6">SUM(B43:M43)</f>
        <v>99916</v>
      </c>
      <c r="O43"/>
    </row>
    <row r="44" spans="1:15" ht="17.25" customHeight="1">
      <c r="A44" s="60" t="s">
        <v>68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33623</v>
      </c>
      <c r="H44" s="26">
        <v>33623</v>
      </c>
      <c r="I44" s="26">
        <v>-6950</v>
      </c>
      <c r="J44" s="26">
        <v>445</v>
      </c>
      <c r="K44" s="26">
        <v>230.51</v>
      </c>
      <c r="L44" s="26">
        <v>554.49</v>
      </c>
      <c r="M44" s="26">
        <v>6682.59</v>
      </c>
      <c r="N44" s="13">
        <f t="shared" si="0"/>
        <v>68208.59</v>
      </c>
      <c r="O44"/>
    </row>
    <row r="45" spans="1:15" ht="17.25" customHeight="1">
      <c r="A45" s="60" t="s">
        <v>69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579.71999999999991</v>
      </c>
      <c r="I45" s="26">
        <v>554.49</v>
      </c>
      <c r="J45" s="26">
        <v>95.77000000000001</v>
      </c>
      <c r="K45" s="26">
        <v>609.97</v>
      </c>
      <c r="L45" s="26">
        <v>53.569999999999993</v>
      </c>
      <c r="M45" s="26">
        <v>227.57999999999998</v>
      </c>
      <c r="N45" s="13">
        <f t="shared" ref="N45" si="7">SUM(B45:M45)</f>
        <v>2121.1</v>
      </c>
      <c r="O45"/>
    </row>
    <row r="46" spans="1:15" ht="15">
      <c r="A46" s="60" t="s">
        <v>70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269.27999999999997</v>
      </c>
      <c r="L46" s="26">
        <v>0</v>
      </c>
      <c r="M46" s="26">
        <v>471.51</v>
      </c>
      <c r="N46" s="32">
        <f>SUM(B46:M46)</f>
        <v>740.79</v>
      </c>
      <c r="O46"/>
    </row>
    <row r="47" spans="1:15">
      <c r="A47" s="14" t="s">
        <v>71</v>
      </c>
      <c r="B47" s="26">
        <f t="shared" ref="B47:J47" si="8">SUM(B11:B45)</f>
        <v>7337.01</v>
      </c>
      <c r="C47" s="26">
        <f t="shared" si="8"/>
        <v>6139.8999999999987</v>
      </c>
      <c r="D47" s="26">
        <f t="shared" si="8"/>
        <v>54947.479999999996</v>
      </c>
      <c r="E47" s="26">
        <f t="shared" si="8"/>
        <v>43639.57</v>
      </c>
      <c r="F47" s="26">
        <f t="shared" si="8"/>
        <v>50485.149999999994</v>
      </c>
      <c r="G47" s="26">
        <f t="shared" si="8"/>
        <v>204334.01</v>
      </c>
      <c r="H47" s="26">
        <f t="shared" si="8"/>
        <v>380724.94000000006</v>
      </c>
      <c r="I47" s="26">
        <f t="shared" si="8"/>
        <v>37731.360000000008</v>
      </c>
      <c r="J47" s="26">
        <f t="shared" si="8"/>
        <v>48797.469999999994</v>
      </c>
      <c r="K47" s="26">
        <f>SUM(K11:K46)</f>
        <v>49585.049999999996</v>
      </c>
      <c r="L47" s="26">
        <f>SUM(L11:L46)</f>
        <v>-3568343.8499999996</v>
      </c>
      <c r="M47" s="26">
        <f>SUM(M11:M46)</f>
        <v>349357.71</v>
      </c>
      <c r="N47" s="13">
        <f>SUM(N11:N46)</f>
        <v>-2335264.2000000007</v>
      </c>
    </row>
    <row r="48" spans="1:15">
      <c r="A48" s="14"/>
      <c r="N48" s="13"/>
    </row>
    <row r="49" spans="1:15">
      <c r="A49" s="20" t="s">
        <v>72</v>
      </c>
      <c r="N49" s="13"/>
    </row>
    <row r="50" spans="1:15" ht="15">
      <c r="A50" s="60" t="s">
        <v>35</v>
      </c>
      <c r="B50" s="26">
        <v>3580.54</v>
      </c>
      <c r="C50" s="26">
        <v>4597.1899999999996</v>
      </c>
      <c r="D50" s="26">
        <v>5181.4599999999991</v>
      </c>
      <c r="E50" s="26">
        <v>5030.42</v>
      </c>
      <c r="F50" s="26">
        <v>5467.12</v>
      </c>
      <c r="G50" s="26">
        <v>4528.08</v>
      </c>
      <c r="H50" s="26">
        <v>45693.610000000008</v>
      </c>
      <c r="I50" s="26">
        <v>8141.3799999999992</v>
      </c>
      <c r="J50" s="26">
        <v>388245</v>
      </c>
      <c r="K50" s="26">
        <v>-381143.20000000013</v>
      </c>
      <c r="L50" s="26">
        <v>2210.6799999999998</v>
      </c>
      <c r="M50" s="26">
        <v>636179.51000000013</v>
      </c>
      <c r="N50" s="32">
        <f>SUM(B50:M50)</f>
        <v>727711.79</v>
      </c>
      <c r="O50"/>
    </row>
    <row r="51" spans="1:15" ht="15">
      <c r="A51" s="60" t="s">
        <v>36</v>
      </c>
      <c r="B51" s="26">
        <v>255.34</v>
      </c>
      <c r="C51" s="26">
        <v>243.6</v>
      </c>
      <c r="D51" s="26">
        <v>2576.21</v>
      </c>
      <c r="E51" s="26">
        <v>48961.760000000002</v>
      </c>
      <c r="F51" s="26">
        <v>24445.459999999995</v>
      </c>
      <c r="G51" s="26">
        <v>288.52999999999997</v>
      </c>
      <c r="H51" s="26">
        <v>124154.64000000001</v>
      </c>
      <c r="I51" s="26">
        <v>17158.739999999998</v>
      </c>
      <c r="J51" s="26">
        <v>19868.29</v>
      </c>
      <c r="K51" s="26">
        <v>23992.949999999997</v>
      </c>
      <c r="L51" s="26">
        <v>24051.89</v>
      </c>
      <c r="M51" s="26">
        <v>41318.340000000004</v>
      </c>
      <c r="N51" s="32">
        <f t="shared" ref="N51:N72" si="9">SUM(B51:M51)</f>
        <v>327315.75000000006</v>
      </c>
      <c r="O51"/>
    </row>
    <row r="52" spans="1:15" ht="15">
      <c r="A52" s="60" t="s">
        <v>37</v>
      </c>
      <c r="B52" s="26">
        <v>774.22</v>
      </c>
      <c r="C52" s="26">
        <v>759.78</v>
      </c>
      <c r="D52" s="26">
        <v>3506.5299999999993</v>
      </c>
      <c r="E52" s="26">
        <v>63976.01</v>
      </c>
      <c r="F52" s="26">
        <v>19789.640000000003</v>
      </c>
      <c r="G52" s="26">
        <v>46312.89</v>
      </c>
      <c r="H52" s="26">
        <v>137312.62999999998</v>
      </c>
      <c r="I52" s="26">
        <v>2558.19</v>
      </c>
      <c r="J52" s="26">
        <v>2015.79</v>
      </c>
      <c r="K52" s="26">
        <v>2094.58</v>
      </c>
      <c r="L52" s="26">
        <v>267240.58999999997</v>
      </c>
      <c r="M52" s="26">
        <v>170679.21999999994</v>
      </c>
      <c r="N52" s="32">
        <f t="shared" si="9"/>
        <v>717020.06999999983</v>
      </c>
      <c r="O52"/>
    </row>
    <row r="53" spans="1:15" ht="15">
      <c r="A53" s="60" t="s">
        <v>38</v>
      </c>
      <c r="B53" s="26">
        <v>296.18</v>
      </c>
      <c r="C53" s="26">
        <v>1215.3800000000001</v>
      </c>
      <c r="D53" s="26">
        <v>303.63</v>
      </c>
      <c r="E53" s="26">
        <v>-0.01</v>
      </c>
      <c r="F53" s="26">
        <v>0</v>
      </c>
      <c r="G53" s="26">
        <v>14157</v>
      </c>
      <c r="H53" s="26">
        <v>1815.1800000000007</v>
      </c>
      <c r="I53" s="26">
        <v>0</v>
      </c>
      <c r="J53" s="26">
        <v>30713.690000000002</v>
      </c>
      <c r="K53" s="26">
        <v>-30713.690000000002</v>
      </c>
      <c r="L53" s="26">
        <v>0</v>
      </c>
      <c r="M53" s="26">
        <v>0</v>
      </c>
      <c r="N53" s="32">
        <f t="shared" si="9"/>
        <v>17787.36</v>
      </c>
      <c r="O53"/>
    </row>
    <row r="54" spans="1:15" ht="15">
      <c r="A54" s="60" t="s">
        <v>39</v>
      </c>
      <c r="B54" s="26">
        <v>0</v>
      </c>
      <c r="C54" s="26">
        <v>0</v>
      </c>
      <c r="D54" s="26">
        <v>0</v>
      </c>
      <c r="E54" s="26">
        <v>177024.7</v>
      </c>
      <c r="F54" s="26">
        <v>303696.11</v>
      </c>
      <c r="G54" s="26">
        <v>0</v>
      </c>
      <c r="H54" s="26">
        <v>480720.81000000006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32">
        <f t="shared" si="9"/>
        <v>961441.62000000011</v>
      </c>
      <c r="O54"/>
    </row>
    <row r="55" spans="1:15" ht="15">
      <c r="A55" s="60" t="s">
        <v>40</v>
      </c>
      <c r="B55" s="26">
        <v>0</v>
      </c>
      <c r="C55" s="26">
        <v>583.70000000000005</v>
      </c>
      <c r="D55" s="26">
        <v>1018.1400000000001</v>
      </c>
      <c r="E55" s="26">
        <v>952.85</v>
      </c>
      <c r="F55" s="26">
        <v>909.52</v>
      </c>
      <c r="G55" s="26">
        <v>854.95</v>
      </c>
      <c r="H55" s="26">
        <v>5292.5899999999983</v>
      </c>
      <c r="I55" s="26">
        <v>960.36000000000013</v>
      </c>
      <c r="J55" s="26">
        <v>130.96</v>
      </c>
      <c r="K55" s="26">
        <v>0</v>
      </c>
      <c r="L55" s="26">
        <v>0</v>
      </c>
      <c r="M55" s="26">
        <v>0</v>
      </c>
      <c r="N55" s="32">
        <f t="shared" si="9"/>
        <v>10703.069999999998</v>
      </c>
      <c r="O55"/>
    </row>
    <row r="56" spans="1:15" ht="15">
      <c r="A56" s="60" t="s">
        <v>41</v>
      </c>
      <c r="B56" s="26">
        <v>3412.02</v>
      </c>
      <c r="C56" s="26">
        <v>15034.45</v>
      </c>
      <c r="D56" s="26">
        <v>16022.509999999998</v>
      </c>
      <c r="E56" s="26">
        <v>14342.49</v>
      </c>
      <c r="F56" s="26">
        <v>16093.95</v>
      </c>
      <c r="G56" s="26">
        <v>26778.899999999994</v>
      </c>
      <c r="H56" s="26">
        <v>94831.059999999954</v>
      </c>
      <c r="I56" s="26">
        <v>15554.06</v>
      </c>
      <c r="J56" s="26">
        <v>26880.309999999998</v>
      </c>
      <c r="K56" s="26">
        <v>3455.6199999999981</v>
      </c>
      <c r="L56" s="26">
        <v>14767.11</v>
      </c>
      <c r="M56" s="26">
        <v>92532.739999999991</v>
      </c>
      <c r="N56" s="32">
        <f t="shared" si="9"/>
        <v>339705.21999999991</v>
      </c>
      <c r="O56"/>
    </row>
    <row r="57" spans="1:15" ht="17.25" customHeight="1">
      <c r="A57" s="60" t="s">
        <v>42</v>
      </c>
      <c r="E57" s="26">
        <v>219223.9</v>
      </c>
      <c r="F57" s="26">
        <v>80835.899999999965</v>
      </c>
      <c r="G57" s="26">
        <v>80094.499999999942</v>
      </c>
      <c r="H57" s="26">
        <v>556279.68000000098</v>
      </c>
      <c r="I57" s="26">
        <v>59466.8</v>
      </c>
      <c r="N57" s="32">
        <f t="shared" si="9"/>
        <v>995900.78000000096</v>
      </c>
      <c r="O57"/>
    </row>
    <row r="58" spans="1:15" ht="15">
      <c r="A58" s="60" t="s">
        <v>43</v>
      </c>
      <c r="B58" s="26">
        <v>1031275.34</v>
      </c>
      <c r="C58" s="26">
        <v>1050536.3500000001</v>
      </c>
      <c r="D58" s="26">
        <v>685738.6100000001</v>
      </c>
      <c r="E58" s="26">
        <v>79590.399999999994</v>
      </c>
      <c r="F58" s="26">
        <v>974934.72000000009</v>
      </c>
      <c r="G58" s="26">
        <v>476165.07000000012</v>
      </c>
      <c r="H58" s="26">
        <v>4338303.4299999978</v>
      </c>
      <c r="I58" s="26">
        <v>1020265</v>
      </c>
      <c r="J58" s="26">
        <v>351987.66000000003</v>
      </c>
      <c r="K58" s="26">
        <v>31692.720000000005</v>
      </c>
      <c r="L58" s="26">
        <v>-224142.15999999997</v>
      </c>
      <c r="M58" s="26">
        <v>892636.16000000027</v>
      </c>
      <c r="N58" s="32">
        <f t="shared" si="9"/>
        <v>10708983.299999999</v>
      </c>
      <c r="O58" s="44"/>
    </row>
    <row r="59" spans="1:15" ht="17.25" customHeight="1">
      <c r="A59" s="60" t="s">
        <v>73</v>
      </c>
      <c r="B59" s="26">
        <v>0</v>
      </c>
      <c r="C59" s="26">
        <v>0</v>
      </c>
      <c r="D59" s="26">
        <v>270750</v>
      </c>
      <c r="E59" s="26">
        <v>270750</v>
      </c>
      <c r="F59" s="26">
        <v>0</v>
      </c>
      <c r="G59" s="26">
        <v>0</v>
      </c>
      <c r="H59" s="26">
        <v>541500</v>
      </c>
      <c r="I59" s="26">
        <v>490750</v>
      </c>
      <c r="J59" s="26">
        <v>0</v>
      </c>
      <c r="K59" s="26">
        <v>0</v>
      </c>
      <c r="L59" s="26">
        <v>365750</v>
      </c>
      <c r="M59" s="26">
        <v>2374.85</v>
      </c>
      <c r="N59" s="32">
        <f t="shared" si="9"/>
        <v>1941874.85</v>
      </c>
      <c r="O59"/>
    </row>
    <row r="60" spans="1:15" ht="15">
      <c r="A60" s="60" t="s">
        <v>44</v>
      </c>
      <c r="B60" s="26">
        <v>624.63</v>
      </c>
      <c r="C60" s="26">
        <v>667.07</v>
      </c>
      <c r="D60" s="26">
        <v>102028.98</v>
      </c>
      <c r="E60" s="26">
        <v>19844.900000000001</v>
      </c>
      <c r="F60" s="26">
        <v>70200.499999999985</v>
      </c>
      <c r="G60" s="26">
        <v>9410.4800000000014</v>
      </c>
      <c r="H60" s="26">
        <v>202776.56000000006</v>
      </c>
      <c r="I60" s="26">
        <v>1811.79</v>
      </c>
      <c r="J60" s="26">
        <v>0</v>
      </c>
      <c r="K60" s="26">
        <v>1028.92</v>
      </c>
      <c r="L60" s="26">
        <v>184647.39</v>
      </c>
      <c r="M60" s="26">
        <v>201961.65000000002</v>
      </c>
      <c r="N60" s="13">
        <f>SUM(B60:M60)</f>
        <v>795002.87</v>
      </c>
      <c r="O60"/>
    </row>
    <row r="61" spans="1:15" ht="17.25" customHeight="1">
      <c r="A61" s="60" t="s">
        <v>74</v>
      </c>
      <c r="B61" s="26">
        <v>0</v>
      </c>
      <c r="C61" s="26">
        <v>0</v>
      </c>
      <c r="D61" s="26">
        <v>0</v>
      </c>
      <c r="E61" s="26">
        <v>370.06</v>
      </c>
      <c r="F61" s="26">
        <v>7830</v>
      </c>
      <c r="G61" s="26">
        <v>0</v>
      </c>
      <c r="H61" s="26">
        <v>8200.06</v>
      </c>
      <c r="I61" s="26">
        <v>5426.7799999999988</v>
      </c>
      <c r="J61" s="26">
        <v>0</v>
      </c>
      <c r="K61" s="26">
        <v>0</v>
      </c>
      <c r="L61" s="26">
        <v>0</v>
      </c>
      <c r="M61" s="26">
        <v>1906400</v>
      </c>
      <c r="N61" s="32">
        <f t="shared" si="9"/>
        <v>1928226.9</v>
      </c>
      <c r="O61"/>
    </row>
    <row r="62" spans="1:15" ht="17.25" customHeight="1">
      <c r="A62" s="60" t="s">
        <v>45</v>
      </c>
      <c r="B62" s="26">
        <v>614.22</v>
      </c>
      <c r="C62" s="26">
        <v>399.18</v>
      </c>
      <c r="D62" s="26">
        <v>1429.53</v>
      </c>
      <c r="E62" s="26">
        <v>-257.08999999999997</v>
      </c>
      <c r="F62" s="26">
        <v>119.21</v>
      </c>
      <c r="G62" s="26">
        <v>4027.96</v>
      </c>
      <c r="H62" s="26">
        <v>6091.6600000000008</v>
      </c>
      <c r="I62" s="26">
        <v>954.31</v>
      </c>
      <c r="J62" s="26">
        <v>18582.54</v>
      </c>
      <c r="K62" s="26">
        <v>-17109.78</v>
      </c>
      <c r="L62" s="26">
        <v>10796.74</v>
      </c>
      <c r="M62" s="26">
        <v>111.84</v>
      </c>
      <c r="N62" s="32">
        <f t="shared" si="9"/>
        <v>25760.320000000003</v>
      </c>
      <c r="O62"/>
    </row>
    <row r="63" spans="1:15" ht="17.25" customHeight="1">
      <c r="A63" s="60" t="s">
        <v>46</v>
      </c>
      <c r="B63" s="26">
        <v>614.22</v>
      </c>
      <c r="C63" s="26">
        <v>399.18</v>
      </c>
      <c r="D63" s="26">
        <v>1429.53</v>
      </c>
      <c r="E63" s="26">
        <v>-257.08999999999997</v>
      </c>
      <c r="F63" s="26">
        <v>119.21</v>
      </c>
      <c r="G63" s="26">
        <v>1344.17</v>
      </c>
      <c r="H63" s="26">
        <v>3407.87</v>
      </c>
      <c r="I63" s="26">
        <v>480.16000000000008</v>
      </c>
      <c r="J63" s="26">
        <v>582.54</v>
      </c>
      <c r="K63" s="26">
        <v>890.22</v>
      </c>
      <c r="L63" s="26">
        <v>124.67000000000002</v>
      </c>
      <c r="M63" s="26">
        <v>111.84</v>
      </c>
      <c r="N63" s="32">
        <f t="shared" si="9"/>
        <v>9246.52</v>
      </c>
      <c r="O63"/>
    </row>
    <row r="64" spans="1:15" ht="17.25" customHeight="1">
      <c r="A64" s="60" t="s">
        <v>75</v>
      </c>
      <c r="B64" s="26">
        <v>0</v>
      </c>
      <c r="C64" s="26">
        <v>291.85000000000002</v>
      </c>
      <c r="D64" s="26">
        <v>509.08000000000004</v>
      </c>
      <c r="E64" s="26">
        <v>476.41</v>
      </c>
      <c r="F64" s="26">
        <v>454.77</v>
      </c>
      <c r="G64" s="26">
        <v>427.48</v>
      </c>
      <c r="H64" s="26">
        <v>2646.309999999999</v>
      </c>
      <c r="I64" s="26">
        <v>141.85</v>
      </c>
      <c r="J64" s="26">
        <v>891.26</v>
      </c>
      <c r="K64" s="26">
        <v>1057.5600000000002</v>
      </c>
      <c r="L64" s="26">
        <v>171.88</v>
      </c>
      <c r="M64" s="26">
        <v>1323.68</v>
      </c>
      <c r="N64" s="32">
        <f t="shared" si="9"/>
        <v>8392.130000000001</v>
      </c>
      <c r="O64"/>
    </row>
    <row r="65" spans="1:15" ht="17.25" customHeight="1">
      <c r="A65" s="60" t="s">
        <v>47</v>
      </c>
      <c r="B65" s="26">
        <v>110.72</v>
      </c>
      <c r="C65" s="26">
        <v>105.6</v>
      </c>
      <c r="D65" s="26">
        <v>142.51999999999998</v>
      </c>
      <c r="E65" s="26">
        <v>124.25</v>
      </c>
      <c r="F65" s="26">
        <v>119.21</v>
      </c>
      <c r="G65" s="26">
        <v>116.53</v>
      </c>
      <c r="H65" s="26">
        <v>799.57000000000016</v>
      </c>
      <c r="I65" s="26">
        <v>0</v>
      </c>
      <c r="J65" s="26">
        <v>121.63</v>
      </c>
      <c r="K65" s="26">
        <v>114.4</v>
      </c>
      <c r="L65" s="26">
        <v>124.66999999999999</v>
      </c>
      <c r="M65" s="26">
        <v>111.84</v>
      </c>
      <c r="N65" s="32">
        <f t="shared" si="9"/>
        <v>1990.9400000000003</v>
      </c>
      <c r="O65"/>
    </row>
    <row r="66" spans="1:15" ht="15">
      <c r="A66" s="60" t="s">
        <v>48</v>
      </c>
      <c r="E66" s="26">
        <v>9187.2999999999993</v>
      </c>
      <c r="F66" s="26">
        <v>-2873.7200000000003</v>
      </c>
      <c r="G66" s="26">
        <v>69.829999999999984</v>
      </c>
      <c r="H66" s="26">
        <v>35887.879999999997</v>
      </c>
      <c r="K66" s="26">
        <v>1543.38</v>
      </c>
      <c r="L66" s="26">
        <v>0</v>
      </c>
      <c r="N66" s="32">
        <f t="shared" si="9"/>
        <v>43814.669999999991</v>
      </c>
      <c r="O66"/>
    </row>
    <row r="67" spans="1:15" ht="15">
      <c r="A67" s="60" t="s">
        <v>49</v>
      </c>
      <c r="E67" s="26">
        <v>13134.59</v>
      </c>
      <c r="F67" s="26">
        <v>14764.65</v>
      </c>
      <c r="G67" s="26">
        <v>13240.94</v>
      </c>
      <c r="H67" s="26">
        <v>92827.869999999981</v>
      </c>
      <c r="I67" s="26">
        <v>14545.040000000003</v>
      </c>
      <c r="J67" s="26">
        <v>13596.21</v>
      </c>
      <c r="K67" s="26">
        <v>12970.29</v>
      </c>
      <c r="L67" s="26">
        <v>9957.7099999999991</v>
      </c>
      <c r="M67" s="26">
        <v>5889.1299999999992</v>
      </c>
      <c r="N67" s="32">
        <f t="shared" si="9"/>
        <v>190926.43</v>
      </c>
      <c r="O67"/>
    </row>
    <row r="68" spans="1:15" ht="15">
      <c r="A68" s="60" t="s">
        <v>50</v>
      </c>
      <c r="B68" s="26">
        <v>11101.11</v>
      </c>
      <c r="C68" s="26">
        <v>7715.66</v>
      </c>
      <c r="D68" s="26">
        <v>10687.699999999999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32">
        <f t="shared" si="9"/>
        <v>29504.47</v>
      </c>
      <c r="O68"/>
    </row>
    <row r="69" spans="1:15" ht="15">
      <c r="A69" s="60" t="s">
        <v>51</v>
      </c>
      <c r="B69" s="26">
        <v>11862.07</v>
      </c>
      <c r="C69" s="26">
        <v>12287.67</v>
      </c>
      <c r="D69" s="26">
        <v>15441.83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32">
        <f t="shared" si="9"/>
        <v>39591.57</v>
      </c>
      <c r="O69"/>
    </row>
    <row r="70" spans="1:15" ht="15">
      <c r="A70" s="60" t="s">
        <v>52</v>
      </c>
      <c r="B70" s="26">
        <v>4029.15</v>
      </c>
      <c r="C70" s="26">
        <v>4721.32</v>
      </c>
      <c r="D70" s="26">
        <v>158313.43</v>
      </c>
      <c r="E70" s="26">
        <v>-52014.979999999989</v>
      </c>
      <c r="F70" s="26">
        <v>-37326.050000000003</v>
      </c>
      <c r="G70" s="26">
        <v>0</v>
      </c>
      <c r="H70" s="26">
        <v>77722.87000000001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32">
        <f t="shared" si="9"/>
        <v>155445.74000000002</v>
      </c>
      <c r="O70"/>
    </row>
    <row r="71" spans="1:15" ht="15">
      <c r="A71" s="60" t="s">
        <v>76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48767</v>
      </c>
      <c r="N71" s="32">
        <f>SUM(B71:M71)</f>
        <v>48767</v>
      </c>
      <c r="O71"/>
    </row>
    <row r="72" spans="1:15" ht="15">
      <c r="A72" s="60" t="s">
        <v>53</v>
      </c>
      <c r="B72" s="26">
        <v>2801.13</v>
      </c>
      <c r="C72" s="26">
        <v>4333.47</v>
      </c>
      <c r="D72" s="26">
        <v>319818.76</v>
      </c>
      <c r="E72" s="26">
        <v>-11818.059999999969</v>
      </c>
      <c r="F72" s="26">
        <v>0</v>
      </c>
      <c r="G72" s="26">
        <v>0</v>
      </c>
      <c r="H72" s="26">
        <v>315135.30000000016</v>
      </c>
      <c r="I72" s="26">
        <v>0</v>
      </c>
      <c r="J72" s="26">
        <v>0</v>
      </c>
      <c r="K72" s="26">
        <v>471.28</v>
      </c>
      <c r="L72" s="26">
        <v>115.59</v>
      </c>
      <c r="M72" s="26">
        <v>0</v>
      </c>
      <c r="N72" s="32">
        <f t="shared" si="9"/>
        <v>630857.4700000002</v>
      </c>
      <c r="O72"/>
    </row>
    <row r="73" spans="1:15" ht="15">
      <c r="A73" s="60" t="s">
        <v>54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-8.6600000000003092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32">
        <f>SUM(B73:M73)</f>
        <v>-8.6600000000003092</v>
      </c>
      <c r="O73"/>
    </row>
    <row r="74" spans="1:15" ht="15">
      <c r="A74" s="60" t="s">
        <v>55</v>
      </c>
      <c r="B74" s="26">
        <v>222.81</v>
      </c>
      <c r="C74" s="26">
        <v>1478.87</v>
      </c>
      <c r="D74" s="26">
        <v>44599.340000000004</v>
      </c>
      <c r="E74" s="26">
        <v>57137.37</v>
      </c>
      <c r="F74" s="26">
        <v>82172.240000000005</v>
      </c>
      <c r="G74" s="26">
        <v>81538.92</v>
      </c>
      <c r="H74" s="26">
        <v>324570.15000000002</v>
      </c>
      <c r="I74" s="26">
        <v>49699.700000000004</v>
      </c>
      <c r="J74" s="26">
        <v>40933.629999999997</v>
      </c>
      <c r="K74" s="26">
        <v>61798.66</v>
      </c>
      <c r="L74" s="26">
        <v>127322.1</v>
      </c>
      <c r="M74" s="26">
        <v>1078373.1900000004</v>
      </c>
      <c r="N74" s="32">
        <f>SUM(B74:M74)</f>
        <v>1949846.9800000004</v>
      </c>
      <c r="O74"/>
    </row>
    <row r="75" spans="1:15" ht="15">
      <c r="A75" s="60" t="s">
        <v>77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103023</v>
      </c>
      <c r="N75" s="32">
        <f>SUM(B75:M75)</f>
        <v>103023</v>
      </c>
      <c r="O75"/>
    </row>
    <row r="76" spans="1:15" ht="15">
      <c r="A76" s="60" t="s">
        <v>59</v>
      </c>
      <c r="B76" s="26">
        <v>449.07</v>
      </c>
      <c r="C76" s="26">
        <v>479.58</v>
      </c>
      <c r="D76" s="26">
        <v>663.31</v>
      </c>
      <c r="E76" s="26">
        <v>-219.97</v>
      </c>
      <c r="F76" s="26">
        <v>0</v>
      </c>
      <c r="G76" s="26">
        <v>0</v>
      </c>
      <c r="H76" s="26">
        <v>1371.99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32">
        <f>SUM(B76:M76)</f>
        <v>2743.98</v>
      </c>
      <c r="O76"/>
    </row>
    <row r="77" spans="1:15" ht="15">
      <c r="A77" s="60" t="s">
        <v>56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490943.97</v>
      </c>
      <c r="I77" s="26">
        <v>-490943.97</v>
      </c>
      <c r="J77" s="26">
        <v>1472831.91</v>
      </c>
      <c r="K77" s="26">
        <v>490943.97</v>
      </c>
      <c r="L77" s="26">
        <v>2253094.2000000002</v>
      </c>
      <c r="M77" s="26">
        <v>450618.84</v>
      </c>
      <c r="N77" s="32">
        <f t="shared" ref="N77:N78" si="10">SUM(B77:M77)</f>
        <v>4667488.92</v>
      </c>
      <c r="O77"/>
    </row>
    <row r="78" spans="1:15" ht="15">
      <c r="A78" s="60" t="s">
        <v>57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519760.8</v>
      </c>
      <c r="I78" s="26">
        <v>-519760.8</v>
      </c>
      <c r="J78" s="26">
        <v>1561823.65</v>
      </c>
      <c r="K78" s="26">
        <v>519709.97</v>
      </c>
      <c r="L78" s="26">
        <v>2379822.7999999998</v>
      </c>
      <c r="M78" s="26">
        <v>475964.56</v>
      </c>
      <c r="N78" s="32">
        <f t="shared" si="10"/>
        <v>4937320.9799999995</v>
      </c>
      <c r="O78"/>
    </row>
    <row r="79" spans="1:15" ht="15">
      <c r="A79" s="60" t="s">
        <v>58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18752.53</v>
      </c>
      <c r="M79" s="26">
        <v>18752.53</v>
      </c>
      <c r="N79" s="32">
        <f>SUM(B79:M79)</f>
        <v>37505.06</v>
      </c>
      <c r="O79"/>
    </row>
    <row r="80" spans="1:15" ht="15">
      <c r="A80" s="60" t="s">
        <v>78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4497.4800000000005</v>
      </c>
      <c r="I80" s="26">
        <v>693.42</v>
      </c>
      <c r="J80" s="26">
        <v>650.75999999999988</v>
      </c>
      <c r="K80" s="26">
        <v>478.74</v>
      </c>
      <c r="L80" s="26">
        <v>238.11999999999998</v>
      </c>
      <c r="M80" s="26">
        <v>543.03</v>
      </c>
      <c r="N80" s="32">
        <f t="shared" ref="N80:N81" si="11">SUM(B80:M80)</f>
        <v>7101.55</v>
      </c>
      <c r="O80"/>
    </row>
    <row r="81" spans="1:15" ht="15">
      <c r="A81" s="60" t="s">
        <v>79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39051.149999999994</v>
      </c>
      <c r="I81" s="26">
        <v>6521.6299999999992</v>
      </c>
      <c r="J81" s="26">
        <v>5958.42</v>
      </c>
      <c r="K81" s="26">
        <v>6491.99</v>
      </c>
      <c r="L81" s="26">
        <v>3260.83</v>
      </c>
      <c r="M81" s="26">
        <v>5501.93</v>
      </c>
      <c r="N81" s="32">
        <f t="shared" si="11"/>
        <v>66785.949999999983</v>
      </c>
      <c r="O81"/>
    </row>
    <row r="82" spans="1:15" ht="15">
      <c r="A82" s="60" t="s">
        <v>80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247024.38</v>
      </c>
      <c r="I82" s="26">
        <v>123512.19</v>
      </c>
      <c r="J82" s="26">
        <v>123512.19</v>
      </c>
      <c r="K82" s="26">
        <v>123512.19</v>
      </c>
      <c r="L82" s="26">
        <v>123512.19</v>
      </c>
      <c r="M82" s="26">
        <v>123512.19</v>
      </c>
      <c r="N82" s="32">
        <f t="shared" ref="N82" si="12">SUM(B82:M82)</f>
        <v>864585.32999999984</v>
      </c>
      <c r="O82"/>
    </row>
    <row r="83" spans="1:15" ht="15">
      <c r="A83" s="60" t="s">
        <v>81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120</v>
      </c>
      <c r="M83" s="26">
        <v>0</v>
      </c>
      <c r="N83" s="32">
        <f>SUM(B83:M83)</f>
        <v>120</v>
      </c>
      <c r="O83"/>
    </row>
    <row r="84" spans="1:15" ht="17.25" customHeight="1">
      <c r="A84" s="60" t="s">
        <v>60</v>
      </c>
      <c r="B84" s="26">
        <v>0</v>
      </c>
      <c r="C84" s="26">
        <v>0</v>
      </c>
      <c r="D84" s="26">
        <v>10458</v>
      </c>
      <c r="E84" s="26">
        <v>21213</v>
      </c>
      <c r="F84" s="26">
        <v>38789.69</v>
      </c>
      <c r="G84" s="26">
        <v>121437.07999999999</v>
      </c>
      <c r="H84" s="26">
        <v>143872.02999999997</v>
      </c>
      <c r="I84" s="26">
        <v>25107.14</v>
      </c>
      <c r="J84" s="26">
        <v>42339.95</v>
      </c>
      <c r="K84" s="26">
        <v>4751.37</v>
      </c>
      <c r="L84" s="26">
        <v>1984.7800000000002</v>
      </c>
      <c r="M84" s="26">
        <v>3691.68</v>
      </c>
      <c r="N84" s="13">
        <f>SUM(B84:M84)</f>
        <v>413644.72</v>
      </c>
      <c r="O84"/>
    </row>
    <row r="85" spans="1:15" ht="17.25" customHeight="1">
      <c r="A85" s="60" t="s">
        <v>61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1696555</v>
      </c>
      <c r="H85" s="26">
        <v>1389604</v>
      </c>
      <c r="I85" s="26">
        <v>104257.8899999998</v>
      </c>
      <c r="J85" s="26">
        <v>39249.040000000008</v>
      </c>
      <c r="K85" s="26">
        <v>796851.37</v>
      </c>
      <c r="L85" s="26">
        <v>121357.23</v>
      </c>
      <c r="M85" s="26">
        <v>918418.54999999981</v>
      </c>
      <c r="N85" s="13">
        <f t="shared" ref="N85" si="13">SUM(B85:M85)</f>
        <v>5066293.08</v>
      </c>
      <c r="O85"/>
    </row>
    <row r="86" spans="1:15" ht="15">
      <c r="A86" s="60" t="s">
        <v>62</v>
      </c>
      <c r="B86" s="26">
        <v>0</v>
      </c>
      <c r="C86" s="26">
        <v>0</v>
      </c>
      <c r="D86" s="26">
        <v>0</v>
      </c>
      <c r="E86" s="26">
        <v>518.29</v>
      </c>
      <c r="F86" s="26">
        <v>451020.27999999997</v>
      </c>
      <c r="G86" s="26">
        <v>177264.00000000009</v>
      </c>
      <c r="H86" s="26">
        <v>617955.39999999967</v>
      </c>
      <c r="I86" s="26">
        <v>83784.060000000027</v>
      </c>
      <c r="J86" s="26">
        <v>104956.58</v>
      </c>
      <c r="K86" s="26">
        <v>65139.920000000035</v>
      </c>
      <c r="L86" s="26">
        <v>68138.600000000006</v>
      </c>
      <c r="M86" s="26">
        <v>101658.42000000001</v>
      </c>
      <c r="N86" s="13">
        <f t="shared" ref="N86:N92" si="14">SUM(B86:M86)</f>
        <v>1670435.5499999998</v>
      </c>
      <c r="O86"/>
    </row>
    <row r="87" spans="1:15" ht="15">
      <c r="A87" s="60" t="s">
        <v>63</v>
      </c>
      <c r="B87" s="26">
        <v>0</v>
      </c>
      <c r="C87" s="26">
        <v>0</v>
      </c>
      <c r="D87" s="26">
        <v>0</v>
      </c>
      <c r="E87" s="26">
        <v>518.29</v>
      </c>
      <c r="F87" s="26">
        <v>22425.729999999996</v>
      </c>
      <c r="G87" s="26">
        <v>6970.0899999999992</v>
      </c>
      <c r="H87" s="26">
        <v>47785.060000000027</v>
      </c>
      <c r="I87" s="26">
        <v>20122.400000000005</v>
      </c>
      <c r="J87" s="26">
        <v>12403.16</v>
      </c>
      <c r="K87" s="26">
        <v>21435.809999999998</v>
      </c>
      <c r="L87" s="26">
        <v>439.77000000000004</v>
      </c>
      <c r="M87" s="26">
        <v>68149.89</v>
      </c>
      <c r="N87" s="13">
        <f t="shared" si="14"/>
        <v>200250.2</v>
      </c>
      <c r="O87"/>
    </row>
    <row r="88" spans="1:15" ht="15">
      <c r="A88" s="60" t="s">
        <v>64</v>
      </c>
      <c r="B88" s="26">
        <v>0</v>
      </c>
      <c r="C88" s="26">
        <v>0</v>
      </c>
      <c r="D88" s="26">
        <v>0</v>
      </c>
      <c r="E88" s="26">
        <v>9270.3799999999992</v>
      </c>
      <c r="F88" s="26">
        <v>4991.8</v>
      </c>
      <c r="G88" s="26">
        <v>4445.29</v>
      </c>
      <c r="H88" s="26">
        <v>23685.439999999999</v>
      </c>
      <c r="I88" s="26">
        <v>5089.84</v>
      </c>
      <c r="J88" s="26">
        <v>385713.13</v>
      </c>
      <c r="K88" s="26">
        <v>2510.1300000000542</v>
      </c>
      <c r="L88" s="26">
        <v>-26445.350000000009</v>
      </c>
      <c r="M88" s="26">
        <v>766420.91000000015</v>
      </c>
      <c r="N88" s="32">
        <f>SUM(B88:M88)</f>
        <v>1175681.5700000003</v>
      </c>
      <c r="O88"/>
    </row>
    <row r="89" spans="1:15" ht="17.25" customHeight="1">
      <c r="A89" s="60" t="s">
        <v>65</v>
      </c>
      <c r="B89" s="26">
        <v>0</v>
      </c>
      <c r="C89" s="26">
        <v>0</v>
      </c>
      <c r="D89" s="26">
        <v>12000</v>
      </c>
      <c r="E89" s="26">
        <v>36267.380000000005</v>
      </c>
      <c r="F89" s="26">
        <v>4730.84</v>
      </c>
      <c r="G89" s="26">
        <v>84358.040000000008</v>
      </c>
      <c r="H89" s="26">
        <v>92911.459999999992</v>
      </c>
      <c r="I89" s="26">
        <v>23716.849999999991</v>
      </c>
      <c r="J89" s="26">
        <v>35142.490000000005</v>
      </c>
      <c r="K89" s="26">
        <v>2412.02</v>
      </c>
      <c r="L89" s="26">
        <v>24399.01</v>
      </c>
      <c r="M89" s="26">
        <v>37983.659999999989</v>
      </c>
      <c r="N89" s="13">
        <f t="shared" si="14"/>
        <v>353921.75</v>
      </c>
      <c r="O89"/>
    </row>
    <row r="90" spans="1:15" ht="15">
      <c r="A90" s="60" t="s">
        <v>66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53920</v>
      </c>
      <c r="N90" s="32">
        <f t="shared" si="14"/>
        <v>53920</v>
      </c>
      <c r="O90"/>
    </row>
    <row r="91" spans="1:15" ht="15">
      <c r="A91" s="60" t="s">
        <v>67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63832</v>
      </c>
      <c r="N91" s="32">
        <f t="shared" si="14"/>
        <v>63832</v>
      </c>
      <c r="O91"/>
    </row>
    <row r="92" spans="1:15" ht="17.25" customHeight="1">
      <c r="A92" s="60" t="s">
        <v>68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19500</v>
      </c>
      <c r="H92" s="26">
        <v>19500</v>
      </c>
      <c r="I92" s="26">
        <v>-12000</v>
      </c>
      <c r="J92" s="26">
        <v>10251.5</v>
      </c>
      <c r="K92" s="26">
        <v>3346.0499999999997</v>
      </c>
      <c r="L92" s="26">
        <v>1194.57</v>
      </c>
      <c r="M92" s="26">
        <v>20541.059999999994</v>
      </c>
      <c r="N92" s="13">
        <f t="shared" si="14"/>
        <v>62333.179999999993</v>
      </c>
      <c r="O92"/>
    </row>
    <row r="93" spans="1:15" ht="17.25" customHeight="1">
      <c r="A93" s="60" t="s">
        <v>69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2898.54</v>
      </c>
      <c r="I93" s="26">
        <v>9975.0099999999984</v>
      </c>
      <c r="J93" s="26">
        <v>1138.8899999999994</v>
      </c>
      <c r="K93" s="26">
        <v>3049.7699999999995</v>
      </c>
      <c r="L93" s="26">
        <v>2772.51</v>
      </c>
      <c r="M93" s="26">
        <v>1137.8999999999999</v>
      </c>
      <c r="N93" s="13">
        <f t="shared" ref="N93" si="15">SUM(B93:M93)</f>
        <v>20972.620000000003</v>
      </c>
      <c r="O93"/>
    </row>
    <row r="94" spans="1:15" ht="17.25" customHeight="1">
      <c r="A94" s="60" t="s">
        <v>70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1435</v>
      </c>
      <c r="J94" s="26">
        <v>1897.5</v>
      </c>
      <c r="K94" s="26">
        <v>3565.72</v>
      </c>
      <c r="L94" s="26">
        <v>1172.6100000000001</v>
      </c>
      <c r="M94" s="26">
        <v>4914.09</v>
      </c>
      <c r="N94" s="13">
        <f t="shared" ref="N94" si="16">SUM(B94:M94)</f>
        <v>12984.92</v>
      </c>
      <c r="O94"/>
    </row>
    <row r="95" spans="1:15">
      <c r="A95" s="14" t="s">
        <v>71</v>
      </c>
      <c r="B95" s="26">
        <f t="shared" ref="B95:G95" si="17">SUM(B50:B92)</f>
        <v>1072022.77</v>
      </c>
      <c r="C95" s="26">
        <f t="shared" si="17"/>
        <v>1105849.9000000004</v>
      </c>
      <c r="D95" s="26">
        <f t="shared" si="17"/>
        <v>1662619.1000000003</v>
      </c>
      <c r="E95" s="26">
        <f t="shared" si="17"/>
        <v>983347.5500000004</v>
      </c>
      <c r="F95" s="26">
        <f t="shared" si="17"/>
        <v>2083710.7799999998</v>
      </c>
      <c r="G95" s="26">
        <f t="shared" si="17"/>
        <v>2869885.73</v>
      </c>
      <c r="H95" s="26">
        <f>SUM(H50:H93)</f>
        <v>11036822.770000001</v>
      </c>
      <c r="I95" s="26">
        <f>SUM(I50:I94)</f>
        <v>1069424.82</v>
      </c>
      <c r="J95" s="26">
        <f t="shared" ref="J95:N95" si="18">SUM(J50:J94)</f>
        <v>4692418.68</v>
      </c>
      <c r="K95" s="26">
        <f t="shared" si="18"/>
        <v>1756342.93</v>
      </c>
      <c r="L95" s="26">
        <f>SUM(L50:L94)</f>
        <v>5756953.2600000007</v>
      </c>
      <c r="M95" s="26">
        <f t="shared" si="18"/>
        <v>8297355.2299999995</v>
      </c>
      <c r="N95" s="13">
        <f t="shared" si="18"/>
        <v>42386753.519999988</v>
      </c>
    </row>
    <row r="96" spans="1:15">
      <c r="A96" s="14"/>
      <c r="N96" s="13"/>
    </row>
    <row r="97" spans="1:15" ht="16.5" thickBot="1">
      <c r="A97" s="17" t="s">
        <v>28</v>
      </c>
      <c r="B97" s="29">
        <f t="shared" ref="B97:L97" si="19">+B95+B47+B8</f>
        <v>2443095.0300000003</v>
      </c>
      <c r="C97" s="29">
        <f t="shared" si="19"/>
        <v>2698318</v>
      </c>
      <c r="D97" s="29">
        <f t="shared" si="19"/>
        <v>7096600.9999999991</v>
      </c>
      <c r="E97" s="29">
        <f t="shared" si="19"/>
        <v>10815847.460000001</v>
      </c>
      <c r="F97" s="29">
        <f t="shared" si="19"/>
        <v>7314186.3300000001</v>
      </c>
      <c r="G97" s="29">
        <f t="shared" si="19"/>
        <v>8092285.6300000008</v>
      </c>
      <c r="H97" s="29">
        <f t="shared" si="19"/>
        <v>5664020.7999999989</v>
      </c>
      <c r="I97" s="29">
        <f t="shared" si="19"/>
        <v>5692710</v>
      </c>
      <c r="J97" s="29">
        <f t="shared" si="19"/>
        <v>10242730.419999998</v>
      </c>
      <c r="K97" s="29">
        <f t="shared" si="19"/>
        <v>5488014.5</v>
      </c>
      <c r="L97" s="29">
        <f t="shared" si="19"/>
        <v>6017837</v>
      </c>
      <c r="M97" s="29">
        <f>+M95+M47+M8</f>
        <v>20422330</v>
      </c>
      <c r="N97" s="18">
        <f>+N95+N9+N47+N8</f>
        <v>91987976.169999987</v>
      </c>
    </row>
    <row r="98" spans="1:15" ht="16.5" thickBot="1">
      <c r="A98" s="4"/>
    </row>
    <row r="99" spans="1:15">
      <c r="A99" s="5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7" t="s">
        <v>3</v>
      </c>
    </row>
    <row r="100" spans="1:15" ht="13.5" thickBot="1">
      <c r="A100" s="19" t="s">
        <v>82</v>
      </c>
      <c r="B100" s="28" t="s">
        <v>5</v>
      </c>
      <c r="C100" s="28" t="s">
        <v>6</v>
      </c>
      <c r="D100" s="28" t="s">
        <v>7</v>
      </c>
      <c r="E100" s="28" t="s">
        <v>8</v>
      </c>
      <c r="F100" s="28" t="s">
        <v>9</v>
      </c>
      <c r="G100" s="28" t="s">
        <v>10</v>
      </c>
      <c r="H100" s="28" t="s">
        <v>11</v>
      </c>
      <c r="I100" s="28" t="s">
        <v>12</v>
      </c>
      <c r="J100" s="28" t="s">
        <v>13</v>
      </c>
      <c r="K100" s="28" t="s">
        <v>14</v>
      </c>
      <c r="L100" s="28" t="s">
        <v>15</v>
      </c>
      <c r="M100" s="28" t="s">
        <v>16</v>
      </c>
      <c r="N100" s="10" t="s">
        <v>17</v>
      </c>
    </row>
    <row r="101" spans="1:15">
      <c r="A101" s="10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45"/>
    </row>
    <row r="102" spans="1:15">
      <c r="A102" s="20" t="s">
        <v>32</v>
      </c>
      <c r="B102" s="26">
        <f>-3859637.05-B133-B164</f>
        <v>2396483.12</v>
      </c>
      <c r="C102" s="26">
        <f>2137645-C133-C164</f>
        <v>-1406540.2200000002</v>
      </c>
      <c r="D102" s="26">
        <f>2878094-D133-D164</f>
        <v>496232.03000000026</v>
      </c>
      <c r="E102" s="26">
        <f>-2422779.02-E133-E164</f>
        <v>-1884028.26</v>
      </c>
      <c r="F102" s="26">
        <f>822480.2-F133-F164</f>
        <v>842977.30999999982</v>
      </c>
      <c r="G102" s="26">
        <f>-73669.49-G133-G164</f>
        <v>-74376.090000000011</v>
      </c>
      <c r="H102" s="26">
        <f>251266.27-H133-H164</f>
        <v>250626.16999999998</v>
      </c>
      <c r="I102" s="26">
        <f>523505.92-I133-I164</f>
        <v>413917.69999999995</v>
      </c>
      <c r="J102" s="26">
        <f>645600.48-J133-J164</f>
        <v>643378.18000000005</v>
      </c>
      <c r="K102" s="26">
        <f>-788128.64-K133-K164</f>
        <v>-787465.34000000008</v>
      </c>
      <c r="L102" s="26">
        <f>71697.92-L133-L164</f>
        <v>69058.37</v>
      </c>
      <c r="M102" s="26">
        <f>4377762-M133-M164</f>
        <v>4377093.4800000004</v>
      </c>
      <c r="N102" s="13">
        <f>SUM(B102:M102)</f>
        <v>5337356.45</v>
      </c>
    </row>
    <row r="103" spans="1:15">
      <c r="A103" s="14" t="s">
        <v>33</v>
      </c>
      <c r="N103" s="13">
        <f>SUM(B103:M103)</f>
        <v>0</v>
      </c>
    </row>
    <row r="104" spans="1:15">
      <c r="A104" s="20" t="s">
        <v>34</v>
      </c>
      <c r="N104" s="13"/>
    </row>
    <row r="105" spans="1:15" ht="15">
      <c r="A105" s="60" t="s">
        <v>35</v>
      </c>
      <c r="B105" s="26">
        <v>-1.9699999999999989</v>
      </c>
      <c r="C105" s="26">
        <v>0</v>
      </c>
      <c r="D105" s="26">
        <v>3980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13">
        <f t="shared" ref="N105:N130" si="20">SUM(B105:M105)</f>
        <v>3978.03</v>
      </c>
      <c r="O105"/>
    </row>
    <row r="106" spans="1:15" ht="15">
      <c r="A106" s="60" t="s">
        <v>36</v>
      </c>
      <c r="B106" s="26">
        <v>-42.420000000000051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13">
        <f t="shared" ref="N106:N126" si="21">SUM(B106:M106)</f>
        <v>-42.420000000000051</v>
      </c>
      <c r="O106"/>
    </row>
    <row r="107" spans="1:15" ht="15">
      <c r="A107" s="60" t="s">
        <v>55</v>
      </c>
      <c r="B107" s="26">
        <v>0.15999999999999837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13">
        <f t="shared" si="21"/>
        <v>0.15999999999999837</v>
      </c>
      <c r="O107"/>
    </row>
    <row r="108" spans="1:15" ht="15">
      <c r="A108" s="60" t="s">
        <v>83</v>
      </c>
      <c r="B108" s="26">
        <v>-43571.929999999993</v>
      </c>
      <c r="C108" s="26">
        <v>33665.54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13">
        <f t="shared" si="21"/>
        <v>-9906.3899999999921</v>
      </c>
      <c r="O108"/>
    </row>
    <row r="109" spans="1:15" ht="15">
      <c r="A109" s="60" t="s">
        <v>37</v>
      </c>
      <c r="B109" s="26">
        <v>-563.28000000000009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13">
        <f t="shared" si="21"/>
        <v>-563.28000000000009</v>
      </c>
      <c r="O109"/>
    </row>
    <row r="110" spans="1:15" ht="15">
      <c r="A110" s="60" t="s">
        <v>38</v>
      </c>
      <c r="B110" s="26">
        <v>-5058.42</v>
      </c>
      <c r="C110" s="26">
        <v>-177957.89</v>
      </c>
      <c r="D110" s="26">
        <v>-192524.22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13">
        <f t="shared" si="21"/>
        <v>-375540.53</v>
      </c>
      <c r="O110"/>
    </row>
    <row r="111" spans="1:15" ht="15">
      <c r="A111" s="60" t="s">
        <v>84</v>
      </c>
      <c r="B111" s="26">
        <v>-564.42000000000007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13">
        <f t="shared" si="21"/>
        <v>-564.42000000000007</v>
      </c>
      <c r="O111"/>
    </row>
    <row r="112" spans="1:15" ht="15">
      <c r="A112" s="60" t="s">
        <v>39</v>
      </c>
      <c r="B112" s="26">
        <v>6485.1100000000006</v>
      </c>
      <c r="C112" s="26">
        <v>55522.99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13">
        <f t="shared" si="21"/>
        <v>62008.1</v>
      </c>
      <c r="O112"/>
    </row>
    <row r="113" spans="1:15" ht="15">
      <c r="A113" s="60" t="s">
        <v>85</v>
      </c>
      <c r="B113" s="26">
        <v>-35675.71</v>
      </c>
      <c r="C113" s="26">
        <v>0</v>
      </c>
      <c r="D113" s="26">
        <v>33388.22</v>
      </c>
      <c r="E113" s="26">
        <v>-94.33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13">
        <f t="shared" si="21"/>
        <v>-2381.8199999999979</v>
      </c>
      <c r="O113"/>
    </row>
    <row r="114" spans="1:15" ht="17.25" customHeight="1">
      <c r="A114" s="60" t="s">
        <v>40</v>
      </c>
      <c r="B114" s="26">
        <v>-49.24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2063.86</v>
      </c>
      <c r="K114" s="26">
        <v>-897.46999999999912</v>
      </c>
      <c r="L114" s="26">
        <v>2639.55</v>
      </c>
      <c r="M114" s="26">
        <v>668.52</v>
      </c>
      <c r="N114" s="13">
        <f t="shared" si="21"/>
        <v>4425.2200000000012</v>
      </c>
      <c r="O114"/>
    </row>
    <row r="115" spans="1:15" ht="17.25" customHeight="1">
      <c r="A115" s="60" t="s">
        <v>41</v>
      </c>
      <c r="B115" s="26">
        <v>-4.8600000000000003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13">
        <f t="shared" si="21"/>
        <v>-4.8600000000000003</v>
      </c>
      <c r="O115"/>
    </row>
    <row r="116" spans="1:15" ht="17.25" customHeight="1">
      <c r="A116" s="60" t="s">
        <v>64</v>
      </c>
      <c r="B116" s="26">
        <v>-35456.5</v>
      </c>
      <c r="C116" s="26">
        <v>0</v>
      </c>
      <c r="D116" s="26">
        <v>28084.879999999997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13">
        <f t="shared" si="21"/>
        <v>-7371.6200000000026</v>
      </c>
      <c r="O116"/>
    </row>
    <row r="117" spans="1:15" ht="17.25" customHeight="1">
      <c r="A117" s="60" t="s">
        <v>86</v>
      </c>
      <c r="B117" s="26">
        <v>-8.009999999999998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13">
        <f t="shared" si="21"/>
        <v>-8.009999999999998</v>
      </c>
      <c r="O117"/>
    </row>
    <row r="118" spans="1:15" ht="17.25" customHeight="1">
      <c r="A118" s="60" t="s">
        <v>87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13">
        <f t="shared" si="21"/>
        <v>0</v>
      </c>
      <c r="O118"/>
    </row>
    <row r="119" spans="1:15" ht="17.25" customHeight="1">
      <c r="A119" s="60" t="s">
        <v>43</v>
      </c>
      <c r="B119" s="26">
        <v>-353.33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13">
        <f t="shared" si="21"/>
        <v>-353.33</v>
      </c>
      <c r="O119"/>
    </row>
    <row r="120" spans="1:15" ht="15">
      <c r="A120" s="60" t="s">
        <v>73</v>
      </c>
      <c r="B120" s="26">
        <v>0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13">
        <f t="shared" si="21"/>
        <v>0</v>
      </c>
      <c r="O120"/>
    </row>
    <row r="121" spans="1:15" ht="15">
      <c r="A121" s="60" t="s">
        <v>74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13">
        <f t="shared" si="21"/>
        <v>0</v>
      </c>
      <c r="O121"/>
    </row>
    <row r="122" spans="1:15" ht="15">
      <c r="A122" s="60" t="s">
        <v>45</v>
      </c>
      <c r="B122" s="26">
        <v>0.03</v>
      </c>
      <c r="C122" s="26">
        <v>-10000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13">
        <f t="shared" si="21"/>
        <v>-9999.9699999999993</v>
      </c>
      <c r="O122"/>
    </row>
    <row r="123" spans="1:15" ht="15">
      <c r="A123" s="60" t="s">
        <v>46</v>
      </c>
      <c r="B123" s="26">
        <v>0.03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13">
        <f t="shared" si="21"/>
        <v>0.03</v>
      </c>
      <c r="O123"/>
    </row>
    <row r="124" spans="1:15" ht="15">
      <c r="A124" s="60" t="s">
        <v>75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13">
        <f t="shared" si="21"/>
        <v>0</v>
      </c>
      <c r="O124"/>
    </row>
    <row r="125" spans="1:15" ht="15">
      <c r="A125" s="60" t="s">
        <v>47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13">
        <f t="shared" si="21"/>
        <v>0</v>
      </c>
      <c r="O125"/>
    </row>
    <row r="126" spans="1:15" ht="15">
      <c r="A126" s="60" t="s">
        <v>88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13">
        <f t="shared" si="21"/>
        <v>0</v>
      </c>
      <c r="O126"/>
    </row>
    <row r="127" spans="1:15" ht="15">
      <c r="A127" s="60" t="s">
        <v>50</v>
      </c>
      <c r="B127" s="26">
        <v>3620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13">
        <f t="shared" si="20"/>
        <v>3620</v>
      </c>
      <c r="O127"/>
    </row>
    <row r="128" spans="1:15" ht="15">
      <c r="A128" s="60" t="s">
        <v>51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13">
        <f t="shared" si="20"/>
        <v>0</v>
      </c>
      <c r="O128"/>
    </row>
    <row r="129" spans="1:15" ht="17.25" customHeight="1">
      <c r="A129" s="60" t="s">
        <v>89</v>
      </c>
      <c r="B129" s="26">
        <v>-15767.24</v>
      </c>
      <c r="C129" s="26">
        <v>12279.24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13">
        <f t="shared" si="20"/>
        <v>-3488</v>
      </c>
      <c r="O129"/>
    </row>
    <row r="130" spans="1:15" ht="17.25" customHeight="1">
      <c r="A130" s="60" t="s">
        <v>90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13">
        <f t="shared" si="20"/>
        <v>0</v>
      </c>
      <c r="O130"/>
    </row>
    <row r="131" spans="1:15" ht="17.25" customHeight="1">
      <c r="A131" s="60" t="s">
        <v>91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13">
        <f t="shared" ref="N131:N132" si="22">SUM(B131:M131)</f>
        <v>0</v>
      </c>
      <c r="O131"/>
    </row>
    <row r="132" spans="1:15" ht="17.25" customHeight="1">
      <c r="A132" s="60" t="s">
        <v>92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13">
        <f t="shared" si="22"/>
        <v>0</v>
      </c>
      <c r="O132"/>
    </row>
    <row r="133" spans="1:15">
      <c r="A133" s="14" t="s">
        <v>71</v>
      </c>
      <c r="B133" s="26">
        <f>SUM(B105:B132)</f>
        <v>-127012</v>
      </c>
      <c r="C133" s="26">
        <f t="shared" ref="C133:M133" si="23">SUM(C105:C132)</f>
        <v>-86490.12000000001</v>
      </c>
      <c r="D133" s="26">
        <f>SUM(D105:D132)</f>
        <v>-127071.12</v>
      </c>
      <c r="E133" s="26">
        <f>SUM(E105:E132)</f>
        <v>-94.33</v>
      </c>
      <c r="F133" s="26">
        <f t="shared" si="23"/>
        <v>0</v>
      </c>
      <c r="G133" s="26">
        <f>SUM(G105:G132)</f>
        <v>0</v>
      </c>
      <c r="H133" s="26">
        <f t="shared" si="23"/>
        <v>0</v>
      </c>
      <c r="I133" s="26">
        <f t="shared" si="23"/>
        <v>0</v>
      </c>
      <c r="J133" s="26">
        <f t="shared" si="23"/>
        <v>2063.86</v>
      </c>
      <c r="K133" s="26">
        <f t="shared" si="23"/>
        <v>-897.46999999999912</v>
      </c>
      <c r="L133" s="26">
        <f t="shared" si="23"/>
        <v>2639.55</v>
      </c>
      <c r="M133" s="26">
        <f t="shared" si="23"/>
        <v>668.52</v>
      </c>
      <c r="N133" s="13">
        <f>SUM(N105:N132)</f>
        <v>-336193.10999999993</v>
      </c>
    </row>
    <row r="134" spans="1:15">
      <c r="A134" s="14"/>
      <c r="N134" s="13"/>
    </row>
    <row r="135" spans="1:15">
      <c r="A135" s="20" t="s">
        <v>72</v>
      </c>
      <c r="N135" s="13"/>
    </row>
    <row r="136" spans="1:15" ht="15">
      <c r="A136" s="60" t="s">
        <v>35</v>
      </c>
      <c r="B136" s="26">
        <v>-51453.950000000004</v>
      </c>
      <c r="C136" s="26">
        <v>-149.75</v>
      </c>
      <c r="D136" s="26">
        <v>81512.780000000013</v>
      </c>
      <c r="E136" s="26">
        <v>32.47</v>
      </c>
      <c r="F136" s="26">
        <v>32.47</v>
      </c>
      <c r="G136" s="26">
        <v>32.47</v>
      </c>
      <c r="H136" s="26">
        <v>32.409999999999997</v>
      </c>
      <c r="I136" s="26">
        <v>-1894.59</v>
      </c>
      <c r="J136" s="26">
        <v>0</v>
      </c>
      <c r="K136" s="26">
        <v>0</v>
      </c>
      <c r="L136" s="26">
        <v>0</v>
      </c>
      <c r="M136" s="26">
        <v>0</v>
      </c>
      <c r="N136" s="32">
        <f>SUM(B136:M136)</f>
        <v>28144.310000000012</v>
      </c>
      <c r="O136"/>
    </row>
    <row r="137" spans="1:15" ht="15">
      <c r="A137" s="60" t="s">
        <v>36</v>
      </c>
      <c r="B137" s="26">
        <v>-166.4700000000004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32">
        <f t="shared" ref="N137:N163" si="24">SUM(B137:M137)</f>
        <v>-166.4700000000004</v>
      </c>
      <c r="O137"/>
    </row>
    <row r="138" spans="1:15" ht="15">
      <c r="A138" s="60" t="s">
        <v>55</v>
      </c>
      <c r="B138" s="26">
        <v>6.2800000000000296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32">
        <f t="shared" si="24"/>
        <v>6.2800000000000296</v>
      </c>
      <c r="O138"/>
    </row>
    <row r="139" spans="1:15" ht="15">
      <c r="A139" s="60" t="s">
        <v>83</v>
      </c>
      <c r="B139" s="26">
        <v>-696735.18</v>
      </c>
      <c r="C139" s="26">
        <v>650979.31000000006</v>
      </c>
      <c r="D139" s="26">
        <v>-90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32">
        <f t="shared" si="24"/>
        <v>-45845.869999999995</v>
      </c>
      <c r="O139"/>
    </row>
    <row r="140" spans="1:15" ht="15">
      <c r="A140" s="60" t="s">
        <v>37</v>
      </c>
      <c r="B140" s="26">
        <v>-8876.9499999999989</v>
      </c>
      <c r="C140" s="26">
        <v>49.68</v>
      </c>
      <c r="D140" s="26">
        <v>19.920000000000002</v>
      </c>
      <c r="E140" s="26">
        <v>32.47</v>
      </c>
      <c r="F140" s="26">
        <v>32</v>
      </c>
      <c r="G140" s="26">
        <v>32.47</v>
      </c>
      <c r="H140" s="26">
        <v>32.409999999999997</v>
      </c>
      <c r="I140" s="26">
        <v>32.409999999999997</v>
      </c>
      <c r="J140" s="26">
        <v>0</v>
      </c>
      <c r="K140" s="26">
        <v>0</v>
      </c>
      <c r="L140" s="26">
        <v>0</v>
      </c>
      <c r="M140" s="26">
        <v>0</v>
      </c>
      <c r="N140" s="32">
        <f t="shared" si="24"/>
        <v>-8645.59</v>
      </c>
      <c r="O140"/>
    </row>
    <row r="141" spans="1:15" ht="15">
      <c r="A141" s="60" t="s">
        <v>38</v>
      </c>
      <c r="B141" s="26">
        <v>126208.11</v>
      </c>
      <c r="C141" s="26">
        <v>-2465</v>
      </c>
      <c r="D141" s="26">
        <v>192583.53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32">
        <f t="shared" si="24"/>
        <v>316326.64</v>
      </c>
      <c r="O141"/>
    </row>
    <row r="142" spans="1:15" ht="15">
      <c r="A142" s="60" t="s">
        <v>84</v>
      </c>
      <c r="B142" s="26">
        <v>30201.910000000003</v>
      </c>
      <c r="C142" s="26">
        <v>2658.74</v>
      </c>
      <c r="D142" s="26">
        <v>7976.0000000000009</v>
      </c>
      <c r="E142" s="26">
        <v>1066.68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32">
        <f t="shared" si="24"/>
        <v>41903.33</v>
      </c>
      <c r="O142"/>
    </row>
    <row r="143" spans="1:15" ht="15">
      <c r="A143" s="60" t="s">
        <v>39</v>
      </c>
      <c r="B143" s="26">
        <v>-2716912.56</v>
      </c>
      <c r="C143" s="26">
        <v>2477940.77</v>
      </c>
      <c r="D143" s="26">
        <v>220677.08</v>
      </c>
      <c r="E143" s="26">
        <v>-220677.08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32">
        <f t="shared" si="24"/>
        <v>-238971.79000000004</v>
      </c>
      <c r="O143"/>
    </row>
    <row r="144" spans="1:15" ht="15">
      <c r="A144" s="60" t="s">
        <v>85</v>
      </c>
      <c r="B144" s="26">
        <v>-1153154.7999999998</v>
      </c>
      <c r="C144" s="26">
        <v>805.42</v>
      </c>
      <c r="D144" s="26">
        <v>1076325.01</v>
      </c>
      <c r="E144" s="26">
        <v>-3029.02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32">
        <f t="shared" si="24"/>
        <v>-79053.389999999883</v>
      </c>
      <c r="O144"/>
    </row>
    <row r="145" spans="1:15" ht="15">
      <c r="A145" s="60" t="s">
        <v>40</v>
      </c>
      <c r="B145" s="26">
        <v>-147.70000000000002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234.17</v>
      </c>
      <c r="L145" s="26">
        <v>0</v>
      </c>
      <c r="M145" s="26">
        <v>0</v>
      </c>
      <c r="N145" s="32">
        <f t="shared" si="24"/>
        <v>86.46999999999997</v>
      </c>
      <c r="O145"/>
    </row>
    <row r="146" spans="1:15" ht="15">
      <c r="A146" s="60" t="s">
        <v>41</v>
      </c>
      <c r="B146" s="26">
        <v>2576.56</v>
      </c>
      <c r="C146" s="26">
        <v>-53.38</v>
      </c>
      <c r="D146" s="26">
        <v>11500</v>
      </c>
      <c r="E146" s="26">
        <v>-11500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32">
        <f t="shared" si="24"/>
        <v>2523.1800000000003</v>
      </c>
      <c r="O146"/>
    </row>
    <row r="147" spans="1:15" ht="15">
      <c r="A147" s="60" t="s">
        <v>64</v>
      </c>
      <c r="B147" s="26">
        <v>-1146427.2899999998</v>
      </c>
      <c r="C147" s="26">
        <v>0</v>
      </c>
      <c r="D147" s="26">
        <v>905829.74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32">
        <f t="shared" si="24"/>
        <v>-240597.54999999981</v>
      </c>
      <c r="O147"/>
    </row>
    <row r="148" spans="1:15" ht="15">
      <c r="A148" s="60" t="s">
        <v>86</v>
      </c>
      <c r="B148" s="26">
        <v>-415662.72000000003</v>
      </c>
      <c r="C148" s="26">
        <v>397583.11</v>
      </c>
      <c r="D148" s="26">
        <v>208.55999999999767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32">
        <f t="shared" si="24"/>
        <v>-17871.050000000047</v>
      </c>
      <c r="O148" s="44"/>
    </row>
    <row r="149" spans="1:15" ht="15">
      <c r="A149" s="60" t="s">
        <v>87</v>
      </c>
      <c r="B149" s="26">
        <v>0</v>
      </c>
      <c r="C149" s="26">
        <v>0</v>
      </c>
      <c r="D149" s="26">
        <v>1258.3699999999997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32">
        <f t="shared" si="24"/>
        <v>1258.3699999999997</v>
      </c>
      <c r="O149" s="44"/>
    </row>
    <row r="150" spans="1:15" ht="15">
      <c r="A150" s="60" t="s">
        <v>43</v>
      </c>
      <c r="B150" s="26">
        <v>-3759.02</v>
      </c>
      <c r="C150" s="26">
        <v>2125.7399999999998</v>
      </c>
      <c r="D150" s="26">
        <v>1658.1000000000931</v>
      </c>
      <c r="E150" s="26">
        <v>1703.37</v>
      </c>
      <c r="F150" s="26">
        <v>-4865.9299999999994</v>
      </c>
      <c r="G150" s="26">
        <v>641.66</v>
      </c>
      <c r="H150" s="26">
        <v>575.28</v>
      </c>
      <c r="I150" s="26">
        <v>329.09</v>
      </c>
      <c r="J150" s="26">
        <v>158.44</v>
      </c>
      <c r="K150" s="26">
        <v>0</v>
      </c>
      <c r="L150" s="26">
        <v>0</v>
      </c>
      <c r="M150" s="26">
        <v>0</v>
      </c>
      <c r="N150" s="32">
        <f t="shared" si="24"/>
        <v>-1433.2699999999068</v>
      </c>
      <c r="O150" s="44"/>
    </row>
    <row r="151" spans="1:15" ht="17.25" customHeight="1">
      <c r="A151" s="60" t="s">
        <v>73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32">
        <f t="shared" si="24"/>
        <v>0</v>
      </c>
      <c r="O151"/>
    </row>
    <row r="152" spans="1:15" ht="17.25" customHeight="1">
      <c r="A152" s="60" t="s">
        <v>74</v>
      </c>
      <c r="B152" s="26">
        <v>-42.65</v>
      </c>
      <c r="C152" s="26">
        <v>-2201.0500000000002</v>
      </c>
      <c r="D152" s="26">
        <v>0</v>
      </c>
      <c r="E152" s="26">
        <v>-310833.32</v>
      </c>
      <c r="F152" s="26">
        <v>-15695.649999999907</v>
      </c>
      <c r="G152" s="26">
        <v>0</v>
      </c>
      <c r="H152" s="26">
        <v>0</v>
      </c>
      <c r="I152" s="26">
        <v>111121.31</v>
      </c>
      <c r="J152" s="26">
        <v>0</v>
      </c>
      <c r="K152" s="26">
        <v>0</v>
      </c>
      <c r="L152" s="26">
        <v>0</v>
      </c>
      <c r="M152" s="26">
        <v>0</v>
      </c>
      <c r="N152" s="32">
        <f t="shared" si="24"/>
        <v>-217651.35999999993</v>
      </c>
      <c r="O152"/>
    </row>
    <row r="153" spans="1:15" ht="17.25" customHeight="1">
      <c r="A153" s="60" t="s">
        <v>45</v>
      </c>
      <c r="B153" s="26">
        <v>90.1</v>
      </c>
      <c r="C153" s="26">
        <v>7161.95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32">
        <f t="shared" si="24"/>
        <v>7252.05</v>
      </c>
      <c r="O153"/>
    </row>
    <row r="154" spans="1:15" ht="17.25" customHeight="1">
      <c r="A154" s="60" t="s">
        <v>46</v>
      </c>
      <c r="B154" s="26">
        <v>87.66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32">
        <f t="shared" si="24"/>
        <v>87.66</v>
      </c>
      <c r="O154"/>
    </row>
    <row r="155" spans="1:15" ht="17.25" customHeight="1">
      <c r="A155" s="60" t="s">
        <v>75</v>
      </c>
      <c r="B155" s="26">
        <v>119.22</v>
      </c>
      <c r="C155" s="26">
        <v>404.63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32">
        <f t="shared" si="24"/>
        <v>523.85</v>
      </c>
      <c r="O155"/>
    </row>
    <row r="156" spans="1:15" ht="17.25" customHeight="1">
      <c r="A156" s="60" t="s">
        <v>47</v>
      </c>
      <c r="B156" s="26">
        <v>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32">
        <f t="shared" si="24"/>
        <v>0</v>
      </c>
      <c r="O156"/>
    </row>
    <row r="157" spans="1:15" ht="17.25" customHeight="1">
      <c r="A157" s="60" t="s">
        <v>88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32">
        <f t="shared" si="24"/>
        <v>0</v>
      </c>
      <c r="O157"/>
    </row>
    <row r="158" spans="1:15" ht="15">
      <c r="A158" s="60" t="s">
        <v>50</v>
      </c>
      <c r="B158" s="26">
        <v>17925</v>
      </c>
      <c r="C158" s="26">
        <v>0</v>
      </c>
      <c r="D158" s="26">
        <v>9474</v>
      </c>
      <c r="E158" s="26">
        <v>4548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32">
        <f t="shared" si="24"/>
        <v>31947</v>
      </c>
      <c r="O158"/>
    </row>
    <row r="159" spans="1:15" ht="15">
      <c r="A159" s="60" t="s">
        <v>51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32">
        <f t="shared" si="24"/>
        <v>0</v>
      </c>
      <c r="O159"/>
    </row>
    <row r="160" spans="1:15" ht="15">
      <c r="A160" s="60" t="s">
        <v>89</v>
      </c>
      <c r="B160" s="26">
        <v>-112983.72</v>
      </c>
      <c r="C160" s="26">
        <v>95835.17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32">
        <f t="shared" si="24"/>
        <v>-17148.550000000003</v>
      </c>
      <c r="O160"/>
    </row>
    <row r="161" spans="1:15" ht="15">
      <c r="A161" s="60" t="s">
        <v>90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32">
        <f t="shared" si="24"/>
        <v>0</v>
      </c>
      <c r="O161"/>
    </row>
    <row r="162" spans="1:15" ht="15">
      <c r="A162" s="60" t="s">
        <v>91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32">
        <f t="shared" si="24"/>
        <v>0</v>
      </c>
      <c r="O162"/>
    </row>
    <row r="163" spans="1:15" ht="15">
      <c r="A163" s="60" t="s">
        <v>92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32">
        <f t="shared" si="24"/>
        <v>0</v>
      </c>
      <c r="O163"/>
    </row>
    <row r="164" spans="1:15">
      <c r="A164" s="14" t="s">
        <v>71</v>
      </c>
      <c r="B164" s="26">
        <f>SUM(B136:B163)</f>
        <v>-6129108.1699999999</v>
      </c>
      <c r="C164" s="26">
        <f>SUM(C136:C163)</f>
        <v>3630675.3400000003</v>
      </c>
      <c r="D164" s="26">
        <f t="shared" ref="D164:M164" si="25">SUM(D136:D163)</f>
        <v>2508933.09</v>
      </c>
      <c r="E164" s="26">
        <f t="shared" si="25"/>
        <v>-538656.42999999993</v>
      </c>
      <c r="F164" s="26">
        <f>SUM(F136:F163)</f>
        <v>-20497.109999999906</v>
      </c>
      <c r="G164" s="26">
        <f t="shared" si="25"/>
        <v>706.59999999999991</v>
      </c>
      <c r="H164" s="26">
        <f t="shared" si="25"/>
        <v>640.09999999999991</v>
      </c>
      <c r="I164" s="26">
        <f t="shared" si="25"/>
        <v>109588.22</v>
      </c>
      <c r="J164" s="26">
        <f t="shared" si="25"/>
        <v>158.44</v>
      </c>
      <c r="K164" s="26">
        <f t="shared" si="25"/>
        <v>234.17</v>
      </c>
      <c r="L164" s="26">
        <f t="shared" si="25"/>
        <v>0</v>
      </c>
      <c r="M164" s="26">
        <f t="shared" si="25"/>
        <v>0</v>
      </c>
      <c r="N164" s="26">
        <f>SUM(N136:N163)</f>
        <v>-437325.74999999959</v>
      </c>
    </row>
    <row r="165" spans="1:15">
      <c r="A165" s="14"/>
      <c r="N165" s="13"/>
    </row>
    <row r="166" spans="1:15" ht="16.5" thickBot="1">
      <c r="A166" s="17" t="s">
        <v>28</v>
      </c>
      <c r="B166" s="29">
        <f>+B164+B133+B102</f>
        <v>-3859637.05</v>
      </c>
      <c r="C166" s="29">
        <f t="shared" ref="C166:M166" si="26">+C164+C133+C102</f>
        <v>2137645</v>
      </c>
      <c r="D166" s="29">
        <f t="shared" si="26"/>
        <v>2878094</v>
      </c>
      <c r="E166" s="29">
        <f t="shared" si="26"/>
        <v>-2422779.02</v>
      </c>
      <c r="F166" s="29">
        <f>+F164+F133+F102</f>
        <v>822480.2</v>
      </c>
      <c r="G166" s="29">
        <f t="shared" si="26"/>
        <v>-73669.490000000005</v>
      </c>
      <c r="H166" s="29">
        <f t="shared" si="26"/>
        <v>251266.27</v>
      </c>
      <c r="I166" s="29">
        <f t="shared" si="26"/>
        <v>523505.91999999993</v>
      </c>
      <c r="J166" s="29">
        <f t="shared" si="26"/>
        <v>645600.4800000001</v>
      </c>
      <c r="K166" s="29">
        <f t="shared" si="26"/>
        <v>-788128.64000000013</v>
      </c>
      <c r="L166" s="29">
        <f t="shared" si="26"/>
        <v>71697.919999999998</v>
      </c>
      <c r="M166" s="29">
        <f t="shared" si="26"/>
        <v>4377762</v>
      </c>
      <c r="N166" s="18">
        <f>+N164+N103+N133+N102</f>
        <v>4563837.5900000008</v>
      </c>
    </row>
    <row r="167" spans="1:15">
      <c r="A167" s="5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7" t="s">
        <v>3</v>
      </c>
    </row>
    <row r="168" spans="1:15" ht="13.5" thickBot="1">
      <c r="A168" s="19" t="s">
        <v>93</v>
      </c>
      <c r="B168" s="28" t="s">
        <v>5</v>
      </c>
      <c r="C168" s="28" t="s">
        <v>6</v>
      </c>
      <c r="D168" s="28" t="s">
        <v>7</v>
      </c>
      <c r="E168" s="28" t="s">
        <v>8</v>
      </c>
      <c r="F168" s="28" t="s">
        <v>9</v>
      </c>
      <c r="G168" s="28" t="s">
        <v>10</v>
      </c>
      <c r="H168" s="28" t="s">
        <v>11</v>
      </c>
      <c r="I168" s="28" t="s">
        <v>12</v>
      </c>
      <c r="J168" s="28" t="s">
        <v>13</v>
      </c>
      <c r="K168" s="28" t="s">
        <v>14</v>
      </c>
      <c r="L168" s="28" t="s">
        <v>15</v>
      </c>
      <c r="M168" s="28" t="s">
        <v>16</v>
      </c>
      <c r="N168" s="10" t="s">
        <v>17</v>
      </c>
    </row>
    <row r="169" spans="1:15">
      <c r="A169" s="10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45"/>
    </row>
    <row r="170" spans="1:15">
      <c r="A170" s="20" t="s">
        <v>32</v>
      </c>
      <c r="B170" s="26">
        <f>77881.42-B204-B238</f>
        <v>77881.42</v>
      </c>
      <c r="C170" s="26">
        <f>2269102-C204-C238</f>
        <v>2212413</v>
      </c>
      <c r="D170" s="26">
        <f>248672-D204-D238</f>
        <v>236198</v>
      </c>
      <c r="E170" s="26">
        <f>-977595.92-E204-E238</f>
        <v>-977595.92</v>
      </c>
      <c r="F170" s="26">
        <f>13977.67-F204-F238</f>
        <v>23616.67</v>
      </c>
      <c r="G170" s="26">
        <f>1132285.68-G204-G238</f>
        <v>1112846.68</v>
      </c>
      <c r="H170" s="26">
        <f>476837.91-H204-H238</f>
        <v>476837.91</v>
      </c>
      <c r="I170" s="26">
        <f>79262.34-I204-I238</f>
        <v>78452.34</v>
      </c>
      <c r="J170" s="26">
        <f>121486.86-J204-J238</f>
        <v>108591.86</v>
      </c>
      <c r="K170" s="26">
        <f>86595.11-K204-K238</f>
        <v>78802.11</v>
      </c>
      <c r="L170" s="26">
        <f>94248.01-L204-L238</f>
        <v>96587.47</v>
      </c>
      <c r="M170" s="26">
        <f>-2621344.74-M204-M238</f>
        <v>-2621344.7400000002</v>
      </c>
      <c r="N170" s="13">
        <f>SUM(B170:M170)</f>
        <v>903286.79999999935</v>
      </c>
    </row>
    <row r="171" spans="1:15">
      <c r="A171" s="14" t="s">
        <v>33</v>
      </c>
      <c r="N171" s="13">
        <f>SUM(B171:M171)</f>
        <v>0</v>
      </c>
    </row>
    <row r="172" spans="1:15">
      <c r="A172" s="20" t="s">
        <v>34</v>
      </c>
      <c r="N172" s="13"/>
    </row>
    <row r="173" spans="1:15" ht="15">
      <c r="A173" s="60" t="s">
        <v>35</v>
      </c>
      <c r="B173" s="26">
        <v>0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13">
        <f>SUM(B173:M173)</f>
        <v>0</v>
      </c>
      <c r="O173"/>
    </row>
    <row r="174" spans="1:15" ht="15">
      <c r="A174" s="60" t="s">
        <v>94</v>
      </c>
      <c r="B174" s="26">
        <v>0</v>
      </c>
      <c r="C174" s="26"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13">
        <f t="shared" ref="N174:N188" si="27">SUM(B174:M174)</f>
        <v>0</v>
      </c>
      <c r="O174"/>
    </row>
    <row r="175" spans="1:15" ht="15">
      <c r="A175" s="60" t="s">
        <v>95</v>
      </c>
      <c r="B175" s="26">
        <v>0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13">
        <f t="shared" si="27"/>
        <v>0</v>
      </c>
      <c r="O175"/>
    </row>
    <row r="176" spans="1:15" ht="15">
      <c r="A176" s="60" t="s">
        <v>36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13">
        <f t="shared" si="27"/>
        <v>0</v>
      </c>
      <c r="O176"/>
    </row>
    <row r="177" spans="1:15" ht="15">
      <c r="A177" s="60" t="s">
        <v>55</v>
      </c>
      <c r="B177" s="26">
        <v>0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13">
        <f t="shared" si="27"/>
        <v>0</v>
      </c>
      <c r="O177"/>
    </row>
    <row r="178" spans="1:15" ht="15">
      <c r="A178" s="60" t="s">
        <v>83</v>
      </c>
      <c r="B178" s="26">
        <v>0</v>
      </c>
      <c r="C178" s="26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13">
        <f t="shared" si="27"/>
        <v>0</v>
      </c>
      <c r="O178"/>
    </row>
    <row r="179" spans="1:15" ht="15">
      <c r="A179" s="60" t="s">
        <v>37</v>
      </c>
      <c r="B179" s="26">
        <v>0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13">
        <f t="shared" si="27"/>
        <v>0</v>
      </c>
      <c r="O179"/>
    </row>
    <row r="180" spans="1:15" ht="15">
      <c r="A180" s="60" t="s">
        <v>38</v>
      </c>
      <c r="B180" s="26">
        <v>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13">
        <f t="shared" si="27"/>
        <v>0</v>
      </c>
      <c r="O180"/>
    </row>
    <row r="181" spans="1:15" ht="15">
      <c r="A181" s="60" t="s">
        <v>84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13">
        <f t="shared" si="27"/>
        <v>0</v>
      </c>
      <c r="O181"/>
    </row>
    <row r="182" spans="1:15" ht="15">
      <c r="A182" s="60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13">
        <f t="shared" si="27"/>
        <v>0</v>
      </c>
      <c r="O182"/>
    </row>
    <row r="183" spans="1:15" ht="15">
      <c r="A183" s="60" t="s">
        <v>96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13">
        <f t="shared" si="27"/>
        <v>0</v>
      </c>
      <c r="O183"/>
    </row>
    <row r="184" spans="1:15" ht="15">
      <c r="A184" s="60" t="s">
        <v>85</v>
      </c>
      <c r="B184" s="26">
        <v>0</v>
      </c>
      <c r="C184" s="26">
        <v>0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13">
        <f t="shared" si="27"/>
        <v>0</v>
      </c>
      <c r="O184"/>
    </row>
    <row r="185" spans="1:15" ht="17.25" customHeight="1">
      <c r="A185" s="60" t="s">
        <v>97</v>
      </c>
      <c r="B185" s="26">
        <v>0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13">
        <f t="shared" si="27"/>
        <v>0</v>
      </c>
      <c r="O185"/>
    </row>
    <row r="186" spans="1:15" ht="17.25" customHeight="1">
      <c r="A186" s="60" t="s">
        <v>98</v>
      </c>
      <c r="B186" s="26">
        <v>0</v>
      </c>
      <c r="C186" s="26">
        <v>12000</v>
      </c>
      <c r="D186" s="26">
        <v>0</v>
      </c>
      <c r="E186" s="26">
        <v>0</v>
      </c>
      <c r="F186" s="26">
        <v>0</v>
      </c>
      <c r="G186" s="26">
        <v>3920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13">
        <f t="shared" si="27"/>
        <v>15920</v>
      </c>
      <c r="O186"/>
    </row>
    <row r="187" spans="1:15" ht="17.25" customHeight="1">
      <c r="A187" s="60" t="s">
        <v>40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13">
        <f t="shared" si="27"/>
        <v>0</v>
      </c>
      <c r="O187"/>
    </row>
    <row r="188" spans="1:15" ht="17.25" customHeight="1">
      <c r="A188" s="60" t="s">
        <v>41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13">
        <f t="shared" si="27"/>
        <v>0</v>
      </c>
      <c r="O188"/>
    </row>
    <row r="189" spans="1:15" ht="17.25" customHeight="1">
      <c r="A189" s="60" t="s">
        <v>64</v>
      </c>
      <c r="B189" s="26">
        <v>0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13">
        <f>SUM(B189:M189)</f>
        <v>0</v>
      </c>
      <c r="O189"/>
    </row>
    <row r="190" spans="1:15" ht="17.25" customHeight="1">
      <c r="A190" s="60" t="s">
        <v>86</v>
      </c>
      <c r="B190" s="26">
        <v>0</v>
      </c>
      <c r="C190" s="26">
        <v>0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13">
        <f t="shared" ref="N190:N203" si="28">SUM(B190:M190)</f>
        <v>0</v>
      </c>
      <c r="O190"/>
    </row>
    <row r="191" spans="1:15" ht="17.25" customHeight="1">
      <c r="A191" s="60" t="s">
        <v>87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13">
        <f t="shared" si="28"/>
        <v>0</v>
      </c>
      <c r="O191"/>
    </row>
    <row r="192" spans="1:15" ht="17.25" customHeight="1">
      <c r="A192" s="60" t="s">
        <v>99</v>
      </c>
      <c r="B192" s="26">
        <v>0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13">
        <f t="shared" si="28"/>
        <v>0</v>
      </c>
      <c r="O192"/>
    </row>
    <row r="193" spans="1:15" ht="17.25" customHeight="1">
      <c r="A193" s="60" t="s">
        <v>43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13">
        <f t="shared" si="28"/>
        <v>0</v>
      </c>
      <c r="O193"/>
    </row>
    <row r="194" spans="1:15" ht="17.25" customHeight="1">
      <c r="A194" s="60" t="s">
        <v>100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13">
        <f t="shared" si="28"/>
        <v>0</v>
      </c>
      <c r="O194"/>
    </row>
    <row r="195" spans="1:15" ht="15">
      <c r="A195" s="60" t="s">
        <v>101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13">
        <f t="shared" si="28"/>
        <v>0</v>
      </c>
      <c r="O195"/>
    </row>
    <row r="196" spans="1:15" ht="15">
      <c r="A196" s="60" t="s">
        <v>102</v>
      </c>
      <c r="B196" s="26">
        <v>0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13">
        <f t="shared" si="28"/>
        <v>0</v>
      </c>
      <c r="O196"/>
    </row>
    <row r="197" spans="1:15" ht="15">
      <c r="A197" s="60" t="s">
        <v>73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13">
        <f t="shared" si="28"/>
        <v>0</v>
      </c>
      <c r="O197"/>
    </row>
    <row r="198" spans="1:15" ht="15">
      <c r="A198" s="60" t="s">
        <v>74</v>
      </c>
      <c r="B198" s="26">
        <v>0</v>
      </c>
      <c r="C198" s="26">
        <v>0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13">
        <f t="shared" si="28"/>
        <v>0</v>
      </c>
      <c r="O198"/>
    </row>
    <row r="199" spans="1:15" ht="15">
      <c r="A199" s="60" t="s">
        <v>45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13">
        <f t="shared" si="28"/>
        <v>0</v>
      </c>
      <c r="O199"/>
    </row>
    <row r="200" spans="1:15" ht="15">
      <c r="A200" s="60" t="s">
        <v>46</v>
      </c>
      <c r="B200" s="26">
        <v>0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13">
        <f t="shared" si="28"/>
        <v>0</v>
      </c>
      <c r="O200"/>
    </row>
    <row r="201" spans="1:15" ht="15">
      <c r="A201" s="60" t="s">
        <v>75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13">
        <f t="shared" si="28"/>
        <v>0</v>
      </c>
      <c r="O201"/>
    </row>
    <row r="202" spans="1:15" ht="15">
      <c r="A202" s="60" t="s">
        <v>47</v>
      </c>
      <c r="B202" s="26">
        <v>0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13">
        <f t="shared" si="28"/>
        <v>0</v>
      </c>
      <c r="O202"/>
    </row>
    <row r="203" spans="1:15" ht="15">
      <c r="A203" s="60" t="s">
        <v>88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13">
        <f t="shared" si="28"/>
        <v>0</v>
      </c>
      <c r="O203"/>
    </row>
    <row r="204" spans="1:15">
      <c r="A204" s="14" t="s">
        <v>71</v>
      </c>
      <c r="B204" s="26">
        <f>SUM(B173:B203)</f>
        <v>0</v>
      </c>
      <c r="C204" s="26">
        <f>SUM(C173:C203)</f>
        <v>12000</v>
      </c>
      <c r="D204" s="26">
        <f t="shared" ref="D204:M204" si="29">SUM(D173:D203)</f>
        <v>0</v>
      </c>
      <c r="E204" s="26">
        <f t="shared" si="29"/>
        <v>0</v>
      </c>
      <c r="F204" s="26">
        <f t="shared" si="29"/>
        <v>0</v>
      </c>
      <c r="G204" s="26">
        <f t="shared" si="29"/>
        <v>3920</v>
      </c>
      <c r="H204" s="26">
        <f t="shared" si="29"/>
        <v>0</v>
      </c>
      <c r="I204" s="26">
        <f t="shared" si="29"/>
        <v>0</v>
      </c>
      <c r="J204" s="26">
        <f t="shared" si="29"/>
        <v>0</v>
      </c>
      <c r="K204" s="26">
        <f t="shared" si="29"/>
        <v>0</v>
      </c>
      <c r="L204" s="26">
        <f t="shared" si="29"/>
        <v>0</v>
      </c>
      <c r="M204" s="26">
        <f t="shared" si="29"/>
        <v>0</v>
      </c>
      <c r="N204" s="13">
        <f>SUM(N173:N203)</f>
        <v>15920</v>
      </c>
    </row>
    <row r="205" spans="1:15">
      <c r="A205" s="14"/>
      <c r="N205" s="13"/>
    </row>
    <row r="206" spans="1:15">
      <c r="A206" s="20" t="s">
        <v>72</v>
      </c>
      <c r="N206" s="13"/>
    </row>
    <row r="207" spans="1:15" ht="15">
      <c r="A207" s="60" t="s">
        <v>35</v>
      </c>
      <c r="B207" s="26">
        <v>0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13">
        <f>SUM(B207:M207)</f>
        <v>0</v>
      </c>
      <c r="O207"/>
    </row>
    <row r="208" spans="1:15" ht="15">
      <c r="A208" s="60" t="s">
        <v>94</v>
      </c>
      <c r="B208" s="26">
        <v>0</v>
      </c>
      <c r="C208" s="26"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13">
        <f t="shared" ref="N208:N238" si="30">SUM(B208:M208)</f>
        <v>0</v>
      </c>
      <c r="O208"/>
    </row>
    <row r="209" spans="1:15" ht="15">
      <c r="A209" s="60" t="s">
        <v>95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13">
        <f t="shared" si="30"/>
        <v>0</v>
      </c>
      <c r="O209"/>
    </row>
    <row r="210" spans="1:15" ht="15">
      <c r="A210" s="60" t="s">
        <v>36</v>
      </c>
      <c r="B210" s="26">
        <v>0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13">
        <f t="shared" si="30"/>
        <v>0</v>
      </c>
      <c r="O210"/>
    </row>
    <row r="211" spans="1:15" ht="15">
      <c r="A211" s="60" t="s">
        <v>55</v>
      </c>
      <c r="B211" s="26">
        <v>0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13">
        <f t="shared" si="30"/>
        <v>0</v>
      </c>
      <c r="O211"/>
    </row>
    <row r="212" spans="1:15" ht="15">
      <c r="A212" s="60" t="s">
        <v>83</v>
      </c>
      <c r="B212" s="26">
        <v>0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13">
        <f t="shared" si="30"/>
        <v>0</v>
      </c>
      <c r="O212"/>
    </row>
    <row r="213" spans="1:15" ht="15">
      <c r="A213" s="60" t="s">
        <v>37</v>
      </c>
      <c r="B213" s="26">
        <v>0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13">
        <f t="shared" si="30"/>
        <v>0</v>
      </c>
      <c r="O213"/>
    </row>
    <row r="214" spans="1:15" ht="15">
      <c r="A214" s="60" t="s">
        <v>38</v>
      </c>
      <c r="B214" s="26">
        <v>0</v>
      </c>
      <c r="C214" s="26">
        <v>0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13">
        <f t="shared" si="30"/>
        <v>0</v>
      </c>
      <c r="O214"/>
    </row>
    <row r="215" spans="1:15" ht="15">
      <c r="A215" s="60" t="s">
        <v>84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13">
        <f t="shared" si="30"/>
        <v>0</v>
      </c>
      <c r="O215"/>
    </row>
    <row r="216" spans="1:15" ht="15">
      <c r="A216" s="60" t="s">
        <v>39</v>
      </c>
      <c r="B216" s="26">
        <v>0</v>
      </c>
      <c r="C216" s="26">
        <v>0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13">
        <f t="shared" si="30"/>
        <v>0</v>
      </c>
      <c r="O216"/>
    </row>
    <row r="217" spans="1:15" ht="15">
      <c r="A217" s="60" t="s">
        <v>96</v>
      </c>
      <c r="B217" s="26">
        <v>0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13">
        <f t="shared" si="30"/>
        <v>0</v>
      </c>
      <c r="O217"/>
    </row>
    <row r="218" spans="1:15" ht="15">
      <c r="A218" s="60" t="s">
        <v>85</v>
      </c>
      <c r="B218" s="26">
        <v>0</v>
      </c>
      <c r="C218" s="26"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13">
        <f t="shared" si="30"/>
        <v>0</v>
      </c>
      <c r="O218"/>
    </row>
    <row r="219" spans="1:15" ht="15">
      <c r="A219" s="60" t="s">
        <v>97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-2339.46</v>
      </c>
      <c r="M219" s="26">
        <v>0</v>
      </c>
      <c r="N219" s="13">
        <f t="shared" si="30"/>
        <v>-2339.46</v>
      </c>
      <c r="O219" s="44"/>
    </row>
    <row r="220" spans="1:15" ht="15">
      <c r="A220" s="60" t="s">
        <v>98</v>
      </c>
      <c r="B220" s="26">
        <v>0</v>
      </c>
      <c r="C220" s="26">
        <v>44689</v>
      </c>
      <c r="D220" s="26">
        <v>12474</v>
      </c>
      <c r="E220" s="26">
        <v>0</v>
      </c>
      <c r="F220" s="26">
        <v>-9639</v>
      </c>
      <c r="G220" s="26">
        <v>15519</v>
      </c>
      <c r="H220" s="26">
        <v>0</v>
      </c>
      <c r="I220" s="26">
        <v>810</v>
      </c>
      <c r="J220" s="26">
        <v>12895</v>
      </c>
      <c r="K220" s="26">
        <v>7793</v>
      </c>
      <c r="L220" s="26">
        <v>0</v>
      </c>
      <c r="M220" s="26">
        <v>0</v>
      </c>
      <c r="N220" s="13">
        <f t="shared" si="30"/>
        <v>84541</v>
      </c>
      <c r="O220" s="44"/>
    </row>
    <row r="221" spans="1:15" ht="15">
      <c r="A221" s="60" t="s">
        <v>40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13">
        <f t="shared" si="30"/>
        <v>0</v>
      </c>
      <c r="O221" s="44"/>
    </row>
    <row r="222" spans="1:15" ht="17.25" customHeight="1">
      <c r="A222" s="60" t="s">
        <v>41</v>
      </c>
      <c r="B222" s="26">
        <v>0</v>
      </c>
      <c r="C222" s="26"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13">
        <f t="shared" si="30"/>
        <v>0</v>
      </c>
      <c r="O222"/>
    </row>
    <row r="223" spans="1:15" ht="17.25" customHeight="1">
      <c r="A223" s="60" t="s">
        <v>64</v>
      </c>
      <c r="B223" s="26">
        <v>0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13">
        <f t="shared" si="30"/>
        <v>0</v>
      </c>
      <c r="O223"/>
    </row>
    <row r="224" spans="1:15" ht="17.25" customHeight="1">
      <c r="A224" s="60" t="s">
        <v>86</v>
      </c>
      <c r="B224" s="26">
        <v>0</v>
      </c>
      <c r="C224" s="26">
        <v>0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13">
        <f t="shared" si="30"/>
        <v>0</v>
      </c>
      <c r="O224"/>
    </row>
    <row r="225" spans="1:15" ht="17.25" customHeight="1">
      <c r="A225" s="60" t="s">
        <v>87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13">
        <f t="shared" si="30"/>
        <v>0</v>
      </c>
      <c r="O225"/>
    </row>
    <row r="226" spans="1:15" ht="17.25" customHeight="1">
      <c r="A226" s="60" t="s">
        <v>99</v>
      </c>
      <c r="B226" s="26">
        <v>0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13">
        <f t="shared" si="30"/>
        <v>0</v>
      </c>
      <c r="O226"/>
    </row>
    <row r="227" spans="1:15" ht="17.25" customHeight="1">
      <c r="A227" s="60" t="s">
        <v>43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13">
        <f t="shared" si="30"/>
        <v>0</v>
      </c>
      <c r="O227"/>
    </row>
    <row r="228" spans="1:15" ht="17.25" customHeight="1">
      <c r="A228" s="60" t="s">
        <v>100</v>
      </c>
      <c r="B228" s="26">
        <v>0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13">
        <f t="shared" si="30"/>
        <v>0</v>
      </c>
      <c r="O228"/>
    </row>
    <row r="229" spans="1:15" ht="15">
      <c r="A229" s="60" t="s">
        <v>101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13">
        <f t="shared" si="30"/>
        <v>0</v>
      </c>
      <c r="O229"/>
    </row>
    <row r="230" spans="1:15" ht="15">
      <c r="A230" s="60" t="s">
        <v>102</v>
      </c>
      <c r="B230" s="26">
        <v>0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13">
        <f t="shared" si="30"/>
        <v>0</v>
      </c>
      <c r="O230"/>
    </row>
    <row r="231" spans="1:15" ht="15">
      <c r="A231" s="60" t="s">
        <v>73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13">
        <f t="shared" si="30"/>
        <v>0</v>
      </c>
      <c r="O231"/>
    </row>
    <row r="232" spans="1:15" ht="15">
      <c r="A232" s="60" t="s">
        <v>74</v>
      </c>
      <c r="B232" s="26">
        <v>0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13">
        <f t="shared" si="30"/>
        <v>0</v>
      </c>
      <c r="O232"/>
    </row>
    <row r="233" spans="1:15" ht="15">
      <c r="A233" s="60" t="s">
        <v>45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13">
        <f t="shared" si="30"/>
        <v>0</v>
      </c>
      <c r="O233"/>
    </row>
    <row r="234" spans="1:15" ht="15">
      <c r="A234" s="60" t="s">
        <v>46</v>
      </c>
      <c r="B234" s="26">
        <v>0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13">
        <f t="shared" si="30"/>
        <v>0</v>
      </c>
      <c r="O234"/>
    </row>
    <row r="235" spans="1:15" ht="15">
      <c r="A235" s="60" t="s">
        <v>75</v>
      </c>
      <c r="B235" s="26">
        <v>0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13">
        <f t="shared" si="30"/>
        <v>0</v>
      </c>
      <c r="O235"/>
    </row>
    <row r="236" spans="1:15" ht="15">
      <c r="A236" s="60" t="s">
        <v>47</v>
      </c>
      <c r="B236" s="26">
        <v>0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13">
        <f t="shared" si="30"/>
        <v>0</v>
      </c>
      <c r="O236"/>
    </row>
    <row r="237" spans="1:15" ht="15">
      <c r="A237" s="60" t="s">
        <v>88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13">
        <f t="shared" si="30"/>
        <v>0</v>
      </c>
      <c r="O237"/>
    </row>
    <row r="238" spans="1:15">
      <c r="A238" s="14" t="s">
        <v>71</v>
      </c>
      <c r="B238" s="26">
        <f>SUM(B207:B237)</f>
        <v>0</v>
      </c>
      <c r="C238" s="26">
        <f t="shared" ref="C238:M238" si="31">SUM(C207:C237)</f>
        <v>44689</v>
      </c>
      <c r="D238" s="26">
        <f t="shared" si="31"/>
        <v>12474</v>
      </c>
      <c r="E238" s="26">
        <f t="shared" si="31"/>
        <v>0</v>
      </c>
      <c r="F238" s="26">
        <f t="shared" si="31"/>
        <v>-9639</v>
      </c>
      <c r="G238" s="26">
        <f t="shared" si="31"/>
        <v>15519</v>
      </c>
      <c r="H238" s="26">
        <f t="shared" si="31"/>
        <v>0</v>
      </c>
      <c r="I238" s="26">
        <f t="shared" si="31"/>
        <v>810</v>
      </c>
      <c r="J238" s="26">
        <f t="shared" si="31"/>
        <v>12895</v>
      </c>
      <c r="K238" s="26">
        <f t="shared" si="31"/>
        <v>7793</v>
      </c>
      <c r="L238" s="26">
        <f t="shared" si="31"/>
        <v>-2339.46</v>
      </c>
      <c r="M238" s="26">
        <f t="shared" si="31"/>
        <v>0</v>
      </c>
      <c r="N238" s="13">
        <f t="shared" si="30"/>
        <v>82201.539999999994</v>
      </c>
    </row>
    <row r="239" spans="1:15">
      <c r="A239" s="14"/>
      <c r="N239" s="13"/>
    </row>
    <row r="240" spans="1:15" ht="16.5" thickBot="1">
      <c r="A240" s="17" t="s">
        <v>28</v>
      </c>
      <c r="B240" s="29">
        <f t="shared" ref="B240:M240" si="32">+B238+B204+B170</f>
        <v>77881.42</v>
      </c>
      <c r="C240" s="29">
        <f t="shared" si="32"/>
        <v>2269102</v>
      </c>
      <c r="D240" s="29">
        <f t="shared" si="32"/>
        <v>248672</v>
      </c>
      <c r="E240" s="29">
        <f t="shared" si="32"/>
        <v>-977595.92</v>
      </c>
      <c r="F240" s="29">
        <f t="shared" si="32"/>
        <v>13977.669999999998</v>
      </c>
      <c r="G240" s="29">
        <f t="shared" si="32"/>
        <v>1132285.68</v>
      </c>
      <c r="H240" s="29">
        <f t="shared" si="32"/>
        <v>476837.91</v>
      </c>
      <c r="I240" s="29">
        <f t="shared" si="32"/>
        <v>79262.34</v>
      </c>
      <c r="J240" s="29">
        <f t="shared" si="32"/>
        <v>121486.86</v>
      </c>
      <c r="K240" s="29">
        <f t="shared" si="32"/>
        <v>86595.11</v>
      </c>
      <c r="L240" s="29">
        <f t="shared" si="32"/>
        <v>94248.01</v>
      </c>
      <c r="M240" s="29">
        <f t="shared" si="32"/>
        <v>-2621344.7400000002</v>
      </c>
      <c r="N240" s="18">
        <f>+N238+N171+N204+N170</f>
        <v>1001408.3399999994</v>
      </c>
    </row>
    <row r="241" spans="1:15" ht="16.5" thickBot="1">
      <c r="A241" s="4"/>
    </row>
    <row r="242" spans="1:15">
      <c r="A242" s="5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7" t="s">
        <v>3</v>
      </c>
    </row>
    <row r="243" spans="1:15" ht="13.5" thickBot="1">
      <c r="A243" s="19" t="s">
        <v>103</v>
      </c>
      <c r="B243" s="28" t="s">
        <v>5</v>
      </c>
      <c r="C243" s="28" t="s">
        <v>6</v>
      </c>
      <c r="D243" s="28" t="s">
        <v>7</v>
      </c>
      <c r="E243" s="28" t="s">
        <v>8</v>
      </c>
      <c r="F243" s="28" t="s">
        <v>9</v>
      </c>
      <c r="G243" s="28" t="s">
        <v>10</v>
      </c>
      <c r="H243" s="28" t="s">
        <v>11</v>
      </c>
      <c r="I243" s="28" t="s">
        <v>12</v>
      </c>
      <c r="J243" s="28" t="s">
        <v>13</v>
      </c>
      <c r="K243" s="28" t="s">
        <v>14</v>
      </c>
      <c r="L243" s="28" t="s">
        <v>15</v>
      </c>
      <c r="M243" s="28" t="s">
        <v>16</v>
      </c>
      <c r="N243" s="10" t="s">
        <v>17</v>
      </c>
    </row>
    <row r="244" spans="1:15">
      <c r="A244" s="10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45"/>
    </row>
    <row r="245" spans="1:15">
      <c r="A245" s="20" t="s">
        <v>32</v>
      </c>
      <c r="B245" s="26">
        <f>1666.53-B270-B295</f>
        <v>1666.53</v>
      </c>
      <c r="C245" s="26">
        <f>17809-C270-C295</f>
        <v>17809</v>
      </c>
      <c r="D245" s="26">
        <f>207400-D270-D295</f>
        <v>207400</v>
      </c>
      <c r="E245" s="26">
        <f>-15162.75-E270-E295</f>
        <v>-15162.75</v>
      </c>
      <c r="F245" s="26">
        <f>29709.86-F270-F295</f>
        <v>29709.86</v>
      </c>
      <c r="G245" s="26">
        <f>18199.05-G270-G295</f>
        <v>18199.05</v>
      </c>
      <c r="H245" s="26">
        <f>48876.43-H270-H295</f>
        <v>48876.43</v>
      </c>
      <c r="I245" s="26">
        <f>15388.19-I270-I295</f>
        <v>15388.19</v>
      </c>
      <c r="J245" s="26">
        <f>96013.55-J270-J295</f>
        <v>96013.55</v>
      </c>
      <c r="K245" s="26">
        <f>19325.68-K270-K295</f>
        <v>19325.68</v>
      </c>
      <c r="L245" s="26">
        <f>19971.86-L270-L295</f>
        <v>19971.86</v>
      </c>
      <c r="M245" s="26">
        <f>21610.8-M270-M295</f>
        <v>21610.799999999999</v>
      </c>
      <c r="N245" s="13">
        <f>SUM(B245:M245)</f>
        <v>480808.19999999995</v>
      </c>
    </row>
    <row r="246" spans="1:15">
      <c r="A246" s="14" t="s">
        <v>33</v>
      </c>
      <c r="N246" s="13">
        <f>SUM(B246:M246)</f>
        <v>0</v>
      </c>
    </row>
    <row r="247" spans="1:15">
      <c r="A247" s="20" t="s">
        <v>34</v>
      </c>
      <c r="N247" s="13"/>
    </row>
    <row r="248" spans="1:15" ht="15">
      <c r="A248" s="60" t="s">
        <v>104</v>
      </c>
      <c r="B248" s="26">
        <v>0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13">
        <f t="shared" ref="N248:N263" si="33">SUM(B248:M248)</f>
        <v>0</v>
      </c>
      <c r="O248"/>
    </row>
    <row r="249" spans="1:15" ht="15">
      <c r="A249" s="60" t="s">
        <v>105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13">
        <f t="shared" si="33"/>
        <v>0</v>
      </c>
      <c r="O249"/>
    </row>
    <row r="250" spans="1:15" ht="15">
      <c r="A250" s="60" t="s">
        <v>106</v>
      </c>
      <c r="B250" s="26">
        <v>0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13">
        <f t="shared" si="33"/>
        <v>0</v>
      </c>
      <c r="O250"/>
    </row>
    <row r="251" spans="1:15" ht="15">
      <c r="A251" s="60" t="s">
        <v>107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13">
        <f t="shared" si="33"/>
        <v>0</v>
      </c>
      <c r="O251"/>
    </row>
    <row r="252" spans="1:15" ht="15">
      <c r="A252" s="60" t="s">
        <v>108</v>
      </c>
      <c r="B252" s="26">
        <v>0</v>
      </c>
      <c r="C252" s="26">
        <v>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13">
        <f t="shared" si="33"/>
        <v>0</v>
      </c>
      <c r="O252"/>
    </row>
    <row r="253" spans="1:15" ht="15">
      <c r="A253" s="60" t="s">
        <v>109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13">
        <f t="shared" si="33"/>
        <v>0</v>
      </c>
      <c r="O253"/>
    </row>
    <row r="254" spans="1:15" ht="15">
      <c r="A254" s="60" t="s">
        <v>110</v>
      </c>
      <c r="B254" s="26">
        <v>0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13">
        <f t="shared" si="33"/>
        <v>0</v>
      </c>
      <c r="O254"/>
    </row>
    <row r="255" spans="1:15" ht="15">
      <c r="A255" s="60" t="s">
        <v>111</v>
      </c>
      <c r="B255" s="26">
        <v>0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13">
        <f t="shared" si="33"/>
        <v>0</v>
      </c>
      <c r="O255"/>
    </row>
    <row r="256" spans="1:15" ht="15">
      <c r="A256" s="60" t="s">
        <v>112</v>
      </c>
      <c r="B256" s="26">
        <v>0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13">
        <f t="shared" si="33"/>
        <v>0</v>
      </c>
      <c r="O256"/>
    </row>
    <row r="257" spans="1:15" ht="15">
      <c r="A257" s="60" t="s">
        <v>113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13">
        <f t="shared" si="33"/>
        <v>0</v>
      </c>
      <c r="O257"/>
    </row>
    <row r="258" spans="1:15" ht="15">
      <c r="A258" s="60" t="s">
        <v>114</v>
      </c>
      <c r="B258" s="26">
        <v>0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13">
        <f t="shared" si="33"/>
        <v>0</v>
      </c>
      <c r="O258"/>
    </row>
    <row r="259" spans="1:15" ht="15">
      <c r="A259" s="60" t="s">
        <v>115</v>
      </c>
      <c r="B259" s="26">
        <v>0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13">
        <f t="shared" si="33"/>
        <v>0</v>
      </c>
      <c r="O259"/>
    </row>
    <row r="260" spans="1:15" ht="17.25" customHeight="1">
      <c r="A260" s="60" t="s">
        <v>116</v>
      </c>
      <c r="B260" s="26">
        <v>0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13">
        <f t="shared" si="33"/>
        <v>0</v>
      </c>
      <c r="O260"/>
    </row>
    <row r="261" spans="1:15" ht="17.25" customHeight="1">
      <c r="A261" s="60" t="s">
        <v>117</v>
      </c>
      <c r="B261" s="26">
        <v>0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13">
        <f t="shared" si="33"/>
        <v>0</v>
      </c>
      <c r="O261"/>
    </row>
    <row r="262" spans="1:15" ht="17.25" customHeight="1">
      <c r="A262" s="60" t="s">
        <v>118</v>
      </c>
      <c r="B262" s="26">
        <v>0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13">
        <f t="shared" si="33"/>
        <v>0</v>
      </c>
      <c r="O262"/>
    </row>
    <row r="263" spans="1:15" ht="17.25" customHeight="1">
      <c r="A263" s="60" t="s">
        <v>119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13">
        <f t="shared" si="33"/>
        <v>0</v>
      </c>
      <c r="O263"/>
    </row>
    <row r="264" spans="1:15" ht="17.25" customHeight="1">
      <c r="A264" s="60" t="s">
        <v>120</v>
      </c>
      <c r="B264" s="26">
        <v>0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13">
        <f>SUM(B264:M264)</f>
        <v>0</v>
      </c>
      <c r="O264"/>
    </row>
    <row r="265" spans="1:15" ht="17.25" customHeight="1">
      <c r="A265" s="60" t="s">
        <v>121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13">
        <f t="shared" ref="N265:N269" si="34">SUM(B265:M265)</f>
        <v>0</v>
      </c>
      <c r="O265"/>
    </row>
    <row r="266" spans="1:15" ht="17.25" customHeight="1">
      <c r="A266" s="60" t="s">
        <v>122</v>
      </c>
      <c r="B266" s="26">
        <v>0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13">
        <f t="shared" si="34"/>
        <v>0</v>
      </c>
      <c r="O266"/>
    </row>
    <row r="267" spans="1:15" ht="17.25" customHeight="1">
      <c r="A267" s="60" t="s">
        <v>123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13">
        <f t="shared" si="34"/>
        <v>0</v>
      </c>
      <c r="O267"/>
    </row>
    <row r="268" spans="1:15" ht="17.25" customHeight="1">
      <c r="A268" s="60" t="s">
        <v>124</v>
      </c>
      <c r="B268" s="26">
        <v>0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13">
        <f t="shared" si="34"/>
        <v>0</v>
      </c>
      <c r="O268"/>
    </row>
    <row r="269" spans="1:15" ht="17.25" customHeight="1">
      <c r="A269" s="60" t="s">
        <v>125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13">
        <f t="shared" si="34"/>
        <v>0</v>
      </c>
      <c r="O269"/>
    </row>
    <row r="270" spans="1:15">
      <c r="A270" s="14" t="s">
        <v>71</v>
      </c>
      <c r="B270" s="26">
        <f>SUM(B248:B269)</f>
        <v>0</v>
      </c>
      <c r="C270" s="26">
        <f t="shared" ref="C270:N270" si="35">SUM(C248:C269)</f>
        <v>0</v>
      </c>
      <c r="D270" s="26">
        <f t="shared" si="35"/>
        <v>0</v>
      </c>
      <c r="E270" s="26">
        <f t="shared" si="35"/>
        <v>0</v>
      </c>
      <c r="F270" s="26">
        <f t="shared" si="35"/>
        <v>0</v>
      </c>
      <c r="G270" s="26">
        <f t="shared" si="35"/>
        <v>0</v>
      </c>
      <c r="H270" s="26">
        <f t="shared" si="35"/>
        <v>0</v>
      </c>
      <c r="I270" s="26">
        <f t="shared" si="35"/>
        <v>0</v>
      </c>
      <c r="J270" s="26">
        <f t="shared" si="35"/>
        <v>0</v>
      </c>
      <c r="K270" s="26">
        <f t="shared" si="35"/>
        <v>0</v>
      </c>
      <c r="L270" s="26">
        <f t="shared" si="35"/>
        <v>0</v>
      </c>
      <c r="M270" s="26">
        <f t="shared" si="35"/>
        <v>0</v>
      </c>
      <c r="N270" s="13">
        <f t="shared" si="35"/>
        <v>0</v>
      </c>
    </row>
    <row r="271" spans="1:15">
      <c r="A271" s="14"/>
      <c r="N271" s="13"/>
    </row>
    <row r="272" spans="1:15">
      <c r="A272" s="20" t="s">
        <v>72</v>
      </c>
      <c r="N272" s="13"/>
    </row>
    <row r="273" spans="1:15" ht="15">
      <c r="A273" s="60" t="s">
        <v>104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13">
        <f t="shared" ref="N273:N287" si="36">SUM(B273:M273)</f>
        <v>0</v>
      </c>
      <c r="O273"/>
    </row>
    <row r="274" spans="1:15" ht="15">
      <c r="A274" s="60" t="s">
        <v>105</v>
      </c>
      <c r="B274" s="26">
        <v>0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13">
        <f t="shared" si="36"/>
        <v>0</v>
      </c>
      <c r="O274"/>
    </row>
    <row r="275" spans="1:15" ht="15">
      <c r="A275" s="60" t="s">
        <v>106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13">
        <f t="shared" si="36"/>
        <v>0</v>
      </c>
      <c r="O275"/>
    </row>
    <row r="276" spans="1:15" ht="15">
      <c r="A276" s="60" t="s">
        <v>107</v>
      </c>
      <c r="B276" s="26">
        <v>0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13">
        <f t="shared" si="36"/>
        <v>0</v>
      </c>
      <c r="O276"/>
    </row>
    <row r="277" spans="1:15" ht="15">
      <c r="A277" s="60" t="s">
        <v>108</v>
      </c>
      <c r="B277" s="26">
        <v>0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13">
        <f t="shared" si="36"/>
        <v>0</v>
      </c>
      <c r="O277"/>
    </row>
    <row r="278" spans="1:15" ht="15">
      <c r="A278" s="60" t="s">
        <v>109</v>
      </c>
      <c r="B278" s="26">
        <v>0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13">
        <f t="shared" si="36"/>
        <v>0</v>
      </c>
      <c r="O278"/>
    </row>
    <row r="279" spans="1:15" ht="15">
      <c r="A279" s="60" t="s">
        <v>110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13">
        <f t="shared" si="36"/>
        <v>0</v>
      </c>
      <c r="O279"/>
    </row>
    <row r="280" spans="1:15" ht="15">
      <c r="A280" s="60" t="s">
        <v>111</v>
      </c>
      <c r="B280" s="26">
        <v>0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13">
        <f t="shared" si="36"/>
        <v>0</v>
      </c>
      <c r="O280"/>
    </row>
    <row r="281" spans="1:15" ht="15">
      <c r="A281" s="60" t="s">
        <v>112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13">
        <f t="shared" si="36"/>
        <v>0</v>
      </c>
      <c r="O281"/>
    </row>
    <row r="282" spans="1:15" ht="15">
      <c r="A282" s="60" t="s">
        <v>113</v>
      </c>
      <c r="B282" s="26">
        <v>0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13">
        <f t="shared" si="36"/>
        <v>0</v>
      </c>
      <c r="O282"/>
    </row>
    <row r="283" spans="1:15" ht="15">
      <c r="A283" s="60" t="s">
        <v>114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13">
        <f t="shared" si="36"/>
        <v>0</v>
      </c>
      <c r="O283"/>
    </row>
    <row r="284" spans="1:15" ht="15">
      <c r="A284" s="60" t="s">
        <v>115</v>
      </c>
      <c r="B284" s="26">
        <v>0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13">
        <f t="shared" si="36"/>
        <v>0</v>
      </c>
      <c r="O284"/>
    </row>
    <row r="285" spans="1:15" ht="15">
      <c r="A285" s="60" t="s">
        <v>116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13">
        <f t="shared" si="36"/>
        <v>0</v>
      </c>
      <c r="O285" s="44"/>
    </row>
    <row r="286" spans="1:15" ht="15">
      <c r="A286" s="60" t="s">
        <v>117</v>
      </c>
      <c r="B286" s="26">
        <v>0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13">
        <f t="shared" si="36"/>
        <v>0</v>
      </c>
      <c r="O286" s="44"/>
    </row>
    <row r="287" spans="1:15" ht="15">
      <c r="A287" s="60" t="s">
        <v>118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13">
        <f t="shared" si="36"/>
        <v>0</v>
      </c>
      <c r="O287" s="44"/>
    </row>
    <row r="288" spans="1:15" ht="17.25" customHeight="1">
      <c r="A288" s="60" t="s">
        <v>119</v>
      </c>
      <c r="B288" s="26">
        <v>0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13">
        <f>SUM(B288:M288)</f>
        <v>0</v>
      </c>
      <c r="O288"/>
    </row>
    <row r="289" spans="1:15" ht="17.25" customHeight="1">
      <c r="A289" s="60" t="s">
        <v>120</v>
      </c>
      <c r="B289" s="26">
        <v>0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13">
        <f>SUM(B289:M289)</f>
        <v>0</v>
      </c>
      <c r="O289"/>
    </row>
    <row r="290" spans="1:15" ht="17.25" customHeight="1">
      <c r="A290" s="60" t="s">
        <v>121</v>
      </c>
      <c r="B290" s="26">
        <v>0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13">
        <f>SUM(B290:M290)</f>
        <v>0</v>
      </c>
      <c r="O290"/>
    </row>
    <row r="291" spans="1:15" ht="17.25" customHeight="1">
      <c r="A291" s="60" t="s">
        <v>122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13">
        <f t="shared" ref="N291:N294" si="37">SUM(B291:M291)</f>
        <v>0</v>
      </c>
      <c r="O291"/>
    </row>
    <row r="292" spans="1:15" ht="17.25" customHeight="1">
      <c r="A292" s="60" t="s">
        <v>123</v>
      </c>
      <c r="B292" s="26">
        <v>0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13">
        <f t="shared" si="37"/>
        <v>0</v>
      </c>
      <c r="O292"/>
    </row>
    <row r="293" spans="1:15" ht="17.25" customHeight="1">
      <c r="A293" s="60" t="s">
        <v>124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13">
        <f t="shared" si="37"/>
        <v>0</v>
      </c>
      <c r="O293"/>
    </row>
    <row r="294" spans="1:15" ht="17.25" customHeight="1">
      <c r="A294" s="60" t="s">
        <v>125</v>
      </c>
      <c r="B294" s="26">
        <v>0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13">
        <f t="shared" si="37"/>
        <v>0</v>
      </c>
      <c r="O294"/>
    </row>
    <row r="295" spans="1:15">
      <c r="A295" s="14" t="s">
        <v>71</v>
      </c>
      <c r="B295" s="26">
        <f>SUM(B273:B294)</f>
        <v>0</v>
      </c>
      <c r="C295" s="26">
        <f t="shared" ref="C295:N295" si="38">SUM(C273:C294)</f>
        <v>0</v>
      </c>
      <c r="D295" s="26">
        <f t="shared" si="38"/>
        <v>0</v>
      </c>
      <c r="E295" s="26">
        <f t="shared" si="38"/>
        <v>0</v>
      </c>
      <c r="F295" s="26">
        <f t="shared" si="38"/>
        <v>0</v>
      </c>
      <c r="G295" s="26">
        <f t="shared" si="38"/>
        <v>0</v>
      </c>
      <c r="H295" s="26">
        <f t="shared" si="38"/>
        <v>0</v>
      </c>
      <c r="I295" s="26">
        <f t="shared" si="38"/>
        <v>0</v>
      </c>
      <c r="J295" s="26">
        <f t="shared" si="38"/>
        <v>0</v>
      </c>
      <c r="K295" s="26">
        <f t="shared" si="38"/>
        <v>0</v>
      </c>
      <c r="L295" s="26">
        <f t="shared" si="38"/>
        <v>0</v>
      </c>
      <c r="M295" s="26">
        <f t="shared" si="38"/>
        <v>0</v>
      </c>
      <c r="N295" s="13">
        <f t="shared" si="38"/>
        <v>0</v>
      </c>
    </row>
    <row r="296" spans="1:15">
      <c r="A296" s="14"/>
      <c r="N296" s="13"/>
    </row>
    <row r="297" spans="1:15" ht="16.5" thickBot="1">
      <c r="A297" s="17" t="s">
        <v>28</v>
      </c>
      <c r="B297" s="29">
        <f t="shared" ref="B297:M297" si="39">+B295+B270+B245</f>
        <v>1666.53</v>
      </c>
      <c r="C297" s="29">
        <f t="shared" si="39"/>
        <v>17809</v>
      </c>
      <c r="D297" s="29">
        <f t="shared" si="39"/>
        <v>207400</v>
      </c>
      <c r="E297" s="29">
        <f t="shared" si="39"/>
        <v>-15162.75</v>
      </c>
      <c r="F297" s="29">
        <f t="shared" si="39"/>
        <v>29709.86</v>
      </c>
      <c r="G297" s="29">
        <f t="shared" si="39"/>
        <v>18199.05</v>
      </c>
      <c r="H297" s="29">
        <f t="shared" si="39"/>
        <v>48876.43</v>
      </c>
      <c r="I297" s="29">
        <f t="shared" si="39"/>
        <v>15388.19</v>
      </c>
      <c r="J297" s="29">
        <f t="shared" si="39"/>
        <v>96013.55</v>
      </c>
      <c r="K297" s="29">
        <f t="shared" si="39"/>
        <v>19325.68</v>
      </c>
      <c r="L297" s="29">
        <f t="shared" si="39"/>
        <v>19971.86</v>
      </c>
      <c r="M297" s="29">
        <f t="shared" si="39"/>
        <v>21610.799999999999</v>
      </c>
      <c r="N297" s="18">
        <f>+N295+N246+N270+N245</f>
        <v>480808.19999999995</v>
      </c>
    </row>
    <row r="298" spans="1:15">
      <c r="A298" s="5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7" t="s">
        <v>3</v>
      </c>
    </row>
    <row r="299" spans="1:15" ht="13.5" thickBot="1">
      <c r="A299" s="19" t="s">
        <v>126</v>
      </c>
      <c r="B299" s="28" t="s">
        <v>5</v>
      </c>
      <c r="C299" s="28" t="s">
        <v>6</v>
      </c>
      <c r="D299" s="28" t="s">
        <v>7</v>
      </c>
      <c r="E299" s="28" t="s">
        <v>8</v>
      </c>
      <c r="F299" s="28" t="s">
        <v>9</v>
      </c>
      <c r="G299" s="28" t="s">
        <v>10</v>
      </c>
      <c r="H299" s="28" t="s">
        <v>11</v>
      </c>
      <c r="I299" s="28" t="s">
        <v>12</v>
      </c>
      <c r="J299" s="28" t="s">
        <v>13</v>
      </c>
      <c r="K299" s="28" t="s">
        <v>14</v>
      </c>
      <c r="L299" s="28" t="s">
        <v>15</v>
      </c>
      <c r="M299" s="28" t="s">
        <v>16</v>
      </c>
      <c r="N299" s="10" t="s">
        <v>17</v>
      </c>
    </row>
    <row r="300" spans="1:15">
      <c r="A300" s="10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45"/>
    </row>
    <row r="301" spans="1:15">
      <c r="A301" s="20" t="s">
        <v>32</v>
      </c>
      <c r="B301" s="26">
        <f>-173620.51-B328-B355</f>
        <v>-173620.51</v>
      </c>
      <c r="C301" s="26">
        <f>443039-C328-C355</f>
        <v>443039</v>
      </c>
      <c r="D301" s="26">
        <f>233801-D328-D355</f>
        <v>233801</v>
      </c>
      <c r="E301" s="26">
        <f>199662.04-E328-E355</f>
        <v>199662.04</v>
      </c>
      <c r="F301" s="26">
        <f>114405.38-F328-F355</f>
        <v>114405.38</v>
      </c>
      <c r="G301" s="26">
        <f>137591.97-G328-G355</f>
        <v>137591.97</v>
      </c>
      <c r="H301" s="26">
        <f>52418.82-H328-H355</f>
        <v>103522.76999999999</v>
      </c>
      <c r="I301" s="26">
        <f>-51303.12-I328-I355</f>
        <v>-51303.12</v>
      </c>
      <c r="J301" s="26">
        <f>74486.97-J328-J355</f>
        <v>74486.97</v>
      </c>
      <c r="K301" s="26">
        <f>253947.04-K328-K355</f>
        <v>253947.04</v>
      </c>
      <c r="L301" s="26">
        <f>-14864.08-L328-L355</f>
        <v>-14864.08</v>
      </c>
      <c r="M301" s="26">
        <f>285700.3-M328-M355</f>
        <v>285700.3</v>
      </c>
      <c r="N301" s="13">
        <f>SUM(B301:M301)</f>
        <v>1606368.76</v>
      </c>
    </row>
    <row r="302" spans="1:15">
      <c r="A302" s="14" t="s">
        <v>33</v>
      </c>
      <c r="N302" s="13">
        <f>SUM(B302:M302)</f>
        <v>0</v>
      </c>
    </row>
    <row r="303" spans="1:15">
      <c r="A303" s="20" t="s">
        <v>34</v>
      </c>
      <c r="N303" s="13"/>
    </row>
    <row r="304" spans="1:15" ht="15">
      <c r="A304" s="60" t="s">
        <v>127</v>
      </c>
      <c r="B304" s="26">
        <v>0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13">
        <f t="shared" ref="N304:N317" si="40">SUM(B304:M304)</f>
        <v>0</v>
      </c>
      <c r="O304"/>
    </row>
    <row r="305" spans="1:15" ht="15">
      <c r="A305" s="60" t="s">
        <v>104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13">
        <f t="shared" si="40"/>
        <v>0</v>
      </c>
      <c r="O305"/>
    </row>
    <row r="306" spans="1:15" ht="15">
      <c r="A306" s="60" t="s">
        <v>105</v>
      </c>
      <c r="B306" s="26">
        <v>0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13">
        <f t="shared" si="40"/>
        <v>0</v>
      </c>
      <c r="O306"/>
    </row>
    <row r="307" spans="1:15" ht="15">
      <c r="A307" s="60" t="s">
        <v>106</v>
      </c>
      <c r="B307" s="26">
        <v>0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13">
        <f t="shared" si="40"/>
        <v>0</v>
      </c>
      <c r="O307"/>
    </row>
    <row r="308" spans="1:15" ht="15">
      <c r="A308" s="60" t="s">
        <v>107</v>
      </c>
      <c r="B308" s="26">
        <v>0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13">
        <f t="shared" si="40"/>
        <v>0</v>
      </c>
      <c r="O308"/>
    </row>
    <row r="309" spans="1:15" ht="15">
      <c r="A309" s="60" t="s">
        <v>108</v>
      </c>
      <c r="B309" s="26">
        <v>0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13">
        <f t="shared" si="40"/>
        <v>0</v>
      </c>
      <c r="O309"/>
    </row>
    <row r="310" spans="1:15" ht="15">
      <c r="A310" s="60" t="s">
        <v>109</v>
      </c>
      <c r="B310" s="26">
        <v>0</v>
      </c>
      <c r="C310" s="26"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13">
        <f t="shared" si="40"/>
        <v>0</v>
      </c>
      <c r="O310"/>
    </row>
    <row r="311" spans="1:15" ht="15">
      <c r="A311" s="60" t="s">
        <v>110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13">
        <f t="shared" si="40"/>
        <v>0</v>
      </c>
      <c r="O311"/>
    </row>
    <row r="312" spans="1:15" ht="15">
      <c r="A312" s="60" t="s">
        <v>111</v>
      </c>
      <c r="B312" s="26">
        <v>0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13">
        <f t="shared" si="40"/>
        <v>0</v>
      </c>
      <c r="O312"/>
    </row>
    <row r="313" spans="1:15" ht="15">
      <c r="A313" s="60" t="s">
        <v>112</v>
      </c>
      <c r="B313" s="26">
        <v>0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13">
        <f t="shared" si="40"/>
        <v>0</v>
      </c>
      <c r="O313"/>
    </row>
    <row r="314" spans="1:15" ht="15">
      <c r="A314" s="60" t="s">
        <v>128</v>
      </c>
      <c r="B314" s="26">
        <v>0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13">
        <f t="shared" si="40"/>
        <v>0</v>
      </c>
      <c r="O314"/>
    </row>
    <row r="315" spans="1:15" ht="15">
      <c r="A315" s="60" t="s">
        <v>113</v>
      </c>
      <c r="B315" s="26">
        <v>0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13">
        <f t="shared" si="40"/>
        <v>0</v>
      </c>
      <c r="O315"/>
    </row>
    <row r="316" spans="1:15" ht="15">
      <c r="A316" s="60" t="s">
        <v>114</v>
      </c>
      <c r="B316" s="26">
        <v>0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13">
        <f t="shared" si="40"/>
        <v>0</v>
      </c>
      <c r="O316"/>
    </row>
    <row r="317" spans="1:15" ht="15">
      <c r="A317" s="60" t="s">
        <v>115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13">
        <f t="shared" si="40"/>
        <v>0</v>
      </c>
      <c r="O317"/>
    </row>
    <row r="318" spans="1:15" ht="17.25" customHeight="1">
      <c r="A318" s="60" t="s">
        <v>116</v>
      </c>
      <c r="B318" s="26">
        <v>0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13">
        <f t="shared" ref="N318:N321" si="41">SUM(B318:M318)</f>
        <v>0</v>
      </c>
      <c r="O318"/>
    </row>
    <row r="319" spans="1:15" ht="17.25" customHeight="1">
      <c r="A319" s="60" t="s">
        <v>117</v>
      </c>
      <c r="B319" s="26">
        <v>0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13">
        <f t="shared" si="41"/>
        <v>0</v>
      </c>
      <c r="O319"/>
    </row>
    <row r="320" spans="1:15" ht="17.25" customHeight="1">
      <c r="A320" s="60" t="s">
        <v>118</v>
      </c>
      <c r="B320" s="26">
        <v>0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13">
        <f t="shared" si="41"/>
        <v>0</v>
      </c>
      <c r="O320"/>
    </row>
    <row r="321" spans="1:15" ht="17.25" customHeight="1">
      <c r="A321" s="60" t="s">
        <v>119</v>
      </c>
      <c r="B321" s="26">
        <v>0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13">
        <f t="shared" si="41"/>
        <v>0</v>
      </c>
      <c r="O321"/>
    </row>
    <row r="322" spans="1:15" ht="17.25" customHeight="1">
      <c r="A322" s="60" t="s">
        <v>120</v>
      </c>
      <c r="B322" s="26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13">
        <f>SUM(B322:M322)</f>
        <v>0</v>
      </c>
      <c r="O322"/>
    </row>
    <row r="323" spans="1:15" ht="17.25" customHeight="1">
      <c r="A323" s="60" t="s">
        <v>121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13">
        <f t="shared" ref="N323:N324" si="42">SUM(B323:M323)</f>
        <v>0</v>
      </c>
      <c r="O323"/>
    </row>
    <row r="324" spans="1:15" ht="17.25" customHeight="1">
      <c r="A324" s="60" t="s">
        <v>122</v>
      </c>
      <c r="B324" s="26">
        <v>0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13">
        <f t="shared" si="42"/>
        <v>0</v>
      </c>
      <c r="O324"/>
    </row>
    <row r="325" spans="1:15" ht="17.25" customHeight="1">
      <c r="A325" s="60" t="s">
        <v>123</v>
      </c>
      <c r="B325" s="26">
        <v>0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13">
        <f t="shared" ref="N325" si="43">SUM(B325:M325)</f>
        <v>0</v>
      </c>
      <c r="O325"/>
    </row>
    <row r="326" spans="1:15" ht="17.25" customHeight="1">
      <c r="A326" s="60" t="s">
        <v>124</v>
      </c>
      <c r="B326" s="26">
        <v>0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13">
        <f t="shared" ref="N326" si="44">SUM(B326:M326)</f>
        <v>0</v>
      </c>
      <c r="O326"/>
    </row>
    <row r="327" spans="1:15" ht="17.25" customHeight="1">
      <c r="A327" s="60" t="s">
        <v>129</v>
      </c>
      <c r="B327" s="26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13">
        <f t="shared" ref="N327" si="45">SUM(B327:M327)</f>
        <v>0</v>
      </c>
      <c r="O327"/>
    </row>
    <row r="328" spans="1:15">
      <c r="A328" s="14" t="s">
        <v>71</v>
      </c>
      <c r="B328" s="26">
        <f t="shared" ref="B328:N328" si="46">SUM(B304:B327)</f>
        <v>0</v>
      </c>
      <c r="C328" s="26">
        <f t="shared" si="46"/>
        <v>0</v>
      </c>
      <c r="D328" s="26">
        <f t="shared" si="46"/>
        <v>0</v>
      </c>
      <c r="E328" s="26">
        <f t="shared" si="46"/>
        <v>0</v>
      </c>
      <c r="F328" s="26">
        <f t="shared" si="46"/>
        <v>0</v>
      </c>
      <c r="G328" s="26">
        <f t="shared" si="46"/>
        <v>0</v>
      </c>
      <c r="H328" s="26">
        <f t="shared" si="46"/>
        <v>0</v>
      </c>
      <c r="I328" s="26">
        <f t="shared" si="46"/>
        <v>0</v>
      </c>
      <c r="J328" s="26">
        <f t="shared" si="46"/>
        <v>0</v>
      </c>
      <c r="K328" s="26">
        <f t="shared" si="46"/>
        <v>0</v>
      </c>
      <c r="L328" s="26">
        <f t="shared" si="46"/>
        <v>0</v>
      </c>
      <c r="M328" s="26">
        <f t="shared" si="46"/>
        <v>0</v>
      </c>
      <c r="N328" s="13">
        <f t="shared" si="46"/>
        <v>0</v>
      </c>
    </row>
    <row r="329" spans="1:15">
      <c r="A329" s="14"/>
      <c r="N329" s="13"/>
    </row>
    <row r="330" spans="1:15">
      <c r="A330" s="20" t="s">
        <v>72</v>
      </c>
      <c r="N330" s="13"/>
    </row>
    <row r="331" spans="1:15" ht="15">
      <c r="A331" s="60" t="s">
        <v>127</v>
      </c>
      <c r="B331" s="26">
        <v>0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13">
        <f t="shared" ref="N331:N345" si="47">SUM(B331:M331)</f>
        <v>0</v>
      </c>
      <c r="O331"/>
    </row>
    <row r="332" spans="1:15" ht="15">
      <c r="A332" s="60" t="s">
        <v>104</v>
      </c>
      <c r="B332" s="26">
        <v>0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-51103.95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13">
        <f t="shared" si="47"/>
        <v>-51103.95</v>
      </c>
      <c r="O332"/>
    </row>
    <row r="333" spans="1:15" ht="15">
      <c r="A333" s="60" t="s">
        <v>105</v>
      </c>
      <c r="B333" s="26">
        <v>0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13">
        <f t="shared" si="47"/>
        <v>0</v>
      </c>
      <c r="O333"/>
    </row>
    <row r="334" spans="1:15" ht="15">
      <c r="A334" s="60" t="s">
        <v>106</v>
      </c>
      <c r="B334" s="26">
        <v>0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13">
        <f t="shared" si="47"/>
        <v>0</v>
      </c>
      <c r="O334"/>
    </row>
    <row r="335" spans="1:15" ht="15">
      <c r="A335" s="60" t="s">
        <v>107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13">
        <f t="shared" si="47"/>
        <v>0</v>
      </c>
      <c r="O335"/>
    </row>
    <row r="336" spans="1:15" ht="15">
      <c r="A336" s="60" t="s">
        <v>108</v>
      </c>
      <c r="B336" s="26">
        <v>0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13">
        <f t="shared" si="47"/>
        <v>0</v>
      </c>
      <c r="O336"/>
    </row>
    <row r="337" spans="1:15" ht="15">
      <c r="A337" s="60" t="s">
        <v>109</v>
      </c>
      <c r="B337" s="26">
        <v>0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13">
        <f t="shared" si="47"/>
        <v>0</v>
      </c>
      <c r="O337"/>
    </row>
    <row r="338" spans="1:15" ht="15">
      <c r="A338" s="60" t="s">
        <v>110</v>
      </c>
      <c r="B338" s="26">
        <v>0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13">
        <f t="shared" si="47"/>
        <v>0</v>
      </c>
      <c r="O338"/>
    </row>
    <row r="339" spans="1:15" ht="15">
      <c r="A339" s="60" t="s">
        <v>111</v>
      </c>
      <c r="B339" s="26">
        <v>0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13">
        <f t="shared" si="47"/>
        <v>0</v>
      </c>
      <c r="O339"/>
    </row>
    <row r="340" spans="1:15" ht="15">
      <c r="A340" s="60" t="s">
        <v>112</v>
      </c>
      <c r="B340" s="26">
        <v>0</v>
      </c>
      <c r="C340" s="26">
        <v>0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13">
        <f t="shared" si="47"/>
        <v>0</v>
      </c>
      <c r="O340"/>
    </row>
    <row r="341" spans="1:15" ht="15">
      <c r="A341" s="60" t="s">
        <v>128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13">
        <f t="shared" si="47"/>
        <v>0</v>
      </c>
      <c r="O341"/>
    </row>
    <row r="342" spans="1:15" ht="15">
      <c r="A342" s="60" t="s">
        <v>113</v>
      </c>
      <c r="B342" s="26">
        <v>0</v>
      </c>
      <c r="C342" s="26">
        <v>0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13">
        <f t="shared" si="47"/>
        <v>0</v>
      </c>
      <c r="O342"/>
    </row>
    <row r="343" spans="1:15" ht="15">
      <c r="A343" s="60" t="s">
        <v>114</v>
      </c>
      <c r="B343" s="26">
        <v>0</v>
      </c>
      <c r="C343" s="26">
        <v>0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13">
        <f t="shared" si="47"/>
        <v>0</v>
      </c>
      <c r="O343"/>
    </row>
    <row r="344" spans="1:15" ht="15">
      <c r="A344" s="60" t="s">
        <v>115</v>
      </c>
      <c r="B344" s="26">
        <v>0</v>
      </c>
      <c r="C344" s="26">
        <v>0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13">
        <f t="shared" si="47"/>
        <v>0</v>
      </c>
      <c r="O344"/>
    </row>
    <row r="345" spans="1:15" ht="15">
      <c r="A345" s="60" t="s">
        <v>116</v>
      </c>
      <c r="B345" s="26">
        <v>0</v>
      </c>
      <c r="C345" s="26">
        <v>0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13">
        <f t="shared" si="47"/>
        <v>0</v>
      </c>
      <c r="O345" s="44"/>
    </row>
    <row r="346" spans="1:15" ht="15">
      <c r="A346" s="60" t="s">
        <v>117</v>
      </c>
      <c r="B346" s="26">
        <v>0</v>
      </c>
      <c r="C346" s="26">
        <v>0</v>
      </c>
      <c r="D346" s="26">
        <v>0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13">
        <f t="shared" ref="N346" si="48">SUM(B346:M346)</f>
        <v>0</v>
      </c>
      <c r="O346" s="44"/>
    </row>
    <row r="347" spans="1:15" ht="15">
      <c r="A347" s="60" t="s">
        <v>118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13">
        <f t="shared" ref="N347" si="49">SUM(B347:M347)</f>
        <v>0</v>
      </c>
      <c r="O347" s="44"/>
    </row>
    <row r="348" spans="1:15" ht="17.25" customHeight="1">
      <c r="A348" s="60" t="s">
        <v>119</v>
      </c>
      <c r="B348" s="26">
        <v>0</v>
      </c>
      <c r="C348" s="26">
        <v>0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13">
        <f>SUM(B348:M348)</f>
        <v>0</v>
      </c>
      <c r="O348"/>
    </row>
    <row r="349" spans="1:15" ht="17.25" customHeight="1">
      <c r="A349" s="60" t="s">
        <v>120</v>
      </c>
      <c r="B349" s="26">
        <v>0</v>
      </c>
      <c r="C349" s="26">
        <v>0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13">
        <f>SUM(B349:M349)</f>
        <v>0</v>
      </c>
      <c r="O349"/>
    </row>
    <row r="350" spans="1:15" ht="17.25" customHeight="1">
      <c r="A350" s="60" t="s">
        <v>121</v>
      </c>
      <c r="B350" s="26">
        <v>0</v>
      </c>
      <c r="C350" s="26">
        <v>0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13">
        <f>SUM(B350:M350)</f>
        <v>0</v>
      </c>
      <c r="O350"/>
    </row>
    <row r="351" spans="1:15" ht="17.25" customHeight="1">
      <c r="A351" s="60" t="s">
        <v>122</v>
      </c>
      <c r="B351" s="26">
        <v>0</v>
      </c>
      <c r="C351" s="26">
        <v>0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13">
        <f t="shared" ref="N351" si="50">SUM(B351:M351)</f>
        <v>0</v>
      </c>
      <c r="O351"/>
    </row>
    <row r="352" spans="1:15" ht="17.25" customHeight="1">
      <c r="A352" s="60" t="s">
        <v>123</v>
      </c>
      <c r="B352" s="26">
        <v>0</v>
      </c>
      <c r="C352" s="26">
        <v>0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13">
        <f t="shared" ref="N352:N354" si="51">SUM(B352:M352)</f>
        <v>0</v>
      </c>
      <c r="O352"/>
    </row>
    <row r="353" spans="1:15" ht="17.25" customHeight="1">
      <c r="A353" s="60" t="s">
        <v>124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13">
        <f t="shared" si="51"/>
        <v>0</v>
      </c>
      <c r="O353"/>
    </row>
    <row r="354" spans="1:15" ht="17.25" customHeight="1">
      <c r="A354" s="60" t="s">
        <v>125</v>
      </c>
      <c r="B354" s="26">
        <v>0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13">
        <f t="shared" si="51"/>
        <v>0</v>
      </c>
      <c r="O354"/>
    </row>
    <row r="355" spans="1:15">
      <c r="A355" s="14" t="s">
        <v>71</v>
      </c>
      <c r="B355" s="26">
        <f t="shared" ref="B355:N355" si="52">SUM(B331:B354)</f>
        <v>0</v>
      </c>
      <c r="C355" s="26">
        <f t="shared" si="52"/>
        <v>0</v>
      </c>
      <c r="D355" s="26">
        <f t="shared" si="52"/>
        <v>0</v>
      </c>
      <c r="E355" s="26">
        <f t="shared" si="52"/>
        <v>0</v>
      </c>
      <c r="F355" s="26">
        <f t="shared" si="52"/>
        <v>0</v>
      </c>
      <c r="G355" s="26">
        <f t="shared" si="52"/>
        <v>0</v>
      </c>
      <c r="H355" s="26">
        <f t="shared" si="52"/>
        <v>-51103.95</v>
      </c>
      <c r="I355" s="26">
        <f t="shared" si="52"/>
        <v>0</v>
      </c>
      <c r="J355" s="26">
        <f t="shared" si="52"/>
        <v>0</v>
      </c>
      <c r="K355" s="26">
        <f t="shared" si="52"/>
        <v>0</v>
      </c>
      <c r="L355" s="26">
        <f t="shared" si="52"/>
        <v>0</v>
      </c>
      <c r="M355" s="26">
        <f t="shared" si="52"/>
        <v>0</v>
      </c>
      <c r="N355" s="13">
        <f t="shared" si="52"/>
        <v>-51103.95</v>
      </c>
    </row>
    <row r="356" spans="1:15">
      <c r="A356" s="14"/>
      <c r="N356" s="13"/>
    </row>
    <row r="357" spans="1:15" ht="16.5" thickBot="1">
      <c r="A357" s="17" t="s">
        <v>28</v>
      </c>
      <c r="B357" s="29">
        <f t="shared" ref="B357:M357" si="53">+B355+B328+B301</f>
        <v>-173620.51</v>
      </c>
      <c r="C357" s="29">
        <f t="shared" si="53"/>
        <v>443039</v>
      </c>
      <c r="D357" s="29">
        <f t="shared" si="53"/>
        <v>233801</v>
      </c>
      <c r="E357" s="29">
        <f t="shared" si="53"/>
        <v>199662.04</v>
      </c>
      <c r="F357" s="29">
        <f t="shared" si="53"/>
        <v>114405.38</v>
      </c>
      <c r="G357" s="29">
        <f t="shared" si="53"/>
        <v>137591.97</v>
      </c>
      <c r="H357" s="29">
        <f t="shared" si="53"/>
        <v>52418.819999999992</v>
      </c>
      <c r="I357" s="29">
        <f t="shared" si="53"/>
        <v>-51303.12</v>
      </c>
      <c r="J357" s="29">
        <f t="shared" si="53"/>
        <v>74486.97</v>
      </c>
      <c r="K357" s="29">
        <f>+K355+K328+K301</f>
        <v>253947.04</v>
      </c>
      <c r="L357" s="29">
        <f t="shared" si="53"/>
        <v>-14864.08</v>
      </c>
      <c r="M357" s="29">
        <f t="shared" si="53"/>
        <v>285700.3</v>
      </c>
      <c r="N357" s="18">
        <f>+N355+N302+N328+N301</f>
        <v>1555264.81</v>
      </c>
    </row>
    <row r="358" spans="1:15" ht="16.5" thickBot="1">
      <c r="A358" s="4"/>
    </row>
    <row r="359" spans="1:15">
      <c r="A359" s="5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7" t="s">
        <v>3</v>
      </c>
    </row>
    <row r="360" spans="1:15" ht="13.5" thickBot="1">
      <c r="A360" s="19" t="s">
        <v>130</v>
      </c>
      <c r="B360" s="28" t="s">
        <v>5</v>
      </c>
      <c r="C360" s="28" t="s">
        <v>6</v>
      </c>
      <c r="D360" s="28" t="s">
        <v>7</v>
      </c>
      <c r="E360" s="28" t="s">
        <v>8</v>
      </c>
      <c r="F360" s="28" t="s">
        <v>9</v>
      </c>
      <c r="G360" s="28" t="s">
        <v>10</v>
      </c>
      <c r="H360" s="28" t="s">
        <v>11</v>
      </c>
      <c r="I360" s="28" t="s">
        <v>12</v>
      </c>
      <c r="J360" s="28" t="s">
        <v>13</v>
      </c>
      <c r="K360" s="28" t="s">
        <v>14</v>
      </c>
      <c r="L360" s="28" t="s">
        <v>15</v>
      </c>
      <c r="M360" s="28" t="s">
        <v>16</v>
      </c>
      <c r="N360" s="10" t="s">
        <v>17</v>
      </c>
    </row>
    <row r="361" spans="1:15">
      <c r="A361" s="10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45"/>
    </row>
    <row r="362" spans="1:15">
      <c r="A362" s="20" t="s">
        <v>32</v>
      </c>
      <c r="B362" s="26">
        <f>0-B383-B404</f>
        <v>0</v>
      </c>
      <c r="C362" s="26">
        <f t="shared" ref="C362:E362" si="54">0-C383-C404</f>
        <v>0</v>
      </c>
      <c r="D362" s="26">
        <f t="shared" si="54"/>
        <v>0</v>
      </c>
      <c r="E362" s="26">
        <f t="shared" si="54"/>
        <v>0</v>
      </c>
      <c r="F362" s="26">
        <f t="shared" ref="F362:L362" si="55">0-F383-F404</f>
        <v>0</v>
      </c>
      <c r="G362" s="26">
        <f t="shared" si="55"/>
        <v>0</v>
      </c>
      <c r="H362" s="26">
        <f t="shared" si="55"/>
        <v>0</v>
      </c>
      <c r="I362" s="26">
        <f t="shared" si="55"/>
        <v>0</v>
      </c>
      <c r="J362" s="26">
        <f t="shared" si="55"/>
        <v>0</v>
      </c>
      <c r="K362" s="26">
        <f t="shared" si="55"/>
        <v>0</v>
      </c>
      <c r="L362" s="26">
        <f t="shared" si="55"/>
        <v>0</v>
      </c>
      <c r="M362" s="26">
        <f t="shared" ref="M362" si="56">0-M383-M404</f>
        <v>0</v>
      </c>
      <c r="N362" s="13">
        <f>SUM(B362:M362)</f>
        <v>0</v>
      </c>
    </row>
    <row r="363" spans="1:15">
      <c r="A363" s="14" t="s">
        <v>33</v>
      </c>
      <c r="N363" s="13"/>
    </row>
    <row r="364" spans="1:15">
      <c r="A364" s="20" t="s">
        <v>34</v>
      </c>
      <c r="N364" s="13"/>
    </row>
    <row r="365" spans="1:15">
      <c r="A365" s="14" t="s">
        <v>131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13">
        <f t="shared" ref="N365:N378" si="57">SUM(B365:M365)</f>
        <v>0</v>
      </c>
      <c r="O365"/>
    </row>
    <row r="366" spans="1:15">
      <c r="A366" s="14" t="s">
        <v>132</v>
      </c>
      <c r="B366" s="26">
        <v>0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13">
        <f t="shared" si="57"/>
        <v>0</v>
      </c>
      <c r="O366"/>
    </row>
    <row r="367" spans="1:15">
      <c r="A367" s="14" t="s">
        <v>133</v>
      </c>
      <c r="B367" s="26">
        <v>0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13">
        <f t="shared" si="57"/>
        <v>0</v>
      </c>
      <c r="O367"/>
    </row>
    <row r="368" spans="1:15">
      <c r="A368" s="14" t="s">
        <v>134</v>
      </c>
      <c r="B368" s="26">
        <v>0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13">
        <f t="shared" si="57"/>
        <v>0</v>
      </c>
      <c r="O368"/>
    </row>
    <row r="369" spans="1:15">
      <c r="A369" s="14" t="s">
        <v>135</v>
      </c>
      <c r="B369" s="26">
        <v>0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13">
        <f t="shared" si="57"/>
        <v>0</v>
      </c>
      <c r="O369"/>
    </row>
    <row r="370" spans="1:15">
      <c r="A370" s="14" t="s">
        <v>136</v>
      </c>
      <c r="B370" s="26">
        <v>0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13">
        <f t="shared" si="57"/>
        <v>0</v>
      </c>
      <c r="O370"/>
    </row>
    <row r="371" spans="1:15">
      <c r="A371" s="14" t="s">
        <v>137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13">
        <f t="shared" si="57"/>
        <v>0</v>
      </c>
      <c r="O371"/>
    </row>
    <row r="372" spans="1:15">
      <c r="A372" s="14" t="s">
        <v>138</v>
      </c>
      <c r="B372" s="26">
        <v>0</v>
      </c>
      <c r="C372" s="26">
        <v>0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13">
        <f t="shared" si="57"/>
        <v>0</v>
      </c>
      <c r="O372"/>
    </row>
    <row r="373" spans="1:15">
      <c r="A373" s="14" t="s">
        <v>139</v>
      </c>
      <c r="B373" s="26">
        <v>0</v>
      </c>
      <c r="C373" s="26">
        <v>0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13">
        <f t="shared" si="57"/>
        <v>0</v>
      </c>
      <c r="O373"/>
    </row>
    <row r="374" spans="1:15">
      <c r="A374" s="14" t="s">
        <v>140</v>
      </c>
      <c r="B374" s="26">
        <v>0</v>
      </c>
      <c r="C374" s="26">
        <v>0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13">
        <f t="shared" si="57"/>
        <v>0</v>
      </c>
      <c r="O374"/>
    </row>
    <row r="375" spans="1:15">
      <c r="A375" s="14" t="s">
        <v>141</v>
      </c>
      <c r="B375" s="26">
        <v>0</v>
      </c>
      <c r="C375" s="26">
        <v>0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13">
        <f t="shared" si="57"/>
        <v>0</v>
      </c>
      <c r="O375"/>
    </row>
    <row r="376" spans="1:15">
      <c r="A376" s="14" t="s">
        <v>142</v>
      </c>
      <c r="B376" s="26">
        <v>0</v>
      </c>
      <c r="C376" s="26">
        <v>0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13">
        <f t="shared" si="57"/>
        <v>0</v>
      </c>
      <c r="O376"/>
    </row>
    <row r="377" spans="1:15">
      <c r="A377" s="14" t="s">
        <v>143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13">
        <f t="shared" si="57"/>
        <v>0</v>
      </c>
      <c r="O377"/>
    </row>
    <row r="378" spans="1:15">
      <c r="A378" s="14" t="s">
        <v>144</v>
      </c>
      <c r="B378" s="26">
        <v>0</v>
      </c>
      <c r="C378" s="26">
        <v>0</v>
      </c>
      <c r="D378" s="26">
        <v>0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13">
        <f t="shared" si="57"/>
        <v>0</v>
      </c>
      <c r="O378"/>
    </row>
    <row r="379" spans="1:15">
      <c r="A379" s="14" t="s">
        <v>145</v>
      </c>
      <c r="B379" s="26">
        <v>0</v>
      </c>
      <c r="C379" s="26">
        <v>0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13">
        <f>SUM(B379:M379)</f>
        <v>0</v>
      </c>
      <c r="O379"/>
    </row>
    <row r="380" spans="1:15">
      <c r="A380" s="14" t="s">
        <v>146</v>
      </c>
      <c r="B380" s="26">
        <v>0</v>
      </c>
      <c r="C380" s="26">
        <v>0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13">
        <f>SUM(B380:M380)</f>
        <v>0</v>
      </c>
      <c r="O380" s="44"/>
    </row>
    <row r="381" spans="1:15">
      <c r="A381" s="14" t="s">
        <v>147</v>
      </c>
      <c r="B381" s="26">
        <v>0</v>
      </c>
      <c r="C381" s="26">
        <v>0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13">
        <f>SUM(B381:M381)</f>
        <v>0</v>
      </c>
      <c r="O381"/>
    </row>
    <row r="382" spans="1:15">
      <c r="A382" s="14" t="s">
        <v>148</v>
      </c>
      <c r="B382" s="26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13">
        <f>SUM(B382:M382)</f>
        <v>0</v>
      </c>
      <c r="O382"/>
    </row>
    <row r="383" spans="1:15">
      <c r="A383" s="14" t="s">
        <v>71</v>
      </c>
      <c r="B383" s="26">
        <f t="shared" ref="B383:M383" si="58">SUM(B365:B382)</f>
        <v>0</v>
      </c>
      <c r="C383" s="26">
        <f t="shared" si="58"/>
        <v>0</v>
      </c>
      <c r="D383" s="26">
        <f t="shared" si="58"/>
        <v>0</v>
      </c>
      <c r="E383" s="26">
        <f t="shared" si="58"/>
        <v>0</v>
      </c>
      <c r="F383" s="26">
        <f t="shared" si="58"/>
        <v>0</v>
      </c>
      <c r="G383" s="26">
        <f t="shared" si="58"/>
        <v>0</v>
      </c>
      <c r="H383" s="26">
        <f t="shared" si="58"/>
        <v>0</v>
      </c>
      <c r="I383" s="26">
        <f t="shared" si="58"/>
        <v>0</v>
      </c>
      <c r="J383" s="26">
        <f t="shared" si="58"/>
        <v>0</v>
      </c>
      <c r="K383" s="26">
        <f t="shared" si="58"/>
        <v>0</v>
      </c>
      <c r="L383" s="26">
        <f t="shared" si="58"/>
        <v>0</v>
      </c>
      <c r="M383" s="26">
        <f t="shared" si="58"/>
        <v>0</v>
      </c>
      <c r="N383" s="13">
        <f>SUM(B383:M383)</f>
        <v>0</v>
      </c>
    </row>
    <row r="384" spans="1:15">
      <c r="A384" s="14"/>
      <c r="N384" s="13"/>
    </row>
    <row r="385" spans="1:15">
      <c r="A385" s="20" t="s">
        <v>72</v>
      </c>
      <c r="N385" s="13"/>
    </row>
    <row r="386" spans="1:15">
      <c r="A386" s="14" t="s">
        <v>131</v>
      </c>
      <c r="B386" s="26">
        <v>0</v>
      </c>
      <c r="C386" s="26"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13">
        <f t="shared" ref="N386:N404" si="59">SUM(B386:M386)</f>
        <v>0</v>
      </c>
      <c r="O386"/>
    </row>
    <row r="387" spans="1:15">
      <c r="A387" s="14" t="s">
        <v>132</v>
      </c>
      <c r="B387" s="26">
        <v>0</v>
      </c>
      <c r="C387" s="26"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13">
        <f t="shared" si="59"/>
        <v>0</v>
      </c>
      <c r="O387"/>
    </row>
    <row r="388" spans="1:15">
      <c r="A388" s="14" t="s">
        <v>133</v>
      </c>
      <c r="B388" s="26">
        <v>0</v>
      </c>
      <c r="C388" s="26">
        <v>0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13">
        <f t="shared" si="59"/>
        <v>0</v>
      </c>
      <c r="O388"/>
    </row>
    <row r="389" spans="1:15">
      <c r="A389" s="14" t="s">
        <v>134</v>
      </c>
      <c r="B389" s="26">
        <v>0</v>
      </c>
      <c r="C389" s="26">
        <v>0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13">
        <f t="shared" si="59"/>
        <v>0</v>
      </c>
      <c r="O389"/>
    </row>
    <row r="390" spans="1:15">
      <c r="A390" s="14" t="s">
        <v>135</v>
      </c>
      <c r="B390" s="26">
        <v>0</v>
      </c>
      <c r="C390" s="26">
        <v>0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0</v>
      </c>
      <c r="N390" s="13">
        <f t="shared" si="59"/>
        <v>0</v>
      </c>
      <c r="O390"/>
    </row>
    <row r="391" spans="1:15">
      <c r="A391" s="14" t="s">
        <v>136</v>
      </c>
      <c r="B391" s="26">
        <v>0</v>
      </c>
      <c r="C391" s="26">
        <v>0</v>
      </c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13">
        <f t="shared" si="59"/>
        <v>0</v>
      </c>
      <c r="O391"/>
    </row>
    <row r="392" spans="1:15">
      <c r="A392" s="14" t="s">
        <v>137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13">
        <f t="shared" si="59"/>
        <v>0</v>
      </c>
      <c r="O392"/>
    </row>
    <row r="393" spans="1:15">
      <c r="A393" s="14" t="s">
        <v>138</v>
      </c>
      <c r="B393" s="26">
        <v>0</v>
      </c>
      <c r="C393" s="26">
        <v>0</v>
      </c>
      <c r="D393" s="26">
        <v>0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13">
        <f t="shared" si="59"/>
        <v>0</v>
      </c>
      <c r="O393"/>
    </row>
    <row r="394" spans="1:15">
      <c r="A394" s="14" t="s">
        <v>139</v>
      </c>
      <c r="B394" s="26">
        <v>0</v>
      </c>
      <c r="C394" s="26">
        <v>0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13">
        <f t="shared" si="59"/>
        <v>0</v>
      </c>
      <c r="O394"/>
    </row>
    <row r="395" spans="1:15">
      <c r="A395" s="14" t="s">
        <v>140</v>
      </c>
      <c r="B395" s="26">
        <v>0</v>
      </c>
      <c r="C395" s="26">
        <v>0</v>
      </c>
      <c r="D395" s="26">
        <v>0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13">
        <f t="shared" si="59"/>
        <v>0</v>
      </c>
      <c r="O395"/>
    </row>
    <row r="396" spans="1:15">
      <c r="A396" s="14" t="s">
        <v>141</v>
      </c>
      <c r="B396" s="26">
        <v>0</v>
      </c>
      <c r="C396" s="26">
        <v>0</v>
      </c>
      <c r="D396" s="26">
        <v>0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13">
        <f t="shared" si="59"/>
        <v>0</v>
      </c>
      <c r="O396"/>
    </row>
    <row r="397" spans="1:15">
      <c r="A397" s="14" t="s">
        <v>142</v>
      </c>
      <c r="B397" s="26">
        <v>0</v>
      </c>
      <c r="C397" s="26">
        <v>0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13">
        <f t="shared" si="59"/>
        <v>0</v>
      </c>
      <c r="O397"/>
    </row>
    <row r="398" spans="1:15">
      <c r="A398" s="14" t="s">
        <v>143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13">
        <f t="shared" si="59"/>
        <v>0</v>
      </c>
      <c r="O398"/>
    </row>
    <row r="399" spans="1:15">
      <c r="A399" s="14" t="s">
        <v>144</v>
      </c>
      <c r="B399" s="26">
        <v>0</v>
      </c>
      <c r="C399" s="26">
        <v>0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13">
        <f t="shared" si="59"/>
        <v>0</v>
      </c>
      <c r="O399"/>
    </row>
    <row r="400" spans="1:15">
      <c r="A400" s="14" t="s">
        <v>145</v>
      </c>
      <c r="B400" s="26">
        <v>0</v>
      </c>
      <c r="C400" s="26">
        <v>0</v>
      </c>
      <c r="D400" s="26">
        <v>0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13">
        <f t="shared" si="59"/>
        <v>0</v>
      </c>
      <c r="O400" s="44"/>
    </row>
    <row r="401" spans="1:15">
      <c r="A401" s="14" t="s">
        <v>146</v>
      </c>
      <c r="B401" s="26">
        <v>0</v>
      </c>
      <c r="C401" s="26">
        <v>0</v>
      </c>
      <c r="D401" s="26">
        <v>0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13">
        <f t="shared" si="59"/>
        <v>0</v>
      </c>
      <c r="O401" s="44"/>
    </row>
    <row r="402" spans="1:15">
      <c r="A402" s="14" t="s">
        <v>147</v>
      </c>
      <c r="B402" s="26">
        <v>0</v>
      </c>
      <c r="C402" s="26">
        <v>0</v>
      </c>
      <c r="D402" s="26">
        <v>0</v>
      </c>
      <c r="E402" s="26">
        <v>0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  <c r="K402" s="26">
        <v>0</v>
      </c>
      <c r="L402" s="26">
        <v>0</v>
      </c>
      <c r="M402" s="26">
        <v>0</v>
      </c>
      <c r="N402" s="13">
        <f t="shared" si="59"/>
        <v>0</v>
      </c>
      <c r="O402" s="44"/>
    </row>
    <row r="403" spans="1:15">
      <c r="A403" s="14" t="s">
        <v>148</v>
      </c>
      <c r="B403" s="26">
        <v>0</v>
      </c>
      <c r="C403" s="26">
        <v>0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13">
        <f t="shared" si="59"/>
        <v>0</v>
      </c>
      <c r="O403" s="44"/>
    </row>
    <row r="404" spans="1:15">
      <c r="A404" s="14" t="s">
        <v>71</v>
      </c>
      <c r="B404" s="26">
        <f t="shared" ref="B404:M404" si="60">SUM(B386:B403)</f>
        <v>0</v>
      </c>
      <c r="C404" s="26">
        <f t="shared" si="60"/>
        <v>0</v>
      </c>
      <c r="D404" s="26">
        <f t="shared" si="60"/>
        <v>0</v>
      </c>
      <c r="E404" s="26">
        <f t="shared" si="60"/>
        <v>0</v>
      </c>
      <c r="F404" s="26">
        <f t="shared" si="60"/>
        <v>0</v>
      </c>
      <c r="G404" s="26">
        <f t="shared" si="60"/>
        <v>0</v>
      </c>
      <c r="H404" s="26">
        <f t="shared" si="60"/>
        <v>0</v>
      </c>
      <c r="I404" s="26">
        <f t="shared" si="60"/>
        <v>0</v>
      </c>
      <c r="J404" s="26">
        <f t="shared" si="60"/>
        <v>0</v>
      </c>
      <c r="K404" s="26">
        <f t="shared" si="60"/>
        <v>0</v>
      </c>
      <c r="L404" s="26">
        <f t="shared" si="60"/>
        <v>0</v>
      </c>
      <c r="M404" s="26">
        <f t="shared" si="60"/>
        <v>0</v>
      </c>
      <c r="N404" s="13">
        <f t="shared" si="59"/>
        <v>0</v>
      </c>
    </row>
    <row r="405" spans="1:15">
      <c r="A405" s="14"/>
      <c r="N405" s="13"/>
    </row>
    <row r="406" spans="1:15" ht="16.5" thickBot="1">
      <c r="A406" s="17" t="s">
        <v>28</v>
      </c>
      <c r="B406" s="29">
        <f t="shared" ref="B406:M406" si="61">+B404+B383+B362</f>
        <v>0</v>
      </c>
      <c r="C406" s="29">
        <f t="shared" si="61"/>
        <v>0</v>
      </c>
      <c r="D406" s="29">
        <f t="shared" si="61"/>
        <v>0</v>
      </c>
      <c r="E406" s="29">
        <f t="shared" si="61"/>
        <v>0</v>
      </c>
      <c r="F406" s="29">
        <f t="shared" si="61"/>
        <v>0</v>
      </c>
      <c r="G406" s="29">
        <f t="shared" si="61"/>
        <v>0</v>
      </c>
      <c r="H406" s="29">
        <f t="shared" si="61"/>
        <v>0</v>
      </c>
      <c r="I406" s="29">
        <f t="shared" si="61"/>
        <v>0</v>
      </c>
      <c r="J406" s="29">
        <f t="shared" si="61"/>
        <v>0</v>
      </c>
      <c r="K406" s="29">
        <f t="shared" si="61"/>
        <v>0</v>
      </c>
      <c r="L406" s="29">
        <f t="shared" si="61"/>
        <v>0</v>
      </c>
      <c r="M406" s="29">
        <f t="shared" si="61"/>
        <v>0</v>
      </c>
      <c r="N406" s="18">
        <f>+N404+N363+N383+N362</f>
        <v>0</v>
      </c>
    </row>
    <row r="407" spans="1:15" ht="16.5" thickBot="1">
      <c r="A407" s="4"/>
    </row>
    <row r="408" spans="1:15">
      <c r="A408" s="5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7" t="s">
        <v>3</v>
      </c>
    </row>
    <row r="409" spans="1:15" ht="13.5" thickBot="1">
      <c r="A409" s="19" t="s">
        <v>149</v>
      </c>
      <c r="B409" s="28" t="s">
        <v>5</v>
      </c>
      <c r="C409" s="28" t="s">
        <v>6</v>
      </c>
      <c r="D409" s="28" t="s">
        <v>7</v>
      </c>
      <c r="E409" s="28" t="s">
        <v>8</v>
      </c>
      <c r="F409" s="28" t="s">
        <v>9</v>
      </c>
      <c r="G409" s="28" t="s">
        <v>10</v>
      </c>
      <c r="H409" s="28" t="s">
        <v>11</v>
      </c>
      <c r="I409" s="28" t="s">
        <v>12</v>
      </c>
      <c r="J409" s="28" t="s">
        <v>13</v>
      </c>
      <c r="K409" s="28" t="s">
        <v>14</v>
      </c>
      <c r="L409" s="28" t="s">
        <v>15</v>
      </c>
      <c r="M409" s="28" t="s">
        <v>16</v>
      </c>
      <c r="N409" s="10" t="s">
        <v>17</v>
      </c>
    </row>
    <row r="410" spans="1:15">
      <c r="A410" s="46"/>
      <c r="N410" s="13"/>
    </row>
    <row r="411" spans="1:15">
      <c r="A411" s="20" t="s">
        <v>32</v>
      </c>
      <c r="B411" s="26">
        <f>0-B433-B455</f>
        <v>0</v>
      </c>
      <c r="C411" s="26">
        <f>0-C433-C455</f>
        <v>0</v>
      </c>
      <c r="D411" s="26">
        <f t="shared" ref="D411:M411" si="62">0-D433-D455</f>
        <v>0</v>
      </c>
      <c r="E411" s="26">
        <f t="shared" si="62"/>
        <v>0</v>
      </c>
      <c r="F411" s="26">
        <f t="shared" si="62"/>
        <v>0</v>
      </c>
      <c r="G411" s="26">
        <f t="shared" si="62"/>
        <v>0</v>
      </c>
      <c r="H411" s="26">
        <f t="shared" si="62"/>
        <v>0</v>
      </c>
      <c r="I411" s="26">
        <f t="shared" si="62"/>
        <v>0</v>
      </c>
      <c r="J411" s="26">
        <f t="shared" si="62"/>
        <v>0</v>
      </c>
      <c r="K411" s="26">
        <f t="shared" si="62"/>
        <v>0</v>
      </c>
      <c r="L411" s="26">
        <f t="shared" si="62"/>
        <v>0</v>
      </c>
      <c r="M411" s="26">
        <f t="shared" si="62"/>
        <v>0</v>
      </c>
      <c r="N411" s="13">
        <f>SUM(B411:M411)</f>
        <v>0</v>
      </c>
    </row>
    <row r="412" spans="1:15">
      <c r="A412" s="14" t="s">
        <v>33</v>
      </c>
      <c r="N412" s="13">
        <f>SUM(B412:M412)</f>
        <v>0</v>
      </c>
    </row>
    <row r="413" spans="1:15">
      <c r="A413" s="20" t="s">
        <v>34</v>
      </c>
      <c r="N413" s="13"/>
    </row>
    <row r="414" spans="1:15">
      <c r="A414" s="14" t="s">
        <v>150</v>
      </c>
      <c r="B414" s="26">
        <v>0</v>
      </c>
      <c r="C414" s="26">
        <v>0</v>
      </c>
      <c r="D414" s="26">
        <v>0</v>
      </c>
      <c r="E414" s="26">
        <v>0</v>
      </c>
      <c r="F414" s="26">
        <v>0</v>
      </c>
      <c r="G414" s="26">
        <v>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13">
        <f t="shared" ref="N414:N433" si="63">SUM(B414:M414)</f>
        <v>0</v>
      </c>
      <c r="O414"/>
    </row>
    <row r="415" spans="1:15">
      <c r="A415" s="14" t="s">
        <v>151</v>
      </c>
      <c r="B415" s="26">
        <v>0</v>
      </c>
      <c r="C415" s="26">
        <v>0</v>
      </c>
      <c r="D415" s="26">
        <v>0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13">
        <f t="shared" si="63"/>
        <v>0</v>
      </c>
      <c r="O415"/>
    </row>
    <row r="416" spans="1:15">
      <c r="A416" s="14" t="s">
        <v>152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13">
        <f t="shared" si="63"/>
        <v>0</v>
      </c>
      <c r="O416"/>
    </row>
    <row r="417" spans="1:15">
      <c r="A417" s="14" t="s">
        <v>153</v>
      </c>
      <c r="B417" s="26">
        <v>0</v>
      </c>
      <c r="C417" s="26">
        <v>0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13">
        <f t="shared" si="63"/>
        <v>0</v>
      </c>
      <c r="O417"/>
    </row>
    <row r="418" spans="1:15">
      <c r="A418" s="14" t="s">
        <v>154</v>
      </c>
      <c r="B418" s="26">
        <v>0</v>
      </c>
      <c r="C418" s="26">
        <v>0</v>
      </c>
      <c r="D418" s="26">
        <v>0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13">
        <f t="shared" si="63"/>
        <v>0</v>
      </c>
      <c r="O418"/>
    </row>
    <row r="419" spans="1:15">
      <c r="A419" s="14" t="s">
        <v>155</v>
      </c>
      <c r="B419" s="26">
        <v>0</v>
      </c>
      <c r="C419" s="26">
        <v>0</v>
      </c>
      <c r="D419" s="26">
        <v>0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13">
        <f t="shared" si="63"/>
        <v>0</v>
      </c>
      <c r="O419"/>
    </row>
    <row r="420" spans="1:15">
      <c r="A420" s="14" t="s">
        <v>156</v>
      </c>
      <c r="B420" s="26">
        <v>0</v>
      </c>
      <c r="C420" s="26">
        <v>0</v>
      </c>
      <c r="D420" s="26">
        <v>0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13">
        <f t="shared" si="63"/>
        <v>0</v>
      </c>
      <c r="O420"/>
    </row>
    <row r="421" spans="1:15">
      <c r="A421" s="14" t="s">
        <v>157</v>
      </c>
      <c r="B421" s="26">
        <v>0</v>
      </c>
      <c r="C421" s="26">
        <v>0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13">
        <f t="shared" si="63"/>
        <v>0</v>
      </c>
      <c r="O421"/>
    </row>
    <row r="422" spans="1:15">
      <c r="A422" s="14" t="s">
        <v>158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13">
        <f t="shared" si="63"/>
        <v>0</v>
      </c>
      <c r="O422"/>
    </row>
    <row r="423" spans="1:15">
      <c r="A423" s="14" t="s">
        <v>159</v>
      </c>
      <c r="B423" s="26">
        <v>0</v>
      </c>
      <c r="C423" s="26">
        <v>0</v>
      </c>
      <c r="D423" s="26">
        <v>0</v>
      </c>
      <c r="E423" s="26">
        <v>0</v>
      </c>
      <c r="F423" s="26">
        <v>0</v>
      </c>
      <c r="G423" s="26">
        <v>0</v>
      </c>
      <c r="H423" s="26">
        <v>0</v>
      </c>
      <c r="I423" s="26">
        <v>0</v>
      </c>
      <c r="J423" s="26">
        <v>0</v>
      </c>
      <c r="K423" s="26">
        <v>0</v>
      </c>
      <c r="L423" s="26">
        <v>0</v>
      </c>
      <c r="M423" s="26">
        <v>0</v>
      </c>
      <c r="N423" s="13">
        <f t="shared" ref="N423:N432" si="64">SUM(B423:M423)</f>
        <v>0</v>
      </c>
      <c r="O423"/>
    </row>
    <row r="424" spans="1:15">
      <c r="A424" s="14" t="s">
        <v>160</v>
      </c>
      <c r="B424" s="26">
        <v>0</v>
      </c>
      <c r="C424" s="26">
        <v>0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13">
        <f t="shared" si="64"/>
        <v>0</v>
      </c>
      <c r="O424"/>
    </row>
    <row r="425" spans="1:15">
      <c r="A425" s="14" t="s">
        <v>161</v>
      </c>
      <c r="B425" s="26">
        <v>0</v>
      </c>
      <c r="C425" s="26">
        <v>0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13">
        <f t="shared" si="64"/>
        <v>0</v>
      </c>
      <c r="O425"/>
    </row>
    <row r="426" spans="1:15">
      <c r="A426" s="14" t="s">
        <v>162</v>
      </c>
      <c r="B426" s="26">
        <v>0</v>
      </c>
      <c r="C426" s="26">
        <v>0</v>
      </c>
      <c r="D426" s="26">
        <v>0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13">
        <f t="shared" si="64"/>
        <v>0</v>
      </c>
      <c r="O426"/>
    </row>
    <row r="427" spans="1:15">
      <c r="A427" s="14" t="s">
        <v>163</v>
      </c>
      <c r="B427" s="26">
        <v>0</v>
      </c>
      <c r="C427" s="26">
        <v>0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13">
        <f t="shared" si="64"/>
        <v>0</v>
      </c>
      <c r="O427"/>
    </row>
    <row r="428" spans="1:15">
      <c r="A428" s="14" t="s">
        <v>164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13">
        <f>SUM(B428:M428)</f>
        <v>0</v>
      </c>
      <c r="O428"/>
    </row>
    <row r="429" spans="1:15">
      <c r="A429" s="14" t="s">
        <v>165</v>
      </c>
      <c r="B429" s="26">
        <v>0</v>
      </c>
      <c r="C429" s="26">
        <v>0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0</v>
      </c>
      <c r="K429" s="26">
        <v>0</v>
      </c>
      <c r="L429" s="26">
        <v>0</v>
      </c>
      <c r="M429" s="26">
        <v>0</v>
      </c>
      <c r="N429" s="13">
        <f>SUM(B429:M429)</f>
        <v>0</v>
      </c>
      <c r="O429" s="44"/>
    </row>
    <row r="430" spans="1:15">
      <c r="A430" s="14" t="s">
        <v>166</v>
      </c>
      <c r="B430" s="26">
        <v>0</v>
      </c>
      <c r="C430" s="26">
        <v>0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13">
        <f>SUM(B430:M430)</f>
        <v>0</v>
      </c>
      <c r="O430"/>
    </row>
    <row r="431" spans="1:15">
      <c r="A431" s="14" t="s">
        <v>167</v>
      </c>
      <c r="B431" s="26">
        <v>0</v>
      </c>
      <c r="C431" s="26">
        <v>0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13">
        <f>SUM(B431:M431)</f>
        <v>0</v>
      </c>
      <c r="O431"/>
    </row>
    <row r="432" spans="1:15">
      <c r="A432" s="14" t="s">
        <v>168</v>
      </c>
      <c r="B432" s="26">
        <v>0</v>
      </c>
      <c r="C432" s="26">
        <v>0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13">
        <f t="shared" si="64"/>
        <v>0</v>
      </c>
      <c r="O432"/>
    </row>
    <row r="433" spans="1:15">
      <c r="A433" s="14" t="s">
        <v>71</v>
      </c>
      <c r="B433" s="26">
        <f>SUM(B414:B432)</f>
        <v>0</v>
      </c>
      <c r="C433" s="26">
        <f t="shared" ref="C433:M433" si="65">SUM(C414:C432)</f>
        <v>0</v>
      </c>
      <c r="D433" s="26">
        <f t="shared" si="65"/>
        <v>0</v>
      </c>
      <c r="E433" s="26">
        <f t="shared" si="65"/>
        <v>0</v>
      </c>
      <c r="F433" s="26">
        <f t="shared" si="65"/>
        <v>0</v>
      </c>
      <c r="G433" s="26">
        <f t="shared" si="65"/>
        <v>0</v>
      </c>
      <c r="H433" s="26">
        <f t="shared" si="65"/>
        <v>0</v>
      </c>
      <c r="I433" s="26">
        <f t="shared" si="65"/>
        <v>0</v>
      </c>
      <c r="J433" s="26">
        <f t="shared" si="65"/>
        <v>0</v>
      </c>
      <c r="K433" s="26">
        <f t="shared" si="65"/>
        <v>0</v>
      </c>
      <c r="L433" s="26">
        <f t="shared" si="65"/>
        <v>0</v>
      </c>
      <c r="M433" s="26">
        <f t="shared" si="65"/>
        <v>0</v>
      </c>
      <c r="N433" s="13">
        <f t="shared" si="63"/>
        <v>0</v>
      </c>
    </row>
    <row r="434" spans="1:15">
      <c r="A434" s="14"/>
      <c r="N434" s="13"/>
    </row>
    <row r="435" spans="1:15">
      <c r="A435" s="20" t="s">
        <v>72</v>
      </c>
      <c r="N435" s="13"/>
    </row>
    <row r="436" spans="1:15">
      <c r="A436" s="14" t="s">
        <v>150</v>
      </c>
      <c r="B436" s="26">
        <v>0</v>
      </c>
      <c r="C436" s="26">
        <v>0</v>
      </c>
      <c r="D436" s="26">
        <v>0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13">
        <f t="shared" ref="N436:N442" si="66">SUM(B436:M436)</f>
        <v>0</v>
      </c>
      <c r="O436"/>
    </row>
    <row r="437" spans="1:15">
      <c r="A437" s="14" t="s">
        <v>151</v>
      </c>
      <c r="B437" s="26">
        <v>0</v>
      </c>
      <c r="C437" s="26">
        <v>0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13">
        <f t="shared" si="66"/>
        <v>0</v>
      </c>
      <c r="O437"/>
    </row>
    <row r="438" spans="1:15">
      <c r="A438" s="14" t="s">
        <v>152</v>
      </c>
      <c r="B438" s="26">
        <v>0</v>
      </c>
      <c r="C438" s="26">
        <v>0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13">
        <f t="shared" si="66"/>
        <v>0</v>
      </c>
      <c r="O438"/>
    </row>
    <row r="439" spans="1:15">
      <c r="A439" s="14" t="s">
        <v>153</v>
      </c>
      <c r="B439" s="26">
        <v>0</v>
      </c>
      <c r="C439" s="26">
        <v>0</v>
      </c>
      <c r="D439" s="26">
        <v>0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0</v>
      </c>
      <c r="M439" s="26">
        <v>0</v>
      </c>
      <c r="N439" s="13">
        <f t="shared" si="66"/>
        <v>0</v>
      </c>
      <c r="O439"/>
    </row>
    <row r="440" spans="1:15">
      <c r="A440" s="14" t="s">
        <v>154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13">
        <f t="shared" si="66"/>
        <v>0</v>
      </c>
      <c r="O440"/>
    </row>
    <row r="441" spans="1:15">
      <c r="A441" s="14" t="s">
        <v>155</v>
      </c>
      <c r="B441" s="26">
        <v>0</v>
      </c>
      <c r="C441" s="26">
        <v>0</v>
      </c>
      <c r="D441" s="26">
        <v>0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13">
        <f t="shared" si="66"/>
        <v>0</v>
      </c>
      <c r="O441"/>
    </row>
    <row r="442" spans="1:15">
      <c r="A442" s="14" t="s">
        <v>156</v>
      </c>
      <c r="B442" s="26">
        <v>0</v>
      </c>
      <c r="C442" s="26">
        <v>0</v>
      </c>
      <c r="D442" s="26">
        <v>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13">
        <f t="shared" si="66"/>
        <v>0</v>
      </c>
      <c r="O442"/>
    </row>
    <row r="443" spans="1:15">
      <c r="A443" s="14" t="s">
        <v>157</v>
      </c>
      <c r="B443" s="26">
        <v>0</v>
      </c>
      <c r="C443" s="26">
        <v>0</v>
      </c>
      <c r="D443" s="26">
        <v>0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13">
        <f t="shared" ref="N443:N455" si="67">SUM(B443:M443)</f>
        <v>0</v>
      </c>
      <c r="O443"/>
    </row>
    <row r="444" spans="1:15">
      <c r="A444" s="14" t="s">
        <v>158</v>
      </c>
      <c r="B444" s="26">
        <v>0</v>
      </c>
      <c r="C444" s="26">
        <v>0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13">
        <f t="shared" si="67"/>
        <v>0</v>
      </c>
      <c r="O444"/>
    </row>
    <row r="445" spans="1:15">
      <c r="A445" s="14" t="s">
        <v>159</v>
      </c>
      <c r="B445" s="26">
        <v>0</v>
      </c>
      <c r="C445" s="26">
        <v>0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13">
        <f t="shared" si="67"/>
        <v>0</v>
      </c>
      <c r="O445"/>
    </row>
    <row r="446" spans="1:15">
      <c r="A446" s="14" t="s">
        <v>160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13">
        <f t="shared" si="67"/>
        <v>0</v>
      </c>
      <c r="O446"/>
    </row>
    <row r="447" spans="1:15">
      <c r="A447" s="14" t="s">
        <v>161</v>
      </c>
      <c r="B447" s="26">
        <v>0</v>
      </c>
      <c r="C447" s="26">
        <v>0</v>
      </c>
      <c r="D447" s="26">
        <v>0</v>
      </c>
      <c r="E447" s="26">
        <v>0</v>
      </c>
      <c r="F447" s="26">
        <v>0</v>
      </c>
      <c r="G447" s="26">
        <v>0</v>
      </c>
      <c r="H447" s="26">
        <v>0</v>
      </c>
      <c r="I447" s="26">
        <v>0</v>
      </c>
      <c r="J447" s="26">
        <v>0</v>
      </c>
      <c r="K447" s="26">
        <v>0</v>
      </c>
      <c r="L447" s="26">
        <v>0</v>
      </c>
      <c r="M447" s="26">
        <v>0</v>
      </c>
      <c r="N447" s="13">
        <f t="shared" si="67"/>
        <v>0</v>
      </c>
      <c r="O447"/>
    </row>
    <row r="448" spans="1:15">
      <c r="A448" s="14" t="s">
        <v>162</v>
      </c>
      <c r="B448" s="26">
        <v>0</v>
      </c>
      <c r="C448" s="26">
        <v>0</v>
      </c>
      <c r="D448" s="26">
        <v>0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</v>
      </c>
      <c r="N448" s="13">
        <f t="shared" si="67"/>
        <v>0</v>
      </c>
      <c r="O448"/>
    </row>
    <row r="449" spans="1:15">
      <c r="A449" s="14" t="s">
        <v>163</v>
      </c>
      <c r="B449" s="26">
        <v>0</v>
      </c>
      <c r="C449" s="26">
        <v>0</v>
      </c>
      <c r="D449" s="26">
        <v>0</v>
      </c>
      <c r="E449" s="26">
        <v>0</v>
      </c>
      <c r="F449" s="26">
        <v>0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>
        <v>0</v>
      </c>
      <c r="N449" s="13">
        <f t="shared" ref="N449:N454" si="68">SUM(B449:M449)</f>
        <v>0</v>
      </c>
      <c r="O449"/>
    </row>
    <row r="450" spans="1:15">
      <c r="A450" s="14" t="s">
        <v>164</v>
      </c>
      <c r="B450" s="26">
        <v>0</v>
      </c>
      <c r="C450" s="26">
        <v>0</v>
      </c>
      <c r="D450" s="26">
        <v>0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13">
        <f t="shared" si="68"/>
        <v>0</v>
      </c>
      <c r="O450" s="44"/>
    </row>
    <row r="451" spans="1:15">
      <c r="A451" s="14" t="s">
        <v>165</v>
      </c>
      <c r="B451" s="26">
        <v>0</v>
      </c>
      <c r="C451" s="26">
        <v>0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</v>
      </c>
      <c r="N451" s="13">
        <f t="shared" si="68"/>
        <v>0</v>
      </c>
      <c r="O451" s="44"/>
    </row>
    <row r="452" spans="1:15">
      <c r="A452" s="14" t="s">
        <v>166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13">
        <f t="shared" si="68"/>
        <v>0</v>
      </c>
      <c r="O452" s="44"/>
    </row>
    <row r="453" spans="1:15">
      <c r="A453" s="14" t="s">
        <v>167</v>
      </c>
      <c r="B453" s="26">
        <v>0</v>
      </c>
      <c r="C453" s="26">
        <v>0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13">
        <f t="shared" si="68"/>
        <v>0</v>
      </c>
      <c r="O453" s="44"/>
    </row>
    <row r="454" spans="1:15">
      <c r="A454" s="14" t="s">
        <v>168</v>
      </c>
      <c r="B454" s="26">
        <v>0</v>
      </c>
      <c r="C454" s="26">
        <v>0</v>
      </c>
      <c r="D454" s="26">
        <v>0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13">
        <f t="shared" si="68"/>
        <v>0</v>
      </c>
      <c r="O454" s="44"/>
    </row>
    <row r="455" spans="1:15">
      <c r="A455" s="14" t="s">
        <v>71</v>
      </c>
      <c r="B455" s="26">
        <f>SUM(B436:B454)</f>
        <v>0</v>
      </c>
      <c r="C455" s="26">
        <f t="shared" ref="C455:M455" si="69">SUM(C436:C454)</f>
        <v>0</v>
      </c>
      <c r="D455" s="26">
        <f t="shared" si="69"/>
        <v>0</v>
      </c>
      <c r="E455" s="26">
        <f t="shared" si="69"/>
        <v>0</v>
      </c>
      <c r="F455" s="26">
        <f t="shared" si="69"/>
        <v>0</v>
      </c>
      <c r="G455" s="26">
        <f t="shared" si="69"/>
        <v>0</v>
      </c>
      <c r="H455" s="26">
        <f t="shared" si="69"/>
        <v>0</v>
      </c>
      <c r="I455" s="26">
        <f t="shared" si="69"/>
        <v>0</v>
      </c>
      <c r="J455" s="26">
        <f t="shared" si="69"/>
        <v>0</v>
      </c>
      <c r="K455" s="26">
        <f t="shared" si="69"/>
        <v>0</v>
      </c>
      <c r="L455" s="26">
        <f t="shared" si="69"/>
        <v>0</v>
      </c>
      <c r="M455" s="26">
        <f t="shared" si="69"/>
        <v>0</v>
      </c>
      <c r="N455" s="13">
        <f t="shared" si="67"/>
        <v>0</v>
      </c>
    </row>
    <row r="456" spans="1:15">
      <c r="A456" s="14"/>
      <c r="N456" s="13"/>
    </row>
    <row r="457" spans="1:15" ht="16.5" thickBot="1">
      <c r="A457" s="17" t="s">
        <v>28</v>
      </c>
      <c r="B457" s="29">
        <f>+B455+B433+B411</f>
        <v>0</v>
      </c>
      <c r="C457" s="29">
        <f t="shared" ref="C457:M457" si="70">+C455+C433+C411</f>
        <v>0</v>
      </c>
      <c r="D457" s="29">
        <f t="shared" si="70"/>
        <v>0</v>
      </c>
      <c r="E457" s="29">
        <f t="shared" si="70"/>
        <v>0</v>
      </c>
      <c r="F457" s="29">
        <f t="shared" si="70"/>
        <v>0</v>
      </c>
      <c r="G457" s="29">
        <f t="shared" si="70"/>
        <v>0</v>
      </c>
      <c r="H457" s="29">
        <f t="shared" si="70"/>
        <v>0</v>
      </c>
      <c r="I457" s="29">
        <f t="shared" si="70"/>
        <v>0</v>
      </c>
      <c r="J457" s="29">
        <f t="shared" si="70"/>
        <v>0</v>
      </c>
      <c r="K457" s="29">
        <f t="shared" si="70"/>
        <v>0</v>
      </c>
      <c r="L457" s="29">
        <f t="shared" si="70"/>
        <v>0</v>
      </c>
      <c r="M457" s="29">
        <f t="shared" si="70"/>
        <v>0</v>
      </c>
      <c r="N457" s="18">
        <f>+N455+N412+N433+N411</f>
        <v>0</v>
      </c>
    </row>
    <row r="458" spans="1:15">
      <c r="A458" s="5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7" t="s">
        <v>3</v>
      </c>
    </row>
    <row r="459" spans="1:15" ht="13.5" thickBot="1">
      <c r="A459" s="19" t="s">
        <v>169</v>
      </c>
      <c r="B459" s="28" t="s">
        <v>5</v>
      </c>
      <c r="C459" s="28" t="s">
        <v>6</v>
      </c>
      <c r="D459" s="28" t="s">
        <v>7</v>
      </c>
      <c r="E459" s="28" t="s">
        <v>8</v>
      </c>
      <c r="F459" s="28" t="s">
        <v>9</v>
      </c>
      <c r="G459" s="28" t="s">
        <v>10</v>
      </c>
      <c r="H459" s="28" t="s">
        <v>11</v>
      </c>
      <c r="I459" s="28" t="s">
        <v>12</v>
      </c>
      <c r="J459" s="28" t="s">
        <v>13</v>
      </c>
      <c r="K459" s="28" t="s">
        <v>14</v>
      </c>
      <c r="L459" s="28" t="s">
        <v>15</v>
      </c>
      <c r="M459" s="28" t="s">
        <v>16</v>
      </c>
      <c r="N459" s="10" t="s">
        <v>17</v>
      </c>
    </row>
    <row r="460" spans="1:15">
      <c r="A460" s="46"/>
      <c r="N460" s="13"/>
    </row>
    <row r="461" spans="1:15">
      <c r="A461" s="20" t="s">
        <v>32</v>
      </c>
      <c r="B461" s="26">
        <f>0-B474-B486</f>
        <v>0</v>
      </c>
      <c r="C461" s="26">
        <f t="shared" ref="C461:M461" si="71">0-C474-C486</f>
        <v>0</v>
      </c>
      <c r="D461" s="26">
        <f t="shared" si="71"/>
        <v>0</v>
      </c>
      <c r="E461" s="26">
        <f t="shared" si="71"/>
        <v>0</v>
      </c>
      <c r="F461" s="26">
        <f t="shared" si="71"/>
        <v>0</v>
      </c>
      <c r="G461" s="26">
        <f t="shared" si="71"/>
        <v>0</v>
      </c>
      <c r="H461" s="26">
        <f t="shared" si="71"/>
        <v>0</v>
      </c>
      <c r="I461" s="26">
        <f t="shared" si="71"/>
        <v>0</v>
      </c>
      <c r="J461" s="26">
        <f t="shared" si="71"/>
        <v>0</v>
      </c>
      <c r="K461" s="26">
        <f t="shared" si="71"/>
        <v>0</v>
      </c>
      <c r="L461" s="26">
        <f t="shared" si="71"/>
        <v>0</v>
      </c>
      <c r="M461" s="26">
        <f t="shared" si="71"/>
        <v>0</v>
      </c>
      <c r="N461" s="13">
        <f>SUM(B461:M461)</f>
        <v>0</v>
      </c>
    </row>
    <row r="462" spans="1:15">
      <c r="A462" s="14" t="s">
        <v>33</v>
      </c>
      <c r="N462" s="13">
        <f>SUM(B462:M462)</f>
        <v>0</v>
      </c>
    </row>
    <row r="463" spans="1:15">
      <c r="A463" s="14" t="s">
        <v>3</v>
      </c>
      <c r="N463" s="13"/>
    </row>
    <row r="464" spans="1:15">
      <c r="A464" s="20" t="s">
        <v>34</v>
      </c>
      <c r="N464" s="13"/>
    </row>
    <row r="465" spans="1:15">
      <c r="A465" s="14" t="s">
        <v>170</v>
      </c>
      <c r="B465" s="26">
        <v>0</v>
      </c>
      <c r="C465" s="26">
        <v>0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13">
        <f t="shared" ref="N465:N474" si="72">SUM(B465:M465)</f>
        <v>0</v>
      </c>
      <c r="O465"/>
    </row>
    <row r="466" spans="1:15">
      <c r="A466" s="14" t="s">
        <v>171</v>
      </c>
      <c r="B466" s="26">
        <v>0</v>
      </c>
      <c r="C466" s="26">
        <v>0</v>
      </c>
      <c r="D466" s="26">
        <v>0</v>
      </c>
      <c r="E466" s="26">
        <v>0</v>
      </c>
      <c r="F466" s="26">
        <v>0</v>
      </c>
      <c r="G466" s="26">
        <v>0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26">
        <v>0</v>
      </c>
      <c r="N466" s="13">
        <f t="shared" si="72"/>
        <v>0</v>
      </c>
      <c r="O466"/>
    </row>
    <row r="467" spans="1:15">
      <c r="A467" s="14" t="s">
        <v>172</v>
      </c>
      <c r="B467" s="26">
        <v>0</v>
      </c>
      <c r="C467" s="26">
        <v>0</v>
      </c>
      <c r="D467" s="26">
        <v>0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13">
        <f t="shared" si="72"/>
        <v>0</v>
      </c>
      <c r="O467"/>
    </row>
    <row r="468" spans="1:15">
      <c r="A468" s="14" t="s">
        <v>173</v>
      </c>
      <c r="B468" s="26">
        <v>0</v>
      </c>
      <c r="C468" s="26">
        <v>0</v>
      </c>
      <c r="D468" s="26">
        <v>0</v>
      </c>
      <c r="E468" s="26">
        <v>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13">
        <f t="shared" si="72"/>
        <v>0</v>
      </c>
      <c r="O468"/>
    </row>
    <row r="469" spans="1:15">
      <c r="A469" s="14" t="s">
        <v>174</v>
      </c>
      <c r="B469" s="26">
        <v>0</v>
      </c>
      <c r="C469" s="26">
        <v>0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13">
        <f t="shared" si="72"/>
        <v>0</v>
      </c>
      <c r="O469"/>
    </row>
    <row r="470" spans="1:15">
      <c r="A470" s="14" t="s">
        <v>175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13">
        <f t="shared" si="72"/>
        <v>0</v>
      </c>
      <c r="O470"/>
    </row>
    <row r="471" spans="1:15">
      <c r="A471" s="14" t="s">
        <v>176</v>
      </c>
      <c r="B471" s="26">
        <v>0</v>
      </c>
      <c r="C471" s="26">
        <v>0</v>
      </c>
      <c r="D471" s="26">
        <v>0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13">
        <f t="shared" si="72"/>
        <v>0</v>
      </c>
      <c r="O471"/>
    </row>
    <row r="472" spans="1:15">
      <c r="A472" s="14" t="s">
        <v>177</v>
      </c>
      <c r="B472" s="26">
        <v>0</v>
      </c>
      <c r="C472" s="26">
        <v>0</v>
      </c>
      <c r="D472" s="26">
        <v>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13">
        <f t="shared" si="72"/>
        <v>0</v>
      </c>
      <c r="O472"/>
    </row>
    <row r="473" spans="1:15">
      <c r="A473" s="14" t="s">
        <v>178</v>
      </c>
      <c r="B473" s="26">
        <v>0</v>
      </c>
      <c r="C473" s="26">
        <v>0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13">
        <f t="shared" si="72"/>
        <v>0</v>
      </c>
      <c r="O473"/>
    </row>
    <row r="474" spans="1:15">
      <c r="A474" s="14" t="s">
        <v>71</v>
      </c>
      <c r="B474" s="26">
        <f t="shared" ref="B474:M474" si="73">SUM(B465:B473)</f>
        <v>0</v>
      </c>
      <c r="C474" s="26">
        <f t="shared" si="73"/>
        <v>0</v>
      </c>
      <c r="D474" s="26">
        <f t="shared" si="73"/>
        <v>0</v>
      </c>
      <c r="E474" s="26">
        <f t="shared" si="73"/>
        <v>0</v>
      </c>
      <c r="F474" s="26">
        <f t="shared" si="73"/>
        <v>0</v>
      </c>
      <c r="G474" s="26">
        <f t="shared" si="73"/>
        <v>0</v>
      </c>
      <c r="H474" s="26">
        <f t="shared" si="73"/>
        <v>0</v>
      </c>
      <c r="I474" s="26">
        <f t="shared" si="73"/>
        <v>0</v>
      </c>
      <c r="J474" s="26">
        <f t="shared" si="73"/>
        <v>0</v>
      </c>
      <c r="K474" s="26">
        <f t="shared" si="73"/>
        <v>0</v>
      </c>
      <c r="L474" s="26">
        <f t="shared" si="73"/>
        <v>0</v>
      </c>
      <c r="M474" s="26">
        <f t="shared" si="73"/>
        <v>0</v>
      </c>
      <c r="N474" s="13">
        <f t="shared" si="72"/>
        <v>0</v>
      </c>
    </row>
    <row r="475" spans="1:15">
      <c r="A475" s="14"/>
      <c r="N475" s="13"/>
    </row>
    <row r="476" spans="1:15">
      <c r="A476" s="20" t="s">
        <v>72</v>
      </c>
      <c r="N476" s="13"/>
    </row>
    <row r="477" spans="1:15">
      <c r="A477" s="14" t="s">
        <v>170</v>
      </c>
      <c r="B477" s="26">
        <v>0</v>
      </c>
      <c r="C477" s="26">
        <v>0</v>
      </c>
      <c r="D477" s="26">
        <v>0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13">
        <f t="shared" ref="N477:N483" si="74">SUM(B477:M477)</f>
        <v>0</v>
      </c>
      <c r="O477"/>
    </row>
    <row r="478" spans="1:15">
      <c r="A478" s="14" t="s">
        <v>171</v>
      </c>
      <c r="B478" s="26">
        <v>0</v>
      </c>
      <c r="C478" s="26">
        <v>0</v>
      </c>
      <c r="D478" s="26">
        <v>0</v>
      </c>
      <c r="E478" s="26">
        <v>0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13">
        <f t="shared" si="74"/>
        <v>0</v>
      </c>
      <c r="O478"/>
    </row>
    <row r="479" spans="1:15">
      <c r="A479" s="14" t="s">
        <v>172</v>
      </c>
      <c r="B479" s="26">
        <v>0</v>
      </c>
      <c r="C479" s="26">
        <v>0</v>
      </c>
      <c r="D479" s="26">
        <v>0</v>
      </c>
      <c r="E479" s="26">
        <v>0</v>
      </c>
      <c r="F479" s="26">
        <v>0</v>
      </c>
      <c r="G479" s="26">
        <v>0</v>
      </c>
      <c r="H479" s="26">
        <v>0</v>
      </c>
      <c r="I479" s="26">
        <v>0</v>
      </c>
      <c r="J479" s="26">
        <v>0</v>
      </c>
      <c r="K479" s="26">
        <v>0</v>
      </c>
      <c r="L479" s="26">
        <v>0</v>
      </c>
      <c r="M479" s="26">
        <v>0</v>
      </c>
      <c r="N479" s="13">
        <f t="shared" si="74"/>
        <v>0</v>
      </c>
      <c r="O479"/>
    </row>
    <row r="480" spans="1:15">
      <c r="A480" s="14" t="s">
        <v>173</v>
      </c>
      <c r="B480" s="26">
        <v>0</v>
      </c>
      <c r="C480" s="26">
        <v>0</v>
      </c>
      <c r="D480" s="26">
        <v>0</v>
      </c>
      <c r="E480" s="26">
        <v>0</v>
      </c>
      <c r="F480" s="26">
        <v>0</v>
      </c>
      <c r="G480" s="26">
        <v>0</v>
      </c>
      <c r="H480" s="26">
        <v>0</v>
      </c>
      <c r="I480" s="26">
        <v>0</v>
      </c>
      <c r="J480" s="26">
        <v>0</v>
      </c>
      <c r="K480" s="26">
        <v>0</v>
      </c>
      <c r="L480" s="26">
        <v>0</v>
      </c>
      <c r="M480" s="26">
        <v>0</v>
      </c>
      <c r="N480" s="13">
        <f t="shared" si="74"/>
        <v>0</v>
      </c>
      <c r="O480"/>
    </row>
    <row r="481" spans="1:15">
      <c r="A481" s="14" t="s">
        <v>174</v>
      </c>
      <c r="B481" s="26">
        <v>0</v>
      </c>
      <c r="C481" s="26">
        <v>0</v>
      </c>
      <c r="D481" s="26">
        <v>0</v>
      </c>
      <c r="E481" s="26">
        <v>0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13">
        <f t="shared" si="74"/>
        <v>0</v>
      </c>
      <c r="O481"/>
    </row>
    <row r="482" spans="1:15">
      <c r="A482" s="14" t="s">
        <v>175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13">
        <f t="shared" si="74"/>
        <v>0</v>
      </c>
      <c r="O482"/>
    </row>
    <row r="483" spans="1:15">
      <c r="A483" s="14" t="s">
        <v>176</v>
      </c>
      <c r="B483" s="26">
        <v>0</v>
      </c>
      <c r="C483" s="26">
        <v>0</v>
      </c>
      <c r="D483" s="26">
        <v>0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13">
        <f t="shared" si="74"/>
        <v>0</v>
      </c>
      <c r="O483"/>
    </row>
    <row r="484" spans="1:15">
      <c r="A484" s="14" t="s">
        <v>177</v>
      </c>
      <c r="B484" s="26">
        <v>0</v>
      </c>
      <c r="C484" s="26">
        <v>0</v>
      </c>
      <c r="D484" s="26">
        <v>0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13">
        <f>SUM(B484:M484)</f>
        <v>0</v>
      </c>
      <c r="O484"/>
    </row>
    <row r="485" spans="1:15">
      <c r="A485" s="14" t="s">
        <v>178</v>
      </c>
      <c r="B485" s="26">
        <v>0</v>
      </c>
      <c r="C485" s="26">
        <v>0</v>
      </c>
      <c r="D485" s="26">
        <v>0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0</v>
      </c>
      <c r="N485" s="13">
        <f>SUM(B485:M485)</f>
        <v>0</v>
      </c>
      <c r="O485"/>
    </row>
    <row r="486" spans="1:15">
      <c r="A486" s="14" t="s">
        <v>71</v>
      </c>
      <c r="B486" s="26">
        <f>SUM(B477:B485)</f>
        <v>0</v>
      </c>
      <c r="C486" s="26">
        <f t="shared" ref="C486:M486" si="75">SUM(C477:C485)</f>
        <v>0</v>
      </c>
      <c r="D486" s="26">
        <f t="shared" si="75"/>
        <v>0</v>
      </c>
      <c r="E486" s="26">
        <f t="shared" si="75"/>
        <v>0</v>
      </c>
      <c r="F486" s="26">
        <f t="shared" si="75"/>
        <v>0</v>
      </c>
      <c r="G486" s="26">
        <f t="shared" si="75"/>
        <v>0</v>
      </c>
      <c r="H486" s="26">
        <f t="shared" si="75"/>
        <v>0</v>
      </c>
      <c r="I486" s="26">
        <f t="shared" si="75"/>
        <v>0</v>
      </c>
      <c r="J486" s="26">
        <f t="shared" si="75"/>
        <v>0</v>
      </c>
      <c r="K486" s="26">
        <f t="shared" si="75"/>
        <v>0</v>
      </c>
      <c r="L486" s="26">
        <f t="shared" si="75"/>
        <v>0</v>
      </c>
      <c r="M486" s="26">
        <f t="shared" si="75"/>
        <v>0</v>
      </c>
      <c r="N486" s="13">
        <f>SUM(B486:M486)</f>
        <v>0</v>
      </c>
    </row>
    <row r="487" spans="1:15">
      <c r="A487" s="14"/>
      <c r="N487" s="13"/>
    </row>
    <row r="488" spans="1:15" ht="16.5" thickBot="1">
      <c r="A488" s="17" t="s">
        <v>28</v>
      </c>
      <c r="B488" s="29">
        <f>+B486+B474+B461</f>
        <v>0</v>
      </c>
      <c r="C488" s="29">
        <f t="shared" ref="C488:M488" si="76">+C486+C474+C461</f>
        <v>0</v>
      </c>
      <c r="D488" s="29">
        <f t="shared" si="76"/>
        <v>0</v>
      </c>
      <c r="E488" s="29">
        <f t="shared" si="76"/>
        <v>0</v>
      </c>
      <c r="F488" s="29">
        <f t="shared" si="76"/>
        <v>0</v>
      </c>
      <c r="G488" s="29">
        <f t="shared" si="76"/>
        <v>0</v>
      </c>
      <c r="H488" s="29">
        <f t="shared" si="76"/>
        <v>0</v>
      </c>
      <c r="I488" s="29">
        <f t="shared" si="76"/>
        <v>0</v>
      </c>
      <c r="J488" s="29">
        <f t="shared" si="76"/>
        <v>0</v>
      </c>
      <c r="K488" s="29">
        <f t="shared" si="76"/>
        <v>0</v>
      </c>
      <c r="L488" s="29">
        <f t="shared" si="76"/>
        <v>0</v>
      </c>
      <c r="M488" s="29">
        <f t="shared" si="76"/>
        <v>0</v>
      </c>
      <c r="N488" s="18">
        <f>+N486+N462+N474+N461</f>
        <v>0</v>
      </c>
    </row>
    <row r="489" spans="1:15" ht="13.5" thickBot="1"/>
    <row r="490" spans="1:15">
      <c r="A490" s="5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7" t="s">
        <v>3</v>
      </c>
    </row>
    <row r="491" spans="1:15" ht="13.5" thickBot="1">
      <c r="A491" s="19" t="s">
        <v>179</v>
      </c>
      <c r="B491" s="28" t="s">
        <v>5</v>
      </c>
      <c r="C491" s="28" t="s">
        <v>6</v>
      </c>
      <c r="D491" s="28" t="s">
        <v>7</v>
      </c>
      <c r="E491" s="28" t="s">
        <v>8</v>
      </c>
      <c r="F491" s="28" t="s">
        <v>9</v>
      </c>
      <c r="G491" s="28" t="s">
        <v>10</v>
      </c>
      <c r="H491" s="28" t="s">
        <v>11</v>
      </c>
      <c r="I491" s="28" t="s">
        <v>12</v>
      </c>
      <c r="J491" s="28" t="s">
        <v>13</v>
      </c>
      <c r="K491" s="28" t="s">
        <v>14</v>
      </c>
      <c r="L491" s="28" t="s">
        <v>15</v>
      </c>
      <c r="M491" s="28" t="s">
        <v>16</v>
      </c>
      <c r="N491" s="10" t="s">
        <v>17</v>
      </c>
    </row>
    <row r="492" spans="1:15">
      <c r="A492" s="14" t="s">
        <v>3</v>
      </c>
      <c r="N492" s="13"/>
    </row>
    <row r="493" spans="1:15">
      <c r="A493" s="20" t="s">
        <v>32</v>
      </c>
      <c r="B493" s="26">
        <f>0-B508</f>
        <v>0</v>
      </c>
      <c r="C493" s="26">
        <f t="shared" ref="C493:M493" si="77">0-C508</f>
        <v>0</v>
      </c>
      <c r="D493" s="26">
        <f t="shared" si="77"/>
        <v>0</v>
      </c>
      <c r="E493" s="26">
        <f t="shared" si="77"/>
        <v>0</v>
      </c>
      <c r="F493" s="26">
        <f t="shared" si="77"/>
        <v>0</v>
      </c>
      <c r="G493" s="26">
        <f t="shared" si="77"/>
        <v>0</v>
      </c>
      <c r="H493" s="26">
        <f t="shared" si="77"/>
        <v>0</v>
      </c>
      <c r="I493" s="26">
        <f t="shared" si="77"/>
        <v>0</v>
      </c>
      <c r="J493" s="26">
        <f t="shared" si="77"/>
        <v>0</v>
      </c>
      <c r="K493" s="26">
        <f t="shared" si="77"/>
        <v>0</v>
      </c>
      <c r="L493" s="26">
        <f t="shared" si="77"/>
        <v>0</v>
      </c>
      <c r="M493" s="26">
        <f t="shared" si="77"/>
        <v>0</v>
      </c>
      <c r="N493" s="13">
        <f>SUM(B493:M493)</f>
        <v>0</v>
      </c>
    </row>
    <row r="494" spans="1:15">
      <c r="A494" s="14" t="s">
        <v>3</v>
      </c>
      <c r="N494" s="13"/>
    </row>
    <row r="495" spans="1:15">
      <c r="A495" s="20" t="s">
        <v>34</v>
      </c>
      <c r="N495" s="13">
        <f t="shared" ref="N495:N508" si="78">SUM(B495:M495)</f>
        <v>0</v>
      </c>
    </row>
    <row r="496" spans="1:15">
      <c r="A496" s="14" t="s">
        <v>170</v>
      </c>
      <c r="B496" s="26">
        <v>0</v>
      </c>
      <c r="C496" s="26">
        <v>0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13">
        <f t="shared" si="78"/>
        <v>0</v>
      </c>
      <c r="O496" s="105"/>
    </row>
    <row r="497" spans="1:15">
      <c r="A497" s="14" t="s">
        <v>180</v>
      </c>
      <c r="B497" s="26">
        <v>0</v>
      </c>
      <c r="C497" s="26">
        <v>0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13">
        <f t="shared" ref="N497:N502" si="79">SUM(B497:M497)</f>
        <v>0</v>
      </c>
      <c r="O497" s="105"/>
    </row>
    <row r="498" spans="1:15">
      <c r="A498" s="14" t="s">
        <v>181</v>
      </c>
      <c r="B498" s="26">
        <v>0</v>
      </c>
      <c r="C498" s="26">
        <v>0</v>
      </c>
      <c r="D498" s="26">
        <v>0</v>
      </c>
      <c r="E498" s="26">
        <v>0</v>
      </c>
      <c r="F498" s="26">
        <v>0</v>
      </c>
      <c r="G498" s="26">
        <v>0</v>
      </c>
      <c r="H498" s="26">
        <v>0</v>
      </c>
      <c r="I498" s="26">
        <v>0</v>
      </c>
      <c r="J498" s="26">
        <v>0</v>
      </c>
      <c r="K498" s="26">
        <v>0</v>
      </c>
      <c r="L498" s="26">
        <v>0</v>
      </c>
      <c r="M498" s="26">
        <v>0</v>
      </c>
      <c r="N498" s="13">
        <f t="shared" si="79"/>
        <v>0</v>
      </c>
      <c r="O498" s="105"/>
    </row>
    <row r="499" spans="1:15">
      <c r="A499" s="14" t="s">
        <v>173</v>
      </c>
      <c r="B499" s="26">
        <v>0</v>
      </c>
      <c r="C499" s="26">
        <v>0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13">
        <f t="shared" si="79"/>
        <v>0</v>
      </c>
      <c r="O499" s="105"/>
    </row>
    <row r="500" spans="1:15">
      <c r="A500" s="14" t="s">
        <v>182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13">
        <f t="shared" si="79"/>
        <v>0</v>
      </c>
      <c r="O500" s="105"/>
    </row>
    <row r="501" spans="1:15">
      <c r="A501" s="14" t="s">
        <v>183</v>
      </c>
      <c r="B501" s="26">
        <v>0</v>
      </c>
      <c r="C501" s="26">
        <v>0</v>
      </c>
      <c r="D501" s="26">
        <v>0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>
        <v>0</v>
      </c>
      <c r="N501" s="13">
        <f t="shared" si="79"/>
        <v>0</v>
      </c>
      <c r="O501" s="105"/>
    </row>
    <row r="502" spans="1:15">
      <c r="A502" s="14" t="s">
        <v>184</v>
      </c>
      <c r="B502" s="26">
        <v>0</v>
      </c>
      <c r="C502" s="26">
        <v>0</v>
      </c>
      <c r="D502" s="26">
        <v>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13">
        <f t="shared" si="79"/>
        <v>0</v>
      </c>
      <c r="O502" s="105"/>
    </row>
    <row r="503" spans="1:15">
      <c r="A503" s="14" t="s">
        <v>185</v>
      </c>
      <c r="B503" s="26">
        <v>0</v>
      </c>
      <c r="C503" s="26">
        <v>0</v>
      </c>
      <c r="D503" s="26">
        <v>0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0</v>
      </c>
      <c r="N503" s="13">
        <f t="shared" si="78"/>
        <v>0</v>
      </c>
      <c r="O503" s="105"/>
    </row>
    <row r="504" spans="1:15">
      <c r="A504" s="14" t="s">
        <v>186</v>
      </c>
      <c r="B504" s="26">
        <v>0</v>
      </c>
      <c r="C504" s="26">
        <v>0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13">
        <f t="shared" si="78"/>
        <v>0</v>
      </c>
      <c r="O504" s="105"/>
    </row>
    <row r="505" spans="1:15">
      <c r="A505" s="14" t="s">
        <v>187</v>
      </c>
      <c r="B505" s="26">
        <v>0</v>
      </c>
      <c r="C505" s="26">
        <v>0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>
        <v>0</v>
      </c>
      <c r="N505" s="13">
        <f t="shared" si="78"/>
        <v>0</v>
      </c>
      <c r="O505" s="105"/>
    </row>
    <row r="506" spans="1:15">
      <c r="A506" s="14" t="s">
        <v>188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13">
        <f t="shared" si="78"/>
        <v>0</v>
      </c>
      <c r="O506" s="105"/>
    </row>
    <row r="507" spans="1:15">
      <c r="A507" s="14" t="s">
        <v>189</v>
      </c>
      <c r="B507" s="26">
        <v>0</v>
      </c>
      <c r="C507" s="26">
        <v>0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13">
        <f t="shared" si="78"/>
        <v>0</v>
      </c>
      <c r="O507" s="105"/>
    </row>
    <row r="508" spans="1:15">
      <c r="A508" s="14" t="s">
        <v>71</v>
      </c>
      <c r="B508" s="26">
        <f t="shared" ref="B508:M508" si="80">SUM(B496:B507)</f>
        <v>0</v>
      </c>
      <c r="C508" s="26">
        <f t="shared" si="80"/>
        <v>0</v>
      </c>
      <c r="D508" s="26">
        <f t="shared" si="80"/>
        <v>0</v>
      </c>
      <c r="E508" s="26">
        <f t="shared" si="80"/>
        <v>0</v>
      </c>
      <c r="F508" s="26">
        <f t="shared" si="80"/>
        <v>0</v>
      </c>
      <c r="G508" s="26">
        <f t="shared" si="80"/>
        <v>0</v>
      </c>
      <c r="H508" s="26">
        <f t="shared" si="80"/>
        <v>0</v>
      </c>
      <c r="I508" s="26">
        <f t="shared" si="80"/>
        <v>0</v>
      </c>
      <c r="J508" s="26">
        <f t="shared" si="80"/>
        <v>0</v>
      </c>
      <c r="K508" s="26">
        <f t="shared" si="80"/>
        <v>0</v>
      </c>
      <c r="L508" s="26">
        <f t="shared" si="80"/>
        <v>0</v>
      </c>
      <c r="M508" s="26">
        <f t="shared" si="80"/>
        <v>0</v>
      </c>
      <c r="N508" s="13">
        <f t="shared" si="78"/>
        <v>0</v>
      </c>
    </row>
    <row r="509" spans="1:15">
      <c r="A509" s="14"/>
      <c r="N509" s="13"/>
    </row>
    <row r="510" spans="1:15">
      <c r="A510" s="14" t="s">
        <v>72</v>
      </c>
      <c r="N510" s="13"/>
    </row>
    <row r="511" spans="1:15">
      <c r="A511" s="14" t="s">
        <v>170</v>
      </c>
      <c r="B511" s="26">
        <v>0</v>
      </c>
      <c r="C511" s="26">
        <v>0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13">
        <f t="shared" ref="N511:N523" si="81">SUM(B511:M511)</f>
        <v>0</v>
      </c>
      <c r="O511" s="105"/>
    </row>
    <row r="512" spans="1:15">
      <c r="A512" s="14" t="s">
        <v>180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13">
        <f t="shared" si="81"/>
        <v>0</v>
      </c>
      <c r="O512" s="105"/>
    </row>
    <row r="513" spans="1:15">
      <c r="A513" s="14" t="s">
        <v>181</v>
      </c>
      <c r="B513" s="26">
        <v>0</v>
      </c>
      <c r="C513" s="26">
        <v>0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13">
        <f t="shared" si="81"/>
        <v>0</v>
      </c>
      <c r="O513" s="105"/>
    </row>
    <row r="514" spans="1:15">
      <c r="A514" s="14" t="s">
        <v>173</v>
      </c>
      <c r="B514" s="26">
        <v>0</v>
      </c>
      <c r="C514" s="26">
        <v>0</v>
      </c>
      <c r="D514" s="26">
        <v>0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13">
        <f>SUM(B514:M514)</f>
        <v>0</v>
      </c>
      <c r="O514" s="105"/>
    </row>
    <row r="515" spans="1:15">
      <c r="A515" s="14" t="s">
        <v>182</v>
      </c>
      <c r="B515" s="26">
        <v>0</v>
      </c>
      <c r="C515" s="26">
        <v>0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13">
        <f>SUM(B515:M515)</f>
        <v>0</v>
      </c>
      <c r="O515" s="105"/>
    </row>
    <row r="516" spans="1:15">
      <c r="A516" s="14" t="s">
        <v>183</v>
      </c>
      <c r="B516" s="26">
        <v>0</v>
      </c>
      <c r="C516" s="26">
        <v>0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  <c r="K516" s="26">
        <v>0</v>
      </c>
      <c r="L516" s="26">
        <v>0</v>
      </c>
      <c r="M516" s="26">
        <v>0</v>
      </c>
      <c r="N516" s="13">
        <f>SUM(B516:M516)</f>
        <v>0</v>
      </c>
      <c r="O516" s="105"/>
    </row>
    <row r="517" spans="1:15">
      <c r="A517" s="14" t="s">
        <v>184</v>
      </c>
      <c r="B517" s="26">
        <v>0</v>
      </c>
      <c r="C517" s="26">
        <v>0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13">
        <f t="shared" si="81"/>
        <v>0</v>
      </c>
      <c r="O517" s="105"/>
    </row>
    <row r="518" spans="1:15">
      <c r="A518" s="14" t="s">
        <v>185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13">
        <f t="shared" si="81"/>
        <v>0</v>
      </c>
      <c r="O518" s="105"/>
    </row>
    <row r="519" spans="1:15">
      <c r="A519" s="14" t="s">
        <v>186</v>
      </c>
      <c r="B519" s="26">
        <v>0</v>
      </c>
      <c r="C519" s="26">
        <v>0</v>
      </c>
      <c r="D519" s="26">
        <v>0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13">
        <f t="shared" si="81"/>
        <v>0</v>
      </c>
      <c r="O519" s="105"/>
    </row>
    <row r="520" spans="1:15">
      <c r="A520" s="14" t="s">
        <v>187</v>
      </c>
      <c r="B520" s="26">
        <v>0</v>
      </c>
      <c r="C520" s="26">
        <v>0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13">
        <f t="shared" si="81"/>
        <v>0</v>
      </c>
      <c r="O520" s="105"/>
    </row>
    <row r="521" spans="1:15">
      <c r="A521" s="14" t="s">
        <v>188</v>
      </c>
      <c r="B521" s="26">
        <v>0</v>
      </c>
      <c r="C521" s="26">
        <v>0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13">
        <f t="shared" si="81"/>
        <v>0</v>
      </c>
      <c r="O521" s="105"/>
    </row>
    <row r="522" spans="1:15">
      <c r="A522" s="14" t="s">
        <v>189</v>
      </c>
      <c r="B522" s="26">
        <v>0</v>
      </c>
      <c r="C522" s="26">
        <v>0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13">
        <f t="shared" si="81"/>
        <v>0</v>
      </c>
      <c r="O522" s="105"/>
    </row>
    <row r="523" spans="1:15">
      <c r="A523" s="14" t="s">
        <v>71</v>
      </c>
      <c r="B523" s="26">
        <f t="shared" ref="B523:M523" si="82">SUM(B511:B522)</f>
        <v>0</v>
      </c>
      <c r="C523" s="26">
        <f t="shared" si="82"/>
        <v>0</v>
      </c>
      <c r="D523" s="26">
        <f t="shared" si="82"/>
        <v>0</v>
      </c>
      <c r="E523" s="26">
        <f t="shared" si="82"/>
        <v>0</v>
      </c>
      <c r="F523" s="26">
        <f t="shared" si="82"/>
        <v>0</v>
      </c>
      <c r="G523" s="26">
        <f t="shared" si="82"/>
        <v>0</v>
      </c>
      <c r="H523" s="26">
        <f t="shared" si="82"/>
        <v>0</v>
      </c>
      <c r="I523" s="26">
        <f t="shared" si="82"/>
        <v>0</v>
      </c>
      <c r="J523" s="26">
        <f t="shared" si="82"/>
        <v>0</v>
      </c>
      <c r="K523" s="26">
        <f t="shared" si="82"/>
        <v>0</v>
      </c>
      <c r="L523" s="26">
        <f t="shared" si="82"/>
        <v>0</v>
      </c>
      <c r="M523" s="26">
        <f t="shared" si="82"/>
        <v>0</v>
      </c>
      <c r="N523" s="13">
        <f t="shared" si="81"/>
        <v>0</v>
      </c>
    </row>
    <row r="524" spans="1:15">
      <c r="A524" s="14"/>
      <c r="N524" s="13"/>
    </row>
    <row r="525" spans="1:15" ht="16.5" thickBot="1">
      <c r="A525" s="17" t="s">
        <v>28</v>
      </c>
      <c r="B525" s="29">
        <f>+B523+B508+B493</f>
        <v>0</v>
      </c>
      <c r="C525" s="29">
        <f t="shared" ref="C525:M525" si="83">+C523+C508+C493</f>
        <v>0</v>
      </c>
      <c r="D525" s="29">
        <f t="shared" si="83"/>
        <v>0</v>
      </c>
      <c r="E525" s="29">
        <f t="shared" si="83"/>
        <v>0</v>
      </c>
      <c r="F525" s="29">
        <f t="shared" si="83"/>
        <v>0</v>
      </c>
      <c r="G525" s="29">
        <f t="shared" si="83"/>
        <v>0</v>
      </c>
      <c r="H525" s="29">
        <f t="shared" si="83"/>
        <v>0</v>
      </c>
      <c r="I525" s="29">
        <f t="shared" si="83"/>
        <v>0</v>
      </c>
      <c r="J525" s="29">
        <f t="shared" si="83"/>
        <v>0</v>
      </c>
      <c r="K525" s="29">
        <f t="shared" si="83"/>
        <v>0</v>
      </c>
      <c r="L525" s="29">
        <f t="shared" si="83"/>
        <v>0</v>
      </c>
      <c r="M525" s="29">
        <f t="shared" si="83"/>
        <v>0</v>
      </c>
      <c r="N525" s="18">
        <f>+N523+N508+N493</f>
        <v>0</v>
      </c>
    </row>
    <row r="526" spans="1:15">
      <c r="A526" s="2" t="s">
        <v>190</v>
      </c>
    </row>
    <row r="527" spans="1:15">
      <c r="A527" s="2" t="s">
        <v>191</v>
      </c>
    </row>
    <row r="528" spans="1:15">
      <c r="A528" s="2" t="s">
        <v>192</v>
      </c>
    </row>
    <row r="529" spans="1:1">
      <c r="A529" s="2" t="s">
        <v>193</v>
      </c>
    </row>
    <row r="530" spans="1:1">
      <c r="A530" s="2" t="s">
        <v>194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  <rowBreaks count="1" manualBreakCount="1">
    <brk id="4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3"/>
  <sheetViews>
    <sheetView zoomScaleNormal="100" workbookViewId="0">
      <pane xSplit="1" ySplit="7" topLeftCell="B8" activePane="bottomRight" state="frozen"/>
      <selection pane="bottomRight" activeCell="M19" sqref="M19"/>
      <selection pane="bottomLeft" activeCell="A8" sqref="A8"/>
      <selection pane="topRight" activeCell="B1" sqref="B1"/>
    </sheetView>
  </sheetViews>
  <sheetFormatPr defaultColWidth="9.140625" defaultRowHeight="12.75"/>
  <cols>
    <col min="1" max="1" width="36.85546875" style="2" bestFit="1" customWidth="1"/>
    <col min="2" max="2" width="15.5703125" style="26" bestFit="1" customWidth="1"/>
    <col min="3" max="3" width="12.85546875" style="26" bestFit="1" customWidth="1"/>
    <col min="4" max="5" width="15.5703125" style="26" customWidth="1"/>
    <col min="6" max="6" width="14.5703125" style="26" customWidth="1"/>
    <col min="7" max="10" width="15.5703125" style="26" customWidth="1"/>
    <col min="11" max="13" width="14.5703125" style="26" customWidth="1"/>
    <col min="14" max="14" width="16.5703125" style="26" bestFit="1" customWidth="1"/>
    <col min="15" max="16" width="14.5703125" style="2" bestFit="1" customWidth="1"/>
    <col min="17" max="17" width="13.5703125" style="2" bestFit="1" customWidth="1"/>
    <col min="18" max="16384" width="9.140625" style="2"/>
  </cols>
  <sheetData>
    <row r="1" spans="1:14" ht="15.75" customHeight="1">
      <c r="A1" s="1" t="s">
        <v>195</v>
      </c>
    </row>
    <row r="2" spans="1:14" ht="15.75" customHeight="1">
      <c r="A2" s="3" t="s">
        <v>196</v>
      </c>
    </row>
    <row r="3" spans="1:14" ht="15.75" customHeight="1">
      <c r="A3" s="1" t="str">
        <f>'Table G-1'!A3</f>
        <v>Calendar Year 2021</v>
      </c>
    </row>
    <row r="4" spans="1:14" ht="15.75" customHeight="1">
      <c r="A4" s="4"/>
    </row>
    <row r="5" spans="1:14" ht="16.5" customHeight="1" thickBot="1">
      <c r="A5" s="4"/>
    </row>
    <row r="6" spans="1:14" ht="12.75" customHeight="1">
      <c r="A6" s="5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0" t="s">
        <v>3</v>
      </c>
    </row>
    <row r="7" spans="1:14" ht="16.5" thickBot="1">
      <c r="A7" s="8" t="s">
        <v>3</v>
      </c>
      <c r="B7" s="28" t="s">
        <v>5</v>
      </c>
      <c r="C7" s="28" t="s">
        <v>6</v>
      </c>
      <c r="D7" s="28" t="s">
        <v>7</v>
      </c>
      <c r="E7" s="28" t="s">
        <v>8</v>
      </c>
      <c r="F7" s="28" t="s">
        <v>9</v>
      </c>
      <c r="G7" s="28" t="s">
        <v>10</v>
      </c>
      <c r="H7" s="28" t="s">
        <v>11</v>
      </c>
      <c r="I7" s="28" t="s">
        <v>12</v>
      </c>
      <c r="J7" s="28" t="s">
        <v>197</v>
      </c>
      <c r="K7" s="43" t="s">
        <v>198</v>
      </c>
      <c r="L7" s="28" t="s">
        <v>199</v>
      </c>
      <c r="M7" s="28" t="s">
        <v>200</v>
      </c>
      <c r="N7" s="31" t="s">
        <v>17</v>
      </c>
    </row>
    <row r="8" spans="1:14" ht="15.75">
      <c r="A8" s="1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9"/>
    </row>
    <row r="9" spans="1:14" ht="14.25">
      <c r="A9" s="22" t="s">
        <v>201</v>
      </c>
      <c r="B9" s="106"/>
      <c r="N9" s="32"/>
    </row>
    <row r="10" spans="1:14">
      <c r="A10" s="14" t="s">
        <v>202</v>
      </c>
      <c r="B10" s="106">
        <v>-53534817.439999998</v>
      </c>
      <c r="C10" s="106">
        <f t="shared" ref="C10:M10" si="0">B24</f>
        <v>4917564.9023548001</v>
      </c>
      <c r="D10" s="106">
        <f t="shared" si="0"/>
        <v>-20624814.14864504</v>
      </c>
      <c r="E10" s="106">
        <f t="shared" si="0"/>
        <v>-18845806.76764505</v>
      </c>
      <c r="F10" s="106">
        <f t="shared" si="0"/>
        <v>-7761194.3276450448</v>
      </c>
      <c r="G10" s="106">
        <f t="shared" si="0"/>
        <v>-7563987.1191978976</v>
      </c>
      <c r="H10" s="106">
        <f t="shared" si="0"/>
        <v>-4668503.1483429465</v>
      </c>
      <c r="I10" s="106">
        <f t="shared" si="0"/>
        <v>-15358218.778342951</v>
      </c>
      <c r="J10" s="106">
        <f t="shared" si="0"/>
        <v>-15048203.248342948</v>
      </c>
      <c r="K10" s="106">
        <f t="shared" si="0"/>
        <v>-54829228.050697885</v>
      </c>
      <c r="L10" s="106">
        <f t="shared" si="0"/>
        <v>-38139633.560697883</v>
      </c>
      <c r="M10" s="106">
        <f t="shared" si="0"/>
        <v>-40631528.04069788</v>
      </c>
      <c r="N10" s="32" t="s">
        <v>203</v>
      </c>
    </row>
    <row r="11" spans="1:14">
      <c r="A11" s="14" t="s">
        <v>204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106">
        <v>0</v>
      </c>
      <c r="M11" s="35">
        <v>0</v>
      </c>
      <c r="N11" s="32">
        <f>SUM(B11:M11)</f>
        <v>0</v>
      </c>
    </row>
    <row r="12" spans="1:14">
      <c r="A12" s="61" t="s">
        <v>205</v>
      </c>
      <c r="B12" s="35">
        <f>'Table G-1'!B20</f>
        <v>11515777.909999998</v>
      </c>
      <c r="C12" s="35">
        <f>'Table G-1'!C20</f>
        <v>12493012.639999999</v>
      </c>
      <c r="D12" s="35">
        <f>'Table G-1'!D20</f>
        <v>11146965.440000001</v>
      </c>
      <c r="E12" s="35">
        <f>'Table G-1'!E20</f>
        <v>9514513.3300000001</v>
      </c>
      <c r="F12" s="35">
        <f>'Table G-1'!F20</f>
        <v>7957352.7906979024</v>
      </c>
      <c r="G12" s="35">
        <f>'Table G-1'!G20</f>
        <v>7477226.3000000007</v>
      </c>
      <c r="H12" s="35">
        <f>'Table G-1'!H20</f>
        <v>6595394.6200000001</v>
      </c>
      <c r="I12" s="35">
        <f>'Table G-1'!I20</f>
        <v>6157661.8399999999</v>
      </c>
      <c r="J12" s="35">
        <f>'Table G-1'!J20</f>
        <v>6811694.8700000001</v>
      </c>
      <c r="K12" s="35">
        <f>'Table G-1'!K20</f>
        <v>7688316.6100000003</v>
      </c>
      <c r="L12" s="35">
        <f>'Table G-1'!L20</f>
        <v>8657402.3600000013</v>
      </c>
      <c r="M12" s="35">
        <f>'Table G-1'!M20</f>
        <v>11186596.789999999</v>
      </c>
      <c r="N12" s="107">
        <f>SUM(B12:M12)</f>
        <v>107201915.50069788</v>
      </c>
    </row>
    <row r="13" spans="1:14">
      <c r="A13" s="25" t="s">
        <v>206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107">
        <f t="shared" ref="N13:N23" si="1">SUM(B13:M13)</f>
        <v>0</v>
      </c>
    </row>
    <row r="14" spans="1:14">
      <c r="A14" s="14" t="s">
        <v>207</v>
      </c>
      <c r="B14" s="35">
        <f>'Table G-4'!B21+'Table G-4'!B39</f>
        <v>-21743038</v>
      </c>
      <c r="C14" s="35">
        <f>'Table G-4'!C21+'Table G-4'!C39</f>
        <v>0</v>
      </c>
      <c r="D14" s="35">
        <f>'Table G-4'!D21+'Table G-4'!D39</f>
        <v>0</v>
      </c>
      <c r="E14" s="35">
        <f>'Table G-4'!E21+'Table G-4'!E39+'Table G-4'!E11</f>
        <v>-35155756</v>
      </c>
      <c r="F14" s="35">
        <f>'Table G-4'!F21+'Table G-4'!F39+'Table G-4'!F11</f>
        <v>0</v>
      </c>
      <c r="G14" s="35">
        <f>'Table G-4'!G21+'Table G-4'!G39+'Table G-4'!G11</f>
        <v>0</v>
      </c>
      <c r="H14" s="35">
        <f>'Table G-4'!H21+'Table G-4'!H39+'Table G-4'!H11</f>
        <v>-24949092</v>
      </c>
      <c r="I14" s="35">
        <f>'Table G-4'!I21+'Table G-4'!I39+'Table G-4'!I11</f>
        <v>0</v>
      </c>
      <c r="J14" s="35">
        <f>'Table G-4'!J21+'Table G-4'!J39+'Table G-4'!J11</f>
        <v>0</v>
      </c>
      <c r="K14" s="35">
        <f>'Table G-4'!K21+'Table G-4'!K39+'Table G-4'!K11</f>
        <v>-19564752</v>
      </c>
      <c r="L14" s="35">
        <f>'Table G-4'!L21+'Table G-4'!L39+'Table G-4'!L11</f>
        <v>0</v>
      </c>
      <c r="M14" s="35">
        <f>'Table G-4'!M21+'Table G-4'!M39+'Table G-4'!M11</f>
        <v>0</v>
      </c>
      <c r="N14" s="107">
        <f t="shared" si="1"/>
        <v>-101412638</v>
      </c>
    </row>
    <row r="15" spans="1:14">
      <c r="A15" s="61" t="s">
        <v>208</v>
      </c>
      <c r="B15" s="35">
        <v>-5327</v>
      </c>
      <c r="C15" s="35">
        <v>-4578</v>
      </c>
      <c r="D15" s="35">
        <v>-4311</v>
      </c>
      <c r="E15" s="35">
        <v>-3902</v>
      </c>
      <c r="F15" s="35">
        <v>-2631</v>
      </c>
      <c r="G15" s="35">
        <v>-2017</v>
      </c>
      <c r="H15" s="35">
        <v>-2273</v>
      </c>
      <c r="I15" s="101">
        <v>-2983</v>
      </c>
      <c r="J15" s="35">
        <v>-3495</v>
      </c>
      <c r="K15" s="35">
        <v>-3586</v>
      </c>
      <c r="L15" s="35">
        <v>-3225</v>
      </c>
      <c r="M15" s="35">
        <v>-4006</v>
      </c>
      <c r="N15" s="107">
        <f t="shared" si="1"/>
        <v>-42334</v>
      </c>
    </row>
    <row r="16" spans="1:14">
      <c r="A16" s="14" t="s">
        <v>209</v>
      </c>
      <c r="B16" s="66">
        <f>'Table G-2'!B97+'Table G-2'!B166+'Table G-2'!B240+'Table G-2'!B297+'Table G-2'!B357+'Table G-2'!B406+'Table G-2'!B457+'Table G-2'!B488+'Table G-2'!B525</f>
        <v>-1510614.5799999996</v>
      </c>
      <c r="C16" s="66">
        <f>'Table G-2'!C97+'Table G-2'!C166+'Table G-2'!C240+'Table G-2'!C297+'Table G-2'!C357+'Table G-2'!C406+'Table G-2'!C457+'Table G-2'!C488+'Table G-2'!C525</f>
        <v>7565913</v>
      </c>
      <c r="D16" s="66">
        <f>'Table G-2'!D97+'Table G-2'!D166+'Table G-2'!D240+'Table G-2'!D297+'Table G-2'!D357+'Table G-2'!D406+'Table G-2'!D457+'Table G-2'!D488+'Table G-2'!D525+'Table G-5'!D13</f>
        <v>11914568</v>
      </c>
      <c r="E16" s="66">
        <f>'Table G-2'!E97+'Table G-2'!E166+'Table G-2'!E240+'Table G-2'!E297+'Table G-2'!E357+'Table G-2'!E406+'Table G-2'!E457+'Table G-2'!E488+'Table G-2'!E525+'Table G-5'!E13</f>
        <v>7599971.8100000015</v>
      </c>
      <c r="F16" s="66">
        <f>'Table G-2'!F97+'Table G-2'!F166+'Table G-2'!F240+'Table G-2'!F297+'Table G-2'!F357+'Table G-2'!F406+'Table G-2'!F457+'Table G-2'!F488+'Table G-2'!F525+'Table G-5'!F13</f>
        <v>8294759.4400000004</v>
      </c>
      <c r="G16" s="66">
        <f>'Table G-2'!G97+'Table G-2'!G166+'Table G-2'!G240+'Table G-2'!G297+'Table G-2'!G357+'Table G-2'!G406+'Table G-2'!G457+'Table G-2'!G488+'Table G-2'!G525+'Table G-5'!G13</f>
        <v>10556692.840000002</v>
      </c>
      <c r="H16" s="66">
        <f>'Table G-2'!H97+'Table G-2'!H166+'Table G-2'!H240+'Table G-2'!H297+'Table G-2'!H357+'Table G-2'!H406+'Table G-2'!H457+'Table G-2'!H488+'Table G-2'!H525+'Table G-5'!H13</f>
        <v>6493420.2299999986</v>
      </c>
      <c r="I16" s="66">
        <f>'Table G-2'!I97+'Table G-2'!I166+'Table G-2'!I240+'Table G-2'!I297+'Table G-2'!I357+'Table G-2'!I406+'Table G-2'!I457+'Table G-2'!I488+'Table G-2'!I525+'Table G-5'!I13</f>
        <v>6259563.3300000001</v>
      </c>
      <c r="J16" s="66">
        <f>'Table G-2'!J97+'Table G-2'!J166+'Table G-2'!J240+'Table G-2'!J297+'Table G-2'!J357+'Table G-2'!J406+'Table G-2'!J457+'Table G-2'!J488+'Table G-2'!J525+'Table G-5'!J13</f>
        <v>11180318.279999999</v>
      </c>
      <c r="K16" s="66">
        <f>'Table G-2'!K97+'Table G-2'!K166+'Table G-2'!K240+'Table G-2'!K297+'Table G-2'!K357+'Table G-2'!K406+'Table G-2'!K457+'Table G-2'!K488+'Table G-2'!K525+'Table G-5'!K13</f>
        <v>5059753.6899999995</v>
      </c>
      <c r="L16" s="66">
        <f>'Table G-2'!L97+'Table G-2'!L166+'Table G-2'!L240+'Table G-2'!L297+'Table G-2'!L357+'Table G-2'!L406+'Table G-2'!L457+'Table G-2'!L488+'Table G-2'!L525+'Table G-5'!L13</f>
        <v>6188890.71</v>
      </c>
      <c r="M16" s="66">
        <f>'Table G-2'!M97+'Table G-2'!M166+'Table G-2'!M240+'Table G-2'!M297+'Table G-2'!M357+'Table G-2'!M406+'Table G-2'!M457+'Table G-2'!M488+'Table G-2'!M525+'Table G-5'!M13</f>
        <v>22486058.359999999</v>
      </c>
      <c r="N16" s="107">
        <f t="shared" si="1"/>
        <v>102089295.10999998</v>
      </c>
    </row>
    <row r="17" spans="1:17">
      <c r="A17" s="61" t="s">
        <v>210</v>
      </c>
      <c r="B17" s="35">
        <f>'Table G-4'!B19+'Table G-4'!B28</f>
        <v>0</v>
      </c>
      <c r="C17" s="35">
        <f>'Table G-4'!C19+'Table G-4'!C28</f>
        <v>15293054</v>
      </c>
      <c r="D17" s="35">
        <f>'Table G-4'!D19+'Table G-4'!D28</f>
        <v>0</v>
      </c>
      <c r="E17" s="35">
        <f>'Table G-4'!E19+'Table G-4'!E28+'Table G-4'!E9</f>
        <v>21743038</v>
      </c>
      <c r="F17" s="35">
        <f>'Table G-4'!F19+'Table G-4'!F28+'Table G-4'!F9</f>
        <v>0</v>
      </c>
      <c r="G17" s="35">
        <f>'Table G-4'!G19+'Table G-4'!G28+'Table G-4'!G9</f>
        <v>0</v>
      </c>
      <c r="H17" s="35">
        <f>'Table G-4'!H19+'Table G-4'!H28+'Table G-4'!H9</f>
        <v>35155756</v>
      </c>
      <c r="I17" s="35">
        <f>'Table G-4'!I19+'Table G-4'!I28+'Table G-4'!I9</f>
        <v>0</v>
      </c>
      <c r="J17" s="35">
        <f>'Table G-4'!J19+'Table G-4'!J28+'Table G-4'!J9</f>
        <v>24949092</v>
      </c>
      <c r="K17" s="35">
        <f>'Table G-4'!K19+'Table G-4'!K28+'Table G-4'!K9</f>
        <v>0</v>
      </c>
      <c r="L17" s="35">
        <f>'Table G-4'!L19+'Table G-4'!L28+'Table G-4'!L9</f>
        <v>0</v>
      </c>
      <c r="M17" s="35">
        <f>'Table G-4'!M19+'Table G-4'!M28+'Table G-4'!M9</f>
        <v>0</v>
      </c>
      <c r="N17" s="107">
        <f t="shared" si="1"/>
        <v>97140940</v>
      </c>
      <c r="O17" s="68"/>
      <c r="P17"/>
    </row>
    <row r="18" spans="1:17" ht="14.25">
      <c r="A18" s="59" t="s">
        <v>211</v>
      </c>
      <c r="B18" s="66">
        <v>2727834.75</v>
      </c>
      <c r="C18" s="35">
        <v>133865</v>
      </c>
      <c r="D18" s="35">
        <f>'Table G-4'!D20+'Table G-4'!D29</f>
        <v>0</v>
      </c>
      <c r="E18" s="35">
        <f>'Table G-4'!E20+'Table G-4'!E29</f>
        <v>0</v>
      </c>
      <c r="F18" s="35">
        <v>-818</v>
      </c>
      <c r="G18" s="35">
        <f>'Table G-4'!G20+'Table G-4'!G29</f>
        <v>0</v>
      </c>
      <c r="H18" s="35">
        <f>'Table G-4'!H20+'Table G-4'!H29</f>
        <v>0</v>
      </c>
      <c r="I18" s="101">
        <v>808</v>
      </c>
      <c r="J18" s="35">
        <v>3287241</v>
      </c>
      <c r="K18" s="35">
        <v>375</v>
      </c>
      <c r="L18" s="35">
        <v>0</v>
      </c>
      <c r="M18" s="35">
        <f>'Table G-4'!M20+'Table G-4'!M29</f>
        <v>0</v>
      </c>
      <c r="N18" s="32">
        <f t="shared" ref="N18:N20" si="2">SUM(B18:M18)</f>
        <v>6149305.75</v>
      </c>
      <c r="P18" s="67"/>
    </row>
    <row r="19" spans="1:17" ht="14.25">
      <c r="A19" s="59" t="s">
        <v>212</v>
      </c>
      <c r="B19" s="35">
        <v>14221686.140000008</v>
      </c>
      <c r="C19" s="35">
        <v>-1796030.2600000054</v>
      </c>
      <c r="D19" s="35">
        <v>306618.99000000209</v>
      </c>
      <c r="E19" s="35">
        <v>1774651.7599999979</v>
      </c>
      <c r="F19" s="35">
        <v>-928271.42999999784</v>
      </c>
      <c r="G19" s="35">
        <v>159818.75999999978</v>
      </c>
      <c r="H19" s="35">
        <v>-564968.58000000194</v>
      </c>
      <c r="I19" s="101">
        <v>-101554.45999999903</v>
      </c>
      <c r="J19" s="35">
        <v>-4677535.1100000031</v>
      </c>
      <c r="K19" s="35">
        <v>-212639.93999999948</v>
      </c>
      <c r="L19" s="35">
        <v>173416.87999999989</v>
      </c>
      <c r="M19" s="35">
        <v>-2321140.7599999998</v>
      </c>
      <c r="N19" s="32">
        <f t="shared" ref="N19" si="3">SUM(B19:M19)</f>
        <v>6034051.9900000012</v>
      </c>
      <c r="P19" s="67"/>
    </row>
    <row r="20" spans="1:17" ht="14.25">
      <c r="A20" s="59" t="s">
        <v>213</v>
      </c>
      <c r="B20" s="35">
        <v>4513827.5024999948</v>
      </c>
      <c r="C20" s="35">
        <v>2357817.2699999949</v>
      </c>
      <c r="D20" s="35">
        <v>207511.45999999996</v>
      </c>
      <c r="E20" s="35">
        <v>-210000</v>
      </c>
      <c r="F20" s="35">
        <v>-23166.479999999516</v>
      </c>
      <c r="G20" s="35">
        <v>-44376.300000000745</v>
      </c>
      <c r="H20" s="35">
        <v>-326379.39999999944</v>
      </c>
      <c r="I20" s="101">
        <v>-43155.320000000298</v>
      </c>
      <c r="J20" s="35">
        <v>-5995912.1424999898</v>
      </c>
      <c r="K20" s="35">
        <v>2641.0000000001164</v>
      </c>
      <c r="L20" s="35">
        <v>-50000</v>
      </c>
      <c r="M20" s="35">
        <v>-2641</v>
      </c>
      <c r="N20" s="32">
        <f t="shared" si="2"/>
        <v>386166.58999999997</v>
      </c>
      <c r="O20" s="44"/>
      <c r="P20" s="67"/>
    </row>
    <row r="21" spans="1:17" ht="14.25">
      <c r="A21" s="59" t="s">
        <v>214</v>
      </c>
      <c r="B21" s="35">
        <v>5048478.8999999948</v>
      </c>
      <c r="C21" s="35">
        <v>2949259.8500000183</v>
      </c>
      <c r="D21" s="35">
        <v>-21028.870000001043</v>
      </c>
      <c r="E21" s="35">
        <v>10843</v>
      </c>
      <c r="F21" s="35">
        <v>-29660.039999999106</v>
      </c>
      <c r="G21" s="35">
        <v>-22158.240000000224</v>
      </c>
      <c r="H21" s="35">
        <v>-48776.320000000298</v>
      </c>
      <c r="I21" s="101">
        <v>8921.8100000005215</v>
      </c>
      <c r="J21" s="35">
        <v>-6445787.5400000131</v>
      </c>
      <c r="K21" s="35">
        <v>38608</v>
      </c>
      <c r="L21" s="35">
        <v>-24310</v>
      </c>
      <c r="M21" s="35">
        <v>-14298</v>
      </c>
      <c r="N21" s="32">
        <f t="shared" ref="N21" si="4">SUM(B21:M21)</f>
        <v>1450092.5499999998</v>
      </c>
      <c r="P21" s="67"/>
    </row>
    <row r="22" spans="1:17" ht="14.25">
      <c r="A22" s="59" t="s">
        <v>215</v>
      </c>
      <c r="B22" s="35">
        <v>33126921.0808548</v>
      </c>
      <c r="C22" s="35">
        <v>-10815370.529999848</v>
      </c>
      <c r="D22" s="35">
        <v>-233800.94999999925</v>
      </c>
      <c r="E22" s="35">
        <v>-199662.03999999911</v>
      </c>
      <c r="F22" s="35">
        <v>-114401.96085495129</v>
      </c>
      <c r="G22" s="35">
        <v>-137589.26914504915</v>
      </c>
      <c r="H22" s="35">
        <v>-52424.840000003576</v>
      </c>
      <c r="I22" s="101">
        <v>254252.36000000313</v>
      </c>
      <c r="J22" s="35">
        <v>-9117150.2708549537</v>
      </c>
      <c r="K22" s="35">
        <v>-245649.58999999985</v>
      </c>
      <c r="L22" s="35">
        <v>29842.169999999925</v>
      </c>
      <c r="M22" s="35">
        <f>'Table G-4'!M24+'Table G-4'!M33</f>
        <v>0</v>
      </c>
      <c r="N22" s="32">
        <f t="shared" si="1"/>
        <v>12494966.159999998</v>
      </c>
      <c r="P22" s="67"/>
    </row>
    <row r="23" spans="1:17" ht="15" thickBot="1">
      <c r="A23" s="59" t="s">
        <v>216</v>
      </c>
      <c r="B23" s="36">
        <v>4324001.5990000004</v>
      </c>
      <c r="C23" s="36">
        <v>56780.998999995179</v>
      </c>
      <c r="D23" s="36">
        <v>1042005.3109999904</v>
      </c>
      <c r="E23" s="36">
        <f>'Table G-4'!E25+'Table G-4'!E34</f>
        <v>0</v>
      </c>
      <c r="F23" s="36">
        <f>'Table G-4'!F25+'Table G-4'!F34</f>
        <v>0</v>
      </c>
      <c r="G23" s="36">
        <f>'Table G-4'!G25+'Table G-4'!G34</f>
        <v>0</v>
      </c>
      <c r="H23" s="36">
        <f>'Table G-4'!H25+'Table G-4'!H34</f>
        <v>0</v>
      </c>
      <c r="I23" s="36">
        <f>'Table G-4'!I25+'Table G-4'!I34</f>
        <v>0</v>
      </c>
      <c r="J23" s="36">
        <v>-4083998.7989999857</v>
      </c>
      <c r="K23" s="36">
        <v>0</v>
      </c>
      <c r="L23" s="36">
        <v>0</v>
      </c>
      <c r="M23" s="36">
        <f>'Table G-4'!M25+'Table G-4'!M34</f>
        <v>0</v>
      </c>
      <c r="N23" s="107">
        <f t="shared" si="1"/>
        <v>1338789.1100000003</v>
      </c>
      <c r="P23" s="67"/>
    </row>
    <row r="24" spans="1:17">
      <c r="A24" s="5" t="s">
        <v>217</v>
      </c>
      <c r="B24" s="35">
        <f>B10+B16-(B12+B14+B17)+B15+B18+B20+B21+B22+B23</f>
        <v>4917564.9023548001</v>
      </c>
      <c r="C24" s="35">
        <f>C10+C16-(C12+C14+C17)+C15+C18+C20+C21+C22+C23</f>
        <v>-20624814.14864504</v>
      </c>
      <c r="D24" s="35">
        <f t="shared" ref="D24:M24" si="5">D10+D16-(D12+D14+D17)+D15+D20+D22+D23</f>
        <v>-18845806.76764505</v>
      </c>
      <c r="E24" s="35">
        <f t="shared" si="5"/>
        <v>-7761194.3276450448</v>
      </c>
      <c r="F24" s="35">
        <f t="shared" si="5"/>
        <v>-7563987.1191978976</v>
      </c>
      <c r="G24" s="35">
        <f>G10+G11+G16-(G12+G14+G17)+G15+G20+G22+G23</f>
        <v>-4668503.1483429465</v>
      </c>
      <c r="H24" s="35">
        <f t="shared" si="5"/>
        <v>-15358218.778342951</v>
      </c>
      <c r="I24" s="35">
        <f t="shared" si="5"/>
        <v>-15048203.248342948</v>
      </c>
      <c r="J24" s="35">
        <f t="shared" si="5"/>
        <v>-54829228.050697885</v>
      </c>
      <c r="K24" s="35">
        <f t="shared" si="5"/>
        <v>-38139633.560697883</v>
      </c>
      <c r="L24" s="35">
        <f t="shared" si="5"/>
        <v>-40631528.04069788</v>
      </c>
      <c r="M24" s="35">
        <f t="shared" si="5"/>
        <v>-29338713.47069788</v>
      </c>
      <c r="N24" s="56" t="s">
        <v>203</v>
      </c>
    </row>
    <row r="25" spans="1:17" ht="13.5" thickBot="1">
      <c r="A25" s="57"/>
      <c r="B25" s="5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2"/>
    </row>
    <row r="26" spans="1:17">
      <c r="A26" s="1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7">
      <c r="A27" s="64" t="s">
        <v>218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7">
      <c r="A28" s="62" t="s">
        <v>219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7">
      <c r="A29" s="6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7">
      <c r="A30" s="6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7">
      <c r="A31" s="2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7" customFormat="1">
      <c r="A32" s="64"/>
      <c r="B32" s="35"/>
      <c r="C32" s="35"/>
      <c r="D32" s="35"/>
      <c r="E32" s="44"/>
      <c r="F32" s="37"/>
      <c r="G32" s="37"/>
      <c r="H32" s="37"/>
      <c r="I32" s="37"/>
      <c r="J32" s="37"/>
      <c r="K32" s="37"/>
      <c r="L32" s="37"/>
      <c r="M32" s="37"/>
      <c r="N32" s="37"/>
      <c r="Q32" s="2"/>
    </row>
    <row r="33" spans="1:14">
      <c r="A33" s="52"/>
      <c r="B33" s="47"/>
      <c r="C33" s="47"/>
      <c r="D33" s="48"/>
      <c r="E33" s="48"/>
      <c r="F33" s="48"/>
      <c r="G33" s="35"/>
      <c r="H33" s="35"/>
      <c r="I33" s="35"/>
      <c r="J33" s="35"/>
      <c r="K33" s="35"/>
      <c r="L33" s="35"/>
      <c r="M33" s="35"/>
      <c r="N33" s="35"/>
    </row>
    <row r="34" spans="1:14">
      <c r="A34" s="49"/>
      <c r="B34" s="47"/>
      <c r="C34" s="47"/>
      <c r="D34" s="48"/>
      <c r="E34" s="50"/>
      <c r="F34" s="51"/>
      <c r="G34" s="35"/>
      <c r="H34" s="35"/>
      <c r="I34" s="35"/>
      <c r="J34" s="35"/>
      <c r="K34" s="35"/>
      <c r="L34" s="35"/>
      <c r="M34" s="35"/>
      <c r="N34" s="35"/>
    </row>
    <row r="35" spans="1:14" ht="12.75" customHeight="1">
      <c r="A35" s="49"/>
      <c r="B35" s="47"/>
      <c r="C35" s="47"/>
      <c r="D35" s="48"/>
      <c r="E35" s="65"/>
      <c r="F35" s="48"/>
      <c r="G35" s="15"/>
      <c r="H35" s="35"/>
      <c r="I35" s="35"/>
      <c r="J35" s="35"/>
      <c r="K35" s="35"/>
      <c r="L35" s="35"/>
      <c r="M35" s="35"/>
      <c r="N35" s="35"/>
    </row>
    <row r="36" spans="1:14" ht="12.75" customHeight="1">
      <c r="A36" s="49"/>
      <c r="B36" s="47"/>
      <c r="C36" s="47"/>
      <c r="D36" s="48"/>
      <c r="E36" s="50"/>
      <c r="F36" s="51"/>
      <c r="G36" s="35"/>
      <c r="H36" s="35"/>
      <c r="I36" s="35"/>
      <c r="J36" s="35"/>
      <c r="K36" s="35"/>
      <c r="L36" s="35"/>
      <c r="M36" s="35"/>
      <c r="N36" s="35"/>
    </row>
    <row r="37" spans="1:14" ht="12.75" customHeight="1">
      <c r="A37" s="49"/>
      <c r="B37" s="47"/>
      <c r="C37" s="47"/>
      <c r="D37" s="48"/>
      <c r="E37" s="50"/>
      <c r="F37" s="51"/>
      <c r="G37" s="35"/>
      <c r="H37" s="35"/>
      <c r="I37" s="35"/>
      <c r="J37" s="35"/>
      <c r="K37" s="35"/>
      <c r="L37" s="35"/>
      <c r="M37" s="35"/>
      <c r="N37" s="35"/>
    </row>
    <row r="38" spans="1:14" ht="12.75" customHeight="1">
      <c r="A38" s="49"/>
      <c r="B38" s="47"/>
      <c r="C38" s="47"/>
      <c r="D38" s="48"/>
      <c r="E38" s="50"/>
      <c r="F38" s="51"/>
      <c r="G38" s="35"/>
      <c r="H38" s="35"/>
      <c r="I38" s="35"/>
      <c r="J38" s="35"/>
      <c r="K38" s="35"/>
      <c r="L38" s="35"/>
      <c r="M38" s="35"/>
      <c r="N38" s="35"/>
    </row>
    <row r="39" spans="1:14" ht="12.75" customHeight="1">
      <c r="A39" s="49"/>
      <c r="B39" s="47"/>
      <c r="C39" s="47"/>
      <c r="D39" s="48"/>
      <c r="E39" s="50"/>
      <c r="F39" s="51"/>
      <c r="G39" s="35"/>
      <c r="H39" s="35"/>
      <c r="I39" s="35"/>
      <c r="J39" s="35"/>
      <c r="K39" s="35"/>
      <c r="L39" s="35"/>
      <c r="M39" s="35"/>
      <c r="N39" s="35"/>
    </row>
    <row r="40" spans="1:14" ht="12.75" customHeight="1">
      <c r="A40" s="49"/>
      <c r="B40" s="47"/>
      <c r="C40" s="47"/>
      <c r="D40" s="48"/>
      <c r="E40" s="50"/>
      <c r="F40" s="51"/>
      <c r="G40" s="35"/>
      <c r="H40" s="35"/>
      <c r="I40" s="35"/>
      <c r="J40" s="35"/>
      <c r="K40" s="35"/>
      <c r="L40" s="35"/>
      <c r="M40" s="35"/>
      <c r="N40" s="35"/>
    </row>
    <row r="41" spans="1:14" ht="12.75" customHeight="1">
      <c r="A41" s="1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2.75" customHeight="1">
      <c r="A42" s="1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2.75" customHeight="1">
      <c r="A43" s="1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.75" customHeight="1">
      <c r="A44" s="1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2.75" customHeight="1">
      <c r="A45" s="1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2.75" customHeight="1">
      <c r="A46" s="1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2.75" customHeight="1">
      <c r="A47" s="1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2.75" customHeight="1">
      <c r="A48" s="1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2.75" customHeight="1">
      <c r="A49" s="1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2.75" customHeight="1">
      <c r="A50" s="1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2.75" customHeight="1">
      <c r="A51" s="1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2.75" customHeight="1">
      <c r="A52" s="1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2.75" customHeight="1">
      <c r="A53" s="1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2.75" customHeight="1">
      <c r="A54" s="1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2.75" customHeight="1">
      <c r="A55" s="1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2.75" customHeight="1">
      <c r="A56" s="1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.75" customHeight="1">
      <c r="A57" s="1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2.75" customHeight="1">
      <c r="A58" s="1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2.75" customHeight="1">
      <c r="A59" s="1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2.75" customHeight="1">
      <c r="A60" s="1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2.75" customHeight="1">
      <c r="A61" s="1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2.75" customHeight="1">
      <c r="A62" s="1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2.75" customHeight="1">
      <c r="A63" s="1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41"/>
  <sheetViews>
    <sheetView tabSelected="1" workbookViewId="0">
      <pane xSplit="1" ySplit="17" topLeftCell="E18" activePane="bottomRight" state="frozen"/>
      <selection pane="bottomRight" activeCell="K11" sqref="K11"/>
      <selection pane="bottomLeft" activeCell="A8" sqref="A8"/>
      <selection pane="topRight" activeCell="B1" sqref="B1"/>
    </sheetView>
  </sheetViews>
  <sheetFormatPr defaultColWidth="9.140625" defaultRowHeight="12.75"/>
  <cols>
    <col min="1" max="1" width="28.42578125" style="2" customWidth="1"/>
    <col min="2" max="2" width="14" style="26" bestFit="1" customWidth="1"/>
    <col min="3" max="3" width="11.42578125" style="26" bestFit="1" customWidth="1"/>
    <col min="4" max="4" width="11.85546875" style="26" bestFit="1" customWidth="1"/>
    <col min="5" max="5" width="14.42578125" style="26" bestFit="1" customWidth="1"/>
    <col min="6" max="8" width="11.85546875" style="26" bestFit="1" customWidth="1"/>
    <col min="9" max="9" width="10.85546875" style="26" bestFit="1" customWidth="1"/>
    <col min="10" max="10" width="11.42578125" style="26" bestFit="1" customWidth="1"/>
    <col min="11" max="11" width="14.85546875" style="26" customWidth="1"/>
    <col min="12" max="12" width="11.85546875" style="26" bestFit="1" customWidth="1"/>
    <col min="13" max="13" width="11.42578125" style="26" bestFit="1" customWidth="1"/>
    <col min="14" max="14" width="12.42578125" style="26" bestFit="1" customWidth="1"/>
    <col min="15" max="15" width="9.140625" style="2"/>
    <col min="16" max="16" width="14" style="2" bestFit="1" customWidth="1"/>
    <col min="17" max="16384" width="9.140625" style="2"/>
  </cols>
  <sheetData>
    <row r="1" spans="1:14" ht="15.75">
      <c r="A1" s="1" t="s">
        <v>220</v>
      </c>
    </row>
    <row r="2" spans="1:14" ht="15.75">
      <c r="A2" s="3" t="s">
        <v>221</v>
      </c>
    </row>
    <row r="3" spans="1:14" ht="15.75">
      <c r="A3" s="1" t="str">
        <f>'Table G-1'!A3</f>
        <v>Calendar Year 2021</v>
      </c>
    </row>
    <row r="4" spans="1:14" ht="15.75">
      <c r="A4" s="4"/>
    </row>
    <row r="5" spans="1:14" ht="16.5" thickBot="1">
      <c r="A5" s="4"/>
    </row>
    <row r="6" spans="1:14">
      <c r="A6" s="5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0" t="s">
        <v>3</v>
      </c>
    </row>
    <row r="7" spans="1:14">
      <c r="A7" s="22" t="s">
        <v>222</v>
      </c>
      <c r="B7" s="34" t="s">
        <v>5</v>
      </c>
      <c r="C7" s="34" t="s">
        <v>6</v>
      </c>
      <c r="D7" s="34" t="s">
        <v>7</v>
      </c>
      <c r="E7" s="34" t="s">
        <v>8</v>
      </c>
      <c r="F7" s="34" t="s">
        <v>9</v>
      </c>
      <c r="G7" s="34" t="s">
        <v>10</v>
      </c>
      <c r="H7" s="34" t="s">
        <v>11</v>
      </c>
      <c r="I7" s="34" t="s">
        <v>12</v>
      </c>
      <c r="J7" s="34" t="s">
        <v>13</v>
      </c>
      <c r="K7" s="34" t="s">
        <v>14</v>
      </c>
      <c r="L7" s="34" t="s">
        <v>15</v>
      </c>
      <c r="M7" s="34" t="s">
        <v>16</v>
      </c>
      <c r="N7" s="39" t="s">
        <v>17</v>
      </c>
    </row>
    <row r="8" spans="1:14">
      <c r="A8" s="14" t="s">
        <v>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2"/>
    </row>
    <row r="9" spans="1:14">
      <c r="A9" s="12" t="s">
        <v>223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35155756</v>
      </c>
      <c r="I9" s="35">
        <v>0</v>
      </c>
      <c r="J9" s="35">
        <v>24949092</v>
      </c>
      <c r="K9" s="35">
        <v>0</v>
      </c>
      <c r="L9" s="35">
        <v>0</v>
      </c>
      <c r="M9" s="35">
        <v>0</v>
      </c>
      <c r="N9" s="32">
        <f>SUM(B9:M9)</f>
        <v>60104848</v>
      </c>
    </row>
    <row r="10" spans="1:14">
      <c r="A10" s="14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2"/>
    </row>
    <row r="11" spans="1:14">
      <c r="A11" s="12" t="s">
        <v>224</v>
      </c>
      <c r="B11" s="35">
        <v>0</v>
      </c>
      <c r="C11" s="35">
        <v>0</v>
      </c>
      <c r="D11" s="35">
        <v>0</v>
      </c>
      <c r="E11" s="35">
        <v>-35155756</v>
      </c>
      <c r="F11" s="35">
        <v>0</v>
      </c>
      <c r="G11" s="35">
        <v>0</v>
      </c>
      <c r="H11" s="35">
        <v>-24949092</v>
      </c>
      <c r="I11" s="35">
        <v>0</v>
      </c>
      <c r="J11" s="35">
        <v>0</v>
      </c>
      <c r="K11" s="35">
        <v>-19564752</v>
      </c>
      <c r="L11" s="35">
        <v>0</v>
      </c>
      <c r="M11" s="35">
        <v>0</v>
      </c>
      <c r="N11" s="32">
        <f>SUM(B11:M11)</f>
        <v>-79669600</v>
      </c>
    </row>
    <row r="12" spans="1:14">
      <c r="A12" s="1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2"/>
    </row>
    <row r="13" spans="1:14" ht="13.5" thickBot="1">
      <c r="A13" s="21" t="s">
        <v>225</v>
      </c>
      <c r="B13" s="38">
        <f>SUM(B9:B11)</f>
        <v>0</v>
      </c>
      <c r="C13" s="38">
        <f>SUM(C9:C11)</f>
        <v>0</v>
      </c>
      <c r="D13" s="38">
        <f>SUM(D10:D11)</f>
        <v>0</v>
      </c>
      <c r="E13" s="38">
        <f t="shared" ref="E13:M13" si="0">SUM(E9:E11)</f>
        <v>-35155756</v>
      </c>
      <c r="F13" s="38">
        <f t="shared" si="0"/>
        <v>0</v>
      </c>
      <c r="G13" s="38">
        <f t="shared" si="0"/>
        <v>0</v>
      </c>
      <c r="H13" s="38">
        <f t="shared" si="0"/>
        <v>10206664</v>
      </c>
      <c r="I13" s="38">
        <f t="shared" si="0"/>
        <v>0</v>
      </c>
      <c r="J13" s="38">
        <f t="shared" si="0"/>
        <v>24949092</v>
      </c>
      <c r="K13" s="38">
        <f t="shared" si="0"/>
        <v>-19564752</v>
      </c>
      <c r="L13" s="38">
        <f t="shared" si="0"/>
        <v>0</v>
      </c>
      <c r="M13" s="38">
        <f t="shared" si="0"/>
        <v>0</v>
      </c>
      <c r="N13" s="40">
        <f>SUM(B13:M13)</f>
        <v>-19564752</v>
      </c>
    </row>
    <row r="14" spans="1:14" ht="15.75">
      <c r="A14" s="4"/>
    </row>
    <row r="15" spans="1:14" ht="16.5" thickBot="1">
      <c r="A15" s="4"/>
    </row>
    <row r="16" spans="1:14">
      <c r="A16" s="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0" t="s">
        <v>3</v>
      </c>
    </row>
    <row r="17" spans="1:14">
      <c r="A17" s="22" t="s">
        <v>226</v>
      </c>
      <c r="B17" s="34" t="s">
        <v>5</v>
      </c>
      <c r="C17" s="34" t="s">
        <v>6</v>
      </c>
      <c r="D17" s="34" t="s">
        <v>7</v>
      </c>
      <c r="E17" s="34" t="s">
        <v>8</v>
      </c>
      <c r="F17" s="34" t="s">
        <v>9</v>
      </c>
      <c r="G17" s="34" t="s">
        <v>10</v>
      </c>
      <c r="H17" s="34" t="s">
        <v>11</v>
      </c>
      <c r="I17" s="34" t="s">
        <v>12</v>
      </c>
      <c r="J17" s="34" t="s">
        <v>13</v>
      </c>
      <c r="K17" s="34" t="s">
        <v>14</v>
      </c>
      <c r="L17" s="34" t="s">
        <v>15</v>
      </c>
      <c r="M17" s="34" t="s">
        <v>16</v>
      </c>
      <c r="N17" s="39" t="s">
        <v>17</v>
      </c>
    </row>
    <row r="18" spans="1:14">
      <c r="A18" s="14" t="s">
        <v>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2"/>
    </row>
    <row r="19" spans="1:14">
      <c r="A19" s="12" t="s">
        <v>223</v>
      </c>
      <c r="B19" s="35">
        <v>0</v>
      </c>
      <c r="C19" s="35">
        <v>15293054</v>
      </c>
      <c r="D19" s="35">
        <v>0</v>
      </c>
      <c r="E19" s="35">
        <v>21743038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2">
        <f>SUM(B19:M19)</f>
        <v>37036092</v>
      </c>
    </row>
    <row r="20" spans="1:14">
      <c r="A20" s="14" t="s">
        <v>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2"/>
    </row>
    <row r="21" spans="1:14">
      <c r="A21" s="12" t="s">
        <v>224</v>
      </c>
      <c r="B21" s="35">
        <v>-21743038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2">
        <f>SUM(B21:M21)</f>
        <v>-21743038</v>
      </c>
    </row>
    <row r="22" spans="1:14">
      <c r="A22" s="1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2"/>
    </row>
    <row r="23" spans="1:14" ht="13.5" thickBot="1">
      <c r="A23" s="21" t="s">
        <v>225</v>
      </c>
      <c r="B23" s="38">
        <f>SUM(B19:B21)</f>
        <v>-21743038</v>
      </c>
      <c r="C23" s="38">
        <f>SUM(C19:C21)</f>
        <v>15293054</v>
      </c>
      <c r="D23" s="38">
        <f>SUM(D20:D21)</f>
        <v>0</v>
      </c>
      <c r="E23" s="38">
        <f t="shared" ref="E23:M23" si="1">SUM(E19:E21)</f>
        <v>21743038</v>
      </c>
      <c r="F23" s="38">
        <f t="shared" si="1"/>
        <v>0</v>
      </c>
      <c r="G23" s="38">
        <f t="shared" si="1"/>
        <v>0</v>
      </c>
      <c r="H23" s="38">
        <f t="shared" si="1"/>
        <v>0</v>
      </c>
      <c r="I23" s="38">
        <f t="shared" si="1"/>
        <v>0</v>
      </c>
      <c r="J23" s="38">
        <f t="shared" si="1"/>
        <v>0</v>
      </c>
      <c r="K23" s="38">
        <f t="shared" si="1"/>
        <v>0</v>
      </c>
      <c r="L23" s="38">
        <f t="shared" si="1"/>
        <v>0</v>
      </c>
      <c r="M23" s="38">
        <f t="shared" si="1"/>
        <v>0</v>
      </c>
      <c r="N23" s="40">
        <f>SUM(B23:M23)</f>
        <v>15293054</v>
      </c>
    </row>
    <row r="24" spans="1:14" ht="16.5" thickBot="1">
      <c r="A24" s="4"/>
    </row>
    <row r="25" spans="1:14">
      <c r="A25" s="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0" t="s">
        <v>3</v>
      </c>
    </row>
    <row r="26" spans="1:14">
      <c r="A26" s="22" t="s">
        <v>227</v>
      </c>
      <c r="B26" s="34" t="s">
        <v>5</v>
      </c>
      <c r="C26" s="34" t="s">
        <v>6</v>
      </c>
      <c r="D26" s="34" t="s">
        <v>7</v>
      </c>
      <c r="E26" s="34" t="s">
        <v>8</v>
      </c>
      <c r="F26" s="34" t="s">
        <v>9</v>
      </c>
      <c r="G26" s="34" t="s">
        <v>10</v>
      </c>
      <c r="H26" s="34" t="s">
        <v>11</v>
      </c>
      <c r="I26" s="34" t="s">
        <v>12</v>
      </c>
      <c r="J26" s="34" t="s">
        <v>13</v>
      </c>
      <c r="K26" s="34" t="s">
        <v>14</v>
      </c>
      <c r="L26" s="34" t="s">
        <v>15</v>
      </c>
      <c r="M26" s="34" t="s">
        <v>16</v>
      </c>
      <c r="N26" s="39" t="s">
        <v>17</v>
      </c>
    </row>
    <row r="27" spans="1:14">
      <c r="A27" s="14" t="s">
        <v>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2"/>
    </row>
    <row r="28" spans="1:14">
      <c r="A28" s="12" t="s">
        <v>223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2">
        <f>SUM(B28:M28)</f>
        <v>0</v>
      </c>
    </row>
    <row r="29" spans="1:14">
      <c r="A29" s="14" t="s">
        <v>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2"/>
    </row>
    <row r="30" spans="1:14">
      <c r="A30" s="12" t="s">
        <v>224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2">
        <f>SUM(B30:M30)</f>
        <v>0</v>
      </c>
    </row>
    <row r="31" spans="1:14">
      <c r="A31" s="1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2"/>
    </row>
    <row r="32" spans="1:14" ht="13.5" thickBot="1">
      <c r="A32" s="21" t="s">
        <v>225</v>
      </c>
      <c r="B32" s="38">
        <f>SUM(B28:B30)</f>
        <v>0</v>
      </c>
      <c r="C32" s="38">
        <f>SUM(C28:C30)</f>
        <v>0</v>
      </c>
      <c r="D32" s="38">
        <f>SUM(D29:D30)</f>
        <v>0</v>
      </c>
      <c r="E32" s="38">
        <f t="shared" ref="E32:M32" si="2">SUM(E28:E30)</f>
        <v>0</v>
      </c>
      <c r="F32" s="38">
        <f t="shared" si="2"/>
        <v>0</v>
      </c>
      <c r="G32" s="38">
        <f t="shared" si="2"/>
        <v>0</v>
      </c>
      <c r="H32" s="38">
        <f t="shared" si="2"/>
        <v>0</v>
      </c>
      <c r="I32" s="38">
        <f t="shared" si="2"/>
        <v>0</v>
      </c>
      <c r="J32" s="38">
        <f t="shared" si="2"/>
        <v>0</v>
      </c>
      <c r="K32" s="38">
        <f t="shared" si="2"/>
        <v>0</v>
      </c>
      <c r="L32" s="38">
        <f t="shared" si="2"/>
        <v>0</v>
      </c>
      <c r="M32" s="38">
        <f t="shared" si="2"/>
        <v>0</v>
      </c>
      <c r="N32" s="40">
        <f>SUM(B32:M32)</f>
        <v>0</v>
      </c>
    </row>
    <row r="33" spans="1:14" ht="13.5" thickBo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</row>
    <row r="34" spans="1:14">
      <c r="A34" s="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0" t="s">
        <v>3</v>
      </c>
    </row>
    <row r="35" spans="1:14">
      <c r="A35" s="22" t="s">
        <v>228</v>
      </c>
      <c r="B35" s="34" t="s">
        <v>5</v>
      </c>
      <c r="C35" s="34" t="s">
        <v>6</v>
      </c>
      <c r="D35" s="34" t="s">
        <v>7</v>
      </c>
      <c r="E35" s="34" t="s">
        <v>8</v>
      </c>
      <c r="F35" s="34" t="s">
        <v>9</v>
      </c>
      <c r="G35" s="34" t="s">
        <v>10</v>
      </c>
      <c r="H35" s="34" t="s">
        <v>11</v>
      </c>
      <c r="I35" s="34" t="s">
        <v>12</v>
      </c>
      <c r="J35" s="34" t="s">
        <v>13</v>
      </c>
      <c r="K35" s="34" t="s">
        <v>14</v>
      </c>
      <c r="L35" s="34" t="s">
        <v>15</v>
      </c>
      <c r="M35" s="34" t="s">
        <v>16</v>
      </c>
      <c r="N35" s="39" t="s">
        <v>17</v>
      </c>
    </row>
    <row r="36" spans="1:14">
      <c r="A36" s="14" t="s">
        <v>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2"/>
    </row>
    <row r="37" spans="1:14">
      <c r="A37" s="12" t="s">
        <v>223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2">
        <f>SUM(B37:M37)</f>
        <v>0</v>
      </c>
    </row>
    <row r="38" spans="1:14">
      <c r="A38" s="14" t="s">
        <v>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2"/>
    </row>
    <row r="39" spans="1:14">
      <c r="A39" s="12" t="s">
        <v>224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2">
        <f>SUM(B39:M39)</f>
        <v>0</v>
      </c>
    </row>
    <row r="40" spans="1:14">
      <c r="A40" s="1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2"/>
    </row>
    <row r="41" spans="1:14" ht="13.5" thickBot="1">
      <c r="A41" s="21" t="s">
        <v>225</v>
      </c>
      <c r="B41" s="38">
        <f>SUM(B37:B39)</f>
        <v>0</v>
      </c>
      <c r="C41" s="38">
        <f t="shared" ref="C41:M41" si="3">SUM(C37:C39)</f>
        <v>0</v>
      </c>
      <c r="D41" s="38">
        <f>SUM(D38:D39)</f>
        <v>0</v>
      </c>
      <c r="E41" s="38">
        <f t="shared" si="3"/>
        <v>0</v>
      </c>
      <c r="F41" s="38">
        <f t="shared" si="3"/>
        <v>0</v>
      </c>
      <c r="G41" s="38">
        <f t="shared" si="3"/>
        <v>0</v>
      </c>
      <c r="H41" s="38">
        <f t="shared" si="3"/>
        <v>0</v>
      </c>
      <c r="I41" s="38">
        <f t="shared" si="3"/>
        <v>0</v>
      </c>
      <c r="J41" s="38">
        <f t="shared" si="3"/>
        <v>0</v>
      </c>
      <c r="K41" s="38">
        <f t="shared" si="3"/>
        <v>0</v>
      </c>
      <c r="L41" s="38">
        <f t="shared" si="3"/>
        <v>0</v>
      </c>
      <c r="M41" s="38">
        <f t="shared" si="3"/>
        <v>0</v>
      </c>
      <c r="N41" s="40">
        <f>SUM(B41:M41)</f>
        <v>0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090C-C889-44D9-8B3A-CC6F3D276BF2}">
  <dimension ref="A1:N20"/>
  <sheetViews>
    <sheetView workbookViewId="0">
      <pane xSplit="1" ySplit="7" topLeftCell="I8" activePane="bottomRight" state="frozen"/>
      <selection pane="bottomRight" activeCell="N15" sqref="N15"/>
      <selection pane="bottomLeft" activeCell="A8" sqref="A8"/>
      <selection pane="topRight" activeCell="B1" sqref="B1"/>
    </sheetView>
  </sheetViews>
  <sheetFormatPr defaultColWidth="9.140625" defaultRowHeight="14.25"/>
  <cols>
    <col min="1" max="1" width="41" style="71" bestFit="1" customWidth="1"/>
    <col min="2" max="2" width="13.42578125" style="70" customWidth="1"/>
    <col min="3" max="3" width="13.42578125" style="71" customWidth="1"/>
    <col min="4" max="4" width="13.42578125" style="70" customWidth="1"/>
    <col min="5" max="13" width="13.42578125" style="71" customWidth="1"/>
    <col min="14" max="14" width="13.42578125" style="70" customWidth="1"/>
    <col min="15" max="16384" width="9.140625" style="71"/>
  </cols>
  <sheetData>
    <row r="1" spans="1:14" ht="15">
      <c r="A1" s="69" t="s">
        <v>229</v>
      </c>
    </row>
    <row r="2" spans="1:14" ht="15">
      <c r="A2" s="69" t="s">
        <v>230</v>
      </c>
      <c r="C2" s="70"/>
      <c r="E2" s="72"/>
      <c r="F2" s="73"/>
    </row>
    <row r="3" spans="1:14" ht="15">
      <c r="A3" s="69" t="s">
        <v>2</v>
      </c>
      <c r="C3" s="70"/>
      <c r="E3" s="72"/>
      <c r="J3" s="74"/>
    </row>
    <row r="4" spans="1:14" ht="15.75">
      <c r="A4" s="75"/>
      <c r="C4" s="70"/>
      <c r="E4" s="76"/>
    </row>
    <row r="5" spans="1:14" ht="16.5" thickBot="1">
      <c r="A5" s="75"/>
      <c r="N5" s="77"/>
    </row>
    <row r="6" spans="1:14">
      <c r="A6" s="78"/>
      <c r="B6" s="79"/>
      <c r="C6" s="80"/>
      <c r="D6" s="79"/>
      <c r="E6" s="80"/>
      <c r="F6" s="80"/>
      <c r="G6" s="80"/>
      <c r="H6" s="80"/>
      <c r="I6" s="80"/>
      <c r="J6" s="80"/>
      <c r="K6" s="80"/>
      <c r="L6" s="80"/>
      <c r="M6" s="80"/>
      <c r="N6" s="81" t="s">
        <v>3</v>
      </c>
    </row>
    <row r="7" spans="1:14" ht="16.5" thickBot="1">
      <c r="A7" s="82" t="s">
        <v>3</v>
      </c>
      <c r="B7" s="83" t="s">
        <v>5</v>
      </c>
      <c r="C7" s="84" t="s">
        <v>6</v>
      </c>
      <c r="D7" s="83" t="s">
        <v>7</v>
      </c>
      <c r="E7" s="84" t="s">
        <v>8</v>
      </c>
      <c r="F7" s="84" t="s">
        <v>9</v>
      </c>
      <c r="G7" s="84" t="s">
        <v>10</v>
      </c>
      <c r="H7" s="84" t="s">
        <v>11</v>
      </c>
      <c r="I7" s="84" t="s">
        <v>12</v>
      </c>
      <c r="J7" s="84" t="s">
        <v>13</v>
      </c>
      <c r="K7" s="84" t="s">
        <v>14</v>
      </c>
      <c r="L7" s="84" t="s">
        <v>15</v>
      </c>
      <c r="M7" s="84" t="s">
        <v>16</v>
      </c>
      <c r="N7" s="85" t="s">
        <v>17</v>
      </c>
    </row>
    <row r="8" spans="1:14" ht="15.75">
      <c r="A8" s="86"/>
      <c r="B8" s="87"/>
      <c r="C8" s="88"/>
      <c r="D8" s="87"/>
      <c r="E8" s="88"/>
      <c r="F8" s="88"/>
      <c r="G8" s="88"/>
      <c r="H8" s="88"/>
      <c r="I8" s="88"/>
      <c r="J8" s="88"/>
      <c r="K8" s="88"/>
      <c r="L8" s="88"/>
      <c r="M8" s="88"/>
      <c r="N8" s="89"/>
    </row>
    <row r="9" spans="1:14" ht="12.75">
      <c r="A9" s="90" t="s">
        <v>231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</row>
    <row r="10" spans="1:14" ht="12.75">
      <c r="A10" s="93" t="s">
        <v>202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5">
        <f>B10</f>
        <v>0</v>
      </c>
    </row>
    <row r="11" spans="1:14" ht="12.75">
      <c r="A11" s="93" t="s">
        <v>232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5">
        <f>SUM(B11:M11)</f>
        <v>0</v>
      </c>
    </row>
    <row r="12" spans="1:14" ht="12.75">
      <c r="A12" s="93" t="s">
        <v>233</v>
      </c>
      <c r="B12" s="94">
        <v>0</v>
      </c>
      <c r="C12" s="94">
        <v>0</v>
      </c>
      <c r="D12" s="94">
        <v>-1250000</v>
      </c>
      <c r="E12" s="94">
        <v>0</v>
      </c>
      <c r="F12" s="94">
        <v>0</v>
      </c>
      <c r="G12" s="94">
        <v>-1250000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5">
        <f>SUM(B12:M12)</f>
        <v>-2500000</v>
      </c>
    </row>
    <row r="13" spans="1:14" ht="12.75">
      <c r="A13" s="93" t="s">
        <v>234</v>
      </c>
      <c r="B13" s="94">
        <v>0</v>
      </c>
      <c r="C13" s="94">
        <v>0</v>
      </c>
      <c r="D13" s="94">
        <v>1250000</v>
      </c>
      <c r="E13" s="94">
        <v>0</v>
      </c>
      <c r="F13" s="94">
        <v>0</v>
      </c>
      <c r="G13" s="94">
        <v>1250000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5">
        <f>SUM(B13:M13)</f>
        <v>2500000</v>
      </c>
    </row>
    <row r="14" spans="1:14" ht="12.75">
      <c r="A14" s="93" t="s">
        <v>235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5">
        <f>SUM(B14:M14)</f>
        <v>0</v>
      </c>
    </row>
    <row r="15" spans="1:14" ht="12.75">
      <c r="A15" s="93" t="s">
        <v>236</v>
      </c>
      <c r="B15" s="94">
        <f t="shared" ref="B15:C15" si="0">SUM(B10:B14)</f>
        <v>0</v>
      </c>
      <c r="C15" s="94">
        <f t="shared" si="0"/>
        <v>0</v>
      </c>
      <c r="D15" s="94">
        <f>SUM(D10:D14)</f>
        <v>0</v>
      </c>
      <c r="E15" s="94">
        <f t="shared" ref="E15:M15" si="1">SUM(E10:E14)</f>
        <v>0</v>
      </c>
      <c r="F15" s="94">
        <f t="shared" si="1"/>
        <v>0</v>
      </c>
      <c r="G15" s="94">
        <f t="shared" si="1"/>
        <v>0</v>
      </c>
      <c r="H15" s="94">
        <f t="shared" si="1"/>
        <v>0</v>
      </c>
      <c r="I15" s="94">
        <f t="shared" si="1"/>
        <v>0</v>
      </c>
      <c r="J15" s="94">
        <f t="shared" si="1"/>
        <v>0</v>
      </c>
      <c r="K15" s="94">
        <f t="shared" si="1"/>
        <v>0</v>
      </c>
      <c r="L15" s="94">
        <f t="shared" si="1"/>
        <v>0</v>
      </c>
      <c r="M15" s="94">
        <f t="shared" si="1"/>
        <v>0</v>
      </c>
      <c r="N15" s="95">
        <f>SUM(B15:M15)</f>
        <v>0</v>
      </c>
    </row>
    <row r="16" spans="1:14" ht="12.7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8"/>
    </row>
    <row r="17" spans="1:14" ht="12.7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ht="12.75">
      <c r="A18" s="102" t="s">
        <v>237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ht="12.7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>
      <c r="A20" s="100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948D76-C661-476F-BE33-D9BD789024B6}"/>
</file>

<file path=customXml/itemProps2.xml><?xml version="1.0" encoding="utf-8"?>
<ds:datastoreItem xmlns:ds="http://schemas.openxmlformats.org/officeDocument/2006/customXml" ds:itemID="{B23689A6-DEA1-449E-A842-837185599E3C}"/>
</file>

<file path=customXml/itemProps3.xml><?xml version="1.0" encoding="utf-8"?>
<ds:datastoreItem xmlns:ds="http://schemas.openxmlformats.org/officeDocument/2006/customXml" ds:itemID="{DB9FEA57-4813-4960-B653-B2DF6846EC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Sempra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Sempra Energy</dc:creator>
  <cp:keywords/>
  <dc:description/>
  <cp:lastModifiedBy>Chien, Clinton C</cp:lastModifiedBy>
  <cp:revision/>
  <dcterms:created xsi:type="dcterms:W3CDTF">2002-02-21T22:40:26Z</dcterms:created>
  <dcterms:modified xsi:type="dcterms:W3CDTF">2022-01-20T20:49:46Z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