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hien\Documents\EE\EEmonthlycompliancereport\"/>
    </mc:Choice>
  </mc:AlternateContent>
  <xr:revisionPtr revIDLastSave="0" documentId="8_{21B16EF1-64BB-4570-848A-48BB37432A3C}" xr6:coauthVersionLast="47" xr6:coauthVersionMax="47" xr10:uidLastSave="{00000000-0000-0000-0000-000000000000}"/>
  <bookViews>
    <workbookView xWindow="38280" yWindow="-120" windowWidth="29040" windowHeight="15840" tabRatio="773" activeTab="4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6" l="1"/>
  <c r="J80" i="6"/>
  <c r="K80" i="6"/>
  <c r="L80" i="6"/>
  <c r="M80" i="6"/>
  <c r="N80" i="6"/>
  <c r="H80" i="6"/>
  <c r="N79" i="6"/>
  <c r="N71" i="6" l="1"/>
  <c r="N70" i="6"/>
  <c r="N69" i="6"/>
  <c r="N68" i="6"/>
  <c r="N67" i="6"/>
  <c r="N64" i="6"/>
  <c r="N28" i="6"/>
  <c r="N30" i="6"/>
  <c r="N31" i="6"/>
  <c r="N32" i="6"/>
  <c r="F17" i="5" l="1"/>
  <c r="G17" i="5"/>
  <c r="H17" i="5"/>
  <c r="I17" i="5"/>
  <c r="J17" i="5"/>
  <c r="K17" i="5"/>
  <c r="L17" i="5"/>
  <c r="M17" i="5"/>
  <c r="E17" i="5"/>
  <c r="F14" i="5"/>
  <c r="G14" i="5"/>
  <c r="H14" i="5"/>
  <c r="I14" i="5"/>
  <c r="J14" i="5"/>
  <c r="K14" i="5"/>
  <c r="L14" i="5"/>
  <c r="M14" i="5"/>
  <c r="E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N13" i="8" l="1"/>
  <c r="G80" i="6" l="1"/>
  <c r="N78" i="6"/>
  <c r="N37" i="6"/>
  <c r="N73" i="6"/>
  <c r="F149" i="6" l="1"/>
  <c r="N75" i="6" l="1"/>
  <c r="N74" i="6"/>
  <c r="C39" i="6"/>
  <c r="D39" i="6"/>
  <c r="E39" i="6"/>
  <c r="B39" i="6"/>
  <c r="N34" i="6"/>
  <c r="N33" i="6"/>
  <c r="B15" i="9" l="1"/>
  <c r="N14" i="9"/>
  <c r="N13" i="9"/>
  <c r="N12" i="9"/>
  <c r="N11" i="9"/>
  <c r="N10" i="9"/>
  <c r="C15" i="9"/>
  <c r="D15" i="9" s="1"/>
  <c r="N77" i="6"/>
  <c r="N72" i="6"/>
  <c r="N38" i="6"/>
  <c r="I15" i="9" l="1"/>
  <c r="J15" i="9" s="1"/>
  <c r="K15" i="9" s="1"/>
  <c r="L15" i="9" s="1"/>
  <c r="M15" i="9" s="1"/>
  <c r="E15" i="9"/>
  <c r="F15" i="9" s="1"/>
  <c r="G15" i="9" s="1"/>
  <c r="H15" i="9" s="1"/>
  <c r="N15" i="9"/>
  <c r="C149" i="6"/>
  <c r="E80" i="6"/>
  <c r="D80" i="6"/>
  <c r="C80" i="6"/>
  <c r="B80" i="6"/>
  <c r="E8" i="6" l="1"/>
  <c r="E82" i="6" s="1"/>
  <c r="C8" i="6"/>
  <c r="C82" i="6" s="1"/>
  <c r="D149" i="6"/>
  <c r="E149" i="6"/>
  <c r="G149" i="6"/>
  <c r="H149" i="6"/>
  <c r="I149" i="6"/>
  <c r="J149" i="6"/>
  <c r="K149" i="6"/>
  <c r="L149" i="6"/>
  <c r="M149" i="6"/>
  <c r="B149" i="6"/>
  <c r="B118" i="6" l="1"/>
  <c r="N66" i="6" l="1"/>
  <c r="N52" i="6"/>
  <c r="C17" i="5" l="1"/>
  <c r="D17" i="5"/>
  <c r="D18" i="5"/>
  <c r="E18" i="5"/>
  <c r="G18" i="5"/>
  <c r="H18" i="5"/>
  <c r="I18" i="5"/>
  <c r="J18" i="5"/>
  <c r="K18" i="5"/>
  <c r="L18" i="5"/>
  <c r="M18" i="5"/>
  <c r="N19" i="5"/>
  <c r="I19" i="5"/>
  <c r="J19" i="5"/>
  <c r="K19" i="5"/>
  <c r="L19" i="5"/>
  <c r="M19" i="5"/>
  <c r="I20" i="5"/>
  <c r="J20" i="5"/>
  <c r="K20" i="5"/>
  <c r="L20" i="5"/>
  <c r="M20" i="5"/>
  <c r="I22" i="5"/>
  <c r="J22" i="5"/>
  <c r="K22" i="5"/>
  <c r="L22" i="5"/>
  <c r="M22" i="5"/>
  <c r="E23" i="5"/>
  <c r="F23" i="5"/>
  <c r="G23" i="5"/>
  <c r="H23" i="5"/>
  <c r="I23" i="5"/>
  <c r="J23" i="5"/>
  <c r="K23" i="5"/>
  <c r="L23" i="5"/>
  <c r="M23" i="5"/>
  <c r="F80" i="6"/>
  <c r="B8" i="6"/>
  <c r="B82" i="6" s="1"/>
  <c r="N63" i="6"/>
  <c r="N62" i="6"/>
  <c r="N61" i="6"/>
  <c r="N60" i="6"/>
  <c r="N57" i="6"/>
  <c r="N56" i="6"/>
  <c r="N55" i="6"/>
  <c r="N54" i="6"/>
  <c r="N53" i="6"/>
  <c r="N51" i="6"/>
  <c r="N50" i="6"/>
  <c r="N76" i="6"/>
  <c r="N48" i="6"/>
  <c r="N47" i="6"/>
  <c r="N46" i="6"/>
  <c r="N45" i="6"/>
  <c r="N44" i="6"/>
  <c r="N65" i="6"/>
  <c r="N43" i="6"/>
  <c r="N42" i="6"/>
  <c r="M39" i="6"/>
  <c r="L39" i="6"/>
  <c r="K39" i="6"/>
  <c r="K8" i="6" s="1"/>
  <c r="K82" i="6" s="1"/>
  <c r="J39" i="6"/>
  <c r="I39" i="6"/>
  <c r="H39" i="6"/>
  <c r="H8" i="6" s="1"/>
  <c r="G39" i="6"/>
  <c r="F39" i="6"/>
  <c r="D8" i="6"/>
  <c r="D82" i="6" s="1"/>
  <c r="N36" i="6"/>
  <c r="N27" i="6"/>
  <c r="N26" i="6"/>
  <c r="N25" i="6"/>
  <c r="N24" i="6"/>
  <c r="N21" i="6"/>
  <c r="N20" i="6"/>
  <c r="N19" i="6"/>
  <c r="N18" i="6"/>
  <c r="N35" i="6"/>
  <c r="N16" i="6"/>
  <c r="N15" i="6"/>
  <c r="N14" i="6"/>
  <c r="N13" i="6"/>
  <c r="N29" i="6"/>
  <c r="N12" i="6"/>
  <c r="N11" i="6"/>
  <c r="N9" i="6"/>
  <c r="G8" i="6" l="1"/>
  <c r="G82" i="6" s="1"/>
  <c r="F8" i="6"/>
  <c r="F82" i="6" s="1"/>
  <c r="J8" i="6"/>
  <c r="J82" i="6" s="1"/>
  <c r="I8" i="6"/>
  <c r="I82" i="6" s="1"/>
  <c r="M8" i="6"/>
  <c r="M82" i="6" s="1"/>
  <c r="N39" i="6"/>
  <c r="H82" i="6"/>
  <c r="L8" i="6"/>
  <c r="L82" i="6" s="1"/>
  <c r="G118" i="6"/>
  <c r="G87" i="6" s="1"/>
  <c r="N8" i="6" l="1"/>
  <c r="N82" i="6" s="1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192" i="6"/>
  <c r="C223" i="6"/>
  <c r="D223" i="6"/>
  <c r="E223" i="6"/>
  <c r="F223" i="6"/>
  <c r="G223" i="6"/>
  <c r="H223" i="6"/>
  <c r="I223" i="6"/>
  <c r="J223" i="6"/>
  <c r="K223" i="6"/>
  <c r="L223" i="6"/>
  <c r="M223" i="6"/>
  <c r="B223" i="6"/>
  <c r="N158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21" i="6"/>
  <c r="N149" i="6" l="1"/>
  <c r="N223" i="6"/>
  <c r="E118" i="6" l="1"/>
  <c r="E87" i="6" s="1"/>
  <c r="D118" i="6"/>
  <c r="D87" i="6" s="1"/>
  <c r="N18" i="5" l="1"/>
  <c r="B17" i="5" l="1"/>
  <c r="B280" i="6" l="1"/>
  <c r="B255" i="6"/>
  <c r="D189" i="6"/>
  <c r="D155" i="6" s="1"/>
  <c r="E189" i="6"/>
  <c r="E155" i="6" s="1"/>
  <c r="F189" i="6"/>
  <c r="F155" i="6" s="1"/>
  <c r="G189" i="6"/>
  <c r="G155" i="6" s="1"/>
  <c r="H189" i="6"/>
  <c r="H155" i="6" s="1"/>
  <c r="I189" i="6"/>
  <c r="I155" i="6" s="1"/>
  <c r="J189" i="6"/>
  <c r="J155" i="6" s="1"/>
  <c r="K189" i="6"/>
  <c r="K155" i="6" s="1"/>
  <c r="L189" i="6"/>
  <c r="L155" i="6" s="1"/>
  <c r="M189" i="6"/>
  <c r="M155" i="6" s="1"/>
  <c r="B189" i="6"/>
  <c r="B155" i="6" s="1"/>
  <c r="C189" i="6"/>
  <c r="C155" i="6" s="1"/>
  <c r="B230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18" i="6"/>
  <c r="M87" i="6" s="1"/>
  <c r="L118" i="6"/>
  <c r="L87" i="6" s="1"/>
  <c r="K118" i="6"/>
  <c r="K87" i="6" s="1"/>
  <c r="J118" i="6"/>
  <c r="J87" i="6" s="1"/>
  <c r="I118" i="6"/>
  <c r="I87" i="6" s="1"/>
  <c r="H118" i="6"/>
  <c r="H87" i="6" s="1"/>
  <c r="F118" i="6"/>
  <c r="F87" i="6" s="1"/>
  <c r="C118" i="6"/>
  <c r="C87" i="6" s="1"/>
  <c r="B87" i="6"/>
  <c r="B151" i="6" s="1"/>
  <c r="N111" i="6"/>
  <c r="N110" i="6"/>
  <c r="N109" i="6"/>
  <c r="N108" i="6"/>
  <c r="N107" i="6"/>
  <c r="N106" i="6"/>
  <c r="N105" i="6"/>
  <c r="N117" i="6"/>
  <c r="N104" i="6"/>
  <c r="N116" i="6"/>
  <c r="N103" i="6"/>
  <c r="N102" i="6"/>
  <c r="N101" i="6"/>
  <c r="N100" i="6"/>
  <c r="N99" i="6"/>
  <c r="N115" i="6"/>
  <c r="N114" i="6"/>
  <c r="N98" i="6"/>
  <c r="N113" i="6"/>
  <c r="N97" i="6"/>
  <c r="N96" i="6"/>
  <c r="N95" i="6"/>
  <c r="N94" i="6"/>
  <c r="N93" i="6"/>
  <c r="N92" i="6"/>
  <c r="N91" i="6"/>
  <c r="N112" i="6"/>
  <c r="N90" i="6"/>
  <c r="N88" i="6"/>
  <c r="J151" i="6" l="1"/>
  <c r="N118" i="6"/>
  <c r="F151" i="6"/>
  <c r="D151" i="6"/>
  <c r="H151" i="6"/>
  <c r="L151" i="6"/>
  <c r="M151" i="6"/>
  <c r="E151" i="6"/>
  <c r="I151" i="6"/>
  <c r="C151" i="6"/>
  <c r="K151" i="6"/>
  <c r="G151" i="6"/>
  <c r="N188" i="6"/>
  <c r="N187" i="6"/>
  <c r="N186" i="6"/>
  <c r="N185" i="6"/>
  <c r="N184" i="6"/>
  <c r="N183" i="6"/>
  <c r="N182" i="6"/>
  <c r="N181" i="6"/>
  <c r="N180" i="6"/>
  <c r="N87" i="6" l="1"/>
  <c r="N151" i="6" s="1"/>
  <c r="M280" i="6"/>
  <c r="L280" i="6"/>
  <c r="K280" i="6"/>
  <c r="J280" i="6"/>
  <c r="I280" i="6"/>
  <c r="H280" i="6"/>
  <c r="G280" i="6"/>
  <c r="F280" i="6"/>
  <c r="E280" i="6"/>
  <c r="D280" i="6"/>
  <c r="C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M255" i="6"/>
  <c r="L255" i="6"/>
  <c r="L230" i="6" s="1"/>
  <c r="K255" i="6"/>
  <c r="J255" i="6"/>
  <c r="I255" i="6"/>
  <c r="H255" i="6"/>
  <c r="H230" i="6" s="1"/>
  <c r="G255" i="6"/>
  <c r="F255" i="6"/>
  <c r="F230" i="6" s="1"/>
  <c r="E255" i="6"/>
  <c r="E230" i="6" s="1"/>
  <c r="D255" i="6"/>
  <c r="D230" i="6" s="1"/>
  <c r="C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1" i="6"/>
  <c r="C14" i="5"/>
  <c r="D14" i="5"/>
  <c r="B14" i="5"/>
  <c r="J230" i="6" l="1"/>
  <c r="G230" i="6"/>
  <c r="G282" i="6" s="1"/>
  <c r="I230" i="6"/>
  <c r="I282" i="6" s="1"/>
  <c r="M230" i="6"/>
  <c r="M282" i="6" s="1"/>
  <c r="C230" i="6"/>
  <c r="C282" i="6" s="1"/>
  <c r="K230" i="6"/>
  <c r="K282" i="6" s="1"/>
  <c r="D282" i="6"/>
  <c r="H282" i="6"/>
  <c r="F282" i="6"/>
  <c r="L282" i="6"/>
  <c r="E282" i="6"/>
  <c r="J282" i="6"/>
  <c r="N280" i="6"/>
  <c r="N255" i="6"/>
  <c r="N230" i="6" l="1"/>
  <c r="N282" i="6" s="1"/>
  <c r="B282" i="6"/>
  <c r="N20" i="5" l="1"/>
  <c r="N23" i="5"/>
  <c r="N179" i="6" l="1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6" i="6"/>
  <c r="N189" i="6" l="1"/>
  <c r="J225" i="6"/>
  <c r="L225" i="6"/>
  <c r="C225" i="6"/>
  <c r="E225" i="6"/>
  <c r="I225" i="6"/>
  <c r="M225" i="6"/>
  <c r="B225" i="6"/>
  <c r="G225" i="6"/>
  <c r="K225" i="6"/>
  <c r="F225" i="6"/>
  <c r="H225" i="6" l="1"/>
  <c r="N155" i="6"/>
  <c r="N225" i="6" s="1"/>
  <c r="D225" i="6"/>
  <c r="C20" i="7"/>
  <c r="C340" i="6" l="1"/>
  <c r="D340" i="6"/>
  <c r="E340" i="6"/>
  <c r="F340" i="6"/>
  <c r="G340" i="6"/>
  <c r="H340" i="6"/>
  <c r="I340" i="6"/>
  <c r="J340" i="6"/>
  <c r="K340" i="6"/>
  <c r="L340" i="6"/>
  <c r="M340" i="6"/>
  <c r="B340" i="6"/>
  <c r="N339" i="6"/>
  <c r="B313" i="6"/>
  <c r="C313" i="6"/>
  <c r="C286" i="6" s="1"/>
  <c r="D313" i="6"/>
  <c r="E313" i="6"/>
  <c r="F313" i="6"/>
  <c r="G313" i="6"/>
  <c r="G286" i="6" s="1"/>
  <c r="H313" i="6"/>
  <c r="H286" i="6" s="1"/>
  <c r="I313" i="6"/>
  <c r="J313" i="6"/>
  <c r="K313" i="6"/>
  <c r="L313" i="6"/>
  <c r="M313" i="6"/>
  <c r="N312" i="6"/>
  <c r="F286" i="6" l="1"/>
  <c r="E286" i="6"/>
  <c r="D286" i="6"/>
  <c r="M286" i="6"/>
  <c r="I286" i="6"/>
  <c r="J286" i="6"/>
  <c r="B286" i="6"/>
  <c r="L286" i="6"/>
  <c r="K286" i="6"/>
  <c r="K342" i="6" s="1"/>
  <c r="N19" i="7" l="1"/>
  <c r="N17" i="7"/>
  <c r="N18" i="7"/>
  <c r="C342" i="6" l="1"/>
  <c r="N22" i="5" l="1"/>
  <c r="N338" i="6" l="1"/>
  <c r="N311" i="6"/>
  <c r="M342" i="6" l="1"/>
  <c r="N337" i="6" l="1"/>
  <c r="N310" i="6"/>
  <c r="J342" i="6" l="1"/>
  <c r="G342" i="6" l="1"/>
  <c r="H342" i="6"/>
  <c r="I342" i="6"/>
  <c r="L342" i="6"/>
  <c r="F342" i="6"/>
  <c r="N334" i="6"/>
  <c r="N336" i="6"/>
  <c r="N309" i="6"/>
  <c r="N308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35" i="6" l="1"/>
  <c r="N307" i="6"/>
  <c r="N333" i="6"/>
  <c r="N306" i="6"/>
  <c r="N332" i="6" l="1"/>
  <c r="N305" i="6"/>
  <c r="N331" i="6" l="1"/>
  <c r="N304" i="6"/>
  <c r="E342" i="6" l="1"/>
  <c r="M23" i="8"/>
  <c r="M21" i="5" s="1"/>
  <c r="L23" i="8"/>
  <c r="L21" i="5" s="1"/>
  <c r="K23" i="8"/>
  <c r="K21" i="5" s="1"/>
  <c r="J23" i="8"/>
  <c r="J21" i="5" s="1"/>
  <c r="I23" i="8"/>
  <c r="I21" i="5" s="1"/>
  <c r="H23" i="8"/>
  <c r="G23" i="8"/>
  <c r="F23" i="8"/>
  <c r="E23" i="8"/>
  <c r="D23" i="8"/>
  <c r="C23" i="8"/>
  <c r="B23" i="8"/>
  <c r="N21" i="8"/>
  <c r="N19" i="8"/>
  <c r="M389" i="6"/>
  <c r="L389" i="6"/>
  <c r="K389" i="6"/>
  <c r="J389" i="6"/>
  <c r="I389" i="6"/>
  <c r="H389" i="6"/>
  <c r="G389" i="6"/>
  <c r="F389" i="6"/>
  <c r="E389" i="6"/>
  <c r="D389" i="6"/>
  <c r="C389" i="6"/>
  <c r="B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M368" i="6"/>
  <c r="L368" i="6"/>
  <c r="L347" i="6" s="1"/>
  <c r="K368" i="6"/>
  <c r="K347" i="6" s="1"/>
  <c r="J368" i="6"/>
  <c r="I368" i="6"/>
  <c r="H368" i="6"/>
  <c r="H347" i="6" s="1"/>
  <c r="G368" i="6"/>
  <c r="G347" i="6" s="1"/>
  <c r="F368" i="6"/>
  <c r="E368" i="6"/>
  <c r="D368" i="6"/>
  <c r="D347" i="6" s="1"/>
  <c r="C368" i="6"/>
  <c r="C347" i="6" s="1"/>
  <c r="B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B440" i="6"/>
  <c r="C493" i="6"/>
  <c r="C478" i="6" s="1"/>
  <c r="D493" i="6"/>
  <c r="D478" i="6" s="1"/>
  <c r="E493" i="6"/>
  <c r="E478" i="6" s="1"/>
  <c r="F493" i="6"/>
  <c r="F478" i="6" s="1"/>
  <c r="G493" i="6"/>
  <c r="G478" i="6" s="1"/>
  <c r="H493" i="6"/>
  <c r="H478" i="6" s="1"/>
  <c r="I493" i="6"/>
  <c r="I478" i="6" s="1"/>
  <c r="J493" i="6"/>
  <c r="J478" i="6" s="1"/>
  <c r="K493" i="6"/>
  <c r="K478" i="6" s="1"/>
  <c r="L493" i="6"/>
  <c r="L478" i="6" s="1"/>
  <c r="M493" i="6"/>
  <c r="M478" i="6" s="1"/>
  <c r="B418" i="6"/>
  <c r="N287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B459" i="6"/>
  <c r="B471" i="6"/>
  <c r="C440" i="6"/>
  <c r="C418" i="6"/>
  <c r="D440" i="6"/>
  <c r="D418" i="6"/>
  <c r="E440" i="6"/>
  <c r="E418" i="6"/>
  <c r="F440" i="6"/>
  <c r="F418" i="6"/>
  <c r="G440" i="6"/>
  <c r="G418" i="6"/>
  <c r="H440" i="6"/>
  <c r="H418" i="6"/>
  <c r="I440" i="6"/>
  <c r="I418" i="6"/>
  <c r="J440" i="6"/>
  <c r="J418" i="6"/>
  <c r="K440" i="6"/>
  <c r="K418" i="6"/>
  <c r="L440" i="6"/>
  <c r="L418" i="6"/>
  <c r="M440" i="6"/>
  <c r="M418" i="6"/>
  <c r="C508" i="6"/>
  <c r="D508" i="6"/>
  <c r="E508" i="6"/>
  <c r="F508" i="6"/>
  <c r="G508" i="6"/>
  <c r="H508" i="6"/>
  <c r="I508" i="6"/>
  <c r="J508" i="6"/>
  <c r="K508" i="6"/>
  <c r="L508" i="6"/>
  <c r="M508" i="6"/>
  <c r="C459" i="6"/>
  <c r="C471" i="6"/>
  <c r="D459" i="6"/>
  <c r="D471" i="6"/>
  <c r="E459" i="6"/>
  <c r="E471" i="6"/>
  <c r="F459" i="6"/>
  <c r="F471" i="6"/>
  <c r="G459" i="6"/>
  <c r="G471" i="6"/>
  <c r="H459" i="6"/>
  <c r="H471" i="6"/>
  <c r="I459" i="6"/>
  <c r="I471" i="6"/>
  <c r="J459" i="6"/>
  <c r="J471" i="6"/>
  <c r="K459" i="6"/>
  <c r="K471" i="6"/>
  <c r="L459" i="6"/>
  <c r="L471" i="6"/>
  <c r="M459" i="6"/>
  <c r="M471" i="6"/>
  <c r="B508" i="6"/>
  <c r="B493" i="6"/>
  <c r="B478" i="6" s="1"/>
  <c r="N414" i="6"/>
  <c r="N436" i="6"/>
  <c r="N416" i="6"/>
  <c r="N415" i="6"/>
  <c r="N438" i="6"/>
  <c r="N437" i="6"/>
  <c r="N439" i="6"/>
  <c r="N413" i="6"/>
  <c r="N434" i="6"/>
  <c r="N417" i="6"/>
  <c r="N412" i="6"/>
  <c r="A3" i="5"/>
  <c r="A3" i="6"/>
  <c r="A3" i="8"/>
  <c r="N447" i="6"/>
  <c r="N397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33" i="6"/>
  <c r="N432" i="6"/>
  <c r="N431" i="6"/>
  <c r="N430" i="6"/>
  <c r="N411" i="6"/>
  <c r="N410" i="6"/>
  <c r="N409" i="6"/>
  <c r="N408" i="6"/>
  <c r="N429" i="6"/>
  <c r="N428" i="6"/>
  <c r="N427" i="6"/>
  <c r="N426" i="6"/>
  <c r="N425" i="6"/>
  <c r="N424" i="6"/>
  <c r="N423" i="6"/>
  <c r="N422" i="6"/>
  <c r="N421" i="6"/>
  <c r="N407" i="6"/>
  <c r="N406" i="6"/>
  <c r="N405" i="6"/>
  <c r="N404" i="6"/>
  <c r="N403" i="6"/>
  <c r="N402" i="6"/>
  <c r="N401" i="6"/>
  <c r="N400" i="6"/>
  <c r="N399" i="6"/>
  <c r="N15" i="5"/>
  <c r="N450" i="6"/>
  <c r="N451" i="6"/>
  <c r="N452" i="6"/>
  <c r="N453" i="6"/>
  <c r="N454" i="6"/>
  <c r="N455" i="6"/>
  <c r="N456" i="6"/>
  <c r="N457" i="6"/>
  <c r="N458" i="6"/>
  <c r="N462" i="6"/>
  <c r="N463" i="6"/>
  <c r="N464" i="6"/>
  <c r="N465" i="6"/>
  <c r="N466" i="6"/>
  <c r="N467" i="6"/>
  <c r="N468" i="6"/>
  <c r="N469" i="6"/>
  <c r="N470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8" i="7"/>
  <c r="N9" i="7"/>
  <c r="N10" i="7"/>
  <c r="N11" i="7"/>
  <c r="N12" i="7"/>
  <c r="N13" i="7"/>
  <c r="N15" i="7"/>
  <c r="N16" i="7"/>
  <c r="N435" i="6"/>
  <c r="N21" i="5" l="1"/>
  <c r="E347" i="6"/>
  <c r="B347" i="6"/>
  <c r="B391" i="6" s="1"/>
  <c r="H446" i="6"/>
  <c r="H473" i="6" s="1"/>
  <c r="F446" i="6"/>
  <c r="F473" i="6" s="1"/>
  <c r="H510" i="6"/>
  <c r="D510" i="6"/>
  <c r="I347" i="6"/>
  <c r="I391" i="6" s="1"/>
  <c r="M347" i="6"/>
  <c r="F347" i="6"/>
  <c r="F391" i="6" s="1"/>
  <c r="J347" i="6"/>
  <c r="J391" i="6" s="1"/>
  <c r="I446" i="6"/>
  <c r="I473" i="6" s="1"/>
  <c r="G446" i="6"/>
  <c r="G473" i="6" s="1"/>
  <c r="E446" i="6"/>
  <c r="E473" i="6" s="1"/>
  <c r="C446" i="6"/>
  <c r="C473" i="6" s="1"/>
  <c r="M510" i="6"/>
  <c r="I510" i="6"/>
  <c r="E510" i="6"/>
  <c r="D446" i="6"/>
  <c r="D473" i="6" s="1"/>
  <c r="G510" i="6"/>
  <c r="F510" i="6"/>
  <c r="J510" i="6"/>
  <c r="M446" i="6"/>
  <c r="M473" i="6" s="1"/>
  <c r="K446" i="6"/>
  <c r="K473" i="6" s="1"/>
  <c r="M396" i="6"/>
  <c r="M442" i="6" s="1"/>
  <c r="K396" i="6"/>
  <c r="K442" i="6" s="1"/>
  <c r="I396" i="6"/>
  <c r="I442" i="6" s="1"/>
  <c r="C396" i="6"/>
  <c r="C442" i="6" s="1"/>
  <c r="N508" i="6"/>
  <c r="L446" i="6"/>
  <c r="L473" i="6" s="1"/>
  <c r="J446" i="6"/>
  <c r="J473" i="6" s="1"/>
  <c r="K510" i="6"/>
  <c r="J396" i="6"/>
  <c r="J442" i="6" s="1"/>
  <c r="H396" i="6"/>
  <c r="H442" i="6" s="1"/>
  <c r="B446" i="6"/>
  <c r="B473" i="6" s="1"/>
  <c r="N440" i="6"/>
  <c r="N340" i="6"/>
  <c r="N313" i="6"/>
  <c r="D342" i="6"/>
  <c r="N478" i="6"/>
  <c r="B510" i="6"/>
  <c r="L510" i="6"/>
  <c r="G396" i="6"/>
  <c r="G442" i="6" s="1"/>
  <c r="E396" i="6"/>
  <c r="E442" i="6" s="1"/>
  <c r="N493" i="6"/>
  <c r="C510" i="6"/>
  <c r="B396" i="6"/>
  <c r="N418" i="6"/>
  <c r="N459" i="6"/>
  <c r="L396" i="6"/>
  <c r="L442" i="6" s="1"/>
  <c r="F396" i="6"/>
  <c r="F442" i="6" s="1"/>
  <c r="D396" i="6"/>
  <c r="D442" i="6" s="1"/>
  <c r="B342" i="6"/>
  <c r="H391" i="6"/>
  <c r="L391" i="6"/>
  <c r="M391" i="6"/>
  <c r="D391" i="6"/>
  <c r="K391" i="6"/>
  <c r="E391" i="6"/>
  <c r="C391" i="6"/>
  <c r="N41" i="8"/>
  <c r="N389" i="6"/>
  <c r="N471" i="6"/>
  <c r="N14" i="5"/>
  <c r="N17" i="5"/>
  <c r="N23" i="8"/>
  <c r="G391" i="6"/>
  <c r="N368" i="6"/>
  <c r="N12" i="5"/>
  <c r="N20" i="7"/>
  <c r="E16" i="5" l="1"/>
  <c r="G16" i="5"/>
  <c r="F16" i="5"/>
  <c r="M16" i="5"/>
  <c r="K16" i="5"/>
  <c r="H16" i="5"/>
  <c r="I16" i="5"/>
  <c r="L16" i="5"/>
  <c r="D16" i="5"/>
  <c r="J16" i="5"/>
  <c r="C16" i="5"/>
  <c r="N446" i="6"/>
  <c r="N473" i="6" s="1"/>
  <c r="N396" i="6"/>
  <c r="N442" i="6" s="1"/>
  <c r="N510" i="6"/>
  <c r="B442" i="6"/>
  <c r="B16" i="5" s="1"/>
  <c r="N347" i="6"/>
  <c r="N391" i="6" s="1"/>
  <c r="N286" i="6"/>
  <c r="N342" i="6" s="1"/>
  <c r="B24" i="5" l="1"/>
  <c r="C10" i="5" l="1"/>
  <c r="C24" i="5" s="1"/>
  <c r="N16" i="5"/>
  <c r="D10" i="5" l="1"/>
  <c r="D24" i="5" s="1"/>
  <c r="E10" i="5" l="1"/>
  <c r="E24" i="5" s="1"/>
  <c r="F10" i="5" l="1"/>
  <c r="F24" i="5" s="1"/>
  <c r="G10" i="5" s="1"/>
  <c r="G24" i="5" s="1"/>
  <c r="H10" i="5" l="1"/>
  <c r="H24" i="5" s="1"/>
  <c r="I24" i="5" s="1"/>
  <c r="J10" i="5" s="1"/>
  <c r="J24" i="5" s="1"/>
  <c r="K10" i="5" s="1"/>
  <c r="K24" i="5" l="1"/>
  <c r="L10" i="5" s="1"/>
  <c r="L24" i="5" l="1"/>
  <c r="M10" i="5" s="1"/>
  <c r="M24" i="5" l="1"/>
</calcChain>
</file>

<file path=xl/sharedStrings.xml><?xml version="1.0" encoding="utf-8"?>
<sst xmlns="http://schemas.openxmlformats.org/spreadsheetml/2006/main" count="773" uniqueCount="231">
  <si>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</si>
  <si>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</si>
  <si>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</si>
  <si>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</si>
  <si>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</si>
  <si>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</si>
  <si>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</si>
  <si>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</si>
  <si>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</si>
  <si>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</si>
  <si>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</si>
  <si>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</si>
  <si>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</si>
  <si>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</si>
  <si>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</si>
  <si>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</si>
  <si>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</si>
  <si>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</si>
  <si>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</si>
  <si>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</si>
  <si>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</si>
  <si>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</si>
  <si>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</si>
  <si>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</si>
  <si>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</si>
  <si>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</si>
  <si>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</si>
  <si>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</si>
  <si>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</si>
  <si>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</si>
  <si>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</si>
  <si>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</si>
  <si>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</si>
  <si>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</si>
  <si>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Program Implementer (PY 2004-2005)</t>
  </si>
  <si>
    <t>Program Implementer (PY 2002-2003)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</si>
  <si>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</si>
  <si>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</si>
  <si>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</si>
  <si>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</si>
  <si>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</si>
  <si>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</si>
  <si>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</si>
  <si>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</si>
  <si>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</si>
  <si>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</si>
  <si>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</si>
  <si>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</si>
  <si>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</si>
  <si>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</si>
  <si>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</si>
  <si>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</si>
  <si>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</si>
  <si>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</si>
  <si>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(1) This section was revised per discussions with the Energy Division (11/19).  The information provided in this format will not parallel how Balancing Accounts are tracked.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</si>
  <si>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</si>
  <si>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</si>
  <si>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</si>
  <si>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</si>
  <si>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</si>
  <si>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</si>
  <si>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</si>
  <si>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</si>
  <si>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</si>
  <si>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Energx</t>
  </si>
  <si>
    <t>Heschong Mahone</t>
  </si>
  <si>
    <t>Energy Analysis</t>
  </si>
  <si>
    <t>ICF</t>
  </si>
  <si>
    <t>Less:  Uncoll  @ .3636%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</si>
  <si>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</si>
  <si>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</si>
  <si>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</si>
  <si>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</si>
  <si>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</si>
  <si>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</si>
  <si>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</si>
  <si>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</si>
  <si>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</si>
  <si>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</si>
  <si>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</si>
  <si>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</si>
  <si>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</si>
  <si>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</si>
  <si>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</si>
  <si>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</si>
  <si>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</si>
  <si>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>EDC Tech Inc</t>
  </si>
  <si>
    <t>Demand Ventilation Pgm</t>
  </si>
  <si>
    <t>Energy Eff. Smart Controllers for Pools &amp; Spas</t>
  </si>
  <si>
    <t>En Vinta Corp / Energy Challenger Pgm</t>
  </si>
  <si>
    <t>Upstream HE Gas WH Rebate/HE Hot Water Dist</t>
  </si>
  <si>
    <t>Benningfield Group - Advanced Water Heater Technology</t>
  </si>
  <si>
    <t>Program Implementer (PY 2006-2008) Plus Bridge Funding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</si>
  <si>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</si>
  <si>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</si>
  <si>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</si>
  <si>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</si>
  <si>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</si>
  <si>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</si>
  <si>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</si>
  <si>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</si>
  <si>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</si>
  <si>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</si>
  <si>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</si>
  <si>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</si>
  <si>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</si>
  <si>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</si>
  <si>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</si>
  <si>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</si>
  <si>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</si>
  <si>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</si>
  <si>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</si>
  <si>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</si>
  <si>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</si>
  <si>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</si>
  <si>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</si>
  <si>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</si>
  <si>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</si>
  <si>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</si>
  <si>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</si>
  <si>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</si>
  <si>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</si>
  <si>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</si>
  <si>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</si>
  <si>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</si>
  <si>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</si>
  <si>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</si>
  <si>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</si>
  <si>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</si>
  <si>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</si>
  <si>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</si>
  <si>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</si>
  <si>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</si>
  <si>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</si>
  <si>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</si>
  <si>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</si>
  <si>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</si>
  <si>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</si>
  <si>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</si>
  <si>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</si>
  <si>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</si>
  <si>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</si>
  <si>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</si>
  <si>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</si>
  <si>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</si>
  <si>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</si>
  <si>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</si>
  <si>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</si>
  <si>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2018 Gas PGC Funds </t>
  </si>
  <si>
    <t xml:space="preserve">2019 Gas PGC Funds </t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</si>
  <si>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</si>
  <si>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</si>
  <si>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</si>
  <si>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</si>
  <si>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</si>
  <si>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</si>
  <si>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</si>
  <si>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</si>
  <si>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</si>
  <si>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</si>
  <si>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</si>
  <si>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</si>
  <si>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</si>
  <si>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</si>
  <si>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</si>
  <si>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</si>
  <si>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</si>
  <si>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</si>
  <si>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</si>
  <si>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</si>
  <si>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</si>
  <si>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</si>
  <si>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</si>
  <si>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</si>
  <si>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</si>
  <si>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</si>
  <si>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</si>
  <si>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</si>
  <si>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</si>
  <si>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</si>
  <si>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</si>
  <si>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</si>
  <si>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</si>
  <si>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</si>
  <si>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</si>
  <si>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</si>
  <si>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</si>
  <si>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</si>
  <si>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</si>
  <si>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</si>
  <si>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</si>
  <si>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</si>
  <si>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2020 Gas PGC Funds 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</si>
  <si>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</si>
  <si>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</si>
  <si>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</si>
  <si>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</si>
  <si>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t>Calendar Year 2021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</si>
  <si>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</si>
  <si>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</si>
  <si>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</si>
  <si>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</si>
  <si>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</si>
  <si>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C-Best</t>
  </si>
  <si>
    <t>Small and Medium Comm EE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</si>
  <si>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</si>
  <si>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</si>
  <si>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</si>
  <si>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</si>
  <si>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</si>
  <si>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r>
      <t xml:space="preserve">     Interest Accrued</t>
    </r>
    <r>
      <rPr>
        <vertAlign val="superscript"/>
        <sz val="10"/>
        <rFont val="Arial"/>
        <family val="2"/>
      </rPr>
      <t xml:space="preserve"> </t>
    </r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</si>
  <si>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</si>
  <si>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</si>
  <si>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Table G-5</t>
  </si>
  <si>
    <t>COM-SW-Midstream Water Heating-Solic</t>
  </si>
  <si>
    <t>RES Single Family (Solicitation)</t>
  </si>
  <si>
    <t>RES Multi Family (Solicitation)</t>
  </si>
  <si>
    <t>Comprehensive Manufactured Home</t>
  </si>
  <si>
    <t xml:space="preserve">SoCalGas Residential Manufactured Home </t>
  </si>
  <si>
    <t>RES ACE Program</t>
  </si>
  <si>
    <t>Agriculture EE Pgm</t>
  </si>
  <si>
    <t xml:space="preserve">2021 Gas PGC Funds </t>
  </si>
  <si>
    <t xml:space="preserve">Service RCx+ Program </t>
  </si>
  <si>
    <t>COM SMB Solicitation</t>
  </si>
  <si>
    <t>PUB Small/Medium Solicitaion</t>
  </si>
  <si>
    <t>RES-SW-New Construction</t>
  </si>
  <si>
    <t>COM-SW-Midstream Food Service</t>
  </si>
  <si>
    <t>COM-SW-Midstream Commercial Water Heating</t>
  </si>
  <si>
    <t>PUB-SW-Institutional Partnership: DGS &amp; DoC</t>
  </si>
  <si>
    <t>RES-SW-Plug Load and Appliance</t>
  </si>
  <si>
    <t>COM-SW-Upstream HVAC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</si>
</sst>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 applyFill="1" applyBorder="1" applyAlignment="1"/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6" fillId="0" borderId="0" xfId="52" applyFont="1"/>
    <xf numFmtId="43" fontId="37" fillId="0" borderId="0" xfId="30" applyFont="1" applyFill="1"/>
    <xf numFmtId="0" fontId="1" fillId="0" borderId="0" xfId="52" applyFont="1"/>
    <xf numFmtId="43" fontId="38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8" fillId="0" borderId="0" xfId="52" applyFont="1"/>
    <xf numFmtId="10" fontId="37" fillId="0" borderId="0" xfId="53" applyNumberFormat="1" applyFont="1" applyFill="1"/>
    <xf numFmtId="0" fontId="1" fillId="0" borderId="10" xfId="52" applyFont="1" applyBorder="1"/>
    <xf numFmtId="43" fontId="37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5" fillId="0" borderId="0" xfId="30" applyFont="1" applyFill="1"/>
    <xf numFmtId="43" fontId="35" fillId="0" borderId="17" xfId="30" applyFont="1" applyFill="1" applyBorder="1"/>
    <xf numFmtId="0" fontId="1" fillId="0" borderId="16" xfId="52" applyFont="1" applyBorder="1"/>
    <xf numFmtId="165" fontId="35" fillId="0" borderId="0" xfId="29" applyNumberFormat="1" applyFont="1" applyFill="1"/>
    <xf numFmtId="165" fontId="35" fillId="0" borderId="17" xfId="29" applyNumberFormat="1" applyFont="1" applyFill="1" applyBorder="1"/>
    <xf numFmtId="165" fontId="39" fillId="0" borderId="0" xfId="29" applyNumberFormat="1" applyFont="1" applyFill="1"/>
    <xf numFmtId="165" fontId="39" fillId="0" borderId="17" xfId="29" applyNumberFormat="1" applyFont="1" applyFill="1" applyBorder="1"/>
    <xf numFmtId="0" fontId="1" fillId="0" borderId="18" xfId="52" applyFont="1" applyBorder="1"/>
    <xf numFmtId="165" fontId="35" fillId="0" borderId="22" xfId="29" applyNumberFormat="1" applyFont="1" applyFill="1" applyBorder="1"/>
    <xf numFmtId="165" fontId="35" fillId="0" borderId="23" xfId="29" applyNumberFormat="1" applyFont="1" applyFill="1" applyBorder="1"/>
    <xf numFmtId="43" fontId="35" fillId="0" borderId="0" xfId="30" applyFont="1" applyFill="1" applyBorder="1"/>
    <xf numFmtId="0" fontId="40" fillId="0" borderId="0" xfId="52" applyFont="1"/>
    <xf numFmtId="0" fontId="35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328125" defaultRowHeight="12.75" x14ac:dyDescent="0.35"/>
  <cols>
    <col min="1" max="1" width="33.3984375" style="2" customWidth="1"/>
    <col min="2" max="2" width="11.3984375" style="31" bestFit="1" customWidth="1"/>
    <col min="3" max="3" width="13.3984375" style="31" bestFit="1" customWidth="1"/>
    <col min="4" max="5" width="11.3984375" style="31" bestFit="1" customWidth="1"/>
    <col min="6" max="8" width="11.3984375" style="2" bestFit="1" customWidth="1"/>
    <col min="9" max="9" width="12.86328125" style="2" bestFit="1" customWidth="1"/>
    <col min="10" max="10" width="12.1328125" style="31" bestFit="1" customWidth="1"/>
    <col min="11" max="11" width="11.3984375" style="31" bestFit="1" customWidth="1"/>
    <col min="12" max="12" width="11.3984375" style="2" bestFit="1" customWidth="1"/>
    <col min="13" max="13" width="12.86328125" style="2" bestFit="1" customWidth="1"/>
    <col min="14" max="14" width="12.86328125" style="31" bestFit="1" customWidth="1"/>
    <col min="15" max="16384" width="9.1328125" style="2"/>
  </cols>
  <sheetData>
    <row r="1" spans="1:14" ht="15" x14ac:dyDescent="0.4">
      <c r="A1" s="1" t="s">
        <v>19</v>
      </c>
    </row>
    <row r="2" spans="1:14" ht="15" x14ac:dyDescent="0.4">
      <c r="A2" s="3" t="s">
        <v>44</v>
      </c>
    </row>
    <row r="3" spans="1:14" ht="15" x14ac:dyDescent="0.4">
      <c r="A3" s="1" t="s">
        <v>197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6"/>
      <c r="G6" s="6"/>
      <c r="H6" s="6"/>
      <c r="I6" s="6"/>
      <c r="J6" s="33"/>
      <c r="K6" s="33"/>
      <c r="L6" s="6"/>
      <c r="M6" s="6"/>
      <c r="N6" s="36" t="s">
        <v>0</v>
      </c>
    </row>
    <row r="7" spans="1:14" ht="15.4" thickBot="1" x14ac:dyDescent="0.45">
      <c r="A7" s="8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x14ac:dyDescent="0.35">
      <c r="A8" s="5"/>
      <c r="H8" s="17"/>
      <c r="I8" s="17"/>
      <c r="J8" s="48"/>
      <c r="K8" s="48"/>
      <c r="L8" s="17"/>
      <c r="M8" s="17"/>
      <c r="N8" s="38">
        <f>SUM(B8:M8)</f>
        <v>0</v>
      </c>
    </row>
    <row r="9" spans="1:14" x14ac:dyDescent="0.35">
      <c r="A9" s="18" t="s">
        <v>36</v>
      </c>
      <c r="B9" s="32">
        <v>4504069.51</v>
      </c>
      <c r="C9" s="32">
        <v>4432875.99</v>
      </c>
      <c r="D9" s="32">
        <v>3944379.82</v>
      </c>
      <c r="E9" s="32">
        <v>2885519.33</v>
      </c>
      <c r="F9" s="32">
        <v>2127677.75</v>
      </c>
      <c r="G9" s="32">
        <v>1882201.77</v>
      </c>
      <c r="H9" s="32">
        <v>1508594.28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8">
        <f t="shared" ref="N9:N19" si="0">SUM(B9:M9)</f>
        <v>21285318.449999999</v>
      </c>
    </row>
    <row r="10" spans="1:14" x14ac:dyDescent="0.35">
      <c r="A10" s="18" t="s">
        <v>37</v>
      </c>
      <c r="B10" s="32">
        <v>4949509.28</v>
      </c>
      <c r="C10" s="32">
        <v>5774080.0599999996</v>
      </c>
      <c r="D10" s="32">
        <v>5225425.95</v>
      </c>
      <c r="E10" s="32">
        <v>4818563.1100000003</v>
      </c>
      <c r="F10" s="32">
        <v>4272263.21</v>
      </c>
      <c r="G10" s="32">
        <v>4113204.6</v>
      </c>
      <c r="H10" s="32">
        <v>3682626.58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8">
        <f t="shared" si="0"/>
        <v>32835672.789999999</v>
      </c>
    </row>
    <row r="11" spans="1:14" x14ac:dyDescent="0.35">
      <c r="A11" s="18" t="s">
        <v>38</v>
      </c>
      <c r="B11" s="32">
        <v>491.53</v>
      </c>
      <c r="C11" s="32">
        <v>1569.79</v>
      </c>
      <c r="D11" s="32">
        <v>249.24</v>
      </c>
      <c r="E11" s="32">
        <v>1014.43</v>
      </c>
      <c r="F11" s="32">
        <v>1952.96</v>
      </c>
      <c r="G11" s="32">
        <v>2158.87</v>
      </c>
      <c r="H11" s="32">
        <v>3504.31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8">
        <f t="shared" si="0"/>
        <v>10941.13</v>
      </c>
    </row>
    <row r="12" spans="1:14" x14ac:dyDescent="0.35">
      <c r="A12" s="18" t="s">
        <v>39</v>
      </c>
      <c r="B12" s="32">
        <v>42435.42</v>
      </c>
      <c r="C12" s="32">
        <v>51254.49</v>
      </c>
      <c r="D12" s="32">
        <v>61254.09</v>
      </c>
      <c r="E12" s="32">
        <v>78842.53</v>
      </c>
      <c r="F12" s="32">
        <v>102406.51</v>
      </c>
      <c r="G12" s="32">
        <v>135592.92000000001</v>
      </c>
      <c r="H12" s="32">
        <v>149018.14000000001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8">
        <f t="shared" si="0"/>
        <v>620804.1</v>
      </c>
    </row>
    <row r="13" spans="1:14" x14ac:dyDescent="0.35">
      <c r="A13" s="18" t="s">
        <v>40</v>
      </c>
      <c r="B13" s="32">
        <v>599273.85</v>
      </c>
      <c r="C13" s="32">
        <v>795357.84</v>
      </c>
      <c r="D13" s="32">
        <v>632819.29</v>
      </c>
      <c r="E13" s="32">
        <v>790836</v>
      </c>
      <c r="F13" s="32">
        <v>732825.63</v>
      </c>
      <c r="G13" s="32">
        <v>697622.36</v>
      </c>
      <c r="H13" s="32">
        <v>712874.37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8">
        <f t="shared" si="0"/>
        <v>4961609.34</v>
      </c>
    </row>
    <row r="14" spans="1:14" x14ac:dyDescent="0.35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/>
    </row>
    <row r="15" spans="1:14" x14ac:dyDescent="0.35">
      <c r="A15" s="18" t="s">
        <v>41</v>
      </c>
      <c r="B15" s="32">
        <v>1415103.34</v>
      </c>
      <c r="C15" s="32">
        <v>1431482.93</v>
      </c>
      <c r="D15" s="32">
        <v>1280583.6499999999</v>
      </c>
      <c r="E15" s="32">
        <v>943921.76</v>
      </c>
      <c r="F15" s="32">
        <v>725866.68</v>
      </c>
      <c r="G15" s="32">
        <v>657020.68000000005</v>
      </c>
      <c r="H15" s="32">
        <v>551047.38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8">
        <f t="shared" si="0"/>
        <v>7005026.419999999</v>
      </c>
    </row>
    <row r="16" spans="1:14" x14ac:dyDescent="0.35">
      <c r="A16" s="18" t="s">
        <v>42</v>
      </c>
      <c r="B16" s="32">
        <v>17434.47</v>
      </c>
      <c r="C16" s="32">
        <v>19257.61</v>
      </c>
      <c r="D16" s="32">
        <v>17527.990000000002</v>
      </c>
      <c r="E16" s="32">
        <v>13990.65</v>
      </c>
      <c r="F16" s="32">
        <v>11903.41</v>
      </c>
      <c r="G16" s="32">
        <v>10845.99</v>
      </c>
      <c r="H16" s="32">
        <v>9172.23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8">
        <f t="shared" si="0"/>
        <v>100132.35</v>
      </c>
    </row>
    <row r="17" spans="1:14" x14ac:dyDescent="0.35">
      <c r="A17" s="18" t="s">
        <v>43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0"/>
        <v>0</v>
      </c>
    </row>
    <row r="18" spans="1:14" customFormat="1" x14ac:dyDescent="0.35">
      <c r="A18" s="25" t="s">
        <v>68</v>
      </c>
      <c r="B18" s="32">
        <v>-12539.49</v>
      </c>
      <c r="C18" s="32">
        <v>-12866.07</v>
      </c>
      <c r="D18" s="32">
        <v>-15274.59</v>
      </c>
      <c r="E18" s="32">
        <v>-18174.48</v>
      </c>
      <c r="F18" s="32">
        <v>-17543.359302096698</v>
      </c>
      <c r="G18" s="32">
        <v>-21420.89</v>
      </c>
      <c r="H18" s="32">
        <v>-21442.67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8">
        <f t="shared" si="0"/>
        <v>-119261.54930209668</v>
      </c>
    </row>
    <row r="19" spans="1:14" x14ac:dyDescent="0.35">
      <c r="A19" s="73" t="s">
        <v>134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8">
        <f t="shared" si="0"/>
        <v>0</v>
      </c>
    </row>
    <row r="20" spans="1:14" ht="15.4" thickBot="1" x14ac:dyDescent="0.45">
      <c r="A20" s="19" t="s">
        <v>15</v>
      </c>
      <c r="B20" s="35">
        <f>SUM(B8:B19)</f>
        <v>11515777.909999998</v>
      </c>
      <c r="C20" s="35">
        <f>SUM(C8:C19)</f>
        <v>12493012.639999999</v>
      </c>
      <c r="D20" s="35">
        <f>SUM(D8:D19)</f>
        <v>11146965.440000001</v>
      </c>
      <c r="E20" s="35">
        <f t="shared" ref="E20:M20" si="1">SUM(E8:E19)</f>
        <v>9514513.3300000001</v>
      </c>
      <c r="F20" s="35">
        <f t="shared" si="1"/>
        <v>7957352.7906979024</v>
      </c>
      <c r="G20" s="35">
        <f t="shared" si="1"/>
        <v>7477226.3000000007</v>
      </c>
      <c r="H20" s="35">
        <f t="shared" si="1"/>
        <v>6595394.6200000001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9">
        <f>SUM(B20:M20)</f>
        <v>66700243.03069789</v>
      </c>
    </row>
    <row r="21" spans="1:14" x14ac:dyDescent="0.35">
      <c r="I21" s="31"/>
    </row>
    <row r="22" spans="1:14" x14ac:dyDescent="0.35">
      <c r="A22" s="74"/>
      <c r="I22" s="31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15"/>
  <sheetViews>
    <sheetView zoomScaleNormal="100" workbookViewId="0">
      <pane xSplit="1" ySplit="6" topLeftCell="G312" activePane="bottomRight" state="frozen"/>
      <selection pane="topRight" activeCell="B1" sqref="B1"/>
      <selection pane="bottomLeft" activeCell="A7" sqref="A7"/>
      <selection pane="bottomRight" activeCell="H317" sqref="H317"/>
    </sheetView>
  </sheetViews>
  <sheetFormatPr defaultColWidth="9.1328125" defaultRowHeight="12.75" x14ac:dyDescent="0.35"/>
  <cols>
    <col min="1" max="1" width="38.3984375" style="2" customWidth="1"/>
    <col min="2" max="2" width="12.86328125" style="31" customWidth="1"/>
    <col min="3" max="3" width="11.86328125" style="31" customWidth="1"/>
    <col min="4" max="7" width="12.86328125" style="31" customWidth="1"/>
    <col min="8" max="9" width="13.59765625" style="31" customWidth="1"/>
    <col min="10" max="10" width="12.1328125" style="31" bestFit="1" customWidth="1"/>
    <col min="11" max="11" width="13.59765625" style="31" bestFit="1" customWidth="1"/>
    <col min="12" max="12" width="12.3984375" style="31" bestFit="1" customWidth="1"/>
    <col min="13" max="13" width="11.86328125" style="31" bestFit="1" customWidth="1"/>
    <col min="14" max="14" width="14.59765625" style="2" bestFit="1" customWidth="1"/>
    <col min="15" max="15" width="14" style="2" customWidth="1"/>
    <col min="16" max="16" width="14" style="2" bestFit="1" customWidth="1"/>
    <col min="17" max="16384" width="9.1328125" style="2"/>
  </cols>
  <sheetData>
    <row r="1" spans="1:15" ht="15" x14ac:dyDescent="0.4">
      <c r="A1" s="1" t="s">
        <v>20</v>
      </c>
    </row>
    <row r="2" spans="1:15" ht="15" x14ac:dyDescent="0.4">
      <c r="A2" s="3" t="s">
        <v>45</v>
      </c>
    </row>
    <row r="3" spans="1:15" ht="15" x14ac:dyDescent="0.4">
      <c r="A3" s="1" t="str">
        <f>'Table G-1'!A3</f>
        <v>Calendar Year 2021</v>
      </c>
    </row>
    <row r="4" spans="1:15" ht="15.4" thickBot="1" x14ac:dyDescent="0.45">
      <c r="A4" s="4"/>
    </row>
    <row r="5" spans="1:15" ht="13.15" x14ac:dyDescent="0.4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7" t="s">
        <v>0</v>
      </c>
    </row>
    <row r="6" spans="1:15" ht="13.5" thickBot="1" x14ac:dyDescent="0.45">
      <c r="A6" s="21" t="s">
        <v>196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10" t="s">
        <v>14</v>
      </c>
    </row>
    <row r="7" spans="1:15" ht="13.15" x14ac:dyDescent="0.4">
      <c r="A7" s="65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3"/>
    </row>
    <row r="8" spans="1:15" x14ac:dyDescent="0.35">
      <c r="A8" s="22" t="s">
        <v>31</v>
      </c>
      <c r="B8" s="31">
        <f>2443095.03-B39-B80</f>
        <v>1363735.25</v>
      </c>
      <c r="C8" s="31">
        <f>2698318-C39-C80</f>
        <v>1586328.1999999997</v>
      </c>
      <c r="D8" s="31">
        <f>7096601-D39-D80</f>
        <v>5379034.419999999</v>
      </c>
      <c r="E8" s="31">
        <f>10815847.46-E39-E80</f>
        <v>9788860.3399999999</v>
      </c>
      <c r="F8" s="31">
        <f>7314186.33-F39-F80</f>
        <v>5179990.4000000004</v>
      </c>
      <c r="G8" s="31">
        <f>8092285.63-G39-G80</f>
        <v>5018065.8900000006</v>
      </c>
      <c r="H8" s="31">
        <f>5664020.8-H39-H80</f>
        <v>-5753526.910000002</v>
      </c>
      <c r="I8" s="31">
        <f>0-I39-I80</f>
        <v>0</v>
      </c>
      <c r="J8" s="31">
        <f>0-J39-J80</f>
        <v>0</v>
      </c>
      <c r="K8" s="31">
        <f>0-K39-K80</f>
        <v>0</v>
      </c>
      <c r="L8" s="31">
        <f>0-L39-L80</f>
        <v>0</v>
      </c>
      <c r="M8" s="31">
        <f>0-M39-M80</f>
        <v>0</v>
      </c>
      <c r="N8" s="14">
        <f>SUM(B8:M8)</f>
        <v>22562487.589999996</v>
      </c>
    </row>
    <row r="9" spans="1:15" x14ac:dyDescent="0.35">
      <c r="A9" s="15" t="s">
        <v>83</v>
      </c>
      <c r="N9" s="14">
        <f>SUM(B9:M9)</f>
        <v>0</v>
      </c>
    </row>
    <row r="10" spans="1:15" x14ac:dyDescent="0.35">
      <c r="A10" s="22" t="s">
        <v>30</v>
      </c>
      <c r="N10" s="14"/>
    </row>
    <row r="11" spans="1:15" ht="14.25" x14ac:dyDescent="0.45">
      <c r="A11" s="61" t="s">
        <v>154</v>
      </c>
      <c r="B11" s="31">
        <v>243.32</v>
      </c>
      <c r="C11" s="31">
        <v>248.03</v>
      </c>
      <c r="D11" s="31">
        <v>299.54999999999995</v>
      </c>
      <c r="E11" s="31">
        <v>341.42</v>
      </c>
      <c r="F11" s="31">
        <v>1637.4099999999996</v>
      </c>
      <c r="G11" s="31">
        <v>1894.8600000000004</v>
      </c>
      <c r="H11" s="31">
        <v>4986.0199999999986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14">
        <f t="shared" ref="N11:N37" si="0">SUM(B11:M11)</f>
        <v>9650.6099999999988</v>
      </c>
      <c r="O11"/>
    </row>
    <row r="12" spans="1:15" ht="14.25" x14ac:dyDescent="0.45">
      <c r="A12" s="61" t="s">
        <v>157</v>
      </c>
      <c r="B12" s="31">
        <v>36.47</v>
      </c>
      <c r="C12" s="31">
        <v>34.79</v>
      </c>
      <c r="D12" s="31">
        <v>2414.27</v>
      </c>
      <c r="E12" s="31">
        <v>4558.8100000000004</v>
      </c>
      <c r="F12" s="31">
        <v>2486.7299999999996</v>
      </c>
      <c r="G12" s="31">
        <v>41.22</v>
      </c>
      <c r="H12" s="31">
        <v>14477.070000000002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14">
        <f t="shared" si="0"/>
        <v>24049.360000000001</v>
      </c>
      <c r="O12"/>
    </row>
    <row r="13" spans="1:15" ht="14.25" x14ac:dyDescent="0.45">
      <c r="A13" s="61" t="s">
        <v>160</v>
      </c>
      <c r="B13" s="31">
        <v>136.63999999999999</v>
      </c>
      <c r="C13" s="31">
        <v>134.09</v>
      </c>
      <c r="D13" s="31">
        <v>311.95999999999998</v>
      </c>
      <c r="E13" s="31">
        <v>4131.07</v>
      </c>
      <c r="F13" s="31">
        <v>1317.3700000000001</v>
      </c>
      <c r="G13" s="31">
        <v>2979.8699999999994</v>
      </c>
      <c r="H13" s="31">
        <v>9175.269999999995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14">
        <f t="shared" si="0"/>
        <v>18186.269999999997</v>
      </c>
      <c r="O13"/>
    </row>
    <row r="14" spans="1:15" ht="14.25" x14ac:dyDescent="0.45">
      <c r="A14" s="61" t="s">
        <v>161</v>
      </c>
      <c r="B14" s="31">
        <v>884.62</v>
      </c>
      <c r="C14" s="31">
        <v>0</v>
      </c>
      <c r="D14" s="31">
        <v>0</v>
      </c>
      <c r="E14" s="31">
        <v>0</v>
      </c>
      <c r="F14" s="31">
        <v>0</v>
      </c>
      <c r="G14" s="31">
        <v>855</v>
      </c>
      <c r="H14" s="31">
        <v>884.62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4">
        <f t="shared" si="0"/>
        <v>2624.24</v>
      </c>
      <c r="O14"/>
    </row>
    <row r="15" spans="1:15" ht="14.25" x14ac:dyDescent="0.45">
      <c r="A15" s="61" t="s">
        <v>163</v>
      </c>
      <c r="B15" s="31">
        <v>0</v>
      </c>
      <c r="C15" s="31">
        <v>0</v>
      </c>
      <c r="D15" s="31">
        <v>0</v>
      </c>
      <c r="E15" s="31">
        <v>5578.89</v>
      </c>
      <c r="F15" s="31">
        <v>9506.25</v>
      </c>
      <c r="G15" s="31">
        <v>0</v>
      </c>
      <c r="H15" s="31">
        <v>15085.14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4">
        <f t="shared" si="0"/>
        <v>30170.28</v>
      </c>
      <c r="O15"/>
    </row>
    <row r="16" spans="1:15" ht="17.25" customHeight="1" x14ac:dyDescent="0.45">
      <c r="A16" s="70" t="s">
        <v>169</v>
      </c>
      <c r="B16" s="31">
        <v>179.58</v>
      </c>
      <c r="C16" s="31">
        <v>186.03</v>
      </c>
      <c r="D16" s="31">
        <v>238.02</v>
      </c>
      <c r="E16" s="31">
        <v>149.6</v>
      </c>
      <c r="F16" s="31">
        <v>241.8</v>
      </c>
      <c r="G16" s="31">
        <v>198.89</v>
      </c>
      <c r="H16" s="31">
        <v>1359.55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4">
        <f t="shared" si="0"/>
        <v>2553.4700000000003</v>
      </c>
      <c r="O16"/>
    </row>
    <row r="17" spans="1:15" ht="17.25" customHeight="1" x14ac:dyDescent="0.45">
      <c r="A17" s="70" t="s">
        <v>214</v>
      </c>
      <c r="E17" s="31">
        <v>15000</v>
      </c>
      <c r="H17" s="31">
        <v>25000</v>
      </c>
      <c r="N17" s="14"/>
      <c r="O17"/>
    </row>
    <row r="18" spans="1:15" ht="17.25" customHeight="1" x14ac:dyDescent="0.45">
      <c r="A18" s="70" t="s">
        <v>174</v>
      </c>
      <c r="B18" s="31">
        <v>2351.5500000000002</v>
      </c>
      <c r="C18" s="31">
        <v>2055.0700000000002</v>
      </c>
      <c r="D18" s="31">
        <v>2727.58</v>
      </c>
      <c r="E18" s="31">
        <v>2052.84</v>
      </c>
      <c r="F18" s="31">
        <v>2737.63</v>
      </c>
      <c r="G18" s="31">
        <v>2779.43</v>
      </c>
      <c r="H18" s="31">
        <v>16820.070000000007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14">
        <f t="shared" si="0"/>
        <v>31524.170000000009</v>
      </c>
      <c r="O18"/>
    </row>
    <row r="19" spans="1:15" ht="14.25" x14ac:dyDescent="0.45">
      <c r="A19" s="70" t="s">
        <v>200</v>
      </c>
      <c r="B19" s="31">
        <v>347.01</v>
      </c>
      <c r="C19" s="31">
        <v>370.59</v>
      </c>
      <c r="D19" s="31">
        <v>513.15</v>
      </c>
      <c r="E19" s="31">
        <v>404.11</v>
      </c>
      <c r="F19" s="31">
        <v>357.31</v>
      </c>
      <c r="G19" s="31">
        <v>25.570000000000022</v>
      </c>
      <c r="H19" s="31">
        <v>1084.0500000000002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14">
        <f t="shared" si="0"/>
        <v>3101.79</v>
      </c>
      <c r="O19"/>
    </row>
    <row r="20" spans="1:15" ht="14.25" x14ac:dyDescent="0.45">
      <c r="A20" s="61" t="s">
        <v>180</v>
      </c>
      <c r="B20" s="31">
        <v>71.989999999999995</v>
      </c>
      <c r="C20" s="31">
        <v>0</v>
      </c>
      <c r="D20" s="31">
        <v>0</v>
      </c>
      <c r="E20" s="31">
        <v>374.47</v>
      </c>
      <c r="F20" s="31">
        <v>374.47</v>
      </c>
      <c r="G20" s="31">
        <v>326.47000000000003</v>
      </c>
      <c r="H20" s="31">
        <v>2017.7400000000002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14">
        <f t="shared" si="0"/>
        <v>3165.1400000000003</v>
      </c>
      <c r="O20"/>
    </row>
    <row r="21" spans="1:15" ht="14.25" x14ac:dyDescent="0.45">
      <c r="A21" s="61" t="s">
        <v>181</v>
      </c>
      <c r="B21" s="31">
        <v>71.989999999999995</v>
      </c>
      <c r="C21" s="31">
        <v>0</v>
      </c>
      <c r="D21" s="31">
        <v>0</v>
      </c>
      <c r="E21" s="31">
        <v>374.47</v>
      </c>
      <c r="F21" s="31">
        <v>374.47</v>
      </c>
      <c r="G21" s="31">
        <v>326.47000000000003</v>
      </c>
      <c r="H21" s="31">
        <v>1545.86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14">
        <f t="shared" si="0"/>
        <v>2693.26</v>
      </c>
      <c r="O21"/>
    </row>
    <row r="22" spans="1:15" ht="14.25" x14ac:dyDescent="0.45">
      <c r="A22" s="70" t="s">
        <v>215</v>
      </c>
      <c r="E22" s="31">
        <v>2401.66</v>
      </c>
      <c r="F22" s="31">
        <v>1511.48</v>
      </c>
      <c r="G22" s="31">
        <v>4084.93</v>
      </c>
      <c r="H22" s="31">
        <v>1545.86</v>
      </c>
      <c r="N22" s="14"/>
      <c r="O22"/>
    </row>
    <row r="23" spans="1:15" ht="14.25" x14ac:dyDescent="0.45">
      <c r="A23" s="70" t="s">
        <v>216</v>
      </c>
      <c r="E23" s="31">
        <v>1459.39</v>
      </c>
      <c r="F23" s="31">
        <v>1640.53</v>
      </c>
      <c r="G23" s="31">
        <v>1471.23</v>
      </c>
      <c r="H23" s="31">
        <v>4325.84</v>
      </c>
      <c r="N23" s="14"/>
      <c r="O23"/>
    </row>
    <row r="24" spans="1:15" ht="14.25" x14ac:dyDescent="0.45">
      <c r="A24" s="70" t="s">
        <v>186</v>
      </c>
      <c r="B24" s="31">
        <v>729.59</v>
      </c>
      <c r="C24" s="31">
        <v>778.91</v>
      </c>
      <c r="D24" s="31">
        <v>1077.77</v>
      </c>
      <c r="E24" s="31">
        <v>0</v>
      </c>
      <c r="F24" s="31">
        <v>0</v>
      </c>
      <c r="G24" s="31">
        <v>0</v>
      </c>
      <c r="H24" s="31">
        <v>10314.259999999998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14">
        <f t="shared" si="0"/>
        <v>12900.529999999999</v>
      </c>
      <c r="O24"/>
    </row>
    <row r="25" spans="1:15" ht="14.25" x14ac:dyDescent="0.45">
      <c r="A25" s="70" t="s">
        <v>187</v>
      </c>
      <c r="B25" s="31">
        <v>1318.02</v>
      </c>
      <c r="C25" s="31">
        <v>1365.31</v>
      </c>
      <c r="D25" s="31">
        <v>1715.76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14">
        <f t="shared" si="0"/>
        <v>4399.09</v>
      </c>
      <c r="O25"/>
    </row>
    <row r="26" spans="1:15" ht="17.25" customHeight="1" x14ac:dyDescent="0.45">
      <c r="A26" s="70" t="s">
        <v>223</v>
      </c>
      <c r="B26" s="31">
        <v>546.51</v>
      </c>
      <c r="C26" s="31">
        <v>536.32000000000005</v>
      </c>
      <c r="D26" s="31">
        <v>6379.37</v>
      </c>
      <c r="E26" s="31">
        <v>-138.21</v>
      </c>
      <c r="F26" s="31">
        <v>-3786.08</v>
      </c>
      <c r="G26" s="31">
        <v>0</v>
      </c>
      <c r="H26" s="31">
        <v>3537.9099999999994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14">
        <f t="shared" si="0"/>
        <v>7075.82</v>
      </c>
      <c r="O26"/>
    </row>
    <row r="27" spans="1:15" ht="17.25" customHeight="1" x14ac:dyDescent="0.45">
      <c r="A27" s="70" t="s">
        <v>224</v>
      </c>
      <c r="B27" s="31">
        <v>243.32</v>
      </c>
      <c r="C27" s="31">
        <v>248.03</v>
      </c>
      <c r="D27" s="31">
        <v>10015.31</v>
      </c>
      <c r="E27" s="31">
        <v>-452.45</v>
      </c>
      <c r="F27" s="31">
        <v>0</v>
      </c>
      <c r="G27" s="31">
        <v>25.9</v>
      </c>
      <c r="H27" s="31">
        <v>10079.589999999998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4">
        <f t="shared" si="0"/>
        <v>20159.699999999997</v>
      </c>
      <c r="O27"/>
    </row>
    <row r="28" spans="1:15" ht="14.25" x14ac:dyDescent="0.45">
      <c r="A28" s="70" t="s">
        <v>225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8">
        <f>SUM(B28:M28)</f>
        <v>0</v>
      </c>
      <c r="O28"/>
    </row>
    <row r="29" spans="1:15" ht="14.25" x14ac:dyDescent="0.45">
      <c r="A29" s="61" t="s">
        <v>158</v>
      </c>
      <c r="B29" s="31">
        <v>176.4</v>
      </c>
      <c r="C29" s="31">
        <v>182.73</v>
      </c>
      <c r="D29" s="31">
        <v>7456.76</v>
      </c>
      <c r="E29" s="31">
        <v>3846.28</v>
      </c>
      <c r="F29" s="31">
        <v>5022.42</v>
      </c>
      <c r="G29" s="31">
        <v>3405.94</v>
      </c>
      <c r="H29" s="31">
        <v>23403.629999999997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4">
        <f>SUM(B29:M29)</f>
        <v>43494.159999999996</v>
      </c>
      <c r="O29"/>
    </row>
    <row r="30" spans="1:15" ht="14.25" x14ac:dyDescent="0.45">
      <c r="A30" s="70" t="s">
        <v>201</v>
      </c>
      <c r="B30" s="31">
        <v>0</v>
      </c>
      <c r="C30" s="31">
        <v>0</v>
      </c>
      <c r="D30" s="31">
        <v>9353.98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8">
        <f>SUM(B30:M30)</f>
        <v>9353.98</v>
      </c>
      <c r="O30"/>
    </row>
    <row r="31" spans="1:15" ht="17.25" customHeight="1" x14ac:dyDescent="0.45">
      <c r="A31" s="70" t="s">
        <v>204</v>
      </c>
      <c r="B31" s="31">
        <v>0</v>
      </c>
      <c r="C31" s="31">
        <v>0</v>
      </c>
      <c r="D31" s="31">
        <v>0</v>
      </c>
      <c r="E31" s="31">
        <v>415.11</v>
      </c>
      <c r="F31" s="31">
        <v>4044.36</v>
      </c>
      <c r="G31" s="31">
        <v>20453.480000000003</v>
      </c>
      <c r="H31" s="31">
        <v>28326.040000000008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14">
        <f t="shared" ref="N31:N32" si="1">SUM(B31:M31)</f>
        <v>53238.990000000013</v>
      </c>
      <c r="O31"/>
    </row>
    <row r="32" spans="1:15" ht="17.25" customHeight="1" x14ac:dyDescent="0.45">
      <c r="A32" s="70" t="s">
        <v>219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70690</v>
      </c>
      <c r="H32" s="31">
        <v>67814.680000000008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14">
        <f t="shared" si="1"/>
        <v>138504.68</v>
      </c>
      <c r="O32"/>
    </row>
    <row r="33" spans="1:15" ht="14.25" x14ac:dyDescent="0.45">
      <c r="A33" s="70" t="s">
        <v>217</v>
      </c>
      <c r="B33" s="31">
        <v>0</v>
      </c>
      <c r="C33" s="31">
        <v>0</v>
      </c>
      <c r="D33" s="31">
        <v>0</v>
      </c>
      <c r="E33" s="31">
        <v>1123.4000000000001</v>
      </c>
      <c r="F33" s="31">
        <v>19875.079999999998</v>
      </c>
      <c r="G33" s="31">
        <v>11016.77</v>
      </c>
      <c r="H33" s="31">
        <v>34720.26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4">
        <f t="shared" ref="N33:N34" si="2">SUM(B33:M33)</f>
        <v>66735.510000000009</v>
      </c>
      <c r="O33"/>
    </row>
    <row r="34" spans="1:15" ht="14.25" x14ac:dyDescent="0.45">
      <c r="A34" s="70" t="s">
        <v>218</v>
      </c>
      <c r="B34" s="31">
        <v>0</v>
      </c>
      <c r="C34" s="31">
        <v>0</v>
      </c>
      <c r="D34" s="31">
        <v>0</v>
      </c>
      <c r="E34" s="31">
        <v>1123.4000000000001</v>
      </c>
      <c r="F34" s="31">
        <v>2360.31</v>
      </c>
      <c r="G34" s="31">
        <v>1334.1399999999999</v>
      </c>
      <c r="H34" s="31">
        <v>6985.9000000000005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14">
        <f t="shared" si="2"/>
        <v>11803.75</v>
      </c>
      <c r="O34"/>
    </row>
    <row r="35" spans="1:15" ht="17.25" customHeight="1" x14ac:dyDescent="0.45">
      <c r="A35" s="70" t="s">
        <v>170</v>
      </c>
      <c r="B35" s="31">
        <v>0</v>
      </c>
      <c r="C35" s="31">
        <v>0</v>
      </c>
      <c r="D35" s="31">
        <v>0</v>
      </c>
      <c r="E35" s="31">
        <v>633.54</v>
      </c>
      <c r="F35" s="31">
        <v>353.35</v>
      </c>
      <c r="G35" s="31">
        <v>352.37</v>
      </c>
      <c r="H35" s="31">
        <v>1651.8400000000004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4">
        <f>SUM(B35:M35)</f>
        <v>2991.1000000000004</v>
      </c>
      <c r="O35"/>
    </row>
    <row r="36" spans="1:15" ht="17.25" customHeight="1" x14ac:dyDescent="0.45">
      <c r="A36" s="70" t="s">
        <v>203</v>
      </c>
      <c r="B36" s="31">
        <v>0</v>
      </c>
      <c r="C36" s="31">
        <v>0</v>
      </c>
      <c r="D36" s="31">
        <v>12444</v>
      </c>
      <c r="E36" s="31">
        <v>261.77</v>
      </c>
      <c r="F36" s="31">
        <v>430.26000000000005</v>
      </c>
      <c r="G36" s="31">
        <v>48448.47</v>
      </c>
      <c r="H36" s="31">
        <v>61381.020000000004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4">
        <f t="shared" si="0"/>
        <v>122965.52</v>
      </c>
      <c r="O36"/>
    </row>
    <row r="37" spans="1:15" ht="17.25" customHeight="1" x14ac:dyDescent="0.45">
      <c r="A37" s="70" t="s">
        <v>220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33623</v>
      </c>
      <c r="H37" s="31">
        <v>33623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4">
        <f t="shared" si="0"/>
        <v>67246</v>
      </c>
      <c r="O37"/>
    </row>
    <row r="38" spans="1:15" ht="17.25" customHeight="1" x14ac:dyDescent="0.45">
      <c r="A38" s="70" t="s">
        <v>222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579.71999999999991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4">
        <f t="shared" ref="N38" si="3">SUM(B38:M38)</f>
        <v>579.71999999999991</v>
      </c>
      <c r="O38"/>
    </row>
    <row r="39" spans="1:15" x14ac:dyDescent="0.35">
      <c r="A39" s="15" t="s">
        <v>28</v>
      </c>
      <c r="B39" s="31">
        <f t="shared" ref="B39:N39" si="4">SUM(B11:B38)</f>
        <v>7337.01</v>
      </c>
      <c r="C39" s="31">
        <f t="shared" si="4"/>
        <v>6139.8999999999987</v>
      </c>
      <c r="D39" s="31">
        <f t="shared" si="4"/>
        <v>54947.479999999996</v>
      </c>
      <c r="E39" s="31">
        <f t="shared" si="4"/>
        <v>43639.57</v>
      </c>
      <c r="F39" s="31">
        <f t="shared" si="4"/>
        <v>50485.149999999994</v>
      </c>
      <c r="G39" s="31">
        <f t="shared" si="4"/>
        <v>204334.01</v>
      </c>
      <c r="H39" s="31">
        <f t="shared" si="4"/>
        <v>380724.94000000006</v>
      </c>
      <c r="I39" s="31">
        <f t="shared" si="4"/>
        <v>0</v>
      </c>
      <c r="J39" s="31">
        <f t="shared" si="4"/>
        <v>0</v>
      </c>
      <c r="K39" s="31">
        <f t="shared" si="4"/>
        <v>0</v>
      </c>
      <c r="L39" s="31">
        <f t="shared" si="4"/>
        <v>0</v>
      </c>
      <c r="M39" s="31">
        <f t="shared" si="4"/>
        <v>0</v>
      </c>
      <c r="N39" s="14">
        <f t="shared" si="4"/>
        <v>689167.1399999999</v>
      </c>
    </row>
    <row r="40" spans="1:15" x14ac:dyDescent="0.35">
      <c r="A40" s="15"/>
      <c r="N40" s="14"/>
    </row>
    <row r="41" spans="1:15" x14ac:dyDescent="0.35">
      <c r="A41" s="22" t="s">
        <v>29</v>
      </c>
      <c r="N41" s="14"/>
    </row>
    <row r="42" spans="1:15" ht="14.25" x14ac:dyDescent="0.45">
      <c r="A42" s="61" t="s">
        <v>154</v>
      </c>
      <c r="B42" s="31">
        <v>3580.54</v>
      </c>
      <c r="C42" s="31">
        <v>4597.1899999999996</v>
      </c>
      <c r="D42" s="31">
        <v>5181.4599999999991</v>
      </c>
      <c r="E42" s="31">
        <v>5030.42</v>
      </c>
      <c r="F42" s="31">
        <v>5467.12</v>
      </c>
      <c r="G42" s="31">
        <v>4528.08</v>
      </c>
      <c r="H42" s="31">
        <v>45693.610000000008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8">
        <f>SUM(B42:M42)</f>
        <v>74078.420000000013</v>
      </c>
      <c r="O42"/>
    </row>
    <row r="43" spans="1:15" ht="14.25" x14ac:dyDescent="0.45">
      <c r="A43" s="61" t="s">
        <v>157</v>
      </c>
      <c r="B43" s="31">
        <v>255.34</v>
      </c>
      <c r="C43" s="31">
        <v>243.6</v>
      </c>
      <c r="D43" s="31">
        <v>2576.21</v>
      </c>
      <c r="E43" s="31">
        <v>48961.760000000002</v>
      </c>
      <c r="F43" s="31">
        <v>24445.459999999995</v>
      </c>
      <c r="G43" s="31">
        <v>288.52999999999997</v>
      </c>
      <c r="H43" s="31">
        <v>124154.64000000001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8">
        <f t="shared" ref="N43:N63" si="5">SUM(B43:M43)</f>
        <v>200925.54</v>
      </c>
      <c r="O43"/>
    </row>
    <row r="44" spans="1:15" ht="14.25" x14ac:dyDescent="0.45">
      <c r="A44" s="61" t="s">
        <v>160</v>
      </c>
      <c r="B44" s="31">
        <v>774.22</v>
      </c>
      <c r="C44" s="31">
        <v>759.78</v>
      </c>
      <c r="D44" s="31">
        <v>3506.5299999999993</v>
      </c>
      <c r="E44" s="31">
        <v>63976.01</v>
      </c>
      <c r="F44" s="31">
        <v>19789.640000000003</v>
      </c>
      <c r="G44" s="31">
        <v>46312.89</v>
      </c>
      <c r="H44" s="31">
        <v>137312.62999999998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8">
        <f t="shared" si="5"/>
        <v>272431.69999999995</v>
      </c>
      <c r="O44"/>
    </row>
    <row r="45" spans="1:15" ht="14.25" x14ac:dyDescent="0.45">
      <c r="A45" s="61" t="s">
        <v>161</v>
      </c>
      <c r="B45" s="31">
        <v>296.18</v>
      </c>
      <c r="C45" s="31">
        <v>1215.3800000000001</v>
      </c>
      <c r="D45" s="31">
        <v>303.63</v>
      </c>
      <c r="E45" s="31">
        <v>-0.01</v>
      </c>
      <c r="F45" s="31">
        <v>0</v>
      </c>
      <c r="G45" s="31">
        <v>14157</v>
      </c>
      <c r="H45" s="31">
        <v>1815.1800000000007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8">
        <f t="shared" si="5"/>
        <v>17787.36</v>
      </c>
      <c r="O45"/>
    </row>
    <row r="46" spans="1:15" ht="14.25" x14ac:dyDescent="0.45">
      <c r="A46" s="61" t="s">
        <v>163</v>
      </c>
      <c r="B46" s="31">
        <v>0</v>
      </c>
      <c r="C46" s="31">
        <v>0</v>
      </c>
      <c r="D46" s="31">
        <v>0</v>
      </c>
      <c r="E46" s="31">
        <v>177024.7</v>
      </c>
      <c r="F46" s="31">
        <v>303696.11</v>
      </c>
      <c r="G46" s="31">
        <v>0</v>
      </c>
      <c r="H46" s="31">
        <v>480720.81000000006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8">
        <f t="shared" si="5"/>
        <v>961441.62000000011</v>
      </c>
      <c r="O46"/>
    </row>
    <row r="47" spans="1:15" ht="14.25" x14ac:dyDescent="0.45">
      <c r="A47" s="61" t="s">
        <v>168</v>
      </c>
      <c r="B47" s="31">
        <v>0</v>
      </c>
      <c r="C47" s="31">
        <v>583.70000000000005</v>
      </c>
      <c r="D47" s="31">
        <v>1018.1400000000001</v>
      </c>
      <c r="E47" s="31">
        <v>952.85</v>
      </c>
      <c r="F47" s="31">
        <v>909.52</v>
      </c>
      <c r="G47" s="31">
        <v>854.95</v>
      </c>
      <c r="H47" s="31">
        <v>5292.5899999999983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8">
        <f t="shared" si="5"/>
        <v>9611.7499999999982</v>
      </c>
      <c r="O47"/>
    </row>
    <row r="48" spans="1:15" ht="14.25" x14ac:dyDescent="0.45">
      <c r="A48" s="61" t="s">
        <v>169</v>
      </c>
      <c r="B48" s="31">
        <v>3412.02</v>
      </c>
      <c r="C48" s="31">
        <v>15034.45</v>
      </c>
      <c r="D48" s="31">
        <v>16022.509999999998</v>
      </c>
      <c r="E48" s="31">
        <v>14342.49</v>
      </c>
      <c r="F48" s="31">
        <v>16093.95</v>
      </c>
      <c r="G48" s="31">
        <v>26778.899999999994</v>
      </c>
      <c r="H48" s="31">
        <v>94831.059999999954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8">
        <f t="shared" si="5"/>
        <v>186515.37999999995</v>
      </c>
      <c r="O48"/>
    </row>
    <row r="49" spans="1:15" ht="17.25" customHeight="1" x14ac:dyDescent="0.45">
      <c r="A49" s="70" t="s">
        <v>214</v>
      </c>
      <c r="E49" s="31">
        <v>219223.9</v>
      </c>
      <c r="F49" s="31">
        <v>80835.899999999965</v>
      </c>
      <c r="G49" s="31">
        <v>80094.499999999942</v>
      </c>
      <c r="H49" s="31">
        <v>556279.68000000098</v>
      </c>
      <c r="N49" s="14"/>
      <c r="O49"/>
    </row>
    <row r="50" spans="1:15" ht="14.25" x14ac:dyDescent="0.45">
      <c r="A50" s="70" t="s">
        <v>174</v>
      </c>
      <c r="B50" s="31">
        <v>1031275.34</v>
      </c>
      <c r="C50" s="31">
        <v>1050536.3500000001</v>
      </c>
      <c r="D50" s="31">
        <v>685738.6100000001</v>
      </c>
      <c r="E50" s="31">
        <v>79590.399999999994</v>
      </c>
      <c r="F50" s="31">
        <v>974934.72000000009</v>
      </c>
      <c r="G50" s="31">
        <v>476165.07000000012</v>
      </c>
      <c r="H50" s="31">
        <v>4338303.4299999978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8">
        <f t="shared" si="5"/>
        <v>8636543.9199999981</v>
      </c>
      <c r="O50" s="52"/>
    </row>
    <row r="51" spans="1:15" ht="17.25" customHeight="1" x14ac:dyDescent="0.45">
      <c r="A51" s="70" t="s">
        <v>178</v>
      </c>
      <c r="B51" s="31">
        <v>0</v>
      </c>
      <c r="C51" s="31">
        <v>0</v>
      </c>
      <c r="D51" s="31">
        <v>270750</v>
      </c>
      <c r="E51" s="31">
        <v>270750</v>
      </c>
      <c r="F51" s="31">
        <v>0</v>
      </c>
      <c r="G51" s="31">
        <v>0</v>
      </c>
      <c r="H51" s="31">
        <v>541500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8">
        <f t="shared" si="5"/>
        <v>1083000</v>
      </c>
      <c r="O51"/>
    </row>
    <row r="52" spans="1:15" ht="14.25" x14ac:dyDescent="0.45">
      <c r="A52" s="70" t="s">
        <v>200</v>
      </c>
      <c r="B52" s="31">
        <v>624.63</v>
      </c>
      <c r="C52" s="31">
        <v>667.07</v>
      </c>
      <c r="D52" s="31">
        <v>102028.98</v>
      </c>
      <c r="E52" s="31">
        <v>19844.900000000001</v>
      </c>
      <c r="F52" s="31">
        <v>70200.499999999985</v>
      </c>
      <c r="G52" s="31">
        <v>9410.4800000000014</v>
      </c>
      <c r="H52" s="31">
        <v>202776.56000000006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14">
        <f>SUM(B52:M52)</f>
        <v>405553.12</v>
      </c>
      <c r="O52"/>
    </row>
    <row r="53" spans="1:15" ht="17.25" customHeight="1" x14ac:dyDescent="0.45">
      <c r="A53" s="70" t="s">
        <v>179</v>
      </c>
      <c r="B53" s="31">
        <v>0</v>
      </c>
      <c r="C53" s="31">
        <v>0</v>
      </c>
      <c r="D53" s="31">
        <v>0</v>
      </c>
      <c r="E53" s="31">
        <v>370.06</v>
      </c>
      <c r="F53" s="31">
        <v>7830</v>
      </c>
      <c r="G53" s="31">
        <v>0</v>
      </c>
      <c r="H53" s="31">
        <v>8200.06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8">
        <f t="shared" si="5"/>
        <v>16400.12</v>
      </c>
      <c r="O53"/>
    </row>
    <row r="54" spans="1:15" ht="17.25" customHeight="1" x14ac:dyDescent="0.45">
      <c r="A54" s="70" t="s">
        <v>180</v>
      </c>
      <c r="B54" s="31">
        <v>614.22</v>
      </c>
      <c r="C54" s="31">
        <v>399.18</v>
      </c>
      <c r="D54" s="31">
        <v>1429.53</v>
      </c>
      <c r="E54" s="31">
        <v>-257.08999999999997</v>
      </c>
      <c r="F54" s="31">
        <v>119.21</v>
      </c>
      <c r="G54" s="31">
        <v>4027.96</v>
      </c>
      <c r="H54" s="31">
        <v>6091.6600000000008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8">
        <f t="shared" si="5"/>
        <v>12424.670000000002</v>
      </c>
      <c r="O54"/>
    </row>
    <row r="55" spans="1:15" ht="17.25" customHeight="1" x14ac:dyDescent="0.45">
      <c r="A55" s="70" t="s">
        <v>181</v>
      </c>
      <c r="B55" s="31">
        <v>614.22</v>
      </c>
      <c r="C55" s="31">
        <v>399.18</v>
      </c>
      <c r="D55" s="31">
        <v>1429.53</v>
      </c>
      <c r="E55" s="31">
        <v>-257.08999999999997</v>
      </c>
      <c r="F55" s="31">
        <v>119.21</v>
      </c>
      <c r="G55" s="31">
        <v>1344.17</v>
      </c>
      <c r="H55" s="31">
        <v>3407.87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8">
        <f t="shared" si="5"/>
        <v>7057.09</v>
      </c>
      <c r="O55"/>
    </row>
    <row r="56" spans="1:15" ht="17.25" customHeight="1" x14ac:dyDescent="0.45">
      <c r="A56" s="70" t="s">
        <v>182</v>
      </c>
      <c r="B56" s="31">
        <v>0</v>
      </c>
      <c r="C56" s="31">
        <v>291.85000000000002</v>
      </c>
      <c r="D56" s="31">
        <v>509.08000000000004</v>
      </c>
      <c r="E56" s="31">
        <v>476.41</v>
      </c>
      <c r="F56" s="31">
        <v>454.77</v>
      </c>
      <c r="G56" s="31">
        <v>427.48</v>
      </c>
      <c r="H56" s="31">
        <v>2646.309999999999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8">
        <f t="shared" si="5"/>
        <v>4805.8999999999996</v>
      </c>
      <c r="O56"/>
    </row>
    <row r="57" spans="1:15" ht="17.25" customHeight="1" x14ac:dyDescent="0.45">
      <c r="A57" s="70" t="s">
        <v>183</v>
      </c>
      <c r="B57" s="31">
        <v>110.72</v>
      </c>
      <c r="C57" s="31">
        <v>105.6</v>
      </c>
      <c r="D57" s="31">
        <v>142.51999999999998</v>
      </c>
      <c r="E57" s="31">
        <v>124.25</v>
      </c>
      <c r="F57" s="31">
        <v>119.21</v>
      </c>
      <c r="G57" s="31">
        <v>116.53</v>
      </c>
      <c r="H57" s="31">
        <v>799.57000000000016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8">
        <f t="shared" si="5"/>
        <v>1518.4</v>
      </c>
      <c r="O57"/>
    </row>
    <row r="58" spans="1:15" ht="14.25" x14ac:dyDescent="0.45">
      <c r="A58" s="70" t="s">
        <v>215</v>
      </c>
      <c r="E58" s="31">
        <v>9187.2999999999993</v>
      </c>
      <c r="F58" s="31">
        <v>-2873.7200000000003</v>
      </c>
      <c r="G58" s="31">
        <v>69.829999999999984</v>
      </c>
      <c r="H58" s="31">
        <v>35887.879999999997</v>
      </c>
      <c r="N58" s="14"/>
      <c r="O58"/>
    </row>
    <row r="59" spans="1:15" ht="14.25" x14ac:dyDescent="0.45">
      <c r="A59" s="70" t="s">
        <v>216</v>
      </c>
      <c r="E59" s="31">
        <v>13134.59</v>
      </c>
      <c r="F59" s="31">
        <v>14764.65</v>
      </c>
      <c r="G59" s="31">
        <v>13240.94</v>
      </c>
      <c r="H59" s="31">
        <v>92827.869999999981</v>
      </c>
      <c r="N59" s="14"/>
      <c r="O59"/>
    </row>
    <row r="60" spans="1:15" ht="14.25" x14ac:dyDescent="0.45">
      <c r="A60" s="61" t="s">
        <v>186</v>
      </c>
      <c r="B60" s="31">
        <v>11101.11</v>
      </c>
      <c r="C60" s="31">
        <v>7715.66</v>
      </c>
      <c r="D60" s="31">
        <v>10687.699999999999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8">
        <f t="shared" si="5"/>
        <v>29504.47</v>
      </c>
      <c r="O60"/>
    </row>
    <row r="61" spans="1:15" ht="14.25" x14ac:dyDescent="0.45">
      <c r="A61" s="61" t="s">
        <v>187</v>
      </c>
      <c r="B61" s="31">
        <v>11862.07</v>
      </c>
      <c r="C61" s="31">
        <v>12287.67</v>
      </c>
      <c r="D61" s="31">
        <v>15441.83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8">
        <f t="shared" si="5"/>
        <v>39591.57</v>
      </c>
      <c r="O61"/>
    </row>
    <row r="62" spans="1:15" ht="14.25" x14ac:dyDescent="0.45">
      <c r="A62" s="70" t="s">
        <v>223</v>
      </c>
      <c r="B62" s="31">
        <v>4029.15</v>
      </c>
      <c r="C62" s="31">
        <v>4721.32</v>
      </c>
      <c r="D62" s="31">
        <v>158313.43</v>
      </c>
      <c r="E62" s="31">
        <v>-52014.979999999989</v>
      </c>
      <c r="F62" s="31">
        <v>-37326.050000000003</v>
      </c>
      <c r="G62" s="31">
        <v>0</v>
      </c>
      <c r="H62" s="31">
        <v>77722.87000000001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8">
        <f t="shared" si="5"/>
        <v>155445.74000000002</v>
      </c>
      <c r="O62"/>
    </row>
    <row r="63" spans="1:15" ht="14.25" x14ac:dyDescent="0.45">
      <c r="A63" s="70" t="s">
        <v>224</v>
      </c>
      <c r="B63" s="31">
        <v>2801.13</v>
      </c>
      <c r="C63" s="31">
        <v>4333.47</v>
      </c>
      <c r="D63" s="31">
        <v>319818.76</v>
      </c>
      <c r="E63" s="31">
        <v>-11818.059999999969</v>
      </c>
      <c r="F63" s="31">
        <v>0</v>
      </c>
      <c r="G63" s="31">
        <v>0</v>
      </c>
      <c r="H63" s="31">
        <v>315135.30000000016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8">
        <f t="shared" si="5"/>
        <v>630270.60000000021</v>
      </c>
      <c r="O63"/>
    </row>
    <row r="64" spans="1:15" ht="14.25" x14ac:dyDescent="0.45">
      <c r="A64" s="70" t="s">
        <v>225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-8.6600000000003092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8">
        <f>SUM(B64:M64)</f>
        <v>-8.6600000000003092</v>
      </c>
      <c r="O64"/>
    </row>
    <row r="65" spans="1:15" ht="14.25" x14ac:dyDescent="0.45">
      <c r="A65" s="61" t="s">
        <v>158</v>
      </c>
      <c r="B65" s="31">
        <v>222.81</v>
      </c>
      <c r="C65" s="31">
        <v>1478.87</v>
      </c>
      <c r="D65" s="31">
        <v>44599.340000000004</v>
      </c>
      <c r="E65" s="31">
        <v>57137.37</v>
      </c>
      <c r="F65" s="31">
        <v>82172.240000000005</v>
      </c>
      <c r="G65" s="31">
        <v>81538.92</v>
      </c>
      <c r="H65" s="31">
        <v>324570.15000000002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8">
        <f>SUM(B65:M65)</f>
        <v>591719.69999999995</v>
      </c>
      <c r="O65"/>
    </row>
    <row r="66" spans="1:15" ht="14.25" x14ac:dyDescent="0.45">
      <c r="A66" s="70" t="s">
        <v>201</v>
      </c>
      <c r="B66" s="31">
        <v>449.07</v>
      </c>
      <c r="C66" s="31">
        <v>479.58</v>
      </c>
      <c r="D66" s="31">
        <v>663.31</v>
      </c>
      <c r="E66" s="31">
        <v>-219.97</v>
      </c>
      <c r="F66" s="31">
        <v>0</v>
      </c>
      <c r="G66" s="31">
        <v>0</v>
      </c>
      <c r="H66" s="31">
        <v>1371.99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8">
        <f>SUM(B66:M66)</f>
        <v>2743.98</v>
      </c>
      <c r="O66"/>
    </row>
    <row r="67" spans="1:15" ht="14.25" x14ac:dyDescent="0.45">
      <c r="A67" s="70" t="s">
        <v>226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490943.97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8">
        <f t="shared" ref="N67:N68" si="6">SUM(B67:M67)</f>
        <v>490943.97</v>
      </c>
      <c r="O67"/>
    </row>
    <row r="68" spans="1:15" ht="14.25" x14ac:dyDescent="0.45">
      <c r="A68" s="70" t="s">
        <v>227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519760.8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8">
        <f t="shared" si="6"/>
        <v>519760.8</v>
      </c>
      <c r="O68"/>
    </row>
    <row r="69" spans="1:15" ht="14.25" x14ac:dyDescent="0.45">
      <c r="A69" s="70" t="s">
        <v>228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4497.4800000000005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8">
        <f t="shared" ref="N69:N70" si="7">SUM(B69:M69)</f>
        <v>4497.4800000000005</v>
      </c>
      <c r="O69"/>
    </row>
    <row r="70" spans="1:15" ht="14.25" x14ac:dyDescent="0.45">
      <c r="A70" s="70" t="s">
        <v>229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39051.149999999994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8">
        <f t="shared" si="7"/>
        <v>39051.149999999994</v>
      </c>
      <c r="O70"/>
    </row>
    <row r="71" spans="1:15" ht="14.25" x14ac:dyDescent="0.45">
      <c r="A71" s="70" t="s">
        <v>230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247024.38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8">
        <f t="shared" ref="N71" si="8">SUM(B71:M71)</f>
        <v>247024.38</v>
      </c>
      <c r="O71"/>
    </row>
    <row r="72" spans="1:15" ht="17.25" customHeight="1" x14ac:dyDescent="0.45">
      <c r="A72" s="70" t="s">
        <v>204</v>
      </c>
      <c r="B72" s="31">
        <v>0</v>
      </c>
      <c r="C72" s="31">
        <v>0</v>
      </c>
      <c r="D72" s="31">
        <v>10458</v>
      </c>
      <c r="E72" s="31">
        <v>21213</v>
      </c>
      <c r="F72" s="31">
        <v>38789.69</v>
      </c>
      <c r="G72" s="31">
        <v>121437.07999999999</v>
      </c>
      <c r="H72" s="31">
        <v>143872.02999999997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4">
        <f>SUM(B72:M72)</f>
        <v>335769.79999999993</v>
      </c>
      <c r="O72"/>
    </row>
    <row r="73" spans="1:15" ht="17.25" customHeight="1" x14ac:dyDescent="0.45">
      <c r="A73" s="70" t="s">
        <v>219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1696555</v>
      </c>
      <c r="H73" s="31">
        <v>1389604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14">
        <f t="shared" ref="N73" si="9">SUM(B73:M73)</f>
        <v>3086159</v>
      </c>
      <c r="O73"/>
    </row>
    <row r="74" spans="1:15" ht="14.25" x14ac:dyDescent="0.45">
      <c r="A74" s="70" t="s">
        <v>217</v>
      </c>
      <c r="B74" s="31">
        <v>0</v>
      </c>
      <c r="C74" s="31">
        <v>0</v>
      </c>
      <c r="D74" s="31">
        <v>0</v>
      </c>
      <c r="E74" s="31">
        <v>518.29</v>
      </c>
      <c r="F74" s="31">
        <v>451020.27999999997</v>
      </c>
      <c r="G74" s="31">
        <v>177264.00000000009</v>
      </c>
      <c r="H74" s="31">
        <v>617955.39999999967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4">
        <f t="shared" ref="N74:N78" si="10">SUM(B74:M74)</f>
        <v>1246757.9699999997</v>
      </c>
      <c r="O74"/>
    </row>
    <row r="75" spans="1:15" ht="14.25" x14ac:dyDescent="0.45">
      <c r="A75" s="70" t="s">
        <v>218</v>
      </c>
      <c r="B75" s="31">
        <v>0</v>
      </c>
      <c r="C75" s="31">
        <v>0</v>
      </c>
      <c r="D75" s="31">
        <v>0</v>
      </c>
      <c r="E75" s="31">
        <v>518.29</v>
      </c>
      <c r="F75" s="31">
        <v>22425.729999999996</v>
      </c>
      <c r="G75" s="31">
        <v>6970.0899999999992</v>
      </c>
      <c r="H75" s="31">
        <v>47785.060000000027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4">
        <f t="shared" si="10"/>
        <v>77699.170000000027</v>
      </c>
      <c r="O75"/>
    </row>
    <row r="76" spans="1:15" ht="14.25" x14ac:dyDescent="0.45">
      <c r="A76" s="61" t="s">
        <v>170</v>
      </c>
      <c r="B76" s="31">
        <v>0</v>
      </c>
      <c r="C76" s="31">
        <v>0</v>
      </c>
      <c r="D76" s="31">
        <v>0</v>
      </c>
      <c r="E76" s="31">
        <v>9270.3799999999992</v>
      </c>
      <c r="F76" s="31">
        <v>4991.8</v>
      </c>
      <c r="G76" s="31">
        <v>4445.29</v>
      </c>
      <c r="H76" s="31">
        <v>23685.439999999999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8">
        <f>SUM(B76:M76)</f>
        <v>42392.91</v>
      </c>
      <c r="O76"/>
    </row>
    <row r="77" spans="1:15" ht="17.25" customHeight="1" x14ac:dyDescent="0.45">
      <c r="A77" s="70" t="s">
        <v>203</v>
      </c>
      <c r="B77" s="31">
        <v>0</v>
      </c>
      <c r="C77" s="31">
        <v>0</v>
      </c>
      <c r="D77" s="31">
        <v>12000</v>
      </c>
      <c r="E77" s="31">
        <v>36267.380000000005</v>
      </c>
      <c r="F77" s="31">
        <v>4730.84</v>
      </c>
      <c r="G77" s="31">
        <v>84358.040000000008</v>
      </c>
      <c r="H77" s="31">
        <v>92911.459999999992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4">
        <f t="shared" si="10"/>
        <v>230267.72</v>
      </c>
      <c r="O77"/>
    </row>
    <row r="78" spans="1:15" ht="17.25" customHeight="1" x14ac:dyDescent="0.45">
      <c r="A78" s="70" t="s">
        <v>220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19500</v>
      </c>
      <c r="H78" s="31">
        <v>19500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14">
        <f t="shared" si="10"/>
        <v>39000</v>
      </c>
      <c r="O78"/>
    </row>
    <row r="79" spans="1:15" ht="17.25" customHeight="1" x14ac:dyDescent="0.45">
      <c r="A79" s="70" t="s">
        <v>222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2898.54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14">
        <f t="shared" ref="N79" si="11">SUM(B79:M79)</f>
        <v>2898.54</v>
      </c>
      <c r="O79"/>
    </row>
    <row r="80" spans="1:15" x14ac:dyDescent="0.35">
      <c r="A80" s="15" t="s">
        <v>28</v>
      </c>
      <c r="B80" s="31">
        <f t="shared" ref="B80:G80" si="12">SUM(B42:B78)</f>
        <v>1072022.77</v>
      </c>
      <c r="C80" s="31">
        <f t="shared" si="12"/>
        <v>1105849.9000000004</v>
      </c>
      <c r="D80" s="31">
        <f t="shared" si="12"/>
        <v>1662619.1000000003</v>
      </c>
      <c r="E80" s="31">
        <f t="shared" si="12"/>
        <v>983347.5500000004</v>
      </c>
      <c r="F80" s="31">
        <f t="shared" si="12"/>
        <v>2083710.7799999998</v>
      </c>
      <c r="G80" s="31">
        <f t="shared" si="12"/>
        <v>2869885.73</v>
      </c>
      <c r="H80" s="31">
        <f>SUM(H42:H79)</f>
        <v>11036822.770000001</v>
      </c>
      <c r="I80" s="31">
        <f t="shared" ref="I80:N80" si="13">SUM(I42:I79)</f>
        <v>0</v>
      </c>
      <c r="J80" s="31">
        <f t="shared" si="13"/>
        <v>0</v>
      </c>
      <c r="K80" s="31">
        <f t="shared" si="13"/>
        <v>0</v>
      </c>
      <c r="L80" s="31">
        <f t="shared" si="13"/>
        <v>0</v>
      </c>
      <c r="M80" s="31">
        <f t="shared" si="13"/>
        <v>0</v>
      </c>
      <c r="N80" s="14">
        <f t="shared" si="13"/>
        <v>19701585.279999997</v>
      </c>
    </row>
    <row r="81" spans="1:15" x14ac:dyDescent="0.35">
      <c r="A81" s="15"/>
      <c r="N81" s="14"/>
    </row>
    <row r="82" spans="1:15" ht="15.4" thickBot="1" x14ac:dyDescent="0.45">
      <c r="A82" s="19" t="s">
        <v>15</v>
      </c>
      <c r="B82" s="35">
        <f t="shared" ref="B82:M82" si="14">+B80+B39+B8</f>
        <v>2443095.0300000003</v>
      </c>
      <c r="C82" s="35">
        <f t="shared" si="14"/>
        <v>2698318</v>
      </c>
      <c r="D82" s="35">
        <f t="shared" si="14"/>
        <v>7096600.9999999991</v>
      </c>
      <c r="E82" s="35">
        <f t="shared" si="14"/>
        <v>10815847.460000001</v>
      </c>
      <c r="F82" s="35">
        <f t="shared" si="14"/>
        <v>7314186.3300000001</v>
      </c>
      <c r="G82" s="35">
        <f t="shared" si="14"/>
        <v>8092285.6300000008</v>
      </c>
      <c r="H82" s="35">
        <f t="shared" si="14"/>
        <v>5664020.7999999989</v>
      </c>
      <c r="I82" s="35">
        <f t="shared" si="14"/>
        <v>0</v>
      </c>
      <c r="J82" s="35">
        <f t="shared" si="14"/>
        <v>0</v>
      </c>
      <c r="K82" s="35">
        <f t="shared" si="14"/>
        <v>0</v>
      </c>
      <c r="L82" s="35">
        <f t="shared" si="14"/>
        <v>0</v>
      </c>
      <c r="M82" s="35">
        <f t="shared" si="14"/>
        <v>0</v>
      </c>
      <c r="N82" s="20">
        <f>+N80+N9+N39+N8</f>
        <v>42953240.00999999</v>
      </c>
    </row>
    <row r="83" spans="1:15" ht="15.4" thickBot="1" x14ac:dyDescent="0.45">
      <c r="A83" s="4"/>
    </row>
    <row r="84" spans="1:15" ht="13.15" x14ac:dyDescent="0.4">
      <c r="A84" s="5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7" t="s">
        <v>0</v>
      </c>
    </row>
    <row r="85" spans="1:15" ht="13.5" thickBot="1" x14ac:dyDescent="0.45">
      <c r="A85" s="21" t="s">
        <v>185</v>
      </c>
      <c r="B85" s="34" t="s">
        <v>2</v>
      </c>
      <c r="C85" s="34" t="s">
        <v>3</v>
      </c>
      <c r="D85" s="34" t="s">
        <v>4</v>
      </c>
      <c r="E85" s="34" t="s">
        <v>5</v>
      </c>
      <c r="F85" s="34" t="s">
        <v>6</v>
      </c>
      <c r="G85" s="34" t="s">
        <v>7</v>
      </c>
      <c r="H85" s="34" t="s">
        <v>8</v>
      </c>
      <c r="I85" s="34" t="s">
        <v>9</v>
      </c>
      <c r="J85" s="34" t="s">
        <v>10</v>
      </c>
      <c r="K85" s="34" t="s">
        <v>11</v>
      </c>
      <c r="L85" s="34" t="s">
        <v>12</v>
      </c>
      <c r="M85" s="34" t="s">
        <v>13</v>
      </c>
      <c r="N85" s="10" t="s">
        <v>14</v>
      </c>
    </row>
    <row r="86" spans="1:15" ht="13.15" x14ac:dyDescent="0.4">
      <c r="A86" s="65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53"/>
    </row>
    <row r="87" spans="1:15" x14ac:dyDescent="0.35">
      <c r="A87" s="22" t="s">
        <v>31</v>
      </c>
      <c r="B87" s="31">
        <f>-3859637.05-B118-B149</f>
        <v>2396483.12</v>
      </c>
      <c r="C87" s="31">
        <f>2137645-C118-C149</f>
        <v>-1406540.2200000002</v>
      </c>
      <c r="D87" s="31">
        <f>2878094-D118-D149</f>
        <v>496232.03000000026</v>
      </c>
      <c r="E87" s="31">
        <f>-2422779.02-E118-E149</f>
        <v>-1884028.26</v>
      </c>
      <c r="F87" s="31">
        <f>822480.2-F118-F149</f>
        <v>842977.30999999982</v>
      </c>
      <c r="G87" s="31">
        <f>-73669.49-G118-G149</f>
        <v>-74376.090000000011</v>
      </c>
      <c r="H87" s="31">
        <f>251266.27-H118-H149</f>
        <v>250626.16999999998</v>
      </c>
      <c r="I87" s="31">
        <f t="shared" ref="I87:M87" si="15">0-I118-I149</f>
        <v>0</v>
      </c>
      <c r="J87" s="31">
        <f t="shared" si="15"/>
        <v>0</v>
      </c>
      <c r="K87" s="31">
        <f t="shared" si="15"/>
        <v>0</v>
      </c>
      <c r="L87" s="31">
        <f t="shared" si="15"/>
        <v>0</v>
      </c>
      <c r="M87" s="31">
        <f t="shared" si="15"/>
        <v>0</v>
      </c>
      <c r="N87" s="14">
        <f>SUM(B87:M87)</f>
        <v>621374.05999999994</v>
      </c>
    </row>
    <row r="88" spans="1:15" x14ac:dyDescent="0.35">
      <c r="A88" s="15" t="s">
        <v>83</v>
      </c>
      <c r="N88" s="14">
        <f>SUM(B88:M88)</f>
        <v>0</v>
      </c>
    </row>
    <row r="89" spans="1:15" x14ac:dyDescent="0.35">
      <c r="A89" s="22" t="s">
        <v>30</v>
      </c>
      <c r="N89" s="14"/>
    </row>
    <row r="90" spans="1:15" ht="14.25" x14ac:dyDescent="0.45">
      <c r="A90" s="61" t="s">
        <v>154</v>
      </c>
      <c r="B90" s="31">
        <v>-1.9699999999999989</v>
      </c>
      <c r="C90" s="31">
        <v>0</v>
      </c>
      <c r="D90" s="31">
        <v>3980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14">
        <f t="shared" ref="N90:N115" si="16">SUM(B90:M90)</f>
        <v>3978.03</v>
      </c>
      <c r="O90"/>
    </row>
    <row r="91" spans="1:15" ht="14.25" x14ac:dyDescent="0.45">
      <c r="A91" s="61" t="s">
        <v>157</v>
      </c>
      <c r="B91" s="31">
        <v>-42.420000000000051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14">
        <f t="shared" ref="N91:N111" si="17">SUM(B91:M91)</f>
        <v>-42.420000000000051</v>
      </c>
      <c r="O91"/>
    </row>
    <row r="92" spans="1:15" ht="14.25" x14ac:dyDescent="0.45">
      <c r="A92" s="61" t="s">
        <v>158</v>
      </c>
      <c r="B92" s="31">
        <v>0.15999999999999837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14">
        <f t="shared" si="17"/>
        <v>0.15999999999999837</v>
      </c>
      <c r="O92"/>
    </row>
    <row r="93" spans="1:15" ht="14.25" x14ac:dyDescent="0.45">
      <c r="A93" s="61" t="s">
        <v>159</v>
      </c>
      <c r="B93" s="31">
        <v>-43571.929999999993</v>
      </c>
      <c r="C93" s="31">
        <v>33665.54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14">
        <f t="shared" si="17"/>
        <v>-9906.3899999999921</v>
      </c>
      <c r="O93"/>
    </row>
    <row r="94" spans="1:15" ht="14.25" x14ac:dyDescent="0.45">
      <c r="A94" s="61" t="s">
        <v>160</v>
      </c>
      <c r="B94" s="31">
        <v>-563.28000000000009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14">
        <f t="shared" si="17"/>
        <v>-563.28000000000009</v>
      </c>
      <c r="O94"/>
    </row>
    <row r="95" spans="1:15" ht="14.25" x14ac:dyDescent="0.45">
      <c r="A95" s="61" t="s">
        <v>161</v>
      </c>
      <c r="B95" s="31">
        <v>-5058.42</v>
      </c>
      <c r="C95" s="31">
        <v>-177957.89</v>
      </c>
      <c r="D95" s="31">
        <v>-192524.22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14">
        <f t="shared" si="17"/>
        <v>-375540.53</v>
      </c>
      <c r="O95"/>
    </row>
    <row r="96" spans="1:15" ht="14.25" x14ac:dyDescent="0.45">
      <c r="A96" s="61" t="s">
        <v>162</v>
      </c>
      <c r="B96" s="31">
        <v>-564.42000000000007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14">
        <f t="shared" si="17"/>
        <v>-564.42000000000007</v>
      </c>
      <c r="O96"/>
    </row>
    <row r="97" spans="1:15" ht="14.25" x14ac:dyDescent="0.45">
      <c r="A97" s="61" t="s">
        <v>163</v>
      </c>
      <c r="B97" s="31">
        <v>6485.1100000000006</v>
      </c>
      <c r="C97" s="31">
        <v>55522.99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14">
        <f t="shared" si="17"/>
        <v>62008.1</v>
      </c>
      <c r="O97"/>
    </row>
    <row r="98" spans="1:15" ht="14.25" x14ac:dyDescent="0.45">
      <c r="A98" s="61" t="s">
        <v>165</v>
      </c>
      <c r="B98" s="31">
        <v>-35675.71</v>
      </c>
      <c r="C98" s="31">
        <v>0</v>
      </c>
      <c r="D98" s="31">
        <v>33388.22</v>
      </c>
      <c r="E98" s="31">
        <v>-94.33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14">
        <f t="shared" si="17"/>
        <v>-2381.8199999999979</v>
      </c>
      <c r="O98"/>
    </row>
    <row r="99" spans="1:15" ht="17.25" customHeight="1" x14ac:dyDescent="0.45">
      <c r="A99" s="70" t="s">
        <v>168</v>
      </c>
      <c r="B99" s="31">
        <v>-49.24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14">
        <f t="shared" si="17"/>
        <v>-49.24</v>
      </c>
      <c r="O99"/>
    </row>
    <row r="100" spans="1:15" ht="17.25" customHeight="1" x14ac:dyDescent="0.45">
      <c r="A100" s="70" t="s">
        <v>169</v>
      </c>
      <c r="B100" s="31">
        <v>-4.8600000000000003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14">
        <f t="shared" si="17"/>
        <v>-4.8600000000000003</v>
      </c>
      <c r="O100"/>
    </row>
    <row r="101" spans="1:15" ht="17.25" customHeight="1" x14ac:dyDescent="0.45">
      <c r="A101" s="70" t="s">
        <v>170</v>
      </c>
      <c r="B101" s="31">
        <v>-35456.5</v>
      </c>
      <c r="C101" s="31">
        <v>0</v>
      </c>
      <c r="D101" s="31">
        <v>28084.879999999997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14">
        <f t="shared" si="17"/>
        <v>-7371.6200000000026</v>
      </c>
      <c r="O101"/>
    </row>
    <row r="102" spans="1:15" ht="17.25" customHeight="1" x14ac:dyDescent="0.45">
      <c r="A102" s="70" t="s">
        <v>171</v>
      </c>
      <c r="B102" s="31">
        <v>-8.009999999999998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4">
        <f t="shared" si="17"/>
        <v>-8.009999999999998</v>
      </c>
      <c r="O102"/>
    </row>
    <row r="103" spans="1:15" ht="17.25" customHeight="1" x14ac:dyDescent="0.45">
      <c r="A103" s="70" t="s">
        <v>172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4">
        <f t="shared" si="17"/>
        <v>0</v>
      </c>
      <c r="O103"/>
    </row>
    <row r="104" spans="1:15" ht="17.25" customHeight="1" x14ac:dyDescent="0.45">
      <c r="A104" s="70" t="s">
        <v>174</v>
      </c>
      <c r="B104" s="31">
        <v>-353.33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4">
        <f t="shared" si="17"/>
        <v>-353.33</v>
      </c>
      <c r="O104"/>
    </row>
    <row r="105" spans="1:15" ht="14.25" x14ac:dyDescent="0.45">
      <c r="A105" s="61" t="s">
        <v>178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14">
        <f t="shared" si="17"/>
        <v>0</v>
      </c>
      <c r="O105"/>
    </row>
    <row r="106" spans="1:15" ht="14.25" x14ac:dyDescent="0.45">
      <c r="A106" s="61" t="s">
        <v>179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4">
        <f t="shared" si="17"/>
        <v>0</v>
      </c>
      <c r="O106"/>
    </row>
    <row r="107" spans="1:15" ht="14.25" x14ac:dyDescent="0.45">
      <c r="A107" s="61" t="s">
        <v>180</v>
      </c>
      <c r="B107" s="31">
        <v>0.03</v>
      </c>
      <c r="C107" s="31">
        <v>-10000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14">
        <f t="shared" si="17"/>
        <v>-9999.9699999999993</v>
      </c>
      <c r="O107"/>
    </row>
    <row r="108" spans="1:15" ht="14.25" x14ac:dyDescent="0.45">
      <c r="A108" s="61" t="s">
        <v>181</v>
      </c>
      <c r="B108" s="31">
        <v>0.03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4">
        <f t="shared" si="17"/>
        <v>0.03</v>
      </c>
      <c r="O108"/>
    </row>
    <row r="109" spans="1:15" ht="14.25" x14ac:dyDescent="0.45">
      <c r="A109" s="61" t="s">
        <v>182</v>
      </c>
      <c r="B109" s="31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4">
        <f t="shared" si="17"/>
        <v>0</v>
      </c>
      <c r="O109"/>
    </row>
    <row r="110" spans="1:15" ht="14.25" x14ac:dyDescent="0.45">
      <c r="A110" s="61" t="s">
        <v>183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4">
        <f t="shared" si="17"/>
        <v>0</v>
      </c>
      <c r="O110"/>
    </row>
    <row r="111" spans="1:15" ht="14.25" x14ac:dyDescent="0.45">
      <c r="A111" s="61" t="s">
        <v>184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4">
        <f t="shared" si="17"/>
        <v>0</v>
      </c>
      <c r="O111"/>
    </row>
    <row r="112" spans="1:15" ht="14.25" x14ac:dyDescent="0.45">
      <c r="A112" s="70" t="s">
        <v>186</v>
      </c>
      <c r="B112" s="31">
        <v>3620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14">
        <f t="shared" si="16"/>
        <v>3620</v>
      </c>
      <c r="O112"/>
    </row>
    <row r="113" spans="1:15" ht="14.25" x14ac:dyDescent="0.45">
      <c r="A113" s="70" t="s">
        <v>187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14">
        <f t="shared" si="16"/>
        <v>0</v>
      </c>
      <c r="O113"/>
    </row>
    <row r="114" spans="1:15" ht="17.25" customHeight="1" x14ac:dyDescent="0.45">
      <c r="A114" s="70" t="s">
        <v>188</v>
      </c>
      <c r="B114" s="31">
        <v>-15767.24</v>
      </c>
      <c r="C114" s="31">
        <v>12279.24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14">
        <f t="shared" si="16"/>
        <v>-3488</v>
      </c>
      <c r="O114"/>
    </row>
    <row r="115" spans="1:15" ht="17.25" customHeight="1" x14ac:dyDescent="0.45">
      <c r="A115" s="70" t="s">
        <v>189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14">
        <f t="shared" si="16"/>
        <v>0</v>
      </c>
      <c r="O115"/>
    </row>
    <row r="116" spans="1:15" ht="17.25" customHeight="1" x14ac:dyDescent="0.45">
      <c r="A116" s="70" t="s">
        <v>190</v>
      </c>
      <c r="B116" s="31">
        <v>0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14">
        <f t="shared" ref="N116:N117" si="18">SUM(B116:M116)</f>
        <v>0</v>
      </c>
      <c r="O116"/>
    </row>
    <row r="117" spans="1:15" ht="17.25" customHeight="1" x14ac:dyDescent="0.45">
      <c r="A117" s="70" t="s">
        <v>191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14">
        <f t="shared" si="18"/>
        <v>0</v>
      </c>
      <c r="O117"/>
    </row>
    <row r="118" spans="1:15" x14ac:dyDescent="0.35">
      <c r="A118" s="15" t="s">
        <v>28</v>
      </c>
      <c r="B118" s="31">
        <f>SUM(B90:B117)</f>
        <v>-127012</v>
      </c>
      <c r="C118" s="31">
        <f t="shared" ref="C118:M118" si="19">SUM(C90:C117)</f>
        <v>-86490.12000000001</v>
      </c>
      <c r="D118" s="31">
        <f>SUM(D90:D117)</f>
        <v>-127071.12</v>
      </c>
      <c r="E118" s="31">
        <f>SUM(E90:E117)</f>
        <v>-94.33</v>
      </c>
      <c r="F118" s="31">
        <f t="shared" si="19"/>
        <v>0</v>
      </c>
      <c r="G118" s="31">
        <f>SUM(G90:G117)</f>
        <v>0</v>
      </c>
      <c r="H118" s="31">
        <f t="shared" si="19"/>
        <v>0</v>
      </c>
      <c r="I118" s="31">
        <f t="shared" si="19"/>
        <v>0</v>
      </c>
      <c r="J118" s="31">
        <f t="shared" si="19"/>
        <v>0</v>
      </c>
      <c r="K118" s="31">
        <f t="shared" si="19"/>
        <v>0</v>
      </c>
      <c r="L118" s="31">
        <f t="shared" si="19"/>
        <v>0</v>
      </c>
      <c r="M118" s="31">
        <f t="shared" si="19"/>
        <v>0</v>
      </c>
      <c r="N118" s="14">
        <f>SUM(N90:N117)</f>
        <v>-340667.56999999995</v>
      </c>
    </row>
    <row r="119" spans="1:15" x14ac:dyDescent="0.35">
      <c r="A119" s="15"/>
      <c r="N119" s="14"/>
    </row>
    <row r="120" spans="1:15" x14ac:dyDescent="0.35">
      <c r="A120" s="22" t="s">
        <v>29</v>
      </c>
      <c r="N120" s="14"/>
    </row>
    <row r="121" spans="1:15" ht="14.25" x14ac:dyDescent="0.45">
      <c r="A121" s="61" t="s">
        <v>154</v>
      </c>
      <c r="B121" s="31">
        <v>-51453.950000000004</v>
      </c>
      <c r="C121" s="31">
        <v>-149.75</v>
      </c>
      <c r="D121" s="31">
        <v>81512.780000000013</v>
      </c>
      <c r="E121" s="31">
        <v>32.47</v>
      </c>
      <c r="F121" s="31">
        <v>32.47</v>
      </c>
      <c r="G121" s="31">
        <v>32.47</v>
      </c>
      <c r="H121" s="31">
        <v>32.409999999999997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8">
        <f>SUM(B121:M121)</f>
        <v>30038.900000000012</v>
      </c>
      <c r="O121"/>
    </row>
    <row r="122" spans="1:15" ht="14.25" x14ac:dyDescent="0.45">
      <c r="A122" s="61" t="s">
        <v>157</v>
      </c>
      <c r="B122" s="31">
        <v>-166.4700000000004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8">
        <f t="shared" ref="N122:N148" si="20">SUM(B122:M122)</f>
        <v>-166.4700000000004</v>
      </c>
      <c r="O122"/>
    </row>
    <row r="123" spans="1:15" ht="14.25" x14ac:dyDescent="0.45">
      <c r="A123" s="61" t="s">
        <v>158</v>
      </c>
      <c r="B123" s="31">
        <v>6.2800000000000296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8">
        <f t="shared" si="20"/>
        <v>6.2800000000000296</v>
      </c>
      <c r="O123"/>
    </row>
    <row r="124" spans="1:15" ht="14.25" x14ac:dyDescent="0.45">
      <c r="A124" s="61" t="s">
        <v>159</v>
      </c>
      <c r="B124" s="31">
        <v>-696735.18</v>
      </c>
      <c r="C124" s="31">
        <v>650979.31000000006</v>
      </c>
      <c r="D124" s="31">
        <v>-90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8">
        <f t="shared" si="20"/>
        <v>-45845.869999999995</v>
      </c>
      <c r="O124"/>
    </row>
    <row r="125" spans="1:15" ht="14.25" x14ac:dyDescent="0.45">
      <c r="A125" s="61" t="s">
        <v>160</v>
      </c>
      <c r="B125" s="31">
        <v>-8876.9499999999989</v>
      </c>
      <c r="C125" s="31">
        <v>49.68</v>
      </c>
      <c r="D125" s="31">
        <v>19.920000000000002</v>
      </c>
      <c r="E125" s="31">
        <v>32.47</v>
      </c>
      <c r="F125" s="31">
        <v>32</v>
      </c>
      <c r="G125" s="31">
        <v>32.47</v>
      </c>
      <c r="H125" s="31">
        <v>32.409999999999997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8">
        <f t="shared" si="20"/>
        <v>-8678</v>
      </c>
      <c r="O125"/>
    </row>
    <row r="126" spans="1:15" ht="14.25" x14ac:dyDescent="0.45">
      <c r="A126" s="61" t="s">
        <v>161</v>
      </c>
      <c r="B126" s="31">
        <v>126208.11</v>
      </c>
      <c r="C126" s="31">
        <v>-2465</v>
      </c>
      <c r="D126" s="31">
        <v>192583.53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8">
        <f t="shared" si="20"/>
        <v>316326.64</v>
      </c>
      <c r="O126"/>
    </row>
    <row r="127" spans="1:15" ht="14.25" x14ac:dyDescent="0.45">
      <c r="A127" s="61" t="s">
        <v>162</v>
      </c>
      <c r="B127" s="31">
        <v>30201.910000000003</v>
      </c>
      <c r="C127" s="31">
        <v>2658.74</v>
      </c>
      <c r="D127" s="31">
        <v>7976.0000000000009</v>
      </c>
      <c r="E127" s="31">
        <v>1066.68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8">
        <f t="shared" si="20"/>
        <v>41903.33</v>
      </c>
      <c r="O127"/>
    </row>
    <row r="128" spans="1:15" ht="14.25" x14ac:dyDescent="0.45">
      <c r="A128" s="61" t="s">
        <v>163</v>
      </c>
      <c r="B128" s="31">
        <v>-2716912.56</v>
      </c>
      <c r="C128" s="31">
        <v>2477940.77</v>
      </c>
      <c r="D128" s="31">
        <v>220677.08</v>
      </c>
      <c r="E128" s="31">
        <v>-220677.08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8">
        <f t="shared" si="20"/>
        <v>-238971.79000000004</v>
      </c>
      <c r="O128"/>
    </row>
    <row r="129" spans="1:15" ht="14.25" x14ac:dyDescent="0.45">
      <c r="A129" s="61" t="s">
        <v>165</v>
      </c>
      <c r="B129" s="31">
        <v>-1153154.7999999998</v>
      </c>
      <c r="C129" s="31">
        <v>805.42</v>
      </c>
      <c r="D129" s="31">
        <v>1076325.01</v>
      </c>
      <c r="E129" s="31">
        <v>-3029.02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8">
        <f t="shared" si="20"/>
        <v>-79053.389999999883</v>
      </c>
      <c r="O129"/>
    </row>
    <row r="130" spans="1:15" ht="14.25" x14ac:dyDescent="0.45">
      <c r="A130" s="61" t="s">
        <v>168</v>
      </c>
      <c r="B130" s="31">
        <v>-147.70000000000002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8">
        <f t="shared" si="20"/>
        <v>-147.70000000000002</v>
      </c>
      <c r="O130"/>
    </row>
    <row r="131" spans="1:15" ht="14.25" x14ac:dyDescent="0.45">
      <c r="A131" s="61" t="s">
        <v>169</v>
      </c>
      <c r="B131" s="31">
        <v>2576.56</v>
      </c>
      <c r="C131" s="31">
        <v>-53.38</v>
      </c>
      <c r="D131" s="31">
        <v>11500</v>
      </c>
      <c r="E131" s="31">
        <v>-11500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8">
        <f t="shared" si="20"/>
        <v>2523.1800000000003</v>
      </c>
      <c r="O131"/>
    </row>
    <row r="132" spans="1:15" ht="14.25" x14ac:dyDescent="0.45">
      <c r="A132" s="61" t="s">
        <v>170</v>
      </c>
      <c r="B132" s="31">
        <v>-1146427.2899999998</v>
      </c>
      <c r="C132" s="31">
        <v>0</v>
      </c>
      <c r="D132" s="31">
        <v>905829.74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8">
        <f t="shared" si="20"/>
        <v>-240597.54999999981</v>
      </c>
      <c r="O132"/>
    </row>
    <row r="133" spans="1:15" ht="14.25" x14ac:dyDescent="0.45">
      <c r="A133" s="70" t="s">
        <v>171</v>
      </c>
      <c r="B133" s="31">
        <v>-415662.72000000003</v>
      </c>
      <c r="C133" s="31">
        <v>397583.11</v>
      </c>
      <c r="D133" s="31">
        <v>208.55999999999767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8">
        <f t="shared" si="20"/>
        <v>-17871.050000000047</v>
      </c>
      <c r="O133" s="52"/>
    </row>
    <row r="134" spans="1:15" ht="14.25" x14ac:dyDescent="0.45">
      <c r="A134" s="70" t="s">
        <v>172</v>
      </c>
      <c r="B134" s="31">
        <v>0</v>
      </c>
      <c r="C134" s="31">
        <v>0</v>
      </c>
      <c r="D134" s="31">
        <v>1258.3699999999997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8">
        <f t="shared" si="20"/>
        <v>1258.3699999999997</v>
      </c>
      <c r="O134" s="52"/>
    </row>
    <row r="135" spans="1:15" ht="14.25" x14ac:dyDescent="0.45">
      <c r="A135" s="70" t="s">
        <v>174</v>
      </c>
      <c r="B135" s="31">
        <v>-3759.02</v>
      </c>
      <c r="C135" s="31">
        <v>2125.7399999999998</v>
      </c>
      <c r="D135" s="31">
        <v>1658.1000000000931</v>
      </c>
      <c r="E135" s="31">
        <v>1703.37</v>
      </c>
      <c r="F135" s="31">
        <v>-4865.9299999999994</v>
      </c>
      <c r="G135" s="31">
        <v>641.66</v>
      </c>
      <c r="H135" s="31">
        <v>575.28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8">
        <f t="shared" si="20"/>
        <v>-1920.7999999999067</v>
      </c>
      <c r="O135" s="52"/>
    </row>
    <row r="136" spans="1:15" ht="17.25" customHeight="1" x14ac:dyDescent="0.45">
      <c r="A136" s="70" t="s">
        <v>178</v>
      </c>
      <c r="B136" s="31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8">
        <f t="shared" si="20"/>
        <v>0</v>
      </c>
      <c r="O136"/>
    </row>
    <row r="137" spans="1:15" ht="17.25" customHeight="1" x14ac:dyDescent="0.45">
      <c r="A137" s="70" t="s">
        <v>179</v>
      </c>
      <c r="B137" s="31">
        <v>-42.65</v>
      </c>
      <c r="C137" s="31">
        <v>-2201.0500000000002</v>
      </c>
      <c r="D137" s="31">
        <v>0</v>
      </c>
      <c r="E137" s="31">
        <v>-310833.32</v>
      </c>
      <c r="F137" s="31">
        <v>-15695.649999999907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8">
        <f t="shared" si="20"/>
        <v>-328772.66999999993</v>
      </c>
      <c r="O137"/>
    </row>
    <row r="138" spans="1:15" ht="17.25" customHeight="1" x14ac:dyDescent="0.45">
      <c r="A138" s="70" t="s">
        <v>180</v>
      </c>
      <c r="B138" s="31">
        <v>90.1</v>
      </c>
      <c r="C138" s="31">
        <v>7161.95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8">
        <f t="shared" si="20"/>
        <v>7252.05</v>
      </c>
      <c r="O138"/>
    </row>
    <row r="139" spans="1:15" ht="17.25" customHeight="1" x14ac:dyDescent="0.45">
      <c r="A139" s="70" t="s">
        <v>181</v>
      </c>
      <c r="B139" s="31">
        <v>87.66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8">
        <f t="shared" si="20"/>
        <v>87.66</v>
      </c>
      <c r="O139"/>
    </row>
    <row r="140" spans="1:15" ht="17.25" customHeight="1" x14ac:dyDescent="0.45">
      <c r="A140" s="70" t="s">
        <v>182</v>
      </c>
      <c r="B140" s="31">
        <v>119.22</v>
      </c>
      <c r="C140" s="31">
        <v>404.63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8">
        <f t="shared" si="20"/>
        <v>523.85</v>
      </c>
      <c r="O140"/>
    </row>
    <row r="141" spans="1:15" ht="17.25" customHeight="1" x14ac:dyDescent="0.45">
      <c r="A141" s="70" t="s">
        <v>183</v>
      </c>
      <c r="B141" s="31">
        <v>0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8">
        <f t="shared" si="20"/>
        <v>0</v>
      </c>
      <c r="O141"/>
    </row>
    <row r="142" spans="1:15" ht="17.25" customHeight="1" x14ac:dyDescent="0.45">
      <c r="A142" s="70" t="s">
        <v>184</v>
      </c>
      <c r="B142" s="31">
        <v>0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8">
        <f t="shared" si="20"/>
        <v>0</v>
      </c>
      <c r="O142"/>
    </row>
    <row r="143" spans="1:15" ht="14.25" x14ac:dyDescent="0.45">
      <c r="A143" s="61" t="s">
        <v>186</v>
      </c>
      <c r="B143" s="31">
        <v>17925</v>
      </c>
      <c r="C143" s="31">
        <v>0</v>
      </c>
      <c r="D143" s="31">
        <v>9474</v>
      </c>
      <c r="E143" s="31">
        <v>4548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8">
        <f t="shared" si="20"/>
        <v>31947</v>
      </c>
      <c r="O143"/>
    </row>
    <row r="144" spans="1:15" ht="14.25" x14ac:dyDescent="0.45">
      <c r="A144" s="61" t="s">
        <v>187</v>
      </c>
      <c r="B144" s="31">
        <v>0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8">
        <f t="shared" si="20"/>
        <v>0</v>
      </c>
      <c r="O144"/>
    </row>
    <row r="145" spans="1:15" ht="14.25" x14ac:dyDescent="0.45">
      <c r="A145" s="61" t="s">
        <v>188</v>
      </c>
      <c r="B145" s="31">
        <v>-112983.72</v>
      </c>
      <c r="C145" s="31">
        <v>95835.17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8">
        <f t="shared" si="20"/>
        <v>-17148.550000000003</v>
      </c>
      <c r="O145"/>
    </row>
    <row r="146" spans="1:15" ht="14.25" x14ac:dyDescent="0.45">
      <c r="A146" s="61" t="s">
        <v>189</v>
      </c>
      <c r="B146" s="31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8">
        <f t="shared" si="20"/>
        <v>0</v>
      </c>
      <c r="O146"/>
    </row>
    <row r="147" spans="1:15" ht="14.25" x14ac:dyDescent="0.45">
      <c r="A147" s="61" t="s">
        <v>190</v>
      </c>
      <c r="B147" s="31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8">
        <f t="shared" si="20"/>
        <v>0</v>
      </c>
      <c r="O147"/>
    </row>
    <row r="148" spans="1:15" ht="14.25" x14ac:dyDescent="0.45">
      <c r="A148" s="61" t="s">
        <v>191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8">
        <f t="shared" si="20"/>
        <v>0</v>
      </c>
      <c r="O148"/>
    </row>
    <row r="149" spans="1:15" x14ac:dyDescent="0.35">
      <c r="A149" s="15" t="s">
        <v>28</v>
      </c>
      <c r="B149" s="31">
        <f>SUM(B121:B148)</f>
        <v>-6129108.1699999999</v>
      </c>
      <c r="C149" s="31">
        <f>SUM(C121:C148)</f>
        <v>3630675.3400000003</v>
      </c>
      <c r="D149" s="31">
        <f t="shared" ref="D149:M149" si="21">SUM(D121:D148)</f>
        <v>2508933.09</v>
      </c>
      <c r="E149" s="31">
        <f t="shared" si="21"/>
        <v>-538656.42999999993</v>
      </c>
      <c r="F149" s="31">
        <f>SUM(F121:F148)</f>
        <v>-20497.109999999906</v>
      </c>
      <c r="G149" s="31">
        <f t="shared" si="21"/>
        <v>706.59999999999991</v>
      </c>
      <c r="H149" s="31">
        <f t="shared" si="21"/>
        <v>640.09999999999991</v>
      </c>
      <c r="I149" s="31">
        <f t="shared" si="21"/>
        <v>0</v>
      </c>
      <c r="J149" s="31">
        <f t="shared" si="21"/>
        <v>0</v>
      </c>
      <c r="K149" s="31">
        <f t="shared" si="21"/>
        <v>0</v>
      </c>
      <c r="L149" s="31">
        <f t="shared" si="21"/>
        <v>0</v>
      </c>
      <c r="M149" s="31">
        <f t="shared" si="21"/>
        <v>0</v>
      </c>
      <c r="N149" s="31">
        <f>SUM(N121:N148)</f>
        <v>-547306.57999999961</v>
      </c>
    </row>
    <row r="150" spans="1:15" x14ac:dyDescent="0.35">
      <c r="A150" s="15"/>
      <c r="N150" s="14"/>
    </row>
    <row r="151" spans="1:15" ht="15.4" thickBot="1" x14ac:dyDescent="0.45">
      <c r="A151" s="19" t="s">
        <v>15</v>
      </c>
      <c r="B151" s="35">
        <f>+B149+B118+B87</f>
        <v>-3859637.05</v>
      </c>
      <c r="C151" s="35">
        <f t="shared" ref="C151:M151" si="22">+C149+C118+C87</f>
        <v>2137645</v>
      </c>
      <c r="D151" s="35">
        <f t="shared" si="22"/>
        <v>2878094</v>
      </c>
      <c r="E151" s="35">
        <f t="shared" si="22"/>
        <v>-2422779.02</v>
      </c>
      <c r="F151" s="35">
        <f>+F149+F118+F87</f>
        <v>822480.2</v>
      </c>
      <c r="G151" s="35">
        <f t="shared" si="22"/>
        <v>-73669.490000000005</v>
      </c>
      <c r="H151" s="35">
        <f t="shared" si="22"/>
        <v>251266.27</v>
      </c>
      <c r="I151" s="35">
        <f t="shared" si="22"/>
        <v>0</v>
      </c>
      <c r="J151" s="35">
        <f t="shared" si="22"/>
        <v>0</v>
      </c>
      <c r="K151" s="35">
        <f t="shared" si="22"/>
        <v>0</v>
      </c>
      <c r="L151" s="35">
        <f t="shared" si="22"/>
        <v>0</v>
      </c>
      <c r="M151" s="35">
        <f t="shared" si="22"/>
        <v>0</v>
      </c>
      <c r="N151" s="20">
        <f>+N149+N88+N118+N87</f>
        <v>-266600.08999999962</v>
      </c>
    </row>
    <row r="152" spans="1:15" ht="13.15" x14ac:dyDescent="0.4">
      <c r="A152" s="5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7" t="s">
        <v>0</v>
      </c>
    </row>
    <row r="153" spans="1:15" ht="13.5" thickBot="1" x14ac:dyDescent="0.45">
      <c r="A153" s="21" t="s">
        <v>152</v>
      </c>
      <c r="B153" s="34" t="s">
        <v>2</v>
      </c>
      <c r="C153" s="34" t="s">
        <v>3</v>
      </c>
      <c r="D153" s="34" t="s">
        <v>4</v>
      </c>
      <c r="E153" s="34" t="s">
        <v>5</v>
      </c>
      <c r="F153" s="34" t="s">
        <v>6</v>
      </c>
      <c r="G153" s="34" t="s">
        <v>7</v>
      </c>
      <c r="H153" s="34" t="s">
        <v>8</v>
      </c>
      <c r="I153" s="34" t="s">
        <v>9</v>
      </c>
      <c r="J153" s="34" t="s">
        <v>10</v>
      </c>
      <c r="K153" s="34" t="s">
        <v>11</v>
      </c>
      <c r="L153" s="34" t="s">
        <v>12</v>
      </c>
      <c r="M153" s="34" t="s">
        <v>13</v>
      </c>
      <c r="N153" s="10" t="s">
        <v>14</v>
      </c>
    </row>
    <row r="154" spans="1:15" ht="13.15" x14ac:dyDescent="0.4">
      <c r="A154" s="65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53"/>
    </row>
    <row r="155" spans="1:15" x14ac:dyDescent="0.35">
      <c r="A155" s="22" t="s">
        <v>31</v>
      </c>
      <c r="B155" s="31">
        <f>77881.42-B189-B223</f>
        <v>77881.42</v>
      </c>
      <c r="C155" s="31">
        <f>2269102-C189-C223</f>
        <v>2212413</v>
      </c>
      <c r="D155" s="31">
        <f>248672-D189-D223</f>
        <v>236198</v>
      </c>
      <c r="E155" s="31">
        <f>-977595.92-E189-E223</f>
        <v>-977595.92</v>
      </c>
      <c r="F155" s="31">
        <f>13977.67-F189-F223</f>
        <v>23616.67</v>
      </c>
      <c r="G155" s="31">
        <f>1132285.68-G189-G223</f>
        <v>1112846.68</v>
      </c>
      <c r="H155" s="31">
        <f>476837.91-H189-H223</f>
        <v>476837.91</v>
      </c>
      <c r="I155" s="31">
        <f t="shared" ref="I155:M155" si="23">0-I189-I223</f>
        <v>0</v>
      </c>
      <c r="J155" s="31">
        <f t="shared" si="23"/>
        <v>0</v>
      </c>
      <c r="K155" s="31">
        <f t="shared" si="23"/>
        <v>0</v>
      </c>
      <c r="L155" s="31">
        <f t="shared" si="23"/>
        <v>0</v>
      </c>
      <c r="M155" s="31">
        <f t="shared" si="23"/>
        <v>0</v>
      </c>
      <c r="N155" s="14">
        <f>SUM(B155:M155)</f>
        <v>3162197.76</v>
      </c>
    </row>
    <row r="156" spans="1:15" x14ac:dyDescent="0.35">
      <c r="A156" s="15" t="s">
        <v>83</v>
      </c>
      <c r="N156" s="14">
        <f>SUM(B156:M156)</f>
        <v>0</v>
      </c>
    </row>
    <row r="157" spans="1:15" x14ac:dyDescent="0.35">
      <c r="A157" s="22" t="s">
        <v>30</v>
      </c>
      <c r="N157" s="14"/>
    </row>
    <row r="158" spans="1:15" ht="14.25" x14ac:dyDescent="0.45">
      <c r="A158" s="61" t="s">
        <v>154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14">
        <f>SUM(B158:M158)</f>
        <v>0</v>
      </c>
      <c r="O158"/>
    </row>
    <row r="159" spans="1:15" ht="14.25" x14ac:dyDescent="0.45">
      <c r="A159" s="61" t="s">
        <v>155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14">
        <f t="shared" ref="N159:N173" si="24">SUM(B159:M159)</f>
        <v>0</v>
      </c>
      <c r="O159"/>
    </row>
    <row r="160" spans="1:15" ht="14.25" x14ac:dyDescent="0.45">
      <c r="A160" s="61" t="s">
        <v>156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14">
        <f t="shared" si="24"/>
        <v>0</v>
      </c>
      <c r="O160"/>
    </row>
    <row r="161" spans="1:15" ht="14.25" x14ac:dyDescent="0.45">
      <c r="A161" s="61" t="s">
        <v>157</v>
      </c>
      <c r="B161" s="31">
        <v>0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14">
        <f t="shared" si="24"/>
        <v>0</v>
      </c>
      <c r="O161"/>
    </row>
    <row r="162" spans="1:15" ht="14.25" x14ac:dyDescent="0.45">
      <c r="A162" s="61" t="s">
        <v>158</v>
      </c>
      <c r="B162" s="31">
        <v>0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14">
        <f t="shared" si="24"/>
        <v>0</v>
      </c>
      <c r="O162"/>
    </row>
    <row r="163" spans="1:15" ht="14.25" x14ac:dyDescent="0.45">
      <c r="A163" s="61" t="s">
        <v>159</v>
      </c>
      <c r="B163" s="31">
        <v>0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14">
        <f t="shared" si="24"/>
        <v>0</v>
      </c>
      <c r="O163"/>
    </row>
    <row r="164" spans="1:15" ht="14.25" x14ac:dyDescent="0.45">
      <c r="A164" s="61" t="s">
        <v>160</v>
      </c>
      <c r="B164" s="31">
        <v>0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14">
        <f t="shared" si="24"/>
        <v>0</v>
      </c>
      <c r="O164"/>
    </row>
    <row r="165" spans="1:15" ht="14.25" x14ac:dyDescent="0.45">
      <c r="A165" s="61" t="s">
        <v>161</v>
      </c>
      <c r="B165" s="31">
        <v>0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14">
        <f t="shared" si="24"/>
        <v>0</v>
      </c>
      <c r="O165"/>
    </row>
    <row r="166" spans="1:15" ht="14.25" x14ac:dyDescent="0.45">
      <c r="A166" s="61" t="s">
        <v>162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14">
        <f t="shared" si="24"/>
        <v>0</v>
      </c>
      <c r="O166"/>
    </row>
    <row r="167" spans="1:15" ht="14.25" x14ac:dyDescent="0.45">
      <c r="A167" s="61" t="s">
        <v>163</v>
      </c>
      <c r="B167" s="31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14">
        <f t="shared" si="24"/>
        <v>0</v>
      </c>
      <c r="O167"/>
    </row>
    <row r="168" spans="1:15" ht="14.25" x14ac:dyDescent="0.45">
      <c r="A168" s="61" t="s">
        <v>164</v>
      </c>
      <c r="B168" s="31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14">
        <f t="shared" si="24"/>
        <v>0</v>
      </c>
      <c r="O168"/>
    </row>
    <row r="169" spans="1:15" ht="14.25" x14ac:dyDescent="0.45">
      <c r="A169" s="61" t="s">
        <v>165</v>
      </c>
      <c r="B169" s="31">
        <v>0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14">
        <f t="shared" si="24"/>
        <v>0</v>
      </c>
      <c r="O169"/>
    </row>
    <row r="170" spans="1:15" ht="17.25" customHeight="1" x14ac:dyDescent="0.45">
      <c r="A170" s="70" t="s">
        <v>166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4">
        <f t="shared" si="24"/>
        <v>0</v>
      </c>
      <c r="O170"/>
    </row>
    <row r="171" spans="1:15" ht="17.25" customHeight="1" x14ac:dyDescent="0.45">
      <c r="A171" s="70" t="s">
        <v>167</v>
      </c>
      <c r="B171" s="31">
        <v>0</v>
      </c>
      <c r="C171" s="31">
        <v>12000</v>
      </c>
      <c r="D171" s="31">
        <v>0</v>
      </c>
      <c r="E171" s="31">
        <v>0</v>
      </c>
      <c r="F171" s="31">
        <v>0</v>
      </c>
      <c r="G171" s="31">
        <v>3920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4">
        <f t="shared" si="24"/>
        <v>15920</v>
      </c>
      <c r="O171"/>
    </row>
    <row r="172" spans="1:15" ht="17.25" customHeight="1" x14ac:dyDescent="0.45">
      <c r="A172" s="70" t="s">
        <v>168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14">
        <f t="shared" si="24"/>
        <v>0</v>
      </c>
      <c r="O172"/>
    </row>
    <row r="173" spans="1:15" ht="17.25" customHeight="1" x14ac:dyDescent="0.45">
      <c r="A173" s="70" t="s">
        <v>169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14">
        <f t="shared" si="24"/>
        <v>0</v>
      </c>
      <c r="O173"/>
    </row>
    <row r="174" spans="1:15" ht="17.25" customHeight="1" x14ac:dyDescent="0.45">
      <c r="A174" s="70" t="s">
        <v>170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14">
        <f>SUM(B174:M174)</f>
        <v>0</v>
      </c>
      <c r="O174"/>
    </row>
    <row r="175" spans="1:15" ht="17.25" customHeight="1" x14ac:dyDescent="0.45">
      <c r="A175" s="70" t="s">
        <v>171</v>
      </c>
      <c r="B175" s="31">
        <v>0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14">
        <f t="shared" ref="N175:N188" si="25">SUM(B175:M175)</f>
        <v>0</v>
      </c>
      <c r="O175"/>
    </row>
    <row r="176" spans="1:15" ht="17.25" customHeight="1" x14ac:dyDescent="0.45">
      <c r="A176" s="70" t="s">
        <v>172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4">
        <f t="shared" si="25"/>
        <v>0</v>
      </c>
      <c r="O176"/>
    </row>
    <row r="177" spans="1:15" ht="17.25" customHeight="1" x14ac:dyDescent="0.45">
      <c r="A177" s="70" t="s">
        <v>173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4">
        <f t="shared" si="25"/>
        <v>0</v>
      </c>
      <c r="O177"/>
    </row>
    <row r="178" spans="1:15" ht="17.25" customHeight="1" x14ac:dyDescent="0.45">
      <c r="A178" s="70" t="s">
        <v>174</v>
      </c>
      <c r="B178" s="31">
        <v>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14">
        <f t="shared" si="25"/>
        <v>0</v>
      </c>
      <c r="O178"/>
    </row>
    <row r="179" spans="1:15" ht="17.25" customHeight="1" x14ac:dyDescent="0.45">
      <c r="A179" s="70" t="s">
        <v>175</v>
      </c>
      <c r="B179" s="31">
        <v>0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4">
        <f t="shared" si="25"/>
        <v>0</v>
      </c>
      <c r="O179"/>
    </row>
    <row r="180" spans="1:15" ht="14.25" x14ac:dyDescent="0.45">
      <c r="A180" s="61" t="s">
        <v>176</v>
      </c>
      <c r="B180" s="31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14">
        <f t="shared" si="25"/>
        <v>0</v>
      </c>
      <c r="O180"/>
    </row>
    <row r="181" spans="1:15" ht="14.25" x14ac:dyDescent="0.45">
      <c r="A181" s="61" t="s">
        <v>177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4">
        <f t="shared" si="25"/>
        <v>0</v>
      </c>
      <c r="O181"/>
    </row>
    <row r="182" spans="1:15" ht="14.25" x14ac:dyDescent="0.45">
      <c r="A182" s="61" t="s">
        <v>178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4">
        <f t="shared" si="25"/>
        <v>0</v>
      </c>
      <c r="O182"/>
    </row>
    <row r="183" spans="1:15" ht="14.25" x14ac:dyDescent="0.45">
      <c r="A183" s="61" t="s">
        <v>179</v>
      </c>
      <c r="B183" s="31">
        <v>0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4">
        <f t="shared" si="25"/>
        <v>0</v>
      </c>
      <c r="O183"/>
    </row>
    <row r="184" spans="1:15" ht="14.25" x14ac:dyDescent="0.45">
      <c r="A184" s="61" t="s">
        <v>180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4">
        <f t="shared" si="25"/>
        <v>0</v>
      </c>
      <c r="O184"/>
    </row>
    <row r="185" spans="1:15" ht="14.25" x14ac:dyDescent="0.45">
      <c r="A185" s="61" t="s">
        <v>181</v>
      </c>
      <c r="B185" s="31">
        <v>0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14">
        <f t="shared" si="25"/>
        <v>0</v>
      </c>
      <c r="O185"/>
    </row>
    <row r="186" spans="1:15" ht="14.25" x14ac:dyDescent="0.45">
      <c r="A186" s="61" t="s">
        <v>182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14">
        <f t="shared" si="25"/>
        <v>0</v>
      </c>
      <c r="O186"/>
    </row>
    <row r="187" spans="1:15" ht="14.25" x14ac:dyDescent="0.45">
      <c r="A187" s="61" t="s">
        <v>183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14">
        <f t="shared" si="25"/>
        <v>0</v>
      </c>
      <c r="O187"/>
    </row>
    <row r="188" spans="1:15" ht="14.25" x14ac:dyDescent="0.45">
      <c r="A188" s="61" t="s">
        <v>184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14">
        <f t="shared" si="25"/>
        <v>0</v>
      </c>
      <c r="O188"/>
    </row>
    <row r="189" spans="1:15" x14ac:dyDescent="0.35">
      <c r="A189" s="15" t="s">
        <v>28</v>
      </c>
      <c r="B189" s="31">
        <f>SUM(B158:B188)</f>
        <v>0</v>
      </c>
      <c r="C189" s="31">
        <f>SUM(C158:C188)</f>
        <v>12000</v>
      </c>
      <c r="D189" s="31">
        <f t="shared" ref="D189:M189" si="26">SUM(D158:D188)</f>
        <v>0</v>
      </c>
      <c r="E189" s="31">
        <f t="shared" si="26"/>
        <v>0</v>
      </c>
      <c r="F189" s="31">
        <f t="shared" si="26"/>
        <v>0</v>
      </c>
      <c r="G189" s="31">
        <f t="shared" si="26"/>
        <v>3920</v>
      </c>
      <c r="H189" s="31">
        <f t="shared" si="26"/>
        <v>0</v>
      </c>
      <c r="I189" s="31">
        <f t="shared" si="26"/>
        <v>0</v>
      </c>
      <c r="J189" s="31">
        <f t="shared" si="26"/>
        <v>0</v>
      </c>
      <c r="K189" s="31">
        <f t="shared" si="26"/>
        <v>0</v>
      </c>
      <c r="L189" s="31">
        <f t="shared" si="26"/>
        <v>0</v>
      </c>
      <c r="M189" s="31">
        <f t="shared" si="26"/>
        <v>0</v>
      </c>
      <c r="N189" s="14">
        <f>SUM(N158:N188)</f>
        <v>15920</v>
      </c>
    </row>
    <row r="190" spans="1:15" x14ac:dyDescent="0.35">
      <c r="A190" s="15"/>
      <c r="N190" s="14"/>
    </row>
    <row r="191" spans="1:15" x14ac:dyDescent="0.35">
      <c r="A191" s="22" t="s">
        <v>29</v>
      </c>
      <c r="N191" s="14"/>
    </row>
    <row r="192" spans="1:15" ht="14.25" x14ac:dyDescent="0.45">
      <c r="A192" s="61" t="s">
        <v>154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14">
        <f>SUM(B192:M192)</f>
        <v>0</v>
      </c>
      <c r="O192"/>
    </row>
    <row r="193" spans="1:15" ht="14.25" x14ac:dyDescent="0.45">
      <c r="A193" s="61" t="s">
        <v>155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14">
        <f t="shared" ref="N193:N223" si="27">SUM(B193:M193)</f>
        <v>0</v>
      </c>
      <c r="O193"/>
    </row>
    <row r="194" spans="1:15" ht="14.25" x14ac:dyDescent="0.45">
      <c r="A194" s="61" t="s">
        <v>156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14">
        <f t="shared" si="27"/>
        <v>0</v>
      </c>
      <c r="O194"/>
    </row>
    <row r="195" spans="1:15" ht="14.25" x14ac:dyDescent="0.45">
      <c r="A195" s="61" t="s">
        <v>157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14">
        <f t="shared" si="27"/>
        <v>0</v>
      </c>
      <c r="O195"/>
    </row>
    <row r="196" spans="1:15" ht="14.25" x14ac:dyDescent="0.45">
      <c r="A196" s="61" t="s">
        <v>158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4">
        <f t="shared" si="27"/>
        <v>0</v>
      </c>
      <c r="O196"/>
    </row>
    <row r="197" spans="1:15" ht="14.25" x14ac:dyDescent="0.45">
      <c r="A197" s="61" t="s">
        <v>159</v>
      </c>
      <c r="B197" s="31">
        <v>0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14">
        <f t="shared" si="27"/>
        <v>0</v>
      </c>
      <c r="O197"/>
    </row>
    <row r="198" spans="1:15" ht="14.25" x14ac:dyDescent="0.45">
      <c r="A198" s="61" t="s">
        <v>160</v>
      </c>
      <c r="B198" s="31">
        <v>0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4">
        <f t="shared" si="27"/>
        <v>0</v>
      </c>
      <c r="O198"/>
    </row>
    <row r="199" spans="1:15" ht="14.25" x14ac:dyDescent="0.45">
      <c r="A199" s="61" t="s">
        <v>161</v>
      </c>
      <c r="B199" s="31">
        <v>0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14">
        <f t="shared" si="27"/>
        <v>0</v>
      </c>
      <c r="O199"/>
    </row>
    <row r="200" spans="1:15" ht="14.25" x14ac:dyDescent="0.45">
      <c r="A200" s="61" t="s">
        <v>162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14">
        <f t="shared" si="27"/>
        <v>0</v>
      </c>
      <c r="O200"/>
    </row>
    <row r="201" spans="1:15" ht="14.25" x14ac:dyDescent="0.45">
      <c r="A201" s="61" t="s">
        <v>163</v>
      </c>
      <c r="B201" s="31">
        <v>0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14">
        <f t="shared" si="27"/>
        <v>0</v>
      </c>
      <c r="O201"/>
    </row>
    <row r="202" spans="1:15" ht="14.25" x14ac:dyDescent="0.45">
      <c r="A202" s="61" t="s">
        <v>164</v>
      </c>
      <c r="B202" s="31">
        <v>0</v>
      </c>
      <c r="C202" s="31">
        <v>0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14">
        <f t="shared" si="27"/>
        <v>0</v>
      </c>
      <c r="O202"/>
    </row>
    <row r="203" spans="1:15" ht="14.25" x14ac:dyDescent="0.45">
      <c r="A203" s="61" t="s">
        <v>165</v>
      </c>
      <c r="B203" s="31">
        <v>0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14">
        <f t="shared" si="27"/>
        <v>0</v>
      </c>
      <c r="O203"/>
    </row>
    <row r="204" spans="1:15" ht="14.25" x14ac:dyDescent="0.45">
      <c r="A204" s="70" t="s">
        <v>166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14">
        <f t="shared" si="27"/>
        <v>0</v>
      </c>
      <c r="O204" s="52"/>
    </row>
    <row r="205" spans="1:15" ht="14.25" x14ac:dyDescent="0.45">
      <c r="A205" s="70" t="s">
        <v>167</v>
      </c>
      <c r="B205" s="31">
        <v>0</v>
      </c>
      <c r="C205" s="31">
        <v>44689</v>
      </c>
      <c r="D205" s="31">
        <v>12474</v>
      </c>
      <c r="E205" s="31">
        <v>0</v>
      </c>
      <c r="F205" s="31">
        <v>-9639</v>
      </c>
      <c r="G205" s="31">
        <v>15519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14">
        <f t="shared" si="27"/>
        <v>63043</v>
      </c>
      <c r="O205" s="52"/>
    </row>
    <row r="206" spans="1:15" ht="14.25" x14ac:dyDescent="0.45">
      <c r="A206" s="70" t="s">
        <v>168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14">
        <f t="shared" si="27"/>
        <v>0</v>
      </c>
      <c r="O206" s="52"/>
    </row>
    <row r="207" spans="1:15" ht="17.25" customHeight="1" x14ac:dyDescent="0.45">
      <c r="A207" s="70" t="s">
        <v>169</v>
      </c>
      <c r="B207" s="31">
        <v>0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14">
        <f t="shared" si="27"/>
        <v>0</v>
      </c>
      <c r="O207"/>
    </row>
    <row r="208" spans="1:15" ht="17.25" customHeight="1" x14ac:dyDescent="0.45">
      <c r="A208" s="70" t="s">
        <v>170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14">
        <f t="shared" si="27"/>
        <v>0</v>
      </c>
      <c r="O208"/>
    </row>
    <row r="209" spans="1:15" ht="17.25" customHeight="1" x14ac:dyDescent="0.45">
      <c r="A209" s="70" t="s">
        <v>171</v>
      </c>
      <c r="B209" s="31">
        <v>0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14">
        <f t="shared" si="27"/>
        <v>0</v>
      </c>
      <c r="O209"/>
    </row>
    <row r="210" spans="1:15" ht="17.25" customHeight="1" x14ac:dyDescent="0.45">
      <c r="A210" s="70" t="s">
        <v>172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14">
        <f t="shared" si="27"/>
        <v>0</v>
      </c>
      <c r="O210"/>
    </row>
    <row r="211" spans="1:15" ht="17.25" customHeight="1" x14ac:dyDescent="0.45">
      <c r="A211" s="70" t="s">
        <v>173</v>
      </c>
      <c r="B211" s="31">
        <v>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14">
        <f t="shared" si="27"/>
        <v>0</v>
      </c>
      <c r="O211"/>
    </row>
    <row r="212" spans="1:15" ht="17.25" customHeight="1" x14ac:dyDescent="0.45">
      <c r="A212" s="70" t="s">
        <v>174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14">
        <f t="shared" si="27"/>
        <v>0</v>
      </c>
      <c r="O212"/>
    </row>
    <row r="213" spans="1:15" ht="17.25" customHeight="1" x14ac:dyDescent="0.45">
      <c r="A213" s="70" t="s">
        <v>175</v>
      </c>
      <c r="B213" s="31">
        <v>0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14">
        <f t="shared" si="27"/>
        <v>0</v>
      </c>
      <c r="O213"/>
    </row>
    <row r="214" spans="1:15" ht="14.25" x14ac:dyDescent="0.45">
      <c r="A214" s="61" t="s">
        <v>176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14">
        <f t="shared" si="27"/>
        <v>0</v>
      </c>
      <c r="O214"/>
    </row>
    <row r="215" spans="1:15" ht="14.25" x14ac:dyDescent="0.45">
      <c r="A215" s="61" t="s">
        <v>177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14">
        <f t="shared" si="27"/>
        <v>0</v>
      </c>
      <c r="O215"/>
    </row>
    <row r="216" spans="1:15" ht="14.25" x14ac:dyDescent="0.45">
      <c r="A216" s="61" t="s">
        <v>178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4">
        <f t="shared" si="27"/>
        <v>0</v>
      </c>
      <c r="O216"/>
    </row>
    <row r="217" spans="1:15" ht="14.25" x14ac:dyDescent="0.45">
      <c r="A217" s="61" t="s">
        <v>179</v>
      </c>
      <c r="B217" s="31">
        <v>0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14">
        <f t="shared" si="27"/>
        <v>0</v>
      </c>
      <c r="O217"/>
    </row>
    <row r="218" spans="1:15" ht="14.25" x14ac:dyDescent="0.45">
      <c r="A218" s="61" t="s">
        <v>180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4">
        <f t="shared" si="27"/>
        <v>0</v>
      </c>
      <c r="O218"/>
    </row>
    <row r="219" spans="1:15" ht="14.25" x14ac:dyDescent="0.45">
      <c r="A219" s="61" t="s">
        <v>181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14">
        <f t="shared" si="27"/>
        <v>0</v>
      </c>
      <c r="O219"/>
    </row>
    <row r="220" spans="1:15" ht="14.25" x14ac:dyDescent="0.45">
      <c r="A220" s="61" t="s">
        <v>182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14">
        <f t="shared" si="27"/>
        <v>0</v>
      </c>
      <c r="O220"/>
    </row>
    <row r="221" spans="1:15" ht="14.25" x14ac:dyDescent="0.45">
      <c r="A221" s="61" t="s">
        <v>183</v>
      </c>
      <c r="B221" s="31">
        <v>0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14">
        <f t="shared" si="27"/>
        <v>0</v>
      </c>
      <c r="O221"/>
    </row>
    <row r="222" spans="1:15" ht="14.25" x14ac:dyDescent="0.45">
      <c r="A222" s="61" t="s">
        <v>184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14">
        <f t="shared" si="27"/>
        <v>0</v>
      </c>
      <c r="O222"/>
    </row>
    <row r="223" spans="1:15" x14ac:dyDescent="0.35">
      <c r="A223" s="15" t="s">
        <v>28</v>
      </c>
      <c r="B223" s="31">
        <f>SUM(B192:B222)</f>
        <v>0</v>
      </c>
      <c r="C223" s="31">
        <f t="shared" ref="C223:M223" si="28">SUM(C192:C222)</f>
        <v>44689</v>
      </c>
      <c r="D223" s="31">
        <f t="shared" si="28"/>
        <v>12474</v>
      </c>
      <c r="E223" s="31">
        <f t="shared" si="28"/>
        <v>0</v>
      </c>
      <c r="F223" s="31">
        <f t="shared" si="28"/>
        <v>-9639</v>
      </c>
      <c r="G223" s="31">
        <f t="shared" si="28"/>
        <v>15519</v>
      </c>
      <c r="H223" s="31">
        <f t="shared" si="28"/>
        <v>0</v>
      </c>
      <c r="I223" s="31">
        <f t="shared" si="28"/>
        <v>0</v>
      </c>
      <c r="J223" s="31">
        <f t="shared" si="28"/>
        <v>0</v>
      </c>
      <c r="K223" s="31">
        <f t="shared" si="28"/>
        <v>0</v>
      </c>
      <c r="L223" s="31">
        <f t="shared" si="28"/>
        <v>0</v>
      </c>
      <c r="M223" s="31">
        <f t="shared" si="28"/>
        <v>0</v>
      </c>
      <c r="N223" s="14">
        <f t="shared" si="27"/>
        <v>63043</v>
      </c>
    </row>
    <row r="224" spans="1:15" x14ac:dyDescent="0.35">
      <c r="A224" s="15"/>
      <c r="N224" s="14"/>
    </row>
    <row r="225" spans="1:15" ht="15.4" thickBot="1" x14ac:dyDescent="0.45">
      <c r="A225" s="19" t="s">
        <v>15</v>
      </c>
      <c r="B225" s="35">
        <f t="shared" ref="B225:M225" si="29">+B223+B189+B155</f>
        <v>77881.42</v>
      </c>
      <c r="C225" s="35">
        <f t="shared" si="29"/>
        <v>2269102</v>
      </c>
      <c r="D225" s="35">
        <f t="shared" si="29"/>
        <v>248672</v>
      </c>
      <c r="E225" s="35">
        <f t="shared" si="29"/>
        <v>-977595.92</v>
      </c>
      <c r="F225" s="35">
        <f t="shared" si="29"/>
        <v>13977.669999999998</v>
      </c>
      <c r="G225" s="35">
        <f t="shared" si="29"/>
        <v>1132285.68</v>
      </c>
      <c r="H225" s="35">
        <f t="shared" si="29"/>
        <v>476837.91</v>
      </c>
      <c r="I225" s="35">
        <f t="shared" si="29"/>
        <v>0</v>
      </c>
      <c r="J225" s="35">
        <f t="shared" si="29"/>
        <v>0</v>
      </c>
      <c r="K225" s="35">
        <f t="shared" si="29"/>
        <v>0</v>
      </c>
      <c r="L225" s="35">
        <f t="shared" si="29"/>
        <v>0</v>
      </c>
      <c r="M225" s="35">
        <f t="shared" si="29"/>
        <v>0</v>
      </c>
      <c r="N225" s="20">
        <f>+N223+N156+N189+N155</f>
        <v>3241160.76</v>
      </c>
    </row>
    <row r="226" spans="1:15" ht="15.4" thickBot="1" x14ac:dyDescent="0.45">
      <c r="A226" s="4"/>
    </row>
    <row r="227" spans="1:15" ht="13.15" x14ac:dyDescent="0.4">
      <c r="A227" s="5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7" t="s">
        <v>0</v>
      </c>
    </row>
    <row r="228" spans="1:15" ht="13.5" thickBot="1" x14ac:dyDescent="0.45">
      <c r="A228" s="21" t="s">
        <v>146</v>
      </c>
      <c r="B228" s="34" t="s">
        <v>2</v>
      </c>
      <c r="C228" s="34" t="s">
        <v>3</v>
      </c>
      <c r="D228" s="34" t="s">
        <v>4</v>
      </c>
      <c r="E228" s="34" t="s">
        <v>5</v>
      </c>
      <c r="F228" s="34" t="s">
        <v>6</v>
      </c>
      <c r="G228" s="34" t="s">
        <v>7</v>
      </c>
      <c r="H228" s="34" t="s">
        <v>8</v>
      </c>
      <c r="I228" s="34" t="s">
        <v>9</v>
      </c>
      <c r="J228" s="34" t="s">
        <v>10</v>
      </c>
      <c r="K228" s="34" t="s">
        <v>11</v>
      </c>
      <c r="L228" s="34" t="s">
        <v>12</v>
      </c>
      <c r="M228" s="34" t="s">
        <v>13</v>
      </c>
      <c r="N228" s="10" t="s">
        <v>14</v>
      </c>
    </row>
    <row r="229" spans="1:15" ht="13.15" x14ac:dyDescent="0.4">
      <c r="A229" s="65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53"/>
    </row>
    <row r="230" spans="1:15" x14ac:dyDescent="0.35">
      <c r="A230" s="22" t="s">
        <v>31</v>
      </c>
      <c r="B230" s="31">
        <f>1666.53-B255-B280</f>
        <v>1666.53</v>
      </c>
      <c r="C230" s="31">
        <f>17809-C255-C280</f>
        <v>17809</v>
      </c>
      <c r="D230" s="31">
        <f>207400-D255-D280</f>
        <v>207400</v>
      </c>
      <c r="E230" s="31">
        <f>-15162.75-E255-E280</f>
        <v>-15162.75</v>
      </c>
      <c r="F230" s="31">
        <f>29709.86-F255-F280</f>
        <v>29709.86</v>
      </c>
      <c r="G230" s="31">
        <f>18199.05-G255-G280</f>
        <v>18199.05</v>
      </c>
      <c r="H230" s="31">
        <f>48876.43-H255-H280</f>
        <v>48876.43</v>
      </c>
      <c r="I230" s="31">
        <f t="shared" ref="I230:M230" si="30">0-I255-I280</f>
        <v>0</v>
      </c>
      <c r="J230" s="31">
        <f t="shared" si="30"/>
        <v>0</v>
      </c>
      <c r="K230" s="31">
        <f t="shared" si="30"/>
        <v>0</v>
      </c>
      <c r="L230" s="31">
        <f t="shared" si="30"/>
        <v>0</v>
      </c>
      <c r="M230" s="31">
        <f t="shared" si="30"/>
        <v>0</v>
      </c>
      <c r="N230" s="14">
        <f>SUM(B230:M230)</f>
        <v>308498.12</v>
      </c>
    </row>
    <row r="231" spans="1:15" x14ac:dyDescent="0.35">
      <c r="A231" s="15" t="s">
        <v>83</v>
      </c>
      <c r="N231" s="14">
        <f>SUM(B231:M231)</f>
        <v>0</v>
      </c>
    </row>
    <row r="232" spans="1:15" x14ac:dyDescent="0.35">
      <c r="A232" s="22" t="s">
        <v>30</v>
      </c>
      <c r="N232" s="14"/>
    </row>
    <row r="233" spans="1:15" ht="14.25" x14ac:dyDescent="0.45">
      <c r="A233" s="61" t="s">
        <v>114</v>
      </c>
      <c r="B233" s="31">
        <v>0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14">
        <f t="shared" ref="N233:N248" si="31">SUM(B233:M233)</f>
        <v>0</v>
      </c>
      <c r="O233"/>
    </row>
    <row r="234" spans="1:15" ht="14.25" x14ac:dyDescent="0.45">
      <c r="A234" s="61" t="s">
        <v>115</v>
      </c>
      <c r="B234" s="31">
        <v>0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14">
        <f t="shared" si="31"/>
        <v>0</v>
      </c>
      <c r="O234"/>
    </row>
    <row r="235" spans="1:15" ht="14.25" x14ac:dyDescent="0.45">
      <c r="A235" s="61" t="s">
        <v>116</v>
      </c>
      <c r="B235" s="31">
        <v>0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14">
        <f t="shared" si="31"/>
        <v>0</v>
      </c>
      <c r="O235"/>
    </row>
    <row r="236" spans="1:15" ht="14.25" x14ac:dyDescent="0.45">
      <c r="A236" s="61" t="s">
        <v>117</v>
      </c>
      <c r="B236" s="31">
        <v>0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14">
        <f t="shared" si="31"/>
        <v>0</v>
      </c>
      <c r="O236"/>
    </row>
    <row r="237" spans="1:15" ht="14.25" x14ac:dyDescent="0.45">
      <c r="A237" s="61" t="s">
        <v>118</v>
      </c>
      <c r="B237" s="31">
        <v>0</v>
      </c>
      <c r="C237" s="31">
        <v>0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14">
        <f t="shared" si="31"/>
        <v>0</v>
      </c>
      <c r="O237"/>
    </row>
    <row r="238" spans="1:15" ht="14.25" x14ac:dyDescent="0.45">
      <c r="A238" s="61" t="s">
        <v>119</v>
      </c>
      <c r="B238" s="31">
        <v>0</v>
      </c>
      <c r="C238" s="31">
        <v>0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14">
        <f t="shared" si="31"/>
        <v>0</v>
      </c>
      <c r="O238"/>
    </row>
    <row r="239" spans="1:15" ht="14.25" x14ac:dyDescent="0.45">
      <c r="A239" s="61" t="s">
        <v>120</v>
      </c>
      <c r="B239" s="31">
        <v>0</v>
      </c>
      <c r="C239" s="31">
        <v>0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14">
        <f t="shared" si="31"/>
        <v>0</v>
      </c>
      <c r="O239"/>
    </row>
    <row r="240" spans="1:15" ht="14.25" x14ac:dyDescent="0.45">
      <c r="A240" s="61" t="s">
        <v>121</v>
      </c>
      <c r="B240" s="31">
        <v>0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14">
        <f t="shared" si="31"/>
        <v>0</v>
      </c>
      <c r="O240"/>
    </row>
    <row r="241" spans="1:15" ht="14.25" x14ac:dyDescent="0.45">
      <c r="A241" s="61" t="s">
        <v>122</v>
      </c>
      <c r="B241" s="31">
        <v>0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14">
        <f t="shared" si="31"/>
        <v>0</v>
      </c>
      <c r="O241"/>
    </row>
    <row r="242" spans="1:15" ht="14.25" x14ac:dyDescent="0.45">
      <c r="A242" s="61" t="s">
        <v>124</v>
      </c>
      <c r="B242" s="31">
        <v>0</v>
      </c>
      <c r="C242" s="31">
        <v>0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14">
        <f t="shared" si="31"/>
        <v>0</v>
      </c>
      <c r="O242"/>
    </row>
    <row r="243" spans="1:15" ht="14.25" x14ac:dyDescent="0.45">
      <c r="A243" s="61" t="s">
        <v>125</v>
      </c>
      <c r="B243" s="31">
        <v>0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4">
        <f t="shared" si="31"/>
        <v>0</v>
      </c>
      <c r="O243"/>
    </row>
    <row r="244" spans="1:15" ht="14.25" x14ac:dyDescent="0.45">
      <c r="A244" s="61" t="s">
        <v>126</v>
      </c>
      <c r="B244" s="31">
        <v>0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4">
        <f t="shared" si="31"/>
        <v>0</v>
      </c>
      <c r="O244"/>
    </row>
    <row r="245" spans="1:15" ht="17.25" customHeight="1" x14ac:dyDescent="0.45">
      <c r="A245" s="70" t="s">
        <v>127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4">
        <f t="shared" si="31"/>
        <v>0</v>
      </c>
      <c r="O245"/>
    </row>
    <row r="246" spans="1:15" ht="17.25" customHeight="1" x14ac:dyDescent="0.45">
      <c r="A246" s="70" t="s">
        <v>129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14">
        <f t="shared" si="31"/>
        <v>0</v>
      </c>
      <c r="O246"/>
    </row>
    <row r="247" spans="1:15" ht="17.25" customHeight="1" x14ac:dyDescent="0.45">
      <c r="A247" s="70" t="s">
        <v>130</v>
      </c>
      <c r="B247" s="31">
        <v>0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14">
        <f t="shared" si="31"/>
        <v>0</v>
      </c>
      <c r="O247"/>
    </row>
    <row r="248" spans="1:15" ht="17.25" customHeight="1" x14ac:dyDescent="0.45">
      <c r="A248" s="70" t="s">
        <v>131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14">
        <f t="shared" si="31"/>
        <v>0</v>
      </c>
      <c r="O248"/>
    </row>
    <row r="249" spans="1:15" ht="17.25" customHeight="1" x14ac:dyDescent="0.45">
      <c r="A249" s="70" t="s">
        <v>137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4">
        <f>SUM(B249:M249)</f>
        <v>0</v>
      </c>
      <c r="O249"/>
    </row>
    <row r="250" spans="1:15" ht="17.25" customHeight="1" x14ac:dyDescent="0.45">
      <c r="A250" s="70" t="s">
        <v>132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14">
        <f t="shared" ref="N250:N254" si="32">SUM(B250:M250)</f>
        <v>0</v>
      </c>
      <c r="O250"/>
    </row>
    <row r="251" spans="1:15" ht="17.25" customHeight="1" x14ac:dyDescent="0.45">
      <c r="A251" s="70" t="s">
        <v>136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14">
        <f t="shared" si="32"/>
        <v>0</v>
      </c>
      <c r="O251"/>
    </row>
    <row r="252" spans="1:15" ht="17.25" customHeight="1" x14ac:dyDescent="0.45">
      <c r="A252" s="70" t="s">
        <v>138</v>
      </c>
      <c r="B252" s="31">
        <v>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14">
        <f t="shared" si="32"/>
        <v>0</v>
      </c>
      <c r="O252"/>
    </row>
    <row r="253" spans="1:15" ht="17.25" customHeight="1" x14ac:dyDescent="0.45">
      <c r="A253" s="70" t="s">
        <v>139</v>
      </c>
      <c r="B253" s="31">
        <v>0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14">
        <f t="shared" si="32"/>
        <v>0</v>
      </c>
      <c r="O253"/>
    </row>
    <row r="254" spans="1:15" ht="17.25" customHeight="1" x14ac:dyDescent="0.45">
      <c r="A254" s="70" t="s">
        <v>141</v>
      </c>
      <c r="B254" s="31">
        <v>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14">
        <f t="shared" si="32"/>
        <v>0</v>
      </c>
      <c r="O254"/>
    </row>
    <row r="255" spans="1:15" x14ac:dyDescent="0.35">
      <c r="A255" s="15" t="s">
        <v>28</v>
      </c>
      <c r="B255" s="31">
        <f>SUM(B233:B254)</f>
        <v>0</v>
      </c>
      <c r="C255" s="31">
        <f t="shared" ref="C255:N255" si="33">SUM(C233:C254)</f>
        <v>0</v>
      </c>
      <c r="D255" s="31">
        <f t="shared" si="33"/>
        <v>0</v>
      </c>
      <c r="E255" s="31">
        <f t="shared" si="33"/>
        <v>0</v>
      </c>
      <c r="F255" s="31">
        <f t="shared" si="33"/>
        <v>0</v>
      </c>
      <c r="G255" s="31">
        <f t="shared" si="33"/>
        <v>0</v>
      </c>
      <c r="H255" s="31">
        <f t="shared" si="33"/>
        <v>0</v>
      </c>
      <c r="I255" s="31">
        <f t="shared" si="33"/>
        <v>0</v>
      </c>
      <c r="J255" s="31">
        <f t="shared" si="33"/>
        <v>0</v>
      </c>
      <c r="K255" s="31">
        <f t="shared" si="33"/>
        <v>0</v>
      </c>
      <c r="L255" s="31">
        <f t="shared" si="33"/>
        <v>0</v>
      </c>
      <c r="M255" s="31">
        <f t="shared" si="33"/>
        <v>0</v>
      </c>
      <c r="N255" s="14">
        <f t="shared" si="33"/>
        <v>0</v>
      </c>
    </row>
    <row r="256" spans="1:15" x14ac:dyDescent="0.35">
      <c r="A256" s="15"/>
      <c r="N256" s="14"/>
    </row>
    <row r="257" spans="1:15" x14ac:dyDescent="0.35">
      <c r="A257" s="22" t="s">
        <v>29</v>
      </c>
      <c r="N257" s="14"/>
    </row>
    <row r="258" spans="1:15" ht="14.25" x14ac:dyDescent="0.45">
      <c r="A258" s="61" t="s">
        <v>114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14">
        <f t="shared" ref="N258:N272" si="34">SUM(B258:M258)</f>
        <v>0</v>
      </c>
      <c r="O258"/>
    </row>
    <row r="259" spans="1:15" ht="14.25" x14ac:dyDescent="0.45">
      <c r="A259" s="61" t="s">
        <v>115</v>
      </c>
      <c r="B259" s="31">
        <v>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14">
        <f t="shared" si="34"/>
        <v>0</v>
      </c>
      <c r="O259"/>
    </row>
    <row r="260" spans="1:15" ht="14.25" x14ac:dyDescent="0.45">
      <c r="A260" s="61" t="s">
        <v>116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14">
        <f t="shared" si="34"/>
        <v>0</v>
      </c>
      <c r="O260"/>
    </row>
    <row r="261" spans="1:15" ht="14.25" x14ac:dyDescent="0.45">
      <c r="A261" s="61" t="s">
        <v>117</v>
      </c>
      <c r="B261" s="31">
        <v>0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14">
        <f t="shared" si="34"/>
        <v>0</v>
      </c>
      <c r="O261"/>
    </row>
    <row r="262" spans="1:15" ht="14.25" x14ac:dyDescent="0.45">
      <c r="A262" s="61" t="s">
        <v>118</v>
      </c>
      <c r="B262" s="31">
        <v>0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14">
        <f t="shared" si="34"/>
        <v>0</v>
      </c>
      <c r="O262"/>
    </row>
    <row r="263" spans="1:15" ht="14.25" x14ac:dyDescent="0.45">
      <c r="A263" s="61" t="s">
        <v>119</v>
      </c>
      <c r="B263" s="31">
        <v>0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14">
        <f t="shared" si="34"/>
        <v>0</v>
      </c>
      <c r="O263"/>
    </row>
    <row r="264" spans="1:15" ht="14.25" x14ac:dyDescent="0.45">
      <c r="A264" s="61" t="s">
        <v>120</v>
      </c>
      <c r="B264" s="31">
        <v>0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14">
        <f t="shared" si="34"/>
        <v>0</v>
      </c>
      <c r="O264"/>
    </row>
    <row r="265" spans="1:15" ht="14.25" x14ac:dyDescent="0.45">
      <c r="A265" s="61" t="s">
        <v>121</v>
      </c>
      <c r="B265" s="31">
        <v>0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14">
        <f t="shared" si="34"/>
        <v>0</v>
      </c>
      <c r="O265"/>
    </row>
    <row r="266" spans="1:15" ht="14.25" x14ac:dyDescent="0.45">
      <c r="A266" s="61" t="s">
        <v>122</v>
      </c>
      <c r="B266" s="31">
        <v>0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14">
        <f t="shared" si="34"/>
        <v>0</v>
      </c>
      <c r="O266"/>
    </row>
    <row r="267" spans="1:15" ht="14.25" x14ac:dyDescent="0.45">
      <c r="A267" s="61" t="s">
        <v>124</v>
      </c>
      <c r="B267" s="31">
        <v>0</v>
      </c>
      <c r="C267" s="31">
        <v>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14">
        <f t="shared" si="34"/>
        <v>0</v>
      </c>
      <c r="O267"/>
    </row>
    <row r="268" spans="1:15" ht="14.25" x14ac:dyDescent="0.45">
      <c r="A268" s="61" t="s">
        <v>125</v>
      </c>
      <c r="B268" s="31">
        <v>0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14">
        <f t="shared" si="34"/>
        <v>0</v>
      </c>
      <c r="O268"/>
    </row>
    <row r="269" spans="1:15" ht="14.25" x14ac:dyDescent="0.45">
      <c r="A269" s="61" t="s">
        <v>126</v>
      </c>
      <c r="B269" s="31">
        <v>0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14">
        <f t="shared" si="34"/>
        <v>0</v>
      </c>
      <c r="O269"/>
    </row>
    <row r="270" spans="1:15" ht="14.25" x14ac:dyDescent="0.45">
      <c r="A270" s="70" t="s">
        <v>127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4">
        <f t="shared" si="34"/>
        <v>0</v>
      </c>
      <c r="O270" s="52"/>
    </row>
    <row r="271" spans="1:15" ht="14.25" x14ac:dyDescent="0.45">
      <c r="A271" s="70" t="s">
        <v>129</v>
      </c>
      <c r="B271" s="31">
        <v>0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4">
        <f t="shared" si="34"/>
        <v>0</v>
      </c>
      <c r="O271" s="52"/>
    </row>
    <row r="272" spans="1:15" ht="14.25" x14ac:dyDescent="0.45">
      <c r="A272" s="70" t="s">
        <v>130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4">
        <f t="shared" si="34"/>
        <v>0</v>
      </c>
      <c r="O272" s="52"/>
    </row>
    <row r="273" spans="1:15" ht="17.25" customHeight="1" x14ac:dyDescent="0.45">
      <c r="A273" s="70" t="s">
        <v>131</v>
      </c>
      <c r="B273" s="31">
        <v>0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4">
        <f>SUM(B273:M273)</f>
        <v>0</v>
      </c>
      <c r="O273"/>
    </row>
    <row r="274" spans="1:15" ht="17.25" customHeight="1" x14ac:dyDescent="0.45">
      <c r="A274" s="70" t="s">
        <v>137</v>
      </c>
      <c r="B274" s="31">
        <v>0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4">
        <f>SUM(B274:M274)</f>
        <v>0</v>
      </c>
      <c r="O274"/>
    </row>
    <row r="275" spans="1:15" ht="17.25" customHeight="1" x14ac:dyDescent="0.45">
      <c r="A275" s="70" t="s">
        <v>132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4">
        <f>SUM(B275:M275)</f>
        <v>0</v>
      </c>
      <c r="O275"/>
    </row>
    <row r="276" spans="1:15" ht="17.25" customHeight="1" x14ac:dyDescent="0.45">
      <c r="A276" s="70" t="s">
        <v>136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4">
        <f t="shared" ref="N276:N279" si="35">SUM(B276:M276)</f>
        <v>0</v>
      </c>
      <c r="O276"/>
    </row>
    <row r="277" spans="1:15" ht="17.25" customHeight="1" x14ac:dyDescent="0.45">
      <c r="A277" s="70" t="s">
        <v>138</v>
      </c>
      <c r="B277" s="31">
        <v>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4">
        <f t="shared" si="35"/>
        <v>0</v>
      </c>
      <c r="O277"/>
    </row>
    <row r="278" spans="1:15" ht="17.25" customHeight="1" x14ac:dyDescent="0.45">
      <c r="A278" s="70" t="s">
        <v>139</v>
      </c>
      <c r="B278" s="31">
        <v>0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14">
        <f t="shared" si="35"/>
        <v>0</v>
      </c>
      <c r="O278"/>
    </row>
    <row r="279" spans="1:15" ht="17.25" customHeight="1" x14ac:dyDescent="0.45">
      <c r="A279" s="70" t="s">
        <v>141</v>
      </c>
      <c r="B279" s="31">
        <v>0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14">
        <f t="shared" si="35"/>
        <v>0</v>
      </c>
      <c r="O279"/>
    </row>
    <row r="280" spans="1:15" x14ac:dyDescent="0.35">
      <c r="A280" s="15" t="s">
        <v>28</v>
      </c>
      <c r="B280" s="31">
        <f>SUM(B258:B279)</f>
        <v>0</v>
      </c>
      <c r="C280" s="31">
        <f t="shared" ref="C280:N280" si="36">SUM(C258:C279)</f>
        <v>0</v>
      </c>
      <c r="D280" s="31">
        <f t="shared" si="36"/>
        <v>0</v>
      </c>
      <c r="E280" s="31">
        <f t="shared" si="36"/>
        <v>0</v>
      </c>
      <c r="F280" s="31">
        <f t="shared" si="36"/>
        <v>0</v>
      </c>
      <c r="G280" s="31">
        <f t="shared" si="36"/>
        <v>0</v>
      </c>
      <c r="H280" s="31">
        <f t="shared" si="36"/>
        <v>0</v>
      </c>
      <c r="I280" s="31">
        <f t="shared" si="36"/>
        <v>0</v>
      </c>
      <c r="J280" s="31">
        <f t="shared" si="36"/>
        <v>0</v>
      </c>
      <c r="K280" s="31">
        <f t="shared" si="36"/>
        <v>0</v>
      </c>
      <c r="L280" s="31">
        <f t="shared" si="36"/>
        <v>0</v>
      </c>
      <c r="M280" s="31">
        <f t="shared" si="36"/>
        <v>0</v>
      </c>
      <c r="N280" s="14">
        <f t="shared" si="36"/>
        <v>0</v>
      </c>
    </row>
    <row r="281" spans="1:15" x14ac:dyDescent="0.35">
      <c r="A281" s="15"/>
      <c r="N281" s="14"/>
    </row>
    <row r="282" spans="1:15" ht="15.4" thickBot="1" x14ac:dyDescent="0.45">
      <c r="A282" s="19" t="s">
        <v>15</v>
      </c>
      <c r="B282" s="35">
        <f t="shared" ref="B282:M282" si="37">+B280+B255+B230</f>
        <v>1666.53</v>
      </c>
      <c r="C282" s="35">
        <f t="shared" si="37"/>
        <v>17809</v>
      </c>
      <c r="D282" s="35">
        <f t="shared" si="37"/>
        <v>207400</v>
      </c>
      <c r="E282" s="35">
        <f t="shared" si="37"/>
        <v>-15162.75</v>
      </c>
      <c r="F282" s="35">
        <f t="shared" si="37"/>
        <v>29709.86</v>
      </c>
      <c r="G282" s="35">
        <f t="shared" si="37"/>
        <v>18199.05</v>
      </c>
      <c r="H282" s="35">
        <f t="shared" si="37"/>
        <v>48876.43</v>
      </c>
      <c r="I282" s="35">
        <f t="shared" si="37"/>
        <v>0</v>
      </c>
      <c r="J282" s="35">
        <f t="shared" si="37"/>
        <v>0</v>
      </c>
      <c r="K282" s="35">
        <f t="shared" si="37"/>
        <v>0</v>
      </c>
      <c r="L282" s="35">
        <f t="shared" si="37"/>
        <v>0</v>
      </c>
      <c r="M282" s="35">
        <f t="shared" si="37"/>
        <v>0</v>
      </c>
      <c r="N282" s="20">
        <f>+N280+N231+N255+N230</f>
        <v>308498.12</v>
      </c>
    </row>
    <row r="283" spans="1:15" ht="13.15" x14ac:dyDescent="0.4">
      <c r="A283" s="5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7" t="s">
        <v>0</v>
      </c>
    </row>
    <row r="284" spans="1:15" ht="13.5" thickBot="1" x14ac:dyDescent="0.45">
      <c r="A284" s="21" t="s">
        <v>145</v>
      </c>
      <c r="B284" s="34" t="s">
        <v>2</v>
      </c>
      <c r="C284" s="34" t="s">
        <v>3</v>
      </c>
      <c r="D284" s="34" t="s">
        <v>4</v>
      </c>
      <c r="E284" s="34" t="s">
        <v>5</v>
      </c>
      <c r="F284" s="34" t="s">
        <v>6</v>
      </c>
      <c r="G284" s="34" t="s">
        <v>7</v>
      </c>
      <c r="H284" s="34" t="s">
        <v>8</v>
      </c>
      <c r="I284" s="34" t="s">
        <v>9</v>
      </c>
      <c r="J284" s="34" t="s">
        <v>10</v>
      </c>
      <c r="K284" s="34" t="s">
        <v>11</v>
      </c>
      <c r="L284" s="34" t="s">
        <v>12</v>
      </c>
      <c r="M284" s="34" t="s">
        <v>13</v>
      </c>
      <c r="N284" s="10" t="s">
        <v>14</v>
      </c>
    </row>
    <row r="285" spans="1:15" ht="13.15" x14ac:dyDescent="0.4">
      <c r="A285" s="65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53"/>
    </row>
    <row r="286" spans="1:15" x14ac:dyDescent="0.35">
      <c r="A286" s="22" t="s">
        <v>31</v>
      </c>
      <c r="B286" s="31">
        <f>-173620.51-B313-B340</f>
        <v>-173620.51</v>
      </c>
      <c r="C286" s="31">
        <f>443039-C313-C340</f>
        <v>443039</v>
      </c>
      <c r="D286" s="31">
        <f>233801-D313-D340</f>
        <v>233801</v>
      </c>
      <c r="E286" s="31">
        <f>199662.04-E313-E340</f>
        <v>199662.04</v>
      </c>
      <c r="F286" s="31">
        <f>114405.38-F313-F340</f>
        <v>114405.38</v>
      </c>
      <c r="G286" s="31">
        <f>137591.97-G313-G340</f>
        <v>137591.97</v>
      </c>
      <c r="H286" s="31">
        <f>52418.82-H313-H340</f>
        <v>103522.76999999999</v>
      </c>
      <c r="I286" s="31">
        <f t="shared" ref="I286:M286" si="38">0-I313-I340</f>
        <v>0</v>
      </c>
      <c r="J286" s="31">
        <f t="shared" si="38"/>
        <v>0</v>
      </c>
      <c r="K286" s="31">
        <f t="shared" si="38"/>
        <v>0</v>
      </c>
      <c r="L286" s="31">
        <f t="shared" si="38"/>
        <v>0</v>
      </c>
      <c r="M286" s="31">
        <f t="shared" si="38"/>
        <v>0</v>
      </c>
      <c r="N286" s="14">
        <f>SUM(B286:M286)</f>
        <v>1058401.6499999999</v>
      </c>
    </row>
    <row r="287" spans="1:15" x14ac:dyDescent="0.35">
      <c r="A287" s="15" t="s">
        <v>83</v>
      </c>
      <c r="N287" s="14">
        <f>SUM(B287:M287)</f>
        <v>0</v>
      </c>
    </row>
    <row r="288" spans="1:15" x14ac:dyDescent="0.35">
      <c r="A288" s="22" t="s">
        <v>30</v>
      </c>
      <c r="N288" s="14"/>
    </row>
    <row r="289" spans="1:15" ht="14.25" x14ac:dyDescent="0.45">
      <c r="A289" s="61" t="s">
        <v>113</v>
      </c>
      <c r="B289" s="31">
        <v>0</v>
      </c>
      <c r="C289" s="31">
        <v>0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14">
        <f t="shared" ref="N289:N302" si="39">SUM(B289:M289)</f>
        <v>0</v>
      </c>
      <c r="O289"/>
    </row>
    <row r="290" spans="1:15" ht="14.25" x14ac:dyDescent="0.45">
      <c r="A290" s="61" t="s">
        <v>114</v>
      </c>
      <c r="B290" s="31">
        <v>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14">
        <f t="shared" si="39"/>
        <v>0</v>
      </c>
      <c r="O290"/>
    </row>
    <row r="291" spans="1:15" ht="14.25" x14ac:dyDescent="0.45">
      <c r="A291" s="61" t="s">
        <v>115</v>
      </c>
      <c r="B291" s="31">
        <v>0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14">
        <f t="shared" si="39"/>
        <v>0</v>
      </c>
      <c r="O291"/>
    </row>
    <row r="292" spans="1:15" ht="14.25" x14ac:dyDescent="0.45">
      <c r="A292" s="61" t="s">
        <v>116</v>
      </c>
      <c r="B292" s="31">
        <v>0</v>
      </c>
      <c r="C292" s="31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14">
        <f t="shared" si="39"/>
        <v>0</v>
      </c>
      <c r="O292"/>
    </row>
    <row r="293" spans="1:15" ht="14.25" x14ac:dyDescent="0.45">
      <c r="A293" s="61" t="s">
        <v>117</v>
      </c>
      <c r="B293" s="31">
        <v>0</v>
      </c>
      <c r="C293" s="31">
        <v>0</v>
      </c>
      <c r="D293" s="31">
        <v>0</v>
      </c>
      <c r="E293" s="31">
        <v>0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14">
        <f t="shared" si="39"/>
        <v>0</v>
      </c>
      <c r="O293"/>
    </row>
    <row r="294" spans="1:15" ht="14.25" x14ac:dyDescent="0.45">
      <c r="A294" s="61" t="s">
        <v>118</v>
      </c>
      <c r="B294" s="31">
        <v>0</v>
      </c>
      <c r="C294" s="31">
        <v>0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14">
        <f t="shared" si="39"/>
        <v>0</v>
      </c>
      <c r="O294"/>
    </row>
    <row r="295" spans="1:15" ht="14.25" x14ac:dyDescent="0.45">
      <c r="A295" s="61" t="s">
        <v>119</v>
      </c>
      <c r="B295" s="31">
        <v>0</v>
      </c>
      <c r="C295" s="31">
        <v>0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1">
        <v>0</v>
      </c>
      <c r="L295" s="31">
        <v>0</v>
      </c>
      <c r="M295" s="31">
        <v>0</v>
      </c>
      <c r="N295" s="14">
        <f t="shared" si="39"/>
        <v>0</v>
      </c>
      <c r="O295"/>
    </row>
    <row r="296" spans="1:15" ht="14.25" x14ac:dyDescent="0.45">
      <c r="A296" s="61" t="s">
        <v>120</v>
      </c>
      <c r="B296" s="31">
        <v>0</v>
      </c>
      <c r="C296" s="31">
        <v>0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14">
        <f t="shared" si="39"/>
        <v>0</v>
      </c>
      <c r="O296"/>
    </row>
    <row r="297" spans="1:15" ht="14.25" x14ac:dyDescent="0.45">
      <c r="A297" s="61" t="s">
        <v>121</v>
      </c>
      <c r="B297" s="31">
        <v>0</v>
      </c>
      <c r="C297" s="31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14">
        <f t="shared" si="39"/>
        <v>0</v>
      </c>
      <c r="O297"/>
    </row>
    <row r="298" spans="1:15" ht="14.25" x14ac:dyDescent="0.45">
      <c r="A298" s="61" t="s">
        <v>122</v>
      </c>
      <c r="B298" s="31">
        <v>0</v>
      </c>
      <c r="C298" s="31">
        <v>0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14">
        <f t="shared" si="39"/>
        <v>0</v>
      </c>
      <c r="O298"/>
    </row>
    <row r="299" spans="1:15" ht="14.25" x14ac:dyDescent="0.45">
      <c r="A299" s="61" t="s">
        <v>123</v>
      </c>
      <c r="B299" s="31">
        <v>0</v>
      </c>
      <c r="C299" s="31">
        <v>0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14">
        <f t="shared" si="39"/>
        <v>0</v>
      </c>
      <c r="O299"/>
    </row>
    <row r="300" spans="1:15" ht="14.25" x14ac:dyDescent="0.45">
      <c r="A300" s="61" t="s">
        <v>124</v>
      </c>
      <c r="B300" s="31">
        <v>0</v>
      </c>
      <c r="C300" s="31">
        <v>0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14">
        <f t="shared" si="39"/>
        <v>0</v>
      </c>
      <c r="O300"/>
    </row>
    <row r="301" spans="1:15" ht="14.25" x14ac:dyDescent="0.45">
      <c r="A301" s="61" t="s">
        <v>125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4">
        <f t="shared" si="39"/>
        <v>0</v>
      </c>
      <c r="O301"/>
    </row>
    <row r="302" spans="1:15" ht="14.25" x14ac:dyDescent="0.45">
      <c r="A302" s="61" t="s">
        <v>126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4">
        <f t="shared" si="39"/>
        <v>0</v>
      </c>
      <c r="O302"/>
    </row>
    <row r="303" spans="1:15" ht="17.25" customHeight="1" x14ac:dyDescent="0.45">
      <c r="A303" s="70" t="s">
        <v>127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4">
        <f t="shared" ref="N303:N306" si="40">SUM(B303:M303)</f>
        <v>0</v>
      </c>
      <c r="O303"/>
    </row>
    <row r="304" spans="1:15" ht="17.25" customHeight="1" x14ac:dyDescent="0.45">
      <c r="A304" s="70" t="s">
        <v>129</v>
      </c>
      <c r="B304" s="31">
        <v>0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4">
        <f t="shared" si="40"/>
        <v>0</v>
      </c>
      <c r="O304"/>
    </row>
    <row r="305" spans="1:15" ht="17.25" customHeight="1" x14ac:dyDescent="0.45">
      <c r="A305" s="70" t="s">
        <v>130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4">
        <f t="shared" si="40"/>
        <v>0</v>
      </c>
      <c r="O305"/>
    </row>
    <row r="306" spans="1:15" ht="17.25" customHeight="1" x14ac:dyDescent="0.45">
      <c r="A306" s="70" t="s">
        <v>131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4">
        <f t="shared" si="40"/>
        <v>0</v>
      </c>
      <c r="O306"/>
    </row>
    <row r="307" spans="1:15" ht="17.25" customHeight="1" x14ac:dyDescent="0.45">
      <c r="A307" s="70" t="s">
        <v>137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4">
        <f>SUM(B307:M307)</f>
        <v>0</v>
      </c>
      <c r="O307"/>
    </row>
    <row r="308" spans="1:15" ht="17.25" customHeight="1" x14ac:dyDescent="0.45">
      <c r="A308" s="70" t="s">
        <v>132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4">
        <f t="shared" ref="N308:N309" si="41">SUM(B308:M308)</f>
        <v>0</v>
      </c>
      <c r="O308"/>
    </row>
    <row r="309" spans="1:15" ht="17.25" customHeight="1" x14ac:dyDescent="0.45">
      <c r="A309" s="70" t="s">
        <v>136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4">
        <f t="shared" si="41"/>
        <v>0</v>
      </c>
      <c r="O309"/>
    </row>
    <row r="310" spans="1:15" ht="17.25" customHeight="1" x14ac:dyDescent="0.45">
      <c r="A310" s="70" t="s">
        <v>138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4">
        <f t="shared" ref="N310" si="42">SUM(B310:M310)</f>
        <v>0</v>
      </c>
      <c r="O310"/>
    </row>
    <row r="311" spans="1:15" ht="17.25" customHeight="1" x14ac:dyDescent="0.45">
      <c r="A311" s="70" t="s">
        <v>139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4">
        <f t="shared" ref="N311" si="43">SUM(B311:M311)</f>
        <v>0</v>
      </c>
      <c r="O311"/>
    </row>
    <row r="312" spans="1:15" ht="17.25" customHeight="1" x14ac:dyDescent="0.45">
      <c r="A312" s="70" t="s">
        <v>140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4">
        <f t="shared" ref="N312" si="44">SUM(B312:M312)</f>
        <v>0</v>
      </c>
      <c r="O312"/>
    </row>
    <row r="313" spans="1:15" x14ac:dyDescent="0.35">
      <c r="A313" s="15" t="s">
        <v>28</v>
      </c>
      <c r="B313" s="31">
        <f t="shared" ref="B313:N313" si="45">SUM(B289:B312)</f>
        <v>0</v>
      </c>
      <c r="C313" s="31">
        <f t="shared" si="45"/>
        <v>0</v>
      </c>
      <c r="D313" s="31">
        <f t="shared" si="45"/>
        <v>0</v>
      </c>
      <c r="E313" s="31">
        <f t="shared" si="45"/>
        <v>0</v>
      </c>
      <c r="F313" s="31">
        <f t="shared" si="45"/>
        <v>0</v>
      </c>
      <c r="G313" s="31">
        <f t="shared" si="45"/>
        <v>0</v>
      </c>
      <c r="H313" s="31">
        <f t="shared" si="45"/>
        <v>0</v>
      </c>
      <c r="I313" s="31">
        <f t="shared" si="45"/>
        <v>0</v>
      </c>
      <c r="J313" s="31">
        <f t="shared" si="45"/>
        <v>0</v>
      </c>
      <c r="K313" s="31">
        <f t="shared" si="45"/>
        <v>0</v>
      </c>
      <c r="L313" s="31">
        <f t="shared" si="45"/>
        <v>0</v>
      </c>
      <c r="M313" s="31">
        <f t="shared" si="45"/>
        <v>0</v>
      </c>
      <c r="N313" s="14">
        <f t="shared" si="45"/>
        <v>0</v>
      </c>
    </row>
    <row r="314" spans="1:15" x14ac:dyDescent="0.35">
      <c r="A314" s="15"/>
      <c r="N314" s="14"/>
    </row>
    <row r="315" spans="1:15" x14ac:dyDescent="0.35">
      <c r="A315" s="22" t="s">
        <v>29</v>
      </c>
      <c r="N315" s="14"/>
    </row>
    <row r="316" spans="1:15" ht="14.25" x14ac:dyDescent="0.45">
      <c r="A316" s="61" t="s">
        <v>113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4">
        <f t="shared" ref="N316:N330" si="46">SUM(B316:M316)</f>
        <v>0</v>
      </c>
      <c r="O316"/>
    </row>
    <row r="317" spans="1:15" ht="14.25" x14ac:dyDescent="0.45">
      <c r="A317" s="61" t="s">
        <v>114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-51103.95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14">
        <f t="shared" si="46"/>
        <v>-51103.95</v>
      </c>
      <c r="O317"/>
    </row>
    <row r="318" spans="1:15" ht="14.25" x14ac:dyDescent="0.45">
      <c r="A318" s="61" t="s">
        <v>115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4">
        <f t="shared" si="46"/>
        <v>0</v>
      </c>
      <c r="O318"/>
    </row>
    <row r="319" spans="1:15" ht="14.25" x14ac:dyDescent="0.45">
      <c r="A319" s="61" t="s">
        <v>116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4">
        <f t="shared" si="46"/>
        <v>0</v>
      </c>
      <c r="O319"/>
    </row>
    <row r="320" spans="1:15" ht="14.25" x14ac:dyDescent="0.45">
      <c r="A320" s="61" t="s">
        <v>117</v>
      </c>
      <c r="B320" s="31">
        <v>0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4">
        <f t="shared" si="46"/>
        <v>0</v>
      </c>
      <c r="O320"/>
    </row>
    <row r="321" spans="1:15" ht="14.25" x14ac:dyDescent="0.45">
      <c r="A321" s="61" t="s">
        <v>118</v>
      </c>
      <c r="B321" s="31">
        <v>0</v>
      </c>
      <c r="C321" s="31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14">
        <f t="shared" si="46"/>
        <v>0</v>
      </c>
      <c r="O321"/>
    </row>
    <row r="322" spans="1:15" ht="14.25" x14ac:dyDescent="0.45">
      <c r="A322" s="61" t="s">
        <v>119</v>
      </c>
      <c r="B322" s="31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4">
        <f t="shared" si="46"/>
        <v>0</v>
      </c>
      <c r="O322"/>
    </row>
    <row r="323" spans="1:15" ht="14.25" x14ac:dyDescent="0.45">
      <c r="A323" s="61" t="s">
        <v>120</v>
      </c>
      <c r="B323" s="31">
        <v>0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4">
        <f t="shared" si="46"/>
        <v>0</v>
      </c>
      <c r="O323"/>
    </row>
    <row r="324" spans="1:15" ht="14.25" x14ac:dyDescent="0.45">
      <c r="A324" s="61" t="s">
        <v>121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4">
        <f t="shared" si="46"/>
        <v>0</v>
      </c>
      <c r="O324"/>
    </row>
    <row r="325" spans="1:15" ht="14.25" x14ac:dyDescent="0.45">
      <c r="A325" s="61" t="s">
        <v>122</v>
      </c>
      <c r="B325" s="31">
        <v>0</v>
      </c>
      <c r="C325" s="31">
        <v>0</v>
      </c>
      <c r="D325" s="31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4">
        <f t="shared" si="46"/>
        <v>0</v>
      </c>
      <c r="O325"/>
    </row>
    <row r="326" spans="1:15" ht="14.25" x14ac:dyDescent="0.45">
      <c r="A326" s="61" t="s">
        <v>123</v>
      </c>
      <c r="B326" s="31">
        <v>0</v>
      </c>
      <c r="C326" s="31">
        <v>0</v>
      </c>
      <c r="D326" s="31">
        <v>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  <c r="N326" s="14">
        <f t="shared" si="46"/>
        <v>0</v>
      </c>
      <c r="O326"/>
    </row>
    <row r="327" spans="1:15" ht="14.25" x14ac:dyDescent="0.45">
      <c r="A327" s="61" t="s">
        <v>124</v>
      </c>
      <c r="B327" s="31">
        <v>0</v>
      </c>
      <c r="C327" s="31">
        <v>0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14">
        <f t="shared" si="46"/>
        <v>0</v>
      </c>
      <c r="O327"/>
    </row>
    <row r="328" spans="1:15" ht="14.25" x14ac:dyDescent="0.45">
      <c r="A328" s="61" t="s">
        <v>125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14">
        <f t="shared" si="46"/>
        <v>0</v>
      </c>
      <c r="O328"/>
    </row>
    <row r="329" spans="1:15" ht="14.25" x14ac:dyDescent="0.45">
      <c r="A329" s="61" t="s">
        <v>126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14">
        <f t="shared" si="46"/>
        <v>0</v>
      </c>
      <c r="O329"/>
    </row>
    <row r="330" spans="1:15" ht="14.25" x14ac:dyDescent="0.45">
      <c r="A330" s="70" t="s">
        <v>127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14">
        <f t="shared" si="46"/>
        <v>0</v>
      </c>
      <c r="O330" s="52"/>
    </row>
    <row r="331" spans="1:15" ht="14.25" x14ac:dyDescent="0.45">
      <c r="A331" s="70" t="s">
        <v>129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14">
        <f t="shared" ref="N331" si="47">SUM(B331:M331)</f>
        <v>0</v>
      </c>
      <c r="O331" s="52"/>
    </row>
    <row r="332" spans="1:15" ht="14.25" x14ac:dyDescent="0.45">
      <c r="A332" s="70" t="s">
        <v>130</v>
      </c>
      <c r="B332" s="31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14">
        <f t="shared" ref="N332" si="48">SUM(B332:M332)</f>
        <v>0</v>
      </c>
      <c r="O332" s="52"/>
    </row>
    <row r="333" spans="1:15" ht="17.25" customHeight="1" x14ac:dyDescent="0.45">
      <c r="A333" s="70" t="s">
        <v>131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14">
        <f>SUM(B333:M333)</f>
        <v>0</v>
      </c>
      <c r="O333"/>
    </row>
    <row r="334" spans="1:15" ht="17.25" customHeight="1" x14ac:dyDescent="0.45">
      <c r="A334" s="70" t="s">
        <v>137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14">
        <f>SUM(B334:M334)</f>
        <v>0</v>
      </c>
      <c r="O334"/>
    </row>
    <row r="335" spans="1:15" ht="17.25" customHeight="1" x14ac:dyDescent="0.45">
      <c r="A335" s="70" t="s">
        <v>132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14">
        <f>SUM(B335:M335)</f>
        <v>0</v>
      </c>
      <c r="O335"/>
    </row>
    <row r="336" spans="1:15" ht="17.25" customHeight="1" x14ac:dyDescent="0.45">
      <c r="A336" s="70" t="s">
        <v>136</v>
      </c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14">
        <f t="shared" ref="N336" si="49">SUM(B336:M336)</f>
        <v>0</v>
      </c>
      <c r="O336"/>
    </row>
    <row r="337" spans="1:15" ht="17.25" customHeight="1" x14ac:dyDescent="0.45">
      <c r="A337" s="70" t="s">
        <v>138</v>
      </c>
      <c r="B337" s="31">
        <v>0</v>
      </c>
      <c r="C337" s="31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14">
        <f t="shared" ref="N337:N339" si="50">SUM(B337:M337)</f>
        <v>0</v>
      </c>
      <c r="O337"/>
    </row>
    <row r="338" spans="1:15" ht="17.25" customHeight="1" x14ac:dyDescent="0.45">
      <c r="A338" s="70" t="s">
        <v>139</v>
      </c>
      <c r="B338" s="31">
        <v>0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14">
        <f t="shared" si="50"/>
        <v>0</v>
      </c>
      <c r="O338"/>
    </row>
    <row r="339" spans="1:15" ht="17.25" customHeight="1" x14ac:dyDescent="0.45">
      <c r="A339" s="70" t="s">
        <v>141</v>
      </c>
      <c r="B339" s="31">
        <v>0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14">
        <f t="shared" si="50"/>
        <v>0</v>
      </c>
      <c r="O339"/>
    </row>
    <row r="340" spans="1:15" x14ac:dyDescent="0.35">
      <c r="A340" s="15" t="s">
        <v>28</v>
      </c>
      <c r="B340" s="31">
        <f t="shared" ref="B340:N340" si="51">SUM(B316:B339)</f>
        <v>0</v>
      </c>
      <c r="C340" s="31">
        <f t="shared" si="51"/>
        <v>0</v>
      </c>
      <c r="D340" s="31">
        <f t="shared" si="51"/>
        <v>0</v>
      </c>
      <c r="E340" s="31">
        <f t="shared" si="51"/>
        <v>0</v>
      </c>
      <c r="F340" s="31">
        <f t="shared" si="51"/>
        <v>0</v>
      </c>
      <c r="G340" s="31">
        <f t="shared" si="51"/>
        <v>0</v>
      </c>
      <c r="H340" s="31">
        <f t="shared" si="51"/>
        <v>-51103.95</v>
      </c>
      <c r="I340" s="31">
        <f t="shared" si="51"/>
        <v>0</v>
      </c>
      <c r="J340" s="31">
        <f t="shared" si="51"/>
        <v>0</v>
      </c>
      <c r="K340" s="31">
        <f t="shared" si="51"/>
        <v>0</v>
      </c>
      <c r="L340" s="31">
        <f t="shared" si="51"/>
        <v>0</v>
      </c>
      <c r="M340" s="31">
        <f t="shared" si="51"/>
        <v>0</v>
      </c>
      <c r="N340" s="14">
        <f t="shared" si="51"/>
        <v>-51103.95</v>
      </c>
    </row>
    <row r="341" spans="1:15" x14ac:dyDescent="0.35">
      <c r="A341" s="15"/>
      <c r="N341" s="14"/>
    </row>
    <row r="342" spans="1:15" ht="15.4" thickBot="1" x14ac:dyDescent="0.45">
      <c r="A342" s="19" t="s">
        <v>15</v>
      </c>
      <c r="B342" s="35">
        <f t="shared" ref="B342:M342" si="52">+B340+B313+B286</f>
        <v>-173620.51</v>
      </c>
      <c r="C342" s="35">
        <f t="shared" si="52"/>
        <v>443039</v>
      </c>
      <c r="D342" s="35">
        <f t="shared" si="52"/>
        <v>233801</v>
      </c>
      <c r="E342" s="35">
        <f t="shared" si="52"/>
        <v>199662.04</v>
      </c>
      <c r="F342" s="35">
        <f t="shared" si="52"/>
        <v>114405.38</v>
      </c>
      <c r="G342" s="35">
        <f t="shared" si="52"/>
        <v>137591.97</v>
      </c>
      <c r="H342" s="35">
        <f t="shared" si="52"/>
        <v>52418.819999999992</v>
      </c>
      <c r="I342" s="35">
        <f t="shared" si="52"/>
        <v>0</v>
      </c>
      <c r="J342" s="35">
        <f t="shared" si="52"/>
        <v>0</v>
      </c>
      <c r="K342" s="35">
        <f>+K340+K313+K286</f>
        <v>0</v>
      </c>
      <c r="L342" s="35">
        <f t="shared" si="52"/>
        <v>0</v>
      </c>
      <c r="M342" s="35">
        <f t="shared" si="52"/>
        <v>0</v>
      </c>
      <c r="N342" s="20">
        <f>+N340+N287+N313+N286</f>
        <v>1007297.7</v>
      </c>
    </row>
    <row r="343" spans="1:15" ht="15.4" thickBot="1" x14ac:dyDescent="0.45">
      <c r="A343" s="4"/>
    </row>
    <row r="344" spans="1:15" ht="13.15" x14ac:dyDescent="0.4">
      <c r="A344" s="5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7" t="s">
        <v>0</v>
      </c>
    </row>
    <row r="345" spans="1:15" ht="13.5" thickBot="1" x14ac:dyDescent="0.45">
      <c r="A345" s="21" t="s">
        <v>93</v>
      </c>
      <c r="B345" s="34" t="s">
        <v>2</v>
      </c>
      <c r="C345" s="34" t="s">
        <v>3</v>
      </c>
      <c r="D345" s="34" t="s">
        <v>4</v>
      </c>
      <c r="E345" s="34" t="s">
        <v>5</v>
      </c>
      <c r="F345" s="34" t="s">
        <v>6</v>
      </c>
      <c r="G345" s="34" t="s">
        <v>7</v>
      </c>
      <c r="H345" s="34" t="s">
        <v>8</v>
      </c>
      <c r="I345" s="34" t="s">
        <v>9</v>
      </c>
      <c r="J345" s="34" t="s">
        <v>10</v>
      </c>
      <c r="K345" s="34" t="s">
        <v>11</v>
      </c>
      <c r="L345" s="34" t="s">
        <v>12</v>
      </c>
      <c r="M345" s="34" t="s">
        <v>13</v>
      </c>
      <c r="N345" s="10" t="s">
        <v>14</v>
      </c>
    </row>
    <row r="346" spans="1:15" ht="13.15" x14ac:dyDescent="0.4">
      <c r="A346" s="65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53"/>
    </row>
    <row r="347" spans="1:15" x14ac:dyDescent="0.35">
      <c r="A347" s="22" t="s">
        <v>31</v>
      </c>
      <c r="B347" s="31">
        <f>0-B368-B389</f>
        <v>0</v>
      </c>
      <c r="C347" s="31">
        <f t="shared" ref="C347:E347" si="53">0-C368-C389</f>
        <v>0</v>
      </c>
      <c r="D347" s="31">
        <f t="shared" si="53"/>
        <v>0</v>
      </c>
      <c r="E347" s="31">
        <f t="shared" si="53"/>
        <v>0</v>
      </c>
      <c r="F347" s="31">
        <f t="shared" ref="F347:L347" si="54">0-F368-F389</f>
        <v>0</v>
      </c>
      <c r="G347" s="31">
        <f t="shared" si="54"/>
        <v>0</v>
      </c>
      <c r="H347" s="31">
        <f t="shared" si="54"/>
        <v>0</v>
      </c>
      <c r="I347" s="31">
        <f t="shared" si="54"/>
        <v>0</v>
      </c>
      <c r="J347" s="31">
        <f t="shared" si="54"/>
        <v>0</v>
      </c>
      <c r="K347" s="31">
        <f t="shared" si="54"/>
        <v>0</v>
      </c>
      <c r="L347" s="31">
        <f t="shared" si="54"/>
        <v>0</v>
      </c>
      <c r="M347" s="31">
        <f t="shared" ref="M347" si="55">0-M368-M389</f>
        <v>0</v>
      </c>
      <c r="N347" s="14">
        <f>SUM(B347:M347)</f>
        <v>0</v>
      </c>
    </row>
    <row r="348" spans="1:15" x14ac:dyDescent="0.35">
      <c r="A348" s="15" t="s">
        <v>83</v>
      </c>
      <c r="N348" s="14"/>
    </row>
    <row r="349" spans="1:15" x14ac:dyDescent="0.35">
      <c r="A349" s="22" t="s">
        <v>30</v>
      </c>
      <c r="N349" s="14"/>
    </row>
    <row r="350" spans="1:15" x14ac:dyDescent="0.35">
      <c r="A350" s="15" t="s">
        <v>94</v>
      </c>
      <c r="B350" s="31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14">
        <f t="shared" ref="N350:N363" si="56">SUM(B350:M350)</f>
        <v>0</v>
      </c>
      <c r="O350"/>
    </row>
    <row r="351" spans="1:15" x14ac:dyDescent="0.35">
      <c r="A351" s="15" t="s">
        <v>95</v>
      </c>
      <c r="B351" s="31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14">
        <f t="shared" si="56"/>
        <v>0</v>
      </c>
      <c r="O351"/>
    </row>
    <row r="352" spans="1:15" x14ac:dyDescent="0.35">
      <c r="A352" s="15" t="s">
        <v>96</v>
      </c>
      <c r="B352" s="31">
        <v>0</v>
      </c>
      <c r="C352" s="31">
        <v>0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14">
        <f t="shared" si="56"/>
        <v>0</v>
      </c>
      <c r="O352"/>
    </row>
    <row r="353" spans="1:15" x14ac:dyDescent="0.35">
      <c r="A353" s="15" t="s">
        <v>97</v>
      </c>
      <c r="B353" s="31">
        <v>0</v>
      </c>
      <c r="C353" s="31">
        <v>0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14">
        <f t="shared" si="56"/>
        <v>0</v>
      </c>
      <c r="O353"/>
    </row>
    <row r="354" spans="1:15" x14ac:dyDescent="0.35">
      <c r="A354" s="15" t="s">
        <v>98</v>
      </c>
      <c r="B354" s="31">
        <v>0</v>
      </c>
      <c r="C354" s="31">
        <v>0</v>
      </c>
      <c r="D354" s="31">
        <v>0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14">
        <f t="shared" si="56"/>
        <v>0</v>
      </c>
      <c r="O354"/>
    </row>
    <row r="355" spans="1:15" x14ac:dyDescent="0.35">
      <c r="A355" s="15" t="s">
        <v>99</v>
      </c>
      <c r="B355" s="31">
        <v>0</v>
      </c>
      <c r="C355" s="31">
        <v>0</v>
      </c>
      <c r="D355" s="31">
        <v>0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1">
        <v>0</v>
      </c>
      <c r="M355" s="31">
        <v>0</v>
      </c>
      <c r="N355" s="14">
        <f t="shared" si="56"/>
        <v>0</v>
      </c>
      <c r="O355"/>
    </row>
    <row r="356" spans="1:15" x14ac:dyDescent="0.35">
      <c r="A356" s="15" t="s">
        <v>100</v>
      </c>
      <c r="B356" s="31">
        <v>0</v>
      </c>
      <c r="C356" s="31">
        <v>0</v>
      </c>
      <c r="D356" s="31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14">
        <f t="shared" si="56"/>
        <v>0</v>
      </c>
      <c r="O356"/>
    </row>
    <row r="357" spans="1:15" x14ac:dyDescent="0.35">
      <c r="A357" s="15" t="s">
        <v>101</v>
      </c>
      <c r="B357" s="31">
        <v>0</v>
      </c>
      <c r="C357" s="31">
        <v>0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14">
        <f t="shared" si="56"/>
        <v>0</v>
      </c>
      <c r="O357"/>
    </row>
    <row r="358" spans="1:15" x14ac:dyDescent="0.35">
      <c r="A358" s="15" t="s">
        <v>102</v>
      </c>
      <c r="B358" s="31">
        <v>0</v>
      </c>
      <c r="C358" s="31">
        <v>0</v>
      </c>
      <c r="D358" s="31">
        <v>0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14">
        <f t="shared" si="56"/>
        <v>0</v>
      </c>
      <c r="O358"/>
    </row>
    <row r="359" spans="1:15" x14ac:dyDescent="0.35">
      <c r="A359" s="15" t="s">
        <v>103</v>
      </c>
      <c r="B359" s="31">
        <v>0</v>
      </c>
      <c r="C359" s="31">
        <v>0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14">
        <f t="shared" si="56"/>
        <v>0</v>
      </c>
      <c r="O359"/>
    </row>
    <row r="360" spans="1:15" x14ac:dyDescent="0.35">
      <c r="A360" s="15" t="s">
        <v>104</v>
      </c>
      <c r="B360" s="31">
        <v>0</v>
      </c>
      <c r="C360" s="31">
        <v>0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14">
        <f t="shared" si="56"/>
        <v>0</v>
      </c>
      <c r="O360"/>
    </row>
    <row r="361" spans="1:15" x14ac:dyDescent="0.35">
      <c r="A361" s="15" t="s">
        <v>105</v>
      </c>
      <c r="B361" s="31">
        <v>0</v>
      </c>
      <c r="C361" s="31">
        <v>0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14">
        <f t="shared" si="56"/>
        <v>0</v>
      </c>
      <c r="O361"/>
    </row>
    <row r="362" spans="1:15" x14ac:dyDescent="0.35">
      <c r="A362" s="15" t="s">
        <v>106</v>
      </c>
      <c r="B362" s="31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14">
        <f t="shared" si="56"/>
        <v>0</v>
      </c>
      <c r="O362"/>
    </row>
    <row r="363" spans="1:15" x14ac:dyDescent="0.35">
      <c r="A363" s="15" t="s">
        <v>107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14">
        <f t="shared" si="56"/>
        <v>0</v>
      </c>
      <c r="O363"/>
    </row>
    <row r="364" spans="1:15" x14ac:dyDescent="0.35">
      <c r="A364" s="15" t="s">
        <v>108</v>
      </c>
      <c r="B364" s="31">
        <v>0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14">
        <f>SUM(B364:M364)</f>
        <v>0</v>
      </c>
      <c r="O364"/>
    </row>
    <row r="365" spans="1:15" x14ac:dyDescent="0.35">
      <c r="A365" s="15" t="s">
        <v>109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14">
        <f>SUM(B365:M365)</f>
        <v>0</v>
      </c>
      <c r="O365" s="52"/>
    </row>
    <row r="366" spans="1:15" x14ac:dyDescent="0.35">
      <c r="A366" s="15" t="s">
        <v>110</v>
      </c>
      <c r="B366" s="31">
        <v>0</v>
      </c>
      <c r="C366" s="31">
        <v>0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14">
        <f>SUM(B366:M366)</f>
        <v>0</v>
      </c>
      <c r="O366"/>
    </row>
    <row r="367" spans="1:15" x14ac:dyDescent="0.35">
      <c r="A367" s="15" t="s">
        <v>111</v>
      </c>
      <c r="B367" s="31">
        <v>0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14">
        <f>SUM(B367:M367)</f>
        <v>0</v>
      </c>
      <c r="O367"/>
    </row>
    <row r="368" spans="1:15" x14ac:dyDescent="0.35">
      <c r="A368" s="15" t="s">
        <v>28</v>
      </c>
      <c r="B368" s="31">
        <f t="shared" ref="B368:M368" si="57">SUM(B350:B367)</f>
        <v>0</v>
      </c>
      <c r="C368" s="31">
        <f t="shared" si="57"/>
        <v>0</v>
      </c>
      <c r="D368" s="31">
        <f t="shared" si="57"/>
        <v>0</v>
      </c>
      <c r="E368" s="31">
        <f t="shared" si="57"/>
        <v>0</v>
      </c>
      <c r="F368" s="31">
        <f t="shared" si="57"/>
        <v>0</v>
      </c>
      <c r="G368" s="31">
        <f t="shared" si="57"/>
        <v>0</v>
      </c>
      <c r="H368" s="31">
        <f t="shared" si="57"/>
        <v>0</v>
      </c>
      <c r="I368" s="31">
        <f t="shared" si="57"/>
        <v>0</v>
      </c>
      <c r="J368" s="31">
        <f t="shared" si="57"/>
        <v>0</v>
      </c>
      <c r="K368" s="31">
        <f t="shared" si="57"/>
        <v>0</v>
      </c>
      <c r="L368" s="31">
        <f t="shared" si="57"/>
        <v>0</v>
      </c>
      <c r="M368" s="31">
        <f t="shared" si="57"/>
        <v>0</v>
      </c>
      <c r="N368" s="14">
        <f>SUM(B368:M368)</f>
        <v>0</v>
      </c>
    </row>
    <row r="369" spans="1:15" x14ac:dyDescent="0.35">
      <c r="A369" s="15"/>
      <c r="N369" s="14"/>
    </row>
    <row r="370" spans="1:15" x14ac:dyDescent="0.35">
      <c r="A370" s="22" t="s">
        <v>29</v>
      </c>
      <c r="N370" s="14"/>
    </row>
    <row r="371" spans="1:15" x14ac:dyDescent="0.35">
      <c r="A371" s="15" t="s">
        <v>94</v>
      </c>
      <c r="B371" s="31">
        <v>0</v>
      </c>
      <c r="C371" s="31">
        <v>0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14">
        <f t="shared" ref="N371:N389" si="58">SUM(B371:M371)</f>
        <v>0</v>
      </c>
      <c r="O371"/>
    </row>
    <row r="372" spans="1:15" x14ac:dyDescent="0.35">
      <c r="A372" s="15" t="s">
        <v>95</v>
      </c>
      <c r="B372" s="31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14">
        <f t="shared" si="58"/>
        <v>0</v>
      </c>
      <c r="O372"/>
    </row>
    <row r="373" spans="1:15" x14ac:dyDescent="0.35">
      <c r="A373" s="15" t="s">
        <v>96</v>
      </c>
      <c r="B373" s="31">
        <v>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14">
        <f t="shared" si="58"/>
        <v>0</v>
      </c>
      <c r="O373"/>
    </row>
    <row r="374" spans="1:15" x14ac:dyDescent="0.35">
      <c r="A374" s="15" t="s">
        <v>97</v>
      </c>
      <c r="B374" s="31">
        <v>0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14">
        <f t="shared" si="58"/>
        <v>0</v>
      </c>
      <c r="O374"/>
    </row>
    <row r="375" spans="1:15" x14ac:dyDescent="0.35">
      <c r="A375" s="15" t="s">
        <v>98</v>
      </c>
      <c r="B375" s="31">
        <v>0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14">
        <f t="shared" si="58"/>
        <v>0</v>
      </c>
      <c r="O375"/>
    </row>
    <row r="376" spans="1:15" x14ac:dyDescent="0.35">
      <c r="A376" s="15" t="s">
        <v>99</v>
      </c>
      <c r="B376" s="31">
        <v>0</v>
      </c>
      <c r="C376" s="31">
        <v>0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14">
        <f t="shared" si="58"/>
        <v>0</v>
      </c>
      <c r="O376"/>
    </row>
    <row r="377" spans="1:15" x14ac:dyDescent="0.35">
      <c r="A377" s="15" t="s">
        <v>100</v>
      </c>
      <c r="B377" s="31">
        <v>0</v>
      </c>
      <c r="C377" s="31">
        <v>0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14">
        <f t="shared" si="58"/>
        <v>0</v>
      </c>
      <c r="O377"/>
    </row>
    <row r="378" spans="1:15" x14ac:dyDescent="0.35">
      <c r="A378" s="15" t="s">
        <v>101</v>
      </c>
      <c r="B378" s="31">
        <v>0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14">
        <f t="shared" si="58"/>
        <v>0</v>
      </c>
      <c r="O378"/>
    </row>
    <row r="379" spans="1:15" x14ac:dyDescent="0.35">
      <c r="A379" s="15" t="s">
        <v>102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14">
        <f t="shared" si="58"/>
        <v>0</v>
      </c>
      <c r="O379"/>
    </row>
    <row r="380" spans="1:15" x14ac:dyDescent="0.35">
      <c r="A380" s="15" t="s">
        <v>103</v>
      </c>
      <c r="B380" s="31">
        <v>0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14">
        <f t="shared" si="58"/>
        <v>0</v>
      </c>
      <c r="O380"/>
    </row>
    <row r="381" spans="1:15" x14ac:dyDescent="0.35">
      <c r="A381" s="15" t="s">
        <v>104</v>
      </c>
      <c r="B381" s="31">
        <v>0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14">
        <f t="shared" si="58"/>
        <v>0</v>
      </c>
      <c r="O381"/>
    </row>
    <row r="382" spans="1:15" x14ac:dyDescent="0.35">
      <c r="A382" s="15" t="s">
        <v>105</v>
      </c>
      <c r="B382" s="31">
        <v>0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14">
        <f t="shared" si="58"/>
        <v>0</v>
      </c>
      <c r="O382"/>
    </row>
    <row r="383" spans="1:15" x14ac:dyDescent="0.35">
      <c r="A383" s="15" t="s">
        <v>106</v>
      </c>
      <c r="B383" s="31">
        <v>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14">
        <f t="shared" si="58"/>
        <v>0</v>
      </c>
      <c r="O383"/>
    </row>
    <row r="384" spans="1:15" x14ac:dyDescent="0.35">
      <c r="A384" s="15" t="s">
        <v>107</v>
      </c>
      <c r="B384" s="31">
        <v>0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14">
        <f t="shared" si="58"/>
        <v>0</v>
      </c>
      <c r="O384"/>
    </row>
    <row r="385" spans="1:15" x14ac:dyDescent="0.35">
      <c r="A385" s="15" t="s">
        <v>108</v>
      </c>
      <c r="B385" s="31">
        <v>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14">
        <f t="shared" si="58"/>
        <v>0</v>
      </c>
      <c r="O385" s="52"/>
    </row>
    <row r="386" spans="1:15" x14ac:dyDescent="0.35">
      <c r="A386" s="15" t="s">
        <v>109</v>
      </c>
      <c r="B386" s="31">
        <v>0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14">
        <f t="shared" si="58"/>
        <v>0</v>
      </c>
      <c r="O386" s="52"/>
    </row>
    <row r="387" spans="1:15" x14ac:dyDescent="0.35">
      <c r="A387" s="15" t="s">
        <v>110</v>
      </c>
      <c r="B387" s="31">
        <v>0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14">
        <f t="shared" si="58"/>
        <v>0</v>
      </c>
      <c r="O387" s="52"/>
    </row>
    <row r="388" spans="1:15" x14ac:dyDescent="0.35">
      <c r="A388" s="15" t="s">
        <v>111</v>
      </c>
      <c r="B388" s="31">
        <v>0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14">
        <f t="shared" si="58"/>
        <v>0</v>
      </c>
      <c r="O388" s="52"/>
    </row>
    <row r="389" spans="1:15" x14ac:dyDescent="0.35">
      <c r="A389" s="15" t="s">
        <v>28</v>
      </c>
      <c r="B389" s="31">
        <f t="shared" ref="B389:M389" si="59">SUM(B371:B388)</f>
        <v>0</v>
      </c>
      <c r="C389" s="31">
        <f t="shared" si="59"/>
        <v>0</v>
      </c>
      <c r="D389" s="31">
        <f t="shared" si="59"/>
        <v>0</v>
      </c>
      <c r="E389" s="31">
        <f t="shared" si="59"/>
        <v>0</v>
      </c>
      <c r="F389" s="31">
        <f t="shared" si="59"/>
        <v>0</v>
      </c>
      <c r="G389" s="31">
        <f t="shared" si="59"/>
        <v>0</v>
      </c>
      <c r="H389" s="31">
        <f t="shared" si="59"/>
        <v>0</v>
      </c>
      <c r="I389" s="31">
        <f t="shared" si="59"/>
        <v>0</v>
      </c>
      <c r="J389" s="31">
        <f t="shared" si="59"/>
        <v>0</v>
      </c>
      <c r="K389" s="31">
        <f t="shared" si="59"/>
        <v>0</v>
      </c>
      <c r="L389" s="31">
        <f t="shared" si="59"/>
        <v>0</v>
      </c>
      <c r="M389" s="31">
        <f t="shared" si="59"/>
        <v>0</v>
      </c>
      <c r="N389" s="14">
        <f t="shared" si="58"/>
        <v>0</v>
      </c>
    </row>
    <row r="390" spans="1:15" x14ac:dyDescent="0.35">
      <c r="A390" s="15"/>
      <c r="N390" s="14"/>
    </row>
    <row r="391" spans="1:15" ht="15.4" thickBot="1" x14ac:dyDescent="0.45">
      <c r="A391" s="19" t="s">
        <v>15</v>
      </c>
      <c r="B391" s="35">
        <f t="shared" ref="B391:M391" si="60">+B389+B368+B347</f>
        <v>0</v>
      </c>
      <c r="C391" s="35">
        <f t="shared" si="60"/>
        <v>0</v>
      </c>
      <c r="D391" s="35">
        <f t="shared" si="60"/>
        <v>0</v>
      </c>
      <c r="E391" s="35">
        <f t="shared" si="60"/>
        <v>0</v>
      </c>
      <c r="F391" s="35">
        <f t="shared" si="60"/>
        <v>0</v>
      </c>
      <c r="G391" s="35">
        <f t="shared" si="60"/>
        <v>0</v>
      </c>
      <c r="H391" s="35">
        <f t="shared" si="60"/>
        <v>0</v>
      </c>
      <c r="I391" s="35">
        <f t="shared" si="60"/>
        <v>0</v>
      </c>
      <c r="J391" s="35">
        <f t="shared" si="60"/>
        <v>0</v>
      </c>
      <c r="K391" s="35">
        <f t="shared" si="60"/>
        <v>0</v>
      </c>
      <c r="L391" s="35">
        <f t="shared" si="60"/>
        <v>0</v>
      </c>
      <c r="M391" s="35">
        <f t="shared" si="60"/>
        <v>0</v>
      </c>
      <c r="N391" s="20">
        <f>+N389+N348+N368+N347</f>
        <v>0</v>
      </c>
    </row>
    <row r="392" spans="1:15" ht="15.4" thickBot="1" x14ac:dyDescent="0.45">
      <c r="A392" s="4"/>
    </row>
    <row r="393" spans="1:15" ht="13.15" x14ac:dyDescent="0.4">
      <c r="A393" s="5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7" t="s">
        <v>0</v>
      </c>
    </row>
    <row r="394" spans="1:15" ht="13.5" thickBot="1" x14ac:dyDescent="0.45">
      <c r="A394" s="21" t="s">
        <v>92</v>
      </c>
      <c r="B394" s="34" t="s">
        <v>2</v>
      </c>
      <c r="C394" s="34" t="s">
        <v>3</v>
      </c>
      <c r="D394" s="34" t="s">
        <v>4</v>
      </c>
      <c r="E394" s="34" t="s">
        <v>5</v>
      </c>
      <c r="F394" s="34" t="s">
        <v>6</v>
      </c>
      <c r="G394" s="34" t="s">
        <v>7</v>
      </c>
      <c r="H394" s="34" t="s">
        <v>8</v>
      </c>
      <c r="I394" s="34" t="s">
        <v>9</v>
      </c>
      <c r="J394" s="34" t="s">
        <v>10</v>
      </c>
      <c r="K394" s="34" t="s">
        <v>11</v>
      </c>
      <c r="L394" s="34" t="s">
        <v>12</v>
      </c>
      <c r="M394" s="34" t="s">
        <v>13</v>
      </c>
      <c r="N394" s="10" t="s">
        <v>14</v>
      </c>
    </row>
    <row r="395" spans="1:15" ht="13.15" x14ac:dyDescent="0.4">
      <c r="A395" s="54"/>
      <c r="N395" s="14"/>
    </row>
    <row r="396" spans="1:15" x14ac:dyDescent="0.35">
      <c r="A396" s="22" t="s">
        <v>31</v>
      </c>
      <c r="B396" s="31">
        <f>0-B418-B440</f>
        <v>0</v>
      </c>
      <c r="C396" s="31">
        <f>0-C418-C440</f>
        <v>0</v>
      </c>
      <c r="D396" s="31">
        <f t="shared" ref="D396:M396" si="61">0-D418-D440</f>
        <v>0</v>
      </c>
      <c r="E396" s="31">
        <f t="shared" si="61"/>
        <v>0</v>
      </c>
      <c r="F396" s="31">
        <f t="shared" si="61"/>
        <v>0</v>
      </c>
      <c r="G396" s="31">
        <f t="shared" si="61"/>
        <v>0</v>
      </c>
      <c r="H396" s="31">
        <f t="shared" si="61"/>
        <v>0</v>
      </c>
      <c r="I396" s="31">
        <f t="shared" si="61"/>
        <v>0</v>
      </c>
      <c r="J396" s="31">
        <f t="shared" si="61"/>
        <v>0</v>
      </c>
      <c r="K396" s="31">
        <f t="shared" si="61"/>
        <v>0</v>
      </c>
      <c r="L396" s="31">
        <f t="shared" si="61"/>
        <v>0</v>
      </c>
      <c r="M396" s="31">
        <f t="shared" si="61"/>
        <v>0</v>
      </c>
      <c r="N396" s="14">
        <f>SUM(B396:M396)</f>
        <v>0</v>
      </c>
    </row>
    <row r="397" spans="1:15" x14ac:dyDescent="0.35">
      <c r="A397" s="15" t="s">
        <v>83</v>
      </c>
      <c r="N397" s="14">
        <f>SUM(B397:M397)</f>
        <v>0</v>
      </c>
    </row>
    <row r="398" spans="1:15" x14ac:dyDescent="0.35">
      <c r="A398" s="22" t="s">
        <v>30</v>
      </c>
      <c r="N398" s="14"/>
    </row>
    <row r="399" spans="1:15" x14ac:dyDescent="0.35">
      <c r="A399" s="15" t="s">
        <v>69</v>
      </c>
      <c r="B399" s="31">
        <v>0</v>
      </c>
      <c r="C399" s="31">
        <v>0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14">
        <f t="shared" ref="N399:N418" si="62">SUM(B399:M399)</f>
        <v>0</v>
      </c>
      <c r="O399"/>
    </row>
    <row r="400" spans="1:15" x14ac:dyDescent="0.35">
      <c r="A400" s="15" t="s">
        <v>70</v>
      </c>
      <c r="B400" s="31">
        <v>0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14">
        <f t="shared" si="62"/>
        <v>0</v>
      </c>
      <c r="O400"/>
    </row>
    <row r="401" spans="1:15" x14ac:dyDescent="0.35">
      <c r="A401" s="15" t="s">
        <v>71</v>
      </c>
      <c r="B401" s="31">
        <v>0</v>
      </c>
      <c r="C401" s="31">
        <v>0</v>
      </c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14">
        <f t="shared" si="62"/>
        <v>0</v>
      </c>
      <c r="O401"/>
    </row>
    <row r="402" spans="1:15" x14ac:dyDescent="0.35">
      <c r="A402" s="15" t="s">
        <v>72</v>
      </c>
      <c r="B402" s="31">
        <v>0</v>
      </c>
      <c r="C402" s="31">
        <v>0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14">
        <f t="shared" si="62"/>
        <v>0</v>
      </c>
      <c r="O402"/>
    </row>
    <row r="403" spans="1:15" x14ac:dyDescent="0.35">
      <c r="A403" s="15" t="s">
        <v>73</v>
      </c>
      <c r="B403" s="31">
        <v>0</v>
      </c>
      <c r="C403" s="31">
        <v>0</v>
      </c>
      <c r="D403" s="31">
        <v>0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14">
        <f t="shared" si="62"/>
        <v>0</v>
      </c>
      <c r="O403"/>
    </row>
    <row r="404" spans="1:15" x14ac:dyDescent="0.35">
      <c r="A404" s="15" t="s">
        <v>74</v>
      </c>
      <c r="B404" s="31">
        <v>0</v>
      </c>
      <c r="C404" s="31">
        <v>0</v>
      </c>
      <c r="D404" s="31">
        <v>0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14">
        <f t="shared" si="62"/>
        <v>0</v>
      </c>
      <c r="O404"/>
    </row>
    <row r="405" spans="1:15" x14ac:dyDescent="0.35">
      <c r="A405" s="15" t="s">
        <v>75</v>
      </c>
      <c r="B405" s="31">
        <v>0</v>
      </c>
      <c r="C405" s="31">
        <v>0</v>
      </c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14">
        <f t="shared" si="62"/>
        <v>0</v>
      </c>
      <c r="O405"/>
    </row>
    <row r="406" spans="1:15" x14ac:dyDescent="0.35">
      <c r="A406" s="15" t="s">
        <v>76</v>
      </c>
      <c r="B406" s="31">
        <v>0</v>
      </c>
      <c r="C406" s="31">
        <v>0</v>
      </c>
      <c r="D406" s="31">
        <v>0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14">
        <f t="shared" si="62"/>
        <v>0</v>
      </c>
      <c r="O406"/>
    </row>
    <row r="407" spans="1:15" x14ac:dyDescent="0.35">
      <c r="A407" s="15" t="s">
        <v>77</v>
      </c>
      <c r="B407" s="31">
        <v>0</v>
      </c>
      <c r="C407" s="31">
        <v>0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14">
        <f t="shared" si="62"/>
        <v>0</v>
      </c>
      <c r="O407"/>
    </row>
    <row r="408" spans="1:15" x14ac:dyDescent="0.35">
      <c r="A408" s="15" t="s">
        <v>78</v>
      </c>
      <c r="B408" s="31">
        <v>0</v>
      </c>
      <c r="C408" s="31">
        <v>0</v>
      </c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14">
        <f t="shared" ref="N408:N417" si="63">SUM(B408:M408)</f>
        <v>0</v>
      </c>
      <c r="O408"/>
    </row>
    <row r="409" spans="1:15" x14ac:dyDescent="0.35">
      <c r="A409" s="15" t="s">
        <v>79</v>
      </c>
      <c r="B409" s="31">
        <v>0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14">
        <f t="shared" si="63"/>
        <v>0</v>
      </c>
      <c r="O409"/>
    </row>
    <row r="410" spans="1:15" x14ac:dyDescent="0.35">
      <c r="A410" s="15" t="s">
        <v>80</v>
      </c>
      <c r="B410" s="31">
        <v>0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14">
        <f t="shared" si="63"/>
        <v>0</v>
      </c>
      <c r="O410"/>
    </row>
    <row r="411" spans="1:15" x14ac:dyDescent="0.35">
      <c r="A411" s="15" t="s">
        <v>81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14">
        <f t="shared" si="63"/>
        <v>0</v>
      </c>
      <c r="O411"/>
    </row>
    <row r="412" spans="1:15" x14ac:dyDescent="0.35">
      <c r="A412" s="15" t="s">
        <v>86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14">
        <f t="shared" si="63"/>
        <v>0</v>
      </c>
      <c r="O412"/>
    </row>
    <row r="413" spans="1:15" x14ac:dyDescent="0.35">
      <c r="A413" s="15" t="s">
        <v>87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14">
        <f>SUM(B413:M413)</f>
        <v>0</v>
      </c>
      <c r="O413"/>
    </row>
    <row r="414" spans="1:15" x14ac:dyDescent="0.35">
      <c r="A414" s="15" t="s">
        <v>91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14">
        <f>SUM(B414:M414)</f>
        <v>0</v>
      </c>
      <c r="O414" s="52"/>
    </row>
    <row r="415" spans="1:15" x14ac:dyDescent="0.35">
      <c r="A415" s="15" t="s">
        <v>88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14">
        <f>SUM(B415:M415)</f>
        <v>0</v>
      </c>
      <c r="O415"/>
    </row>
    <row r="416" spans="1:15" x14ac:dyDescent="0.35">
      <c r="A416" s="15" t="s">
        <v>89</v>
      </c>
      <c r="B416" s="31">
        <v>0</v>
      </c>
      <c r="C416" s="31">
        <v>0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14">
        <f>SUM(B416:M416)</f>
        <v>0</v>
      </c>
      <c r="O416"/>
    </row>
    <row r="417" spans="1:15" x14ac:dyDescent="0.35">
      <c r="A417" s="15" t="s">
        <v>90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14">
        <f t="shared" si="63"/>
        <v>0</v>
      </c>
      <c r="O417"/>
    </row>
    <row r="418" spans="1:15" x14ac:dyDescent="0.35">
      <c r="A418" s="15" t="s">
        <v>28</v>
      </c>
      <c r="B418" s="31">
        <f>SUM(B399:B417)</f>
        <v>0</v>
      </c>
      <c r="C418" s="31">
        <f t="shared" ref="C418:M418" si="64">SUM(C399:C417)</f>
        <v>0</v>
      </c>
      <c r="D418" s="31">
        <f t="shared" si="64"/>
        <v>0</v>
      </c>
      <c r="E418" s="31">
        <f t="shared" si="64"/>
        <v>0</v>
      </c>
      <c r="F418" s="31">
        <f t="shared" si="64"/>
        <v>0</v>
      </c>
      <c r="G418" s="31">
        <f t="shared" si="64"/>
        <v>0</v>
      </c>
      <c r="H418" s="31">
        <f t="shared" si="64"/>
        <v>0</v>
      </c>
      <c r="I418" s="31">
        <f t="shared" si="64"/>
        <v>0</v>
      </c>
      <c r="J418" s="31">
        <f t="shared" si="64"/>
        <v>0</v>
      </c>
      <c r="K418" s="31">
        <f t="shared" si="64"/>
        <v>0</v>
      </c>
      <c r="L418" s="31">
        <f t="shared" si="64"/>
        <v>0</v>
      </c>
      <c r="M418" s="31">
        <f t="shared" si="64"/>
        <v>0</v>
      </c>
      <c r="N418" s="14">
        <f t="shared" si="62"/>
        <v>0</v>
      </c>
    </row>
    <row r="419" spans="1:15" x14ac:dyDescent="0.35">
      <c r="A419" s="15"/>
      <c r="N419" s="14"/>
    </row>
    <row r="420" spans="1:15" x14ac:dyDescent="0.35">
      <c r="A420" s="22" t="s">
        <v>29</v>
      </c>
      <c r="N420" s="14"/>
    </row>
    <row r="421" spans="1:15" x14ac:dyDescent="0.35">
      <c r="A421" s="15" t="s">
        <v>69</v>
      </c>
      <c r="B421" s="31">
        <v>0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14">
        <f t="shared" ref="N421:N427" si="65">SUM(B421:M421)</f>
        <v>0</v>
      </c>
      <c r="O421"/>
    </row>
    <row r="422" spans="1:15" x14ac:dyDescent="0.35">
      <c r="A422" s="15" t="s">
        <v>70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14">
        <f t="shared" si="65"/>
        <v>0</v>
      </c>
      <c r="O422"/>
    </row>
    <row r="423" spans="1:15" x14ac:dyDescent="0.35">
      <c r="A423" s="15" t="s">
        <v>71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14">
        <f t="shared" si="65"/>
        <v>0</v>
      </c>
      <c r="O423"/>
    </row>
    <row r="424" spans="1:15" x14ac:dyDescent="0.35">
      <c r="A424" s="15" t="s">
        <v>72</v>
      </c>
      <c r="B424" s="31">
        <v>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14">
        <f t="shared" si="65"/>
        <v>0</v>
      </c>
      <c r="O424"/>
    </row>
    <row r="425" spans="1:15" x14ac:dyDescent="0.35">
      <c r="A425" s="15" t="s">
        <v>73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14">
        <f t="shared" si="65"/>
        <v>0</v>
      </c>
      <c r="O425"/>
    </row>
    <row r="426" spans="1:15" x14ac:dyDescent="0.35">
      <c r="A426" s="15" t="s">
        <v>74</v>
      </c>
      <c r="B426" s="31">
        <v>0</v>
      </c>
      <c r="C426" s="31">
        <v>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14">
        <f t="shared" si="65"/>
        <v>0</v>
      </c>
      <c r="O426"/>
    </row>
    <row r="427" spans="1:15" x14ac:dyDescent="0.35">
      <c r="A427" s="15" t="s">
        <v>75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14">
        <f t="shared" si="65"/>
        <v>0</v>
      </c>
      <c r="O427"/>
    </row>
    <row r="428" spans="1:15" x14ac:dyDescent="0.35">
      <c r="A428" s="15" t="s">
        <v>76</v>
      </c>
      <c r="B428" s="31">
        <v>0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14">
        <f t="shared" ref="N428:N440" si="66">SUM(B428:M428)</f>
        <v>0</v>
      </c>
      <c r="O428"/>
    </row>
    <row r="429" spans="1:15" x14ac:dyDescent="0.35">
      <c r="A429" s="15" t="s">
        <v>77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14">
        <f t="shared" si="66"/>
        <v>0</v>
      </c>
      <c r="O429"/>
    </row>
    <row r="430" spans="1:15" x14ac:dyDescent="0.35">
      <c r="A430" s="15" t="s">
        <v>78</v>
      </c>
      <c r="B430" s="31">
        <v>0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14">
        <f t="shared" si="66"/>
        <v>0</v>
      </c>
      <c r="O430"/>
    </row>
    <row r="431" spans="1:15" x14ac:dyDescent="0.35">
      <c r="A431" s="15" t="s">
        <v>79</v>
      </c>
      <c r="B431" s="31">
        <v>0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14">
        <f t="shared" si="66"/>
        <v>0</v>
      </c>
      <c r="O431"/>
    </row>
    <row r="432" spans="1:15" x14ac:dyDescent="0.35">
      <c r="A432" s="15" t="s">
        <v>80</v>
      </c>
      <c r="B432" s="31">
        <v>0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14">
        <f t="shared" si="66"/>
        <v>0</v>
      </c>
      <c r="O432"/>
    </row>
    <row r="433" spans="1:15" x14ac:dyDescent="0.35">
      <c r="A433" s="15" t="s">
        <v>81</v>
      </c>
      <c r="B433" s="31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14">
        <f t="shared" si="66"/>
        <v>0</v>
      </c>
      <c r="O433"/>
    </row>
    <row r="434" spans="1:15" x14ac:dyDescent="0.35">
      <c r="A434" s="15" t="s">
        <v>86</v>
      </c>
      <c r="B434" s="31">
        <v>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14">
        <f t="shared" ref="N434:N439" si="67">SUM(B434:M434)</f>
        <v>0</v>
      </c>
      <c r="O434"/>
    </row>
    <row r="435" spans="1:15" x14ac:dyDescent="0.35">
      <c r="A435" s="15" t="s">
        <v>87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14">
        <f t="shared" si="67"/>
        <v>0</v>
      </c>
      <c r="O435" s="52"/>
    </row>
    <row r="436" spans="1:15" x14ac:dyDescent="0.35">
      <c r="A436" s="15" t="s">
        <v>91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14">
        <f t="shared" si="67"/>
        <v>0</v>
      </c>
      <c r="O436" s="52"/>
    </row>
    <row r="437" spans="1:15" x14ac:dyDescent="0.35">
      <c r="A437" s="15" t="s">
        <v>88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14">
        <f t="shared" si="67"/>
        <v>0</v>
      </c>
      <c r="O437" s="52"/>
    </row>
    <row r="438" spans="1:15" x14ac:dyDescent="0.35">
      <c r="A438" s="15" t="s">
        <v>89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14">
        <f t="shared" si="67"/>
        <v>0</v>
      </c>
      <c r="O438" s="52"/>
    </row>
    <row r="439" spans="1:15" x14ac:dyDescent="0.35">
      <c r="A439" s="15" t="s">
        <v>90</v>
      </c>
      <c r="B439" s="31">
        <v>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14">
        <f t="shared" si="67"/>
        <v>0</v>
      </c>
      <c r="O439" s="52"/>
    </row>
    <row r="440" spans="1:15" x14ac:dyDescent="0.35">
      <c r="A440" s="15" t="s">
        <v>28</v>
      </c>
      <c r="B440" s="31">
        <f>SUM(B421:B439)</f>
        <v>0</v>
      </c>
      <c r="C440" s="31">
        <f t="shared" ref="C440:M440" si="68">SUM(C421:C439)</f>
        <v>0</v>
      </c>
      <c r="D440" s="31">
        <f t="shared" si="68"/>
        <v>0</v>
      </c>
      <c r="E440" s="31">
        <f t="shared" si="68"/>
        <v>0</v>
      </c>
      <c r="F440" s="31">
        <f t="shared" si="68"/>
        <v>0</v>
      </c>
      <c r="G440" s="31">
        <f t="shared" si="68"/>
        <v>0</v>
      </c>
      <c r="H440" s="31">
        <f t="shared" si="68"/>
        <v>0</v>
      </c>
      <c r="I440" s="31">
        <f t="shared" si="68"/>
        <v>0</v>
      </c>
      <c r="J440" s="31">
        <f t="shared" si="68"/>
        <v>0</v>
      </c>
      <c r="K440" s="31">
        <f t="shared" si="68"/>
        <v>0</v>
      </c>
      <c r="L440" s="31">
        <f t="shared" si="68"/>
        <v>0</v>
      </c>
      <c r="M440" s="31">
        <f t="shared" si="68"/>
        <v>0</v>
      </c>
      <c r="N440" s="14">
        <f t="shared" si="66"/>
        <v>0</v>
      </c>
    </row>
    <row r="441" spans="1:15" x14ac:dyDescent="0.35">
      <c r="A441" s="15"/>
      <c r="N441" s="14"/>
    </row>
    <row r="442" spans="1:15" ht="15.4" thickBot="1" x14ac:dyDescent="0.45">
      <c r="A442" s="19" t="s">
        <v>15</v>
      </c>
      <c r="B442" s="35">
        <f>+B440+B418+B396</f>
        <v>0</v>
      </c>
      <c r="C442" s="35">
        <f t="shared" ref="C442:M442" si="69">+C440+C418+C396</f>
        <v>0</v>
      </c>
      <c r="D442" s="35">
        <f t="shared" si="69"/>
        <v>0</v>
      </c>
      <c r="E442" s="35">
        <f t="shared" si="69"/>
        <v>0</v>
      </c>
      <c r="F442" s="35">
        <f t="shared" si="69"/>
        <v>0</v>
      </c>
      <c r="G442" s="35">
        <f t="shared" si="69"/>
        <v>0</v>
      </c>
      <c r="H442" s="35">
        <f t="shared" si="69"/>
        <v>0</v>
      </c>
      <c r="I442" s="35">
        <f t="shared" si="69"/>
        <v>0</v>
      </c>
      <c r="J442" s="35">
        <f t="shared" si="69"/>
        <v>0</v>
      </c>
      <c r="K442" s="35">
        <f t="shared" si="69"/>
        <v>0</v>
      </c>
      <c r="L442" s="35">
        <f t="shared" si="69"/>
        <v>0</v>
      </c>
      <c r="M442" s="35">
        <f t="shared" si="69"/>
        <v>0</v>
      </c>
      <c r="N442" s="20">
        <f>+N440+N397+N418+N396</f>
        <v>0</v>
      </c>
    </row>
    <row r="443" spans="1:15" ht="13.15" x14ac:dyDescent="0.4">
      <c r="A443" s="5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7" t="s">
        <v>0</v>
      </c>
    </row>
    <row r="444" spans="1:15" ht="13.5" thickBot="1" x14ac:dyDescent="0.45">
      <c r="A444" s="21" t="s">
        <v>34</v>
      </c>
      <c r="B444" s="34" t="s">
        <v>2</v>
      </c>
      <c r="C444" s="34" t="s">
        <v>3</v>
      </c>
      <c r="D444" s="34" t="s">
        <v>4</v>
      </c>
      <c r="E444" s="34" t="s">
        <v>5</v>
      </c>
      <c r="F444" s="34" t="s">
        <v>6</v>
      </c>
      <c r="G444" s="34" t="s">
        <v>7</v>
      </c>
      <c r="H444" s="34" t="s">
        <v>8</v>
      </c>
      <c r="I444" s="34" t="s">
        <v>9</v>
      </c>
      <c r="J444" s="34" t="s">
        <v>10</v>
      </c>
      <c r="K444" s="34" t="s">
        <v>11</v>
      </c>
      <c r="L444" s="34" t="s">
        <v>12</v>
      </c>
      <c r="M444" s="34" t="s">
        <v>13</v>
      </c>
      <c r="N444" s="10" t="s">
        <v>14</v>
      </c>
    </row>
    <row r="445" spans="1:15" ht="13.15" x14ac:dyDescent="0.4">
      <c r="A445" s="54"/>
      <c r="N445" s="14"/>
    </row>
    <row r="446" spans="1:15" x14ac:dyDescent="0.35">
      <c r="A446" s="22" t="s">
        <v>31</v>
      </c>
      <c r="B446" s="31">
        <f>0-B459-B471</f>
        <v>0</v>
      </c>
      <c r="C446" s="31">
        <f t="shared" ref="C446:M446" si="70">0-C459-C471</f>
        <v>0</v>
      </c>
      <c r="D446" s="31">
        <f t="shared" si="70"/>
        <v>0</v>
      </c>
      <c r="E446" s="31">
        <f t="shared" si="70"/>
        <v>0</v>
      </c>
      <c r="F446" s="31">
        <f t="shared" si="70"/>
        <v>0</v>
      </c>
      <c r="G446" s="31">
        <f t="shared" si="70"/>
        <v>0</v>
      </c>
      <c r="H446" s="31">
        <f t="shared" si="70"/>
        <v>0</v>
      </c>
      <c r="I446" s="31">
        <f t="shared" si="70"/>
        <v>0</v>
      </c>
      <c r="J446" s="31">
        <f t="shared" si="70"/>
        <v>0</v>
      </c>
      <c r="K446" s="31">
        <f t="shared" si="70"/>
        <v>0</v>
      </c>
      <c r="L446" s="31">
        <f t="shared" si="70"/>
        <v>0</v>
      </c>
      <c r="M446" s="31">
        <f t="shared" si="70"/>
        <v>0</v>
      </c>
      <c r="N446" s="14">
        <f>SUM(B446:M446)</f>
        <v>0</v>
      </c>
    </row>
    <row r="447" spans="1:15" x14ac:dyDescent="0.35">
      <c r="A447" s="15" t="s">
        <v>83</v>
      </c>
      <c r="N447" s="14">
        <f>SUM(B447:M447)</f>
        <v>0</v>
      </c>
    </row>
    <row r="448" spans="1:15" x14ac:dyDescent="0.35">
      <c r="A448" s="15" t="s">
        <v>0</v>
      </c>
      <c r="N448" s="14"/>
    </row>
    <row r="449" spans="1:15" x14ac:dyDescent="0.35">
      <c r="A449" s="22" t="s">
        <v>30</v>
      </c>
      <c r="N449" s="14"/>
    </row>
    <row r="450" spans="1:15" x14ac:dyDescent="0.35">
      <c r="A450" s="15" t="s">
        <v>55</v>
      </c>
      <c r="B450" s="31">
        <v>0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14">
        <f t="shared" ref="N450:N459" si="71">SUM(B450:M450)</f>
        <v>0</v>
      </c>
      <c r="O450"/>
    </row>
    <row r="451" spans="1:15" x14ac:dyDescent="0.35">
      <c r="A451" s="15" t="s">
        <v>56</v>
      </c>
      <c r="B451" s="31">
        <v>0</v>
      </c>
      <c r="C451" s="31">
        <v>0</v>
      </c>
      <c r="D451" s="31">
        <v>0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14">
        <f t="shared" si="71"/>
        <v>0</v>
      </c>
      <c r="O451"/>
    </row>
    <row r="452" spans="1:15" x14ac:dyDescent="0.35">
      <c r="A452" s="15" t="s">
        <v>57</v>
      </c>
      <c r="B452" s="31">
        <v>0</v>
      </c>
      <c r="C452" s="31">
        <v>0</v>
      </c>
      <c r="D452" s="31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1">
        <v>0</v>
      </c>
      <c r="L452" s="31">
        <v>0</v>
      </c>
      <c r="M452" s="31">
        <v>0</v>
      </c>
      <c r="N452" s="14">
        <f t="shared" si="71"/>
        <v>0</v>
      </c>
      <c r="O452"/>
    </row>
    <row r="453" spans="1:15" x14ac:dyDescent="0.35">
      <c r="A453" s="15" t="s">
        <v>58</v>
      </c>
      <c r="B453" s="31">
        <v>0</v>
      </c>
      <c r="C453" s="31">
        <v>0</v>
      </c>
      <c r="D453" s="31">
        <v>0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1">
        <v>0</v>
      </c>
      <c r="L453" s="31">
        <v>0</v>
      </c>
      <c r="M453" s="31">
        <v>0</v>
      </c>
      <c r="N453" s="14">
        <f t="shared" si="71"/>
        <v>0</v>
      </c>
      <c r="O453"/>
    </row>
    <row r="454" spans="1:15" x14ac:dyDescent="0.35">
      <c r="A454" s="15" t="s">
        <v>59</v>
      </c>
      <c r="B454" s="31">
        <v>0</v>
      </c>
      <c r="C454" s="31">
        <v>0</v>
      </c>
      <c r="D454" s="31">
        <v>0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1">
        <v>0</v>
      </c>
      <c r="L454" s="31">
        <v>0</v>
      </c>
      <c r="M454" s="31">
        <v>0</v>
      </c>
      <c r="N454" s="14">
        <f t="shared" si="71"/>
        <v>0</v>
      </c>
      <c r="O454"/>
    </row>
    <row r="455" spans="1:15" x14ac:dyDescent="0.35">
      <c r="A455" s="15" t="s">
        <v>60</v>
      </c>
      <c r="B455" s="31">
        <v>0</v>
      </c>
      <c r="C455" s="31">
        <v>0</v>
      </c>
      <c r="D455" s="31">
        <v>0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1">
        <v>0</v>
      </c>
      <c r="L455" s="31">
        <v>0</v>
      </c>
      <c r="M455" s="31">
        <v>0</v>
      </c>
      <c r="N455" s="14">
        <f t="shared" si="71"/>
        <v>0</v>
      </c>
      <c r="O455"/>
    </row>
    <row r="456" spans="1:15" x14ac:dyDescent="0.35">
      <c r="A456" s="15" t="s">
        <v>61</v>
      </c>
      <c r="B456" s="31">
        <v>0</v>
      </c>
      <c r="C456" s="31">
        <v>0</v>
      </c>
      <c r="D456" s="31">
        <v>0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1">
        <v>0</v>
      </c>
      <c r="L456" s="31">
        <v>0</v>
      </c>
      <c r="M456" s="31">
        <v>0</v>
      </c>
      <c r="N456" s="14">
        <f t="shared" si="71"/>
        <v>0</v>
      </c>
      <c r="O456"/>
    </row>
    <row r="457" spans="1:15" x14ac:dyDescent="0.35">
      <c r="A457" s="15" t="s">
        <v>62</v>
      </c>
      <c r="B457" s="31">
        <v>0</v>
      </c>
      <c r="C457" s="31">
        <v>0</v>
      </c>
      <c r="D457" s="31">
        <v>0</v>
      </c>
      <c r="E457" s="31">
        <v>0</v>
      </c>
      <c r="F457" s="31">
        <v>0</v>
      </c>
      <c r="G457" s="31">
        <v>0</v>
      </c>
      <c r="H457" s="31">
        <v>0</v>
      </c>
      <c r="I457" s="31">
        <v>0</v>
      </c>
      <c r="J457" s="31">
        <v>0</v>
      </c>
      <c r="K457" s="31">
        <v>0</v>
      </c>
      <c r="L457" s="31">
        <v>0</v>
      </c>
      <c r="M457" s="31">
        <v>0</v>
      </c>
      <c r="N457" s="14">
        <f t="shared" si="71"/>
        <v>0</v>
      </c>
      <c r="O457"/>
    </row>
    <row r="458" spans="1:15" x14ac:dyDescent="0.35">
      <c r="A458" s="15" t="s">
        <v>63</v>
      </c>
      <c r="B458" s="31">
        <v>0</v>
      </c>
      <c r="C458" s="31">
        <v>0</v>
      </c>
      <c r="D458" s="31">
        <v>0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14">
        <f t="shared" si="71"/>
        <v>0</v>
      </c>
      <c r="O458"/>
    </row>
    <row r="459" spans="1:15" x14ac:dyDescent="0.35">
      <c r="A459" s="15" t="s">
        <v>28</v>
      </c>
      <c r="B459" s="31">
        <f t="shared" ref="B459:M459" si="72">SUM(B450:B458)</f>
        <v>0</v>
      </c>
      <c r="C459" s="31">
        <f t="shared" si="72"/>
        <v>0</v>
      </c>
      <c r="D459" s="31">
        <f t="shared" si="72"/>
        <v>0</v>
      </c>
      <c r="E459" s="31">
        <f t="shared" si="72"/>
        <v>0</v>
      </c>
      <c r="F459" s="31">
        <f t="shared" si="72"/>
        <v>0</v>
      </c>
      <c r="G459" s="31">
        <f t="shared" si="72"/>
        <v>0</v>
      </c>
      <c r="H459" s="31">
        <f t="shared" si="72"/>
        <v>0</v>
      </c>
      <c r="I459" s="31">
        <f t="shared" si="72"/>
        <v>0</v>
      </c>
      <c r="J459" s="31">
        <f t="shared" si="72"/>
        <v>0</v>
      </c>
      <c r="K459" s="31">
        <f t="shared" si="72"/>
        <v>0</v>
      </c>
      <c r="L459" s="31">
        <f t="shared" si="72"/>
        <v>0</v>
      </c>
      <c r="M459" s="31">
        <f t="shared" si="72"/>
        <v>0</v>
      </c>
      <c r="N459" s="14">
        <f t="shared" si="71"/>
        <v>0</v>
      </c>
    </row>
    <row r="460" spans="1:15" x14ac:dyDescent="0.35">
      <c r="A460" s="15"/>
      <c r="N460" s="14"/>
    </row>
    <row r="461" spans="1:15" x14ac:dyDescent="0.35">
      <c r="A461" s="22" t="s">
        <v>29</v>
      </c>
      <c r="N461" s="14"/>
    </row>
    <row r="462" spans="1:15" x14ac:dyDescent="0.35">
      <c r="A462" s="15" t="s">
        <v>55</v>
      </c>
      <c r="B462" s="31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14">
        <f t="shared" ref="N462:N468" si="73">SUM(B462:M462)</f>
        <v>0</v>
      </c>
      <c r="O462"/>
    </row>
    <row r="463" spans="1:15" x14ac:dyDescent="0.35">
      <c r="A463" s="15" t="s">
        <v>56</v>
      </c>
      <c r="B463" s="31">
        <v>0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14">
        <f t="shared" si="73"/>
        <v>0</v>
      </c>
      <c r="O463"/>
    </row>
    <row r="464" spans="1:15" x14ac:dyDescent="0.35">
      <c r="A464" s="15" t="s">
        <v>57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14">
        <f t="shared" si="73"/>
        <v>0</v>
      </c>
      <c r="O464"/>
    </row>
    <row r="465" spans="1:15" x14ac:dyDescent="0.35">
      <c r="A465" s="15" t="s">
        <v>58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14">
        <f t="shared" si="73"/>
        <v>0</v>
      </c>
      <c r="O465"/>
    </row>
    <row r="466" spans="1:15" x14ac:dyDescent="0.35">
      <c r="A466" s="15" t="s">
        <v>59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14">
        <f t="shared" si="73"/>
        <v>0</v>
      </c>
      <c r="O466"/>
    </row>
    <row r="467" spans="1:15" x14ac:dyDescent="0.35">
      <c r="A467" s="15" t="s">
        <v>60</v>
      </c>
      <c r="B467" s="31">
        <v>0</v>
      </c>
      <c r="C467" s="31">
        <v>0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14">
        <f t="shared" si="73"/>
        <v>0</v>
      </c>
      <c r="O467"/>
    </row>
    <row r="468" spans="1:15" x14ac:dyDescent="0.35">
      <c r="A468" s="15" t="s">
        <v>61</v>
      </c>
      <c r="B468" s="31">
        <v>0</v>
      </c>
      <c r="C468" s="31">
        <v>0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14">
        <f t="shared" si="73"/>
        <v>0</v>
      </c>
      <c r="O468"/>
    </row>
    <row r="469" spans="1:15" x14ac:dyDescent="0.35">
      <c r="A469" s="15" t="s">
        <v>62</v>
      </c>
      <c r="B469" s="31">
        <v>0</v>
      </c>
      <c r="C469" s="31">
        <v>0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14">
        <f>SUM(B469:M469)</f>
        <v>0</v>
      </c>
      <c r="O469"/>
    </row>
    <row r="470" spans="1:15" x14ac:dyDescent="0.35">
      <c r="A470" s="15" t="s">
        <v>63</v>
      </c>
      <c r="B470" s="31">
        <v>0</v>
      </c>
      <c r="C470" s="31">
        <v>0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14">
        <f>SUM(B470:M470)</f>
        <v>0</v>
      </c>
      <c r="O470"/>
    </row>
    <row r="471" spans="1:15" x14ac:dyDescent="0.35">
      <c r="A471" s="15" t="s">
        <v>28</v>
      </c>
      <c r="B471" s="31">
        <f>SUM(B462:B470)</f>
        <v>0</v>
      </c>
      <c r="C471" s="31">
        <f t="shared" ref="C471:M471" si="74">SUM(C462:C470)</f>
        <v>0</v>
      </c>
      <c r="D471" s="31">
        <f t="shared" si="74"/>
        <v>0</v>
      </c>
      <c r="E471" s="31">
        <f t="shared" si="74"/>
        <v>0</v>
      </c>
      <c r="F471" s="31">
        <f t="shared" si="74"/>
        <v>0</v>
      </c>
      <c r="G471" s="31">
        <f t="shared" si="74"/>
        <v>0</v>
      </c>
      <c r="H471" s="31">
        <f t="shared" si="74"/>
        <v>0</v>
      </c>
      <c r="I471" s="31">
        <f t="shared" si="74"/>
        <v>0</v>
      </c>
      <c r="J471" s="31">
        <f t="shared" si="74"/>
        <v>0</v>
      </c>
      <c r="K471" s="31">
        <f t="shared" si="74"/>
        <v>0</v>
      </c>
      <c r="L471" s="31">
        <f t="shared" si="74"/>
        <v>0</v>
      </c>
      <c r="M471" s="31">
        <f t="shared" si="74"/>
        <v>0</v>
      </c>
      <c r="N471" s="14">
        <f>SUM(B471:M471)</f>
        <v>0</v>
      </c>
    </row>
    <row r="472" spans="1:15" x14ac:dyDescent="0.35">
      <c r="A472" s="15"/>
      <c r="N472" s="14"/>
    </row>
    <row r="473" spans="1:15" ht="15.4" thickBot="1" x14ac:dyDescent="0.45">
      <c r="A473" s="19" t="s">
        <v>15</v>
      </c>
      <c r="B473" s="35">
        <f>+B471+B459+B446</f>
        <v>0</v>
      </c>
      <c r="C473" s="35">
        <f t="shared" ref="C473:M473" si="75">+C471+C459+C446</f>
        <v>0</v>
      </c>
      <c r="D473" s="35">
        <f t="shared" si="75"/>
        <v>0</v>
      </c>
      <c r="E473" s="35">
        <f t="shared" si="75"/>
        <v>0</v>
      </c>
      <c r="F473" s="35">
        <f t="shared" si="75"/>
        <v>0</v>
      </c>
      <c r="G473" s="35">
        <f t="shared" si="75"/>
        <v>0</v>
      </c>
      <c r="H473" s="35">
        <f t="shared" si="75"/>
        <v>0</v>
      </c>
      <c r="I473" s="35">
        <f t="shared" si="75"/>
        <v>0</v>
      </c>
      <c r="J473" s="35">
        <f t="shared" si="75"/>
        <v>0</v>
      </c>
      <c r="K473" s="35">
        <f t="shared" si="75"/>
        <v>0</v>
      </c>
      <c r="L473" s="35">
        <f t="shared" si="75"/>
        <v>0</v>
      </c>
      <c r="M473" s="35">
        <f t="shared" si="75"/>
        <v>0</v>
      </c>
      <c r="N473" s="20">
        <f>+N471+N447+N459+N446</f>
        <v>0</v>
      </c>
    </row>
    <row r="474" spans="1:15" ht="13.15" thickBot="1" x14ac:dyDescent="0.4"/>
    <row r="475" spans="1:15" ht="13.15" x14ac:dyDescent="0.4">
      <c r="A475" s="5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7" t="s">
        <v>0</v>
      </c>
    </row>
    <row r="476" spans="1:15" ht="13.5" thickBot="1" x14ac:dyDescent="0.45">
      <c r="A476" s="21" t="s">
        <v>35</v>
      </c>
      <c r="B476" s="34" t="s">
        <v>2</v>
      </c>
      <c r="C476" s="34" t="s">
        <v>3</v>
      </c>
      <c r="D476" s="34" t="s">
        <v>4</v>
      </c>
      <c r="E476" s="34" t="s">
        <v>5</v>
      </c>
      <c r="F476" s="34" t="s">
        <v>6</v>
      </c>
      <c r="G476" s="34" t="s">
        <v>7</v>
      </c>
      <c r="H476" s="34" t="s">
        <v>8</v>
      </c>
      <c r="I476" s="34" t="s">
        <v>9</v>
      </c>
      <c r="J476" s="34" t="s">
        <v>10</v>
      </c>
      <c r="K476" s="34" t="s">
        <v>11</v>
      </c>
      <c r="L476" s="34" t="s">
        <v>12</v>
      </c>
      <c r="M476" s="34" t="s">
        <v>13</v>
      </c>
      <c r="N476" s="10" t="s">
        <v>14</v>
      </c>
    </row>
    <row r="477" spans="1:15" x14ac:dyDescent="0.35">
      <c r="A477" s="15" t="s">
        <v>0</v>
      </c>
      <c r="N477" s="14"/>
    </row>
    <row r="478" spans="1:15" x14ac:dyDescent="0.35">
      <c r="A478" s="22" t="s">
        <v>31</v>
      </c>
      <c r="B478" s="31">
        <f>0-B493</f>
        <v>0</v>
      </c>
      <c r="C478" s="31">
        <f t="shared" ref="C478:M478" si="76">0-C493</f>
        <v>0</v>
      </c>
      <c r="D478" s="31">
        <f t="shared" si="76"/>
        <v>0</v>
      </c>
      <c r="E478" s="31">
        <f t="shared" si="76"/>
        <v>0</v>
      </c>
      <c r="F478" s="31">
        <f t="shared" si="76"/>
        <v>0</v>
      </c>
      <c r="G478" s="31">
        <f t="shared" si="76"/>
        <v>0</v>
      </c>
      <c r="H478" s="31">
        <f t="shared" si="76"/>
        <v>0</v>
      </c>
      <c r="I478" s="31">
        <f t="shared" si="76"/>
        <v>0</v>
      </c>
      <c r="J478" s="31">
        <f t="shared" si="76"/>
        <v>0</v>
      </c>
      <c r="K478" s="31">
        <f t="shared" si="76"/>
        <v>0</v>
      </c>
      <c r="L478" s="31">
        <f t="shared" si="76"/>
        <v>0</v>
      </c>
      <c r="M478" s="31">
        <f t="shared" si="76"/>
        <v>0</v>
      </c>
      <c r="N478" s="14">
        <f>SUM(B478:M478)</f>
        <v>0</v>
      </c>
    </row>
    <row r="479" spans="1:15" x14ac:dyDescent="0.35">
      <c r="A479" s="15" t="s">
        <v>0</v>
      </c>
      <c r="N479" s="14"/>
    </row>
    <row r="480" spans="1:15" x14ac:dyDescent="0.35">
      <c r="A480" s="22" t="s">
        <v>30</v>
      </c>
      <c r="N480" s="14">
        <f t="shared" ref="N480:N493" si="77">SUM(B480:M480)</f>
        <v>0</v>
      </c>
    </row>
    <row r="481" spans="1:15" x14ac:dyDescent="0.35">
      <c r="A481" s="15" t="s">
        <v>55</v>
      </c>
      <c r="B481" s="31">
        <v>0</v>
      </c>
      <c r="C481" s="31">
        <v>0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14">
        <f t="shared" si="77"/>
        <v>0</v>
      </c>
      <c r="O481" s="30"/>
    </row>
    <row r="482" spans="1:15" x14ac:dyDescent="0.35">
      <c r="A482" s="15" t="s">
        <v>64</v>
      </c>
      <c r="B482" s="31">
        <v>0</v>
      </c>
      <c r="C482" s="31">
        <v>0</v>
      </c>
      <c r="D482" s="31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14">
        <f t="shared" ref="N482:N487" si="78">SUM(B482:M482)</f>
        <v>0</v>
      </c>
      <c r="O482" s="30"/>
    </row>
    <row r="483" spans="1:15" x14ac:dyDescent="0.35">
      <c r="A483" s="15" t="s">
        <v>65</v>
      </c>
      <c r="B483" s="31">
        <v>0</v>
      </c>
      <c r="C483" s="31">
        <v>0</v>
      </c>
      <c r="D483" s="31">
        <v>0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14">
        <f t="shared" si="78"/>
        <v>0</v>
      </c>
      <c r="O483" s="30"/>
    </row>
    <row r="484" spans="1:15" x14ac:dyDescent="0.35">
      <c r="A484" s="15" t="s">
        <v>58</v>
      </c>
      <c r="B484" s="31">
        <v>0</v>
      </c>
      <c r="C484" s="31">
        <v>0</v>
      </c>
      <c r="D484" s="31">
        <v>0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14">
        <f t="shared" si="78"/>
        <v>0</v>
      </c>
      <c r="O484" s="30"/>
    </row>
    <row r="485" spans="1:15" x14ac:dyDescent="0.35">
      <c r="A485" s="15" t="s">
        <v>66</v>
      </c>
      <c r="B485" s="31">
        <v>0</v>
      </c>
      <c r="C485" s="31">
        <v>0</v>
      </c>
      <c r="D485" s="31">
        <v>0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14">
        <f t="shared" si="78"/>
        <v>0</v>
      </c>
      <c r="O485" s="30"/>
    </row>
    <row r="486" spans="1:15" x14ac:dyDescent="0.35">
      <c r="A486" s="15" t="s">
        <v>67</v>
      </c>
      <c r="B486" s="31">
        <v>0</v>
      </c>
      <c r="C486" s="31">
        <v>0</v>
      </c>
      <c r="D486" s="31">
        <v>0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0</v>
      </c>
      <c r="N486" s="14">
        <f t="shared" si="78"/>
        <v>0</v>
      </c>
      <c r="O486" s="30"/>
    </row>
    <row r="487" spans="1:15" x14ac:dyDescent="0.35">
      <c r="A487" s="15" t="s">
        <v>48</v>
      </c>
      <c r="B487" s="31">
        <v>0</v>
      </c>
      <c r="C487" s="31">
        <v>0</v>
      </c>
      <c r="D487" s="31">
        <v>0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1">
        <v>0</v>
      </c>
      <c r="L487" s="31">
        <v>0</v>
      </c>
      <c r="M487" s="31">
        <v>0</v>
      </c>
      <c r="N487" s="14">
        <f t="shared" si="78"/>
        <v>0</v>
      </c>
      <c r="O487" s="30"/>
    </row>
    <row r="488" spans="1:15" x14ac:dyDescent="0.35">
      <c r="A488" s="15" t="s">
        <v>49</v>
      </c>
      <c r="B488" s="31">
        <v>0</v>
      </c>
      <c r="C488" s="31">
        <v>0</v>
      </c>
      <c r="D488" s="31">
        <v>0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0</v>
      </c>
      <c r="N488" s="14">
        <f t="shared" si="77"/>
        <v>0</v>
      </c>
      <c r="O488" s="30"/>
    </row>
    <row r="489" spans="1:15" x14ac:dyDescent="0.35">
      <c r="A489" s="15" t="s">
        <v>50</v>
      </c>
      <c r="B489" s="31">
        <v>0</v>
      </c>
      <c r="C489" s="31">
        <v>0</v>
      </c>
      <c r="D489" s="31">
        <v>0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14">
        <f t="shared" si="77"/>
        <v>0</v>
      </c>
      <c r="O489" s="30"/>
    </row>
    <row r="490" spans="1:15" x14ac:dyDescent="0.35">
      <c r="A490" s="15" t="s">
        <v>51</v>
      </c>
      <c r="B490" s="31">
        <v>0</v>
      </c>
      <c r="C490" s="31">
        <v>0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14">
        <f t="shared" si="77"/>
        <v>0</v>
      </c>
      <c r="O490" s="30"/>
    </row>
    <row r="491" spans="1:15" x14ac:dyDescent="0.35">
      <c r="A491" s="15" t="s">
        <v>52</v>
      </c>
      <c r="B491" s="31">
        <v>0</v>
      </c>
      <c r="C491" s="31">
        <v>0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14">
        <f t="shared" si="77"/>
        <v>0</v>
      </c>
      <c r="O491" s="30"/>
    </row>
    <row r="492" spans="1:15" x14ac:dyDescent="0.35">
      <c r="A492" s="15" t="s">
        <v>53</v>
      </c>
      <c r="B492" s="31">
        <v>0</v>
      </c>
      <c r="C492" s="31">
        <v>0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14">
        <f t="shared" si="77"/>
        <v>0</v>
      </c>
      <c r="O492" s="30"/>
    </row>
    <row r="493" spans="1:15" x14ac:dyDescent="0.35">
      <c r="A493" s="15" t="s">
        <v>28</v>
      </c>
      <c r="B493" s="31">
        <f t="shared" ref="B493:M493" si="79">SUM(B481:B492)</f>
        <v>0</v>
      </c>
      <c r="C493" s="31">
        <f t="shared" si="79"/>
        <v>0</v>
      </c>
      <c r="D493" s="31">
        <f t="shared" si="79"/>
        <v>0</v>
      </c>
      <c r="E493" s="31">
        <f t="shared" si="79"/>
        <v>0</v>
      </c>
      <c r="F493" s="31">
        <f t="shared" si="79"/>
        <v>0</v>
      </c>
      <c r="G493" s="31">
        <f t="shared" si="79"/>
        <v>0</v>
      </c>
      <c r="H493" s="31">
        <f t="shared" si="79"/>
        <v>0</v>
      </c>
      <c r="I493" s="31">
        <f t="shared" si="79"/>
        <v>0</v>
      </c>
      <c r="J493" s="31">
        <f t="shared" si="79"/>
        <v>0</v>
      </c>
      <c r="K493" s="31">
        <f t="shared" si="79"/>
        <v>0</v>
      </c>
      <c r="L493" s="31">
        <f t="shared" si="79"/>
        <v>0</v>
      </c>
      <c r="M493" s="31">
        <f t="shared" si="79"/>
        <v>0</v>
      </c>
      <c r="N493" s="14">
        <f t="shared" si="77"/>
        <v>0</v>
      </c>
    </row>
    <row r="494" spans="1:15" x14ac:dyDescent="0.35">
      <c r="A494" s="15"/>
      <c r="N494" s="14"/>
    </row>
    <row r="495" spans="1:15" x14ac:dyDescent="0.35">
      <c r="A495" s="15" t="s">
        <v>29</v>
      </c>
      <c r="N495" s="14"/>
    </row>
    <row r="496" spans="1:15" x14ac:dyDescent="0.35">
      <c r="A496" s="15" t="s">
        <v>55</v>
      </c>
      <c r="B496" s="31">
        <v>0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14">
        <f t="shared" ref="N496:N508" si="80">SUM(B496:M496)</f>
        <v>0</v>
      </c>
      <c r="O496" s="30"/>
    </row>
    <row r="497" spans="1:15" x14ac:dyDescent="0.35">
      <c r="A497" s="15" t="s">
        <v>64</v>
      </c>
      <c r="B497" s="31">
        <v>0</v>
      </c>
      <c r="C497" s="31">
        <v>0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14">
        <f t="shared" si="80"/>
        <v>0</v>
      </c>
      <c r="O497" s="30"/>
    </row>
    <row r="498" spans="1:15" x14ac:dyDescent="0.35">
      <c r="A498" s="15" t="s">
        <v>65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14">
        <f t="shared" si="80"/>
        <v>0</v>
      </c>
      <c r="O498" s="30"/>
    </row>
    <row r="499" spans="1:15" x14ac:dyDescent="0.35">
      <c r="A499" s="15" t="s">
        <v>58</v>
      </c>
      <c r="B499" s="31">
        <v>0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14">
        <f>SUM(B499:M499)</f>
        <v>0</v>
      </c>
      <c r="O499" s="30"/>
    </row>
    <row r="500" spans="1:15" x14ac:dyDescent="0.35">
      <c r="A500" s="15" t="s">
        <v>66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14">
        <f>SUM(B500:M500)</f>
        <v>0</v>
      </c>
      <c r="O500" s="30"/>
    </row>
    <row r="501" spans="1:15" x14ac:dyDescent="0.35">
      <c r="A501" s="15" t="s">
        <v>67</v>
      </c>
      <c r="B501" s="31">
        <v>0</v>
      </c>
      <c r="C501" s="31">
        <v>0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14">
        <f>SUM(B501:M501)</f>
        <v>0</v>
      </c>
      <c r="O501" s="30"/>
    </row>
    <row r="502" spans="1:15" x14ac:dyDescent="0.35">
      <c r="A502" s="15" t="s">
        <v>48</v>
      </c>
      <c r="B502" s="31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14">
        <f t="shared" si="80"/>
        <v>0</v>
      </c>
      <c r="O502" s="30"/>
    </row>
    <row r="503" spans="1:15" x14ac:dyDescent="0.35">
      <c r="A503" s="15" t="s">
        <v>49</v>
      </c>
      <c r="B503" s="31">
        <v>0</v>
      </c>
      <c r="C503" s="31">
        <v>0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14">
        <f t="shared" si="80"/>
        <v>0</v>
      </c>
      <c r="O503" s="30"/>
    </row>
    <row r="504" spans="1:15" x14ac:dyDescent="0.35">
      <c r="A504" s="15" t="s">
        <v>50</v>
      </c>
      <c r="B504" s="31">
        <v>0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14">
        <f t="shared" si="80"/>
        <v>0</v>
      </c>
      <c r="O504" s="30"/>
    </row>
    <row r="505" spans="1:15" x14ac:dyDescent="0.35">
      <c r="A505" s="15" t="s">
        <v>51</v>
      </c>
      <c r="B505" s="31">
        <v>0</v>
      </c>
      <c r="C505" s="31">
        <v>0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14">
        <f t="shared" si="80"/>
        <v>0</v>
      </c>
      <c r="O505" s="30"/>
    </row>
    <row r="506" spans="1:15" x14ac:dyDescent="0.35">
      <c r="A506" s="15" t="s">
        <v>52</v>
      </c>
      <c r="B506" s="31">
        <v>0</v>
      </c>
      <c r="C506" s="31">
        <v>0</v>
      </c>
      <c r="D506" s="31">
        <v>0</v>
      </c>
      <c r="E506" s="31">
        <v>0</v>
      </c>
      <c r="F506" s="31">
        <v>0</v>
      </c>
      <c r="G506" s="31">
        <v>0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0</v>
      </c>
      <c r="N506" s="14">
        <f t="shared" si="80"/>
        <v>0</v>
      </c>
      <c r="O506" s="30"/>
    </row>
    <row r="507" spans="1:15" x14ac:dyDescent="0.35">
      <c r="A507" s="15" t="s">
        <v>53</v>
      </c>
      <c r="B507" s="31">
        <v>0</v>
      </c>
      <c r="C507" s="31">
        <v>0</v>
      </c>
      <c r="D507" s="31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14">
        <f t="shared" si="80"/>
        <v>0</v>
      </c>
      <c r="O507" s="30"/>
    </row>
    <row r="508" spans="1:15" x14ac:dyDescent="0.35">
      <c r="A508" s="15" t="s">
        <v>28</v>
      </c>
      <c r="B508" s="31">
        <f t="shared" ref="B508:M508" si="81">SUM(B496:B507)</f>
        <v>0</v>
      </c>
      <c r="C508" s="31">
        <f t="shared" si="81"/>
        <v>0</v>
      </c>
      <c r="D508" s="31">
        <f t="shared" si="81"/>
        <v>0</v>
      </c>
      <c r="E508" s="31">
        <f t="shared" si="81"/>
        <v>0</v>
      </c>
      <c r="F508" s="31">
        <f t="shared" si="81"/>
        <v>0</v>
      </c>
      <c r="G508" s="31">
        <f t="shared" si="81"/>
        <v>0</v>
      </c>
      <c r="H508" s="31">
        <f t="shared" si="81"/>
        <v>0</v>
      </c>
      <c r="I508" s="31">
        <f t="shared" si="81"/>
        <v>0</v>
      </c>
      <c r="J508" s="31">
        <f t="shared" si="81"/>
        <v>0</v>
      </c>
      <c r="K508" s="31">
        <f t="shared" si="81"/>
        <v>0</v>
      </c>
      <c r="L508" s="31">
        <f t="shared" si="81"/>
        <v>0</v>
      </c>
      <c r="M508" s="31">
        <f t="shared" si="81"/>
        <v>0</v>
      </c>
      <c r="N508" s="14">
        <f t="shared" si="80"/>
        <v>0</v>
      </c>
    </row>
    <row r="509" spans="1:15" x14ac:dyDescent="0.35">
      <c r="A509" s="15"/>
      <c r="N509" s="14"/>
    </row>
    <row r="510" spans="1:15" ht="15.4" thickBot="1" x14ac:dyDescent="0.45">
      <c r="A510" s="19" t="s">
        <v>15</v>
      </c>
      <c r="B510" s="35">
        <f>+B508+B493+B478</f>
        <v>0</v>
      </c>
      <c r="C510" s="35">
        <f t="shared" ref="C510:M510" si="82">+C508+C493+C478</f>
        <v>0</v>
      </c>
      <c r="D510" s="35">
        <f t="shared" si="82"/>
        <v>0</v>
      </c>
      <c r="E510" s="35">
        <f t="shared" si="82"/>
        <v>0</v>
      </c>
      <c r="F510" s="35">
        <f t="shared" si="82"/>
        <v>0</v>
      </c>
      <c r="G510" s="35">
        <f t="shared" si="82"/>
        <v>0</v>
      </c>
      <c r="H510" s="35">
        <f t="shared" si="82"/>
        <v>0</v>
      </c>
      <c r="I510" s="35">
        <f t="shared" si="82"/>
        <v>0</v>
      </c>
      <c r="J510" s="35">
        <f t="shared" si="82"/>
        <v>0</v>
      </c>
      <c r="K510" s="35">
        <f t="shared" si="82"/>
        <v>0</v>
      </c>
      <c r="L510" s="35">
        <f t="shared" si="82"/>
        <v>0</v>
      </c>
      <c r="M510" s="35">
        <f t="shared" si="82"/>
        <v>0</v>
      </c>
      <c r="N510" s="20">
        <f>+N508+N493+N478</f>
        <v>0</v>
      </c>
    </row>
    <row r="511" spans="1:15" x14ac:dyDescent="0.35">
      <c r="A511" s="2" t="s">
        <v>32</v>
      </c>
    </row>
    <row r="512" spans="1:15" x14ac:dyDescent="0.35">
      <c r="A512" s="2" t="s">
        <v>195</v>
      </c>
    </row>
    <row r="513" spans="1:1" x14ac:dyDescent="0.35">
      <c r="A513" s="2" t="s">
        <v>194</v>
      </c>
    </row>
    <row r="514" spans="1:1" x14ac:dyDescent="0.35">
      <c r="A514" s="2" t="s">
        <v>193</v>
      </c>
    </row>
    <row r="515" spans="1:1" x14ac:dyDescent="0.35">
      <c r="A515" s="2" t="s">
        <v>33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0" sqref="I30"/>
    </sheetView>
  </sheetViews>
  <sheetFormatPr defaultColWidth="9.1328125" defaultRowHeight="12.75" x14ac:dyDescent="0.35"/>
  <cols>
    <col min="1" max="1" width="36.86328125" style="2" bestFit="1" customWidth="1"/>
    <col min="2" max="2" width="15.59765625" style="31" bestFit="1" customWidth="1"/>
    <col min="3" max="3" width="12.86328125" style="31" bestFit="1" customWidth="1"/>
    <col min="4" max="5" width="15.59765625" style="31" customWidth="1"/>
    <col min="6" max="6" width="14.59765625" style="31" customWidth="1"/>
    <col min="7" max="10" width="15.59765625" style="31" customWidth="1"/>
    <col min="11" max="13" width="14.59765625" style="31" customWidth="1"/>
    <col min="14" max="14" width="16.59765625" style="31" bestFit="1" customWidth="1"/>
    <col min="15" max="16" width="14.59765625" style="2" bestFit="1" customWidth="1"/>
    <col min="17" max="17" width="13.59765625" style="2" bestFit="1" customWidth="1"/>
    <col min="18" max="16384" width="9.1328125" style="2"/>
  </cols>
  <sheetData>
    <row r="1" spans="1:14" ht="15.75" customHeight="1" x14ac:dyDescent="0.4">
      <c r="A1" s="1" t="s">
        <v>21</v>
      </c>
    </row>
    <row r="2" spans="1:14" ht="15.75" customHeight="1" x14ac:dyDescent="0.4">
      <c r="A2" s="3" t="s">
        <v>46</v>
      </c>
    </row>
    <row r="3" spans="1:14" ht="15.75" customHeight="1" x14ac:dyDescent="0.4">
      <c r="A3" s="1" t="str">
        <f>'Table G-1'!A3</f>
        <v>Calendar Year 2021</v>
      </c>
    </row>
    <row r="4" spans="1:14" ht="15.75" customHeight="1" x14ac:dyDescent="0.4">
      <c r="A4" s="4"/>
    </row>
    <row r="5" spans="1:14" ht="16.5" customHeight="1" thickBot="1" x14ac:dyDescent="0.45">
      <c r="A5" s="4"/>
    </row>
    <row r="6" spans="1:14" ht="12.75" customHeight="1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5.4" thickBot="1" x14ac:dyDescent="0.45">
      <c r="A7" s="8" t="s">
        <v>0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25</v>
      </c>
      <c r="K7" s="51" t="s">
        <v>84</v>
      </c>
      <c r="L7" s="34" t="s">
        <v>26</v>
      </c>
      <c r="M7" s="34" t="s">
        <v>27</v>
      </c>
      <c r="N7" s="37" t="s">
        <v>14</v>
      </c>
    </row>
    <row r="8" spans="1:14" ht="15" x14ac:dyDescent="0.4">
      <c r="A8" s="1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6"/>
    </row>
    <row r="9" spans="1:14" ht="15" x14ac:dyDescent="0.4">
      <c r="A9" s="24" t="s">
        <v>133</v>
      </c>
      <c r="B9" s="41"/>
      <c r="N9" s="38"/>
    </row>
    <row r="10" spans="1:14" x14ac:dyDescent="0.35">
      <c r="A10" s="15" t="s">
        <v>18</v>
      </c>
      <c r="B10" s="41">
        <v>-53534817.439999998</v>
      </c>
      <c r="C10" s="41">
        <f t="shared" ref="C10:H10" si="0">B24</f>
        <v>4917564.9023548001</v>
      </c>
      <c r="D10" s="41">
        <f t="shared" si="0"/>
        <v>-20624814.14864504</v>
      </c>
      <c r="E10" s="41">
        <f t="shared" si="0"/>
        <v>-21345806.76764505</v>
      </c>
      <c r="F10" s="41">
        <f t="shared" si="0"/>
        <v>-10261194.327645045</v>
      </c>
      <c r="G10" s="41">
        <f t="shared" si="0"/>
        <v>-10063987.119197898</v>
      </c>
      <c r="H10" s="41">
        <f t="shared" si="0"/>
        <v>-9668503.1483429465</v>
      </c>
      <c r="I10" s="41">
        <v>0</v>
      </c>
      <c r="J10" s="41">
        <f t="shared" ref="J10:M10" si="1">I24</f>
        <v>0</v>
      </c>
      <c r="K10" s="41">
        <f t="shared" si="1"/>
        <v>0</v>
      </c>
      <c r="L10" s="41">
        <f t="shared" si="1"/>
        <v>0</v>
      </c>
      <c r="M10" s="41">
        <f t="shared" si="1"/>
        <v>0</v>
      </c>
      <c r="N10" s="38" t="s">
        <v>24</v>
      </c>
    </row>
    <row r="11" spans="1:14" x14ac:dyDescent="0.35">
      <c r="A11" s="15" t="s">
        <v>85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0</v>
      </c>
    </row>
    <row r="12" spans="1:14" x14ac:dyDescent="0.35">
      <c r="A12" s="71" t="s">
        <v>135</v>
      </c>
      <c r="B12" s="42">
        <f>'Table G-1'!B20</f>
        <v>11515777.909999998</v>
      </c>
      <c r="C12" s="42">
        <f>'Table G-1'!C20</f>
        <v>12493012.639999999</v>
      </c>
      <c r="D12" s="42">
        <f>'Table G-1'!D20</f>
        <v>11146965.440000001</v>
      </c>
      <c r="E12" s="42">
        <f>'Table G-1'!E20</f>
        <v>9514513.3300000001</v>
      </c>
      <c r="F12" s="42">
        <f>'Table G-1'!F20</f>
        <v>7957352.7906979024</v>
      </c>
      <c r="G12" s="42">
        <f>'Table G-1'!G20</f>
        <v>7477226.3000000007</v>
      </c>
      <c r="H12" s="42">
        <f>'Table G-1'!H20</f>
        <v>6595394.6200000001</v>
      </c>
      <c r="I12" s="42">
        <f>'Table G-1'!I20</f>
        <v>0</v>
      </c>
      <c r="J12" s="42">
        <f>'Table G-1'!J20</f>
        <v>0</v>
      </c>
      <c r="K12" s="42">
        <f>'Table G-1'!K20</f>
        <v>0</v>
      </c>
      <c r="L12" s="42">
        <f>'Table G-1'!L20</f>
        <v>0</v>
      </c>
      <c r="M12" s="42">
        <f>'Table G-1'!M20</f>
        <v>0</v>
      </c>
      <c r="N12" s="49">
        <f>SUM(B12:M12)</f>
        <v>66700243.03069789</v>
      </c>
    </row>
    <row r="13" spans="1:14" x14ac:dyDescent="0.35">
      <c r="A13" s="28" t="s">
        <v>82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9">
        <f t="shared" ref="N13:N23" si="2">SUM(B13:M13)</f>
        <v>0</v>
      </c>
    </row>
    <row r="14" spans="1:14" x14ac:dyDescent="0.35">
      <c r="A14" s="15" t="s">
        <v>150</v>
      </c>
      <c r="B14" s="42">
        <f>'Table G-4'!B21+'Table G-4'!B39</f>
        <v>-21743038</v>
      </c>
      <c r="C14" s="42">
        <f>'Table G-4'!C21+'Table G-4'!C39</f>
        <v>0</v>
      </c>
      <c r="D14" s="42">
        <f>'Table G-4'!D21+'Table G-4'!D39</f>
        <v>0</v>
      </c>
      <c r="E14" s="42">
        <f>'Table G-4'!E21+'Table G-4'!E39+'Table G-4'!E11</f>
        <v>-35155756</v>
      </c>
      <c r="F14" s="42">
        <f>'Table G-4'!F21+'Table G-4'!F39+'Table G-4'!F11</f>
        <v>0</v>
      </c>
      <c r="G14" s="42">
        <f>'Table G-4'!G21+'Table G-4'!G39+'Table G-4'!G11</f>
        <v>0</v>
      </c>
      <c r="H14" s="42">
        <f>'Table G-4'!H21+'Table G-4'!H39+'Table G-4'!H11</f>
        <v>-24949092</v>
      </c>
      <c r="I14" s="42">
        <f>'Table G-4'!I21+'Table G-4'!I39+'Table G-4'!I11</f>
        <v>0</v>
      </c>
      <c r="J14" s="42">
        <f>'Table G-4'!J21+'Table G-4'!J39+'Table G-4'!J11</f>
        <v>0</v>
      </c>
      <c r="K14" s="42">
        <f>'Table G-4'!K21+'Table G-4'!K39+'Table G-4'!K11</f>
        <v>0</v>
      </c>
      <c r="L14" s="42">
        <f>'Table G-4'!L21+'Table G-4'!L39+'Table G-4'!L11</f>
        <v>0</v>
      </c>
      <c r="M14" s="42">
        <f>'Table G-4'!M21+'Table G-4'!M39+'Table G-4'!M11</f>
        <v>0</v>
      </c>
      <c r="N14" s="49">
        <f t="shared" si="2"/>
        <v>-81847886</v>
      </c>
    </row>
    <row r="15" spans="1:14" x14ac:dyDescent="0.35">
      <c r="A15" s="18" t="s">
        <v>16</v>
      </c>
      <c r="B15" s="42">
        <v>-5327</v>
      </c>
      <c r="C15" s="42">
        <v>-4578</v>
      </c>
      <c r="D15" s="42">
        <v>-4311</v>
      </c>
      <c r="E15" s="42">
        <v>-3902</v>
      </c>
      <c r="F15" s="42">
        <v>-2631</v>
      </c>
      <c r="G15" s="42">
        <v>-2017</v>
      </c>
      <c r="H15" s="42">
        <v>-2273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9">
        <f t="shared" si="2"/>
        <v>-25039</v>
      </c>
    </row>
    <row r="16" spans="1:14" x14ac:dyDescent="0.35">
      <c r="A16" s="15" t="s">
        <v>128</v>
      </c>
      <c r="B16" s="77">
        <f>'Table G-2'!B82+'Table G-2'!B151+'Table G-2'!B225+'Table G-2'!B282+'Table G-2'!B342+'Table G-2'!B391+'Table G-2'!B442+'Table G-2'!B473+'Table G-2'!B510</f>
        <v>-1510614.5799999996</v>
      </c>
      <c r="C16" s="77">
        <f>'Table G-2'!C82+'Table G-2'!C151+'Table G-2'!C225+'Table G-2'!C282+'Table G-2'!C342+'Table G-2'!C391+'Table G-2'!C442+'Table G-2'!C473+'Table G-2'!C510</f>
        <v>7565913</v>
      </c>
      <c r="D16" s="77">
        <f>'Table G-2'!D82+'Table G-2'!D151+'Table G-2'!D225+'Table G-2'!D282+'Table G-2'!D342+'Table G-2'!D391+'Table G-2'!D442+'Table G-2'!D473+'Table G-2'!D510+'Table G-5'!D12</f>
        <v>9414568</v>
      </c>
      <c r="E16" s="77">
        <f>'Table G-2'!E82+'Table G-2'!E151+'Table G-2'!E225+'Table G-2'!E282+'Table G-2'!E342+'Table G-2'!E391+'Table G-2'!E442+'Table G-2'!E473+'Table G-2'!E510+'Table G-5'!E12</f>
        <v>7599971.8100000015</v>
      </c>
      <c r="F16" s="77">
        <f>'Table G-2'!F82+'Table G-2'!F151+'Table G-2'!F225+'Table G-2'!F282+'Table G-2'!F342+'Table G-2'!F391+'Table G-2'!F442+'Table G-2'!F473+'Table G-2'!F510+'Table G-5'!F12</f>
        <v>8294759.4400000004</v>
      </c>
      <c r="G16" s="77">
        <f>'Table G-2'!G82+'Table G-2'!G151+'Table G-2'!G225+'Table G-2'!G282+'Table G-2'!G342+'Table G-2'!G391+'Table G-2'!G442+'Table G-2'!G473+'Table G-2'!G510+'Table G-5'!G12</f>
        <v>8056692.8400000017</v>
      </c>
      <c r="H16" s="77">
        <f>'Table G-2'!H82+'Table G-2'!H151+'Table G-2'!H225+'Table G-2'!H282+'Table G-2'!H342+'Table G-2'!H391+'Table G-2'!H442+'Table G-2'!H473+'Table G-2'!H510+'Table G-5'!H12</f>
        <v>6493420.2299999986</v>
      </c>
      <c r="I16" s="77">
        <f>'Table G-2'!I82+'Table G-2'!I151+'Table G-2'!I225+'Table G-2'!I282+'Table G-2'!I342+'Table G-2'!I391+'Table G-2'!I442+'Table G-2'!I473+'Table G-2'!I510+'Table G-5'!I12</f>
        <v>0</v>
      </c>
      <c r="J16" s="77">
        <f>'Table G-2'!J82+'Table G-2'!J151+'Table G-2'!J225+'Table G-2'!J282+'Table G-2'!J342+'Table G-2'!J391+'Table G-2'!J442+'Table G-2'!J473+'Table G-2'!J510+'Table G-5'!J12</f>
        <v>0</v>
      </c>
      <c r="K16" s="77">
        <f>'Table G-2'!K82+'Table G-2'!K151+'Table G-2'!K225+'Table G-2'!K282+'Table G-2'!K342+'Table G-2'!K391+'Table G-2'!K442+'Table G-2'!K473+'Table G-2'!K510+'Table G-5'!K12</f>
        <v>0</v>
      </c>
      <c r="L16" s="77">
        <f>'Table G-2'!L82+'Table G-2'!L151+'Table G-2'!L225+'Table G-2'!L282+'Table G-2'!L342+'Table G-2'!L391+'Table G-2'!L442+'Table G-2'!L473+'Table G-2'!L510+'Table G-5'!L12</f>
        <v>0</v>
      </c>
      <c r="M16" s="77">
        <f>'Table G-2'!M82+'Table G-2'!M151+'Table G-2'!M225+'Table G-2'!M282+'Table G-2'!M342+'Table G-2'!M391+'Table G-2'!M442+'Table G-2'!M473+'Table G-2'!M510+'Table G-5'!M12</f>
        <v>0</v>
      </c>
      <c r="N16" s="49">
        <f t="shared" si="2"/>
        <v>45914710.740000002</v>
      </c>
    </row>
    <row r="17" spans="1:17" x14ac:dyDescent="0.35">
      <c r="A17" s="71" t="s">
        <v>151</v>
      </c>
      <c r="B17" s="42">
        <f>'Table G-4'!B19+'Table G-4'!B28</f>
        <v>0</v>
      </c>
      <c r="C17" s="42">
        <f>'Table G-4'!C19+'Table G-4'!C28</f>
        <v>15293054</v>
      </c>
      <c r="D17" s="42">
        <f>'Table G-4'!D19+'Table G-4'!D28</f>
        <v>0</v>
      </c>
      <c r="E17" s="42">
        <f>'Table G-4'!E19+'Table G-4'!E28+'Table G-4'!E9</f>
        <v>21743038</v>
      </c>
      <c r="F17" s="42">
        <f>'Table G-4'!F19+'Table G-4'!F28+'Table G-4'!F9</f>
        <v>0</v>
      </c>
      <c r="G17" s="42">
        <f>'Table G-4'!G19+'Table G-4'!G28+'Table G-4'!G9</f>
        <v>0</v>
      </c>
      <c r="H17" s="42">
        <f>'Table G-4'!H19+'Table G-4'!H28+'Table G-4'!H9</f>
        <v>35155756</v>
      </c>
      <c r="I17" s="42">
        <f>'Table G-4'!I19+'Table G-4'!I28+'Table G-4'!I9</f>
        <v>0</v>
      </c>
      <c r="J17" s="42">
        <f>'Table G-4'!J19+'Table G-4'!J28+'Table G-4'!J9</f>
        <v>0</v>
      </c>
      <c r="K17" s="42">
        <f>'Table G-4'!K19+'Table G-4'!K28+'Table G-4'!K9</f>
        <v>0</v>
      </c>
      <c r="L17" s="42">
        <f>'Table G-4'!L19+'Table G-4'!L28+'Table G-4'!L9</f>
        <v>0</v>
      </c>
      <c r="M17" s="42">
        <f>'Table G-4'!M19+'Table G-4'!M28+'Table G-4'!M9</f>
        <v>0</v>
      </c>
      <c r="N17" s="49">
        <f t="shared" si="2"/>
        <v>72191848</v>
      </c>
      <c r="O17" s="79"/>
      <c r="P17"/>
    </row>
    <row r="18" spans="1:17" ht="14.25" x14ac:dyDescent="0.35">
      <c r="A18" s="69" t="s">
        <v>199</v>
      </c>
      <c r="B18" s="77">
        <v>2727834.75</v>
      </c>
      <c r="C18" s="42">
        <v>133865</v>
      </c>
      <c r="D18" s="42">
        <f>'Table G-4'!D20+'Table G-4'!D29</f>
        <v>0</v>
      </c>
      <c r="E18" s="42">
        <f>'Table G-4'!E20+'Table G-4'!E29</f>
        <v>0</v>
      </c>
      <c r="F18" s="42">
        <v>-818</v>
      </c>
      <c r="G18" s="42">
        <f>'Table G-4'!G20+'Table G-4'!G29</f>
        <v>0</v>
      </c>
      <c r="H18" s="42">
        <f>'Table G-4'!H20+'Table G-4'!H29</f>
        <v>0</v>
      </c>
      <c r="I18" s="42">
        <f>'Table G-4'!I20+'Table G-4'!I29</f>
        <v>0</v>
      </c>
      <c r="J18" s="42">
        <f>'Table G-4'!J20+'Table G-4'!J29</f>
        <v>0</v>
      </c>
      <c r="K18" s="42">
        <f>'Table G-4'!K20+'Table G-4'!K29</f>
        <v>0</v>
      </c>
      <c r="L18" s="42">
        <f>'Table G-4'!L20+'Table G-4'!L29</f>
        <v>0</v>
      </c>
      <c r="M18" s="42">
        <f>'Table G-4'!M20+'Table G-4'!M29</f>
        <v>0</v>
      </c>
      <c r="N18" s="38">
        <f t="shared" ref="N18:N20" si="3">SUM(B18:M18)</f>
        <v>2860881.75</v>
      </c>
      <c r="P18" s="78"/>
    </row>
    <row r="19" spans="1:17" ht="14.25" x14ac:dyDescent="0.35">
      <c r="A19" s="69" t="s">
        <v>198</v>
      </c>
      <c r="B19" s="42">
        <v>14221686.140000008</v>
      </c>
      <c r="C19" s="42">
        <v>-1796030.2600000054</v>
      </c>
      <c r="D19" s="42">
        <v>306618.99000000209</v>
      </c>
      <c r="E19" s="42">
        <v>1774651.7599999979</v>
      </c>
      <c r="F19" s="42">
        <v>-928271.42999999784</v>
      </c>
      <c r="G19" s="42">
        <v>159818.75999999978</v>
      </c>
      <c r="H19" s="42">
        <v>-564968.58000000194</v>
      </c>
      <c r="I19" s="42">
        <f>'Table G-4'!I21+'Table G-4'!I30</f>
        <v>0</v>
      </c>
      <c r="J19" s="42">
        <f>'Table G-4'!J21+'Table G-4'!J30</f>
        <v>0</v>
      </c>
      <c r="K19" s="42">
        <f>'Table G-4'!K21+'Table G-4'!K30</f>
        <v>0</v>
      </c>
      <c r="L19" s="42">
        <f>'Table G-4'!L21+'Table G-4'!L30</f>
        <v>0</v>
      </c>
      <c r="M19" s="42">
        <f>'Table G-4'!M21+'Table G-4'!M30</f>
        <v>0</v>
      </c>
      <c r="N19" s="38">
        <f t="shared" ref="N19" si="4">SUM(B19:M19)</f>
        <v>13173505.380000003</v>
      </c>
      <c r="P19" s="78"/>
    </row>
    <row r="20" spans="1:17" ht="14.25" x14ac:dyDescent="0.35">
      <c r="A20" s="69" t="s">
        <v>153</v>
      </c>
      <c r="B20" s="42">
        <v>4513827.5024999948</v>
      </c>
      <c r="C20" s="42">
        <v>2357817.2699999949</v>
      </c>
      <c r="D20" s="42">
        <v>207511.45999999996</v>
      </c>
      <c r="E20" s="42">
        <v>-210000</v>
      </c>
      <c r="F20" s="42">
        <v>-23166.479999999516</v>
      </c>
      <c r="G20" s="42">
        <v>-44376.300000000745</v>
      </c>
      <c r="H20" s="42">
        <v>-326379.39999999944</v>
      </c>
      <c r="I20" s="42">
        <f>'Table G-4'!I22+'Table G-4'!I31</f>
        <v>0</v>
      </c>
      <c r="J20" s="42">
        <f>'Table G-4'!J22+'Table G-4'!J31</f>
        <v>0</v>
      </c>
      <c r="K20" s="42">
        <f>'Table G-4'!K22+'Table G-4'!K31</f>
        <v>0</v>
      </c>
      <c r="L20" s="42">
        <f>'Table G-4'!L22+'Table G-4'!L31</f>
        <v>0</v>
      </c>
      <c r="M20" s="42">
        <f>'Table G-4'!M22+'Table G-4'!M31</f>
        <v>0</v>
      </c>
      <c r="N20" s="38">
        <f t="shared" si="3"/>
        <v>6475234.05249999</v>
      </c>
      <c r="O20" s="52"/>
      <c r="P20" s="78"/>
    </row>
    <row r="21" spans="1:17" ht="14.25" x14ac:dyDescent="0.35">
      <c r="A21" s="69" t="s">
        <v>147</v>
      </c>
      <c r="B21" s="42">
        <v>5048478.8999999948</v>
      </c>
      <c r="C21" s="42">
        <v>2949259.8500000183</v>
      </c>
      <c r="D21" s="42">
        <v>-21028.870000001043</v>
      </c>
      <c r="E21" s="42">
        <v>10843</v>
      </c>
      <c r="F21" s="42">
        <v>-29660.039999999106</v>
      </c>
      <c r="G21" s="42">
        <v>-22158.240000000224</v>
      </c>
      <c r="H21" s="42">
        <v>-48776.320000000298</v>
      </c>
      <c r="I21" s="42">
        <f>'Table G-4'!I23+'Table G-4'!I32</f>
        <v>0</v>
      </c>
      <c r="J21" s="42">
        <f>'Table G-4'!J23+'Table G-4'!J32</f>
        <v>0</v>
      </c>
      <c r="K21" s="42">
        <f>'Table G-4'!K23+'Table G-4'!K32</f>
        <v>0</v>
      </c>
      <c r="L21" s="42">
        <f>'Table G-4'!L23+'Table G-4'!L32</f>
        <v>0</v>
      </c>
      <c r="M21" s="42">
        <f>'Table G-4'!M23+'Table G-4'!M32</f>
        <v>0</v>
      </c>
      <c r="N21" s="38">
        <f t="shared" ref="N21" si="5">SUM(B21:M21)</f>
        <v>7886958.2800000124</v>
      </c>
      <c r="P21" s="78"/>
    </row>
    <row r="22" spans="1:17" ht="14.25" x14ac:dyDescent="0.35">
      <c r="A22" s="69" t="s">
        <v>144</v>
      </c>
      <c r="B22" s="42">
        <v>33126921.0808548</v>
      </c>
      <c r="C22" s="42">
        <v>-10815370.529999848</v>
      </c>
      <c r="D22" s="42">
        <v>-233800.94999999925</v>
      </c>
      <c r="E22" s="42">
        <v>-199662.03999999911</v>
      </c>
      <c r="F22" s="42">
        <v>-114401.96085495129</v>
      </c>
      <c r="G22" s="42">
        <v>-137589.26914504915</v>
      </c>
      <c r="H22" s="42">
        <v>-52424.840000003576</v>
      </c>
      <c r="I22" s="42">
        <f>'Table G-4'!I24+'Table G-4'!I33</f>
        <v>0</v>
      </c>
      <c r="J22" s="42">
        <f>'Table G-4'!J24+'Table G-4'!J33</f>
        <v>0</v>
      </c>
      <c r="K22" s="42">
        <f>'Table G-4'!K24+'Table G-4'!K33</f>
        <v>0</v>
      </c>
      <c r="L22" s="42">
        <f>'Table G-4'!L24+'Table G-4'!L33</f>
        <v>0</v>
      </c>
      <c r="M22" s="42">
        <f>'Table G-4'!M24+'Table G-4'!M33</f>
        <v>0</v>
      </c>
      <c r="N22" s="38">
        <f t="shared" si="2"/>
        <v>21573671.490854949</v>
      </c>
      <c r="P22" s="78"/>
    </row>
    <row r="23" spans="1:17" ht="14.65" thickBot="1" x14ac:dyDescent="0.4">
      <c r="A23" s="29" t="s">
        <v>112</v>
      </c>
      <c r="B23" s="43">
        <v>4324001.5990000004</v>
      </c>
      <c r="C23" s="43">
        <v>56780.998999995179</v>
      </c>
      <c r="D23" s="43">
        <v>1042005.3109999904</v>
      </c>
      <c r="E23" s="43">
        <f>'Table G-4'!E25+'Table G-4'!E34</f>
        <v>0</v>
      </c>
      <c r="F23" s="43">
        <f>'Table G-4'!F25+'Table G-4'!F34</f>
        <v>0</v>
      </c>
      <c r="G23" s="43">
        <f>'Table G-4'!G25+'Table G-4'!G34</f>
        <v>0</v>
      </c>
      <c r="H23" s="43">
        <f>'Table G-4'!H25+'Table G-4'!H34</f>
        <v>0</v>
      </c>
      <c r="I23" s="43">
        <f>'Table G-4'!I25+'Table G-4'!I34</f>
        <v>0</v>
      </c>
      <c r="J23" s="43">
        <f>'Table G-4'!J25+'Table G-4'!J34</f>
        <v>0</v>
      </c>
      <c r="K23" s="43">
        <f>'Table G-4'!K25+'Table G-4'!K34</f>
        <v>0</v>
      </c>
      <c r="L23" s="43">
        <f>'Table G-4'!L25+'Table G-4'!L34</f>
        <v>0</v>
      </c>
      <c r="M23" s="43">
        <f>'Table G-4'!M25+'Table G-4'!M34</f>
        <v>0</v>
      </c>
      <c r="N23" s="38">
        <f t="shared" si="2"/>
        <v>5422787.908999986</v>
      </c>
      <c r="P23" s="78"/>
    </row>
    <row r="24" spans="1:17" x14ac:dyDescent="0.35">
      <c r="A24" s="5" t="s">
        <v>17</v>
      </c>
      <c r="B24" s="42">
        <f>B10+B16-(B12+B14+B17)+B15+B18+B20+B21+B22+B23</f>
        <v>4917564.9023548001</v>
      </c>
      <c r="C24" s="42">
        <f>C10+C16-(C12+C14+C17)+C15+C18+C20+C21+C22+C23</f>
        <v>-20624814.14864504</v>
      </c>
      <c r="D24" s="42">
        <f t="shared" ref="D24:M24" si="6">D10+D16-(D12+D14+D17)+D15+D20+D22+D23</f>
        <v>-21345806.76764505</v>
      </c>
      <c r="E24" s="42">
        <f t="shared" si="6"/>
        <v>-10261194.327645045</v>
      </c>
      <c r="F24" s="42">
        <f t="shared" si="6"/>
        <v>-10063987.119197898</v>
      </c>
      <c r="G24" s="42">
        <f>G10+G11+G16-(G12+G14+G17)+G15+G20+G22+G23</f>
        <v>-9668503.1483429465</v>
      </c>
      <c r="H24" s="42">
        <f t="shared" si="6"/>
        <v>-20358218.778342951</v>
      </c>
      <c r="I24" s="42">
        <f t="shared" si="6"/>
        <v>0</v>
      </c>
      <c r="J24" s="42">
        <f t="shared" si="6"/>
        <v>0</v>
      </c>
      <c r="K24" s="42">
        <f t="shared" si="6"/>
        <v>0</v>
      </c>
      <c r="L24" s="42">
        <f t="shared" si="6"/>
        <v>0</v>
      </c>
      <c r="M24" s="42">
        <f t="shared" si="6"/>
        <v>0</v>
      </c>
      <c r="N24" s="66" t="s">
        <v>24</v>
      </c>
    </row>
    <row r="25" spans="1:17" ht="13.5" thickBot="1" x14ac:dyDescent="0.45">
      <c r="A25" s="67"/>
      <c r="B25" s="68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0"/>
    </row>
    <row r="26" spans="1:17" x14ac:dyDescent="0.35">
      <c r="A26" s="1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x14ac:dyDescent="0.35">
      <c r="A27" s="26" t="s">
        <v>54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x14ac:dyDescent="0.35">
      <c r="A28" s="72" t="s">
        <v>202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7" x14ac:dyDescent="0.35">
      <c r="A29" s="7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7" x14ac:dyDescent="0.35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35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7" customFormat="1" x14ac:dyDescent="0.35">
      <c r="A32" s="26"/>
      <c r="B32" s="42"/>
      <c r="C32" s="42"/>
      <c r="D32" s="42"/>
      <c r="E32" s="52"/>
      <c r="F32" s="44"/>
      <c r="G32" s="44"/>
      <c r="H32" s="44"/>
      <c r="I32" s="44"/>
      <c r="J32" s="44"/>
      <c r="K32" s="44"/>
      <c r="L32" s="44"/>
      <c r="M32" s="44"/>
      <c r="N32" s="44"/>
      <c r="Q32" s="2"/>
    </row>
    <row r="33" spans="1:14" x14ac:dyDescent="0.35">
      <c r="A33" s="60"/>
      <c r="B33" s="55"/>
      <c r="C33" s="55"/>
      <c r="D33" s="56"/>
      <c r="E33" s="56"/>
      <c r="F33" s="56"/>
      <c r="G33" s="42"/>
      <c r="H33" s="42"/>
      <c r="I33" s="42"/>
      <c r="J33" s="42"/>
      <c r="K33" s="42"/>
      <c r="L33" s="42"/>
      <c r="M33" s="42"/>
      <c r="N33" s="42"/>
    </row>
    <row r="34" spans="1:14" x14ac:dyDescent="0.35">
      <c r="A34" s="57"/>
      <c r="B34" s="55"/>
      <c r="C34" s="55"/>
      <c r="D34" s="56"/>
      <c r="E34" s="58"/>
      <c r="F34" s="59"/>
      <c r="G34" s="42"/>
      <c r="H34" s="42"/>
      <c r="I34" s="42"/>
      <c r="J34" s="42"/>
      <c r="K34" s="42"/>
      <c r="L34" s="42"/>
      <c r="M34" s="42"/>
      <c r="N34" s="42"/>
    </row>
    <row r="35" spans="1:14" ht="12.75" customHeight="1" x14ac:dyDescent="0.35">
      <c r="A35" s="57"/>
      <c r="B35" s="55"/>
      <c r="C35" s="55"/>
      <c r="D35" s="56"/>
      <c r="E35" s="75"/>
      <c r="F35" s="76"/>
      <c r="G35" s="16"/>
      <c r="H35" s="42"/>
      <c r="I35" s="42"/>
      <c r="J35" s="42"/>
      <c r="K35" s="42"/>
      <c r="L35" s="42"/>
      <c r="M35" s="42"/>
      <c r="N35" s="42"/>
    </row>
    <row r="36" spans="1:14" ht="12.75" customHeight="1" x14ac:dyDescent="0.35">
      <c r="A36" s="57"/>
      <c r="B36" s="55"/>
      <c r="C36" s="55"/>
      <c r="D36" s="56"/>
      <c r="E36" s="58"/>
      <c r="F36" s="59"/>
      <c r="G36" s="42"/>
      <c r="H36" s="42"/>
      <c r="I36" s="42"/>
      <c r="J36" s="42"/>
      <c r="K36" s="42"/>
      <c r="L36" s="42"/>
      <c r="M36" s="42"/>
      <c r="N36" s="42"/>
    </row>
    <row r="37" spans="1:14" ht="12.75" customHeight="1" x14ac:dyDescent="0.35">
      <c r="A37" s="57"/>
      <c r="B37" s="55"/>
      <c r="C37" s="55"/>
      <c r="D37" s="56"/>
      <c r="E37" s="58"/>
      <c r="F37" s="59"/>
      <c r="G37" s="42"/>
      <c r="H37" s="42"/>
      <c r="I37" s="42"/>
      <c r="J37" s="42"/>
      <c r="K37" s="42"/>
      <c r="L37" s="42"/>
      <c r="M37" s="42"/>
      <c r="N37" s="42"/>
    </row>
    <row r="38" spans="1:14" ht="12.75" customHeight="1" x14ac:dyDescent="0.35">
      <c r="A38" s="57"/>
      <c r="B38" s="55"/>
      <c r="C38" s="55"/>
      <c r="D38" s="56"/>
      <c r="E38" s="58"/>
      <c r="F38" s="59"/>
      <c r="G38" s="42"/>
      <c r="H38" s="42"/>
      <c r="I38" s="42"/>
      <c r="J38" s="42"/>
      <c r="K38" s="42"/>
      <c r="L38" s="42"/>
      <c r="M38" s="42"/>
      <c r="N38" s="42"/>
    </row>
    <row r="39" spans="1:14" ht="12.75" customHeight="1" x14ac:dyDescent="0.35">
      <c r="A39" s="57"/>
      <c r="B39" s="55"/>
      <c r="C39" s="55"/>
      <c r="D39" s="56"/>
      <c r="E39" s="58"/>
      <c r="F39" s="59"/>
      <c r="G39" s="42"/>
      <c r="H39" s="42"/>
      <c r="I39" s="42"/>
      <c r="J39" s="42"/>
      <c r="K39" s="42"/>
      <c r="L39" s="42"/>
      <c r="M39" s="42"/>
      <c r="N39" s="42"/>
    </row>
    <row r="40" spans="1:14" ht="12.75" customHeight="1" x14ac:dyDescent="0.35">
      <c r="A40" s="57"/>
      <c r="B40" s="55"/>
      <c r="C40" s="55"/>
      <c r="D40" s="56"/>
      <c r="E40" s="58"/>
      <c r="F40" s="59"/>
      <c r="G40" s="42"/>
      <c r="H40" s="42"/>
      <c r="I40" s="42"/>
      <c r="J40" s="42"/>
      <c r="K40" s="42"/>
      <c r="L40" s="42"/>
      <c r="M40" s="42"/>
      <c r="N40" s="42"/>
    </row>
    <row r="41" spans="1:14" ht="12.75" customHeight="1" x14ac:dyDescent="0.35">
      <c r="A41" s="1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2.75" customHeight="1" x14ac:dyDescent="0.35">
      <c r="A42" s="1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2.75" customHeight="1" x14ac:dyDescent="0.35">
      <c r="A43" s="1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2.75" customHeight="1" x14ac:dyDescent="0.35">
      <c r="A44" s="1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2.75" customHeight="1" x14ac:dyDescent="0.35">
      <c r="A45" s="1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.75" customHeight="1" x14ac:dyDescent="0.35">
      <c r="A46" s="1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2.75" customHeight="1" x14ac:dyDescent="0.35">
      <c r="A47" s="1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2.75" customHeight="1" x14ac:dyDescent="0.35">
      <c r="A48" s="1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2.75" customHeight="1" x14ac:dyDescent="0.35">
      <c r="A49" s="1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2.75" customHeight="1" x14ac:dyDescent="0.35">
      <c r="A50" s="1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2.75" customHeight="1" x14ac:dyDescent="0.35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customHeight="1" x14ac:dyDescent="0.35">
      <c r="A52" s="1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2.75" customHeight="1" x14ac:dyDescent="0.35">
      <c r="A53" s="1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2.75" customHeight="1" x14ac:dyDescent="0.35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2.75" customHeight="1" x14ac:dyDescent="0.35">
      <c r="A55" s="1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2.75" customHeight="1" x14ac:dyDescent="0.35">
      <c r="A56" s="1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2.75" customHeight="1" x14ac:dyDescent="0.35">
      <c r="A57" s="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2.75" customHeight="1" x14ac:dyDescent="0.35">
      <c r="A58" s="1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2.75" customHeight="1" x14ac:dyDescent="0.35">
      <c r="A59" s="1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2.75" customHeight="1" x14ac:dyDescent="0.35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2.75" customHeight="1" x14ac:dyDescent="0.35">
      <c r="A61" s="1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2.75" customHeight="1" x14ac:dyDescent="0.35">
      <c r="A62" s="1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2.75" customHeight="1" x14ac:dyDescent="0.35">
      <c r="A63" s="1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workbookViewId="0">
      <pane xSplit="1" ySplit="17" topLeftCell="B18" activePane="bottomRight" state="frozen"/>
      <selection pane="topRight" activeCell="B1" sqref="B1"/>
      <selection pane="bottomLeft" activeCell="A8" sqref="A8"/>
      <selection pane="bottomRight" activeCell="H11" sqref="H11"/>
    </sheetView>
  </sheetViews>
  <sheetFormatPr defaultColWidth="9.1328125" defaultRowHeight="12.75" x14ac:dyDescent="0.35"/>
  <cols>
    <col min="1" max="1" width="28.3984375" style="2" customWidth="1"/>
    <col min="2" max="2" width="14" style="31" bestFit="1" customWidth="1"/>
    <col min="3" max="3" width="11.3984375" style="31" bestFit="1" customWidth="1"/>
    <col min="4" max="4" width="11.86328125" style="31" bestFit="1" customWidth="1"/>
    <col min="5" max="5" width="14.3984375" style="31" bestFit="1" customWidth="1"/>
    <col min="6" max="8" width="11.86328125" style="31" bestFit="1" customWidth="1"/>
    <col min="9" max="9" width="10.86328125" style="31" bestFit="1" customWidth="1"/>
    <col min="10" max="10" width="11.3984375" style="31" bestFit="1" customWidth="1"/>
    <col min="11" max="12" width="11.86328125" style="31" bestFit="1" customWidth="1"/>
    <col min="13" max="13" width="11.3984375" style="31" bestFit="1" customWidth="1"/>
    <col min="14" max="14" width="12.3984375" style="31" bestFit="1" customWidth="1"/>
    <col min="15" max="15" width="9.1328125" style="2"/>
    <col min="16" max="16" width="14" style="2" bestFit="1" customWidth="1"/>
    <col min="17" max="16384" width="9.1328125" style="2"/>
  </cols>
  <sheetData>
    <row r="1" spans="1:14" ht="15" x14ac:dyDescent="0.4">
      <c r="A1" s="1" t="s">
        <v>22</v>
      </c>
    </row>
    <row r="2" spans="1:14" ht="15" x14ac:dyDescent="0.4">
      <c r="A2" s="3" t="s">
        <v>47</v>
      </c>
    </row>
    <row r="3" spans="1:14" ht="15" x14ac:dyDescent="0.4">
      <c r="A3" s="1" t="str">
        <f>'Table G-1'!A3</f>
        <v>Calendar Year 2021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3.15" x14ac:dyDescent="0.4">
      <c r="A7" s="24" t="s">
        <v>221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6" t="s">
        <v>14</v>
      </c>
    </row>
    <row r="8" spans="1:14" x14ac:dyDescent="0.35">
      <c r="A8" s="15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8"/>
    </row>
    <row r="9" spans="1:14" ht="13.15" x14ac:dyDescent="0.4">
      <c r="A9" s="12" t="s">
        <v>143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35155756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38">
        <f>SUM(B9:M9)</f>
        <v>35155756</v>
      </c>
    </row>
    <row r="10" spans="1:14" x14ac:dyDescent="0.35">
      <c r="A10" s="15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</row>
    <row r="11" spans="1:14" ht="13.15" x14ac:dyDescent="0.4">
      <c r="A11" s="12" t="s">
        <v>142</v>
      </c>
      <c r="B11" s="42">
        <v>0</v>
      </c>
      <c r="C11" s="42">
        <v>0</v>
      </c>
      <c r="D11" s="42">
        <v>0</v>
      </c>
      <c r="E11" s="42">
        <v>-35155756</v>
      </c>
      <c r="F11" s="42">
        <v>0</v>
      </c>
      <c r="G11" s="42">
        <v>0</v>
      </c>
      <c r="H11" s="42">
        <v>-24949092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-60104848</v>
      </c>
    </row>
    <row r="12" spans="1:14" x14ac:dyDescent="0.35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ht="13.5" thickBot="1" x14ac:dyDescent="0.45">
      <c r="A13" s="23" t="s">
        <v>23</v>
      </c>
      <c r="B13" s="45">
        <f>SUM(B9:B11)</f>
        <v>0</v>
      </c>
      <c r="C13" s="45">
        <f>SUM(C9:C11)</f>
        <v>0</v>
      </c>
      <c r="D13" s="45">
        <f>SUM(D10:D11)</f>
        <v>0</v>
      </c>
      <c r="E13" s="45">
        <f t="shared" ref="E13:M13" si="0">SUM(E9:E11)</f>
        <v>-35155756</v>
      </c>
      <c r="F13" s="45">
        <f t="shared" si="0"/>
        <v>0</v>
      </c>
      <c r="G13" s="45">
        <f t="shared" si="0"/>
        <v>0</v>
      </c>
      <c r="H13" s="45">
        <f t="shared" si="0"/>
        <v>10206664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7">
        <f>SUM(B13:M13)</f>
        <v>-24949092</v>
      </c>
    </row>
    <row r="14" spans="1:14" ht="15" x14ac:dyDescent="0.4">
      <c r="A14" s="4"/>
    </row>
    <row r="15" spans="1:14" ht="15.4" thickBot="1" x14ac:dyDescent="0.45">
      <c r="A15" s="4"/>
    </row>
    <row r="16" spans="1:14" ht="13.15" x14ac:dyDescent="0.4">
      <c r="A16" s="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6" t="s">
        <v>0</v>
      </c>
    </row>
    <row r="17" spans="1:14" ht="13.15" x14ac:dyDescent="0.4">
      <c r="A17" s="24" t="s">
        <v>192</v>
      </c>
      <c r="B17" s="40" t="s">
        <v>2</v>
      </c>
      <c r="C17" s="40" t="s">
        <v>3</v>
      </c>
      <c r="D17" s="40" t="s">
        <v>4</v>
      </c>
      <c r="E17" s="40" t="s">
        <v>5</v>
      </c>
      <c r="F17" s="40" t="s">
        <v>6</v>
      </c>
      <c r="G17" s="40" t="s">
        <v>7</v>
      </c>
      <c r="H17" s="40" t="s">
        <v>8</v>
      </c>
      <c r="I17" s="40" t="s">
        <v>9</v>
      </c>
      <c r="J17" s="40" t="s">
        <v>10</v>
      </c>
      <c r="K17" s="40" t="s">
        <v>11</v>
      </c>
      <c r="L17" s="40" t="s">
        <v>12</v>
      </c>
      <c r="M17" s="40" t="s">
        <v>13</v>
      </c>
      <c r="N17" s="46" t="s">
        <v>14</v>
      </c>
    </row>
    <row r="18" spans="1:14" x14ac:dyDescent="0.35">
      <c r="A18" s="15" t="s">
        <v>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38"/>
    </row>
    <row r="19" spans="1:14" ht="13.15" x14ac:dyDescent="0.4">
      <c r="A19" s="12" t="s">
        <v>143</v>
      </c>
      <c r="B19" s="42">
        <v>0</v>
      </c>
      <c r="C19" s="42">
        <v>15293054</v>
      </c>
      <c r="D19" s="42">
        <v>0</v>
      </c>
      <c r="E19" s="42">
        <v>21743038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8">
        <f>SUM(B19:M19)</f>
        <v>37036092</v>
      </c>
    </row>
    <row r="20" spans="1:14" x14ac:dyDescent="0.35">
      <c r="A20" s="15" t="s">
        <v>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38"/>
    </row>
    <row r="21" spans="1:14" ht="13.15" x14ac:dyDescent="0.4">
      <c r="A21" s="12" t="s">
        <v>142</v>
      </c>
      <c r="B21" s="42">
        <v>-21743038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38">
        <f>SUM(B21:M21)</f>
        <v>-21743038</v>
      </c>
    </row>
    <row r="22" spans="1:14" x14ac:dyDescent="0.35">
      <c r="A22" s="1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38"/>
    </row>
    <row r="23" spans="1:14" ht="13.5" thickBot="1" x14ac:dyDescent="0.45">
      <c r="A23" s="23" t="s">
        <v>23</v>
      </c>
      <c r="B23" s="45">
        <f>SUM(B19:B21)</f>
        <v>-21743038</v>
      </c>
      <c r="C23" s="45">
        <f>SUM(C19:C21)</f>
        <v>15293054</v>
      </c>
      <c r="D23" s="45">
        <f>SUM(D20:D21)</f>
        <v>0</v>
      </c>
      <c r="E23" s="45">
        <f t="shared" ref="E23:M23" si="1">SUM(E19:E21)</f>
        <v>21743038</v>
      </c>
      <c r="F23" s="45">
        <f t="shared" si="1"/>
        <v>0</v>
      </c>
      <c r="G23" s="45">
        <f t="shared" si="1"/>
        <v>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  <c r="L23" s="45">
        <f t="shared" si="1"/>
        <v>0</v>
      </c>
      <c r="M23" s="45">
        <f t="shared" si="1"/>
        <v>0</v>
      </c>
      <c r="N23" s="47">
        <f>SUM(B23:M23)</f>
        <v>15293054</v>
      </c>
    </row>
    <row r="24" spans="1:14" ht="15.4" thickBot="1" x14ac:dyDescent="0.45">
      <c r="A24" s="4"/>
    </row>
    <row r="25" spans="1:14" ht="13.15" x14ac:dyDescent="0.4">
      <c r="A25" s="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6" t="s">
        <v>0</v>
      </c>
    </row>
    <row r="26" spans="1:14" ht="13.15" x14ac:dyDescent="0.4">
      <c r="A26" s="24" t="s">
        <v>149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0" t="s">
        <v>7</v>
      </c>
      <c r="H26" s="40" t="s">
        <v>8</v>
      </c>
      <c r="I26" s="40" t="s">
        <v>9</v>
      </c>
      <c r="J26" s="40" t="s">
        <v>10</v>
      </c>
      <c r="K26" s="40" t="s">
        <v>11</v>
      </c>
      <c r="L26" s="40" t="s">
        <v>12</v>
      </c>
      <c r="M26" s="40" t="s">
        <v>13</v>
      </c>
      <c r="N26" s="46" t="s">
        <v>14</v>
      </c>
    </row>
    <row r="27" spans="1:14" x14ac:dyDescent="0.35">
      <c r="A27" s="15" t="s">
        <v>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8"/>
    </row>
    <row r="28" spans="1:14" ht="13.15" x14ac:dyDescent="0.4">
      <c r="A28" s="12" t="s">
        <v>143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38">
        <f>SUM(B28:M28)</f>
        <v>0</v>
      </c>
    </row>
    <row r="29" spans="1:14" x14ac:dyDescent="0.35">
      <c r="A29" s="15" t="s">
        <v>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38"/>
    </row>
    <row r="30" spans="1:14" ht="13.15" x14ac:dyDescent="0.4">
      <c r="A30" s="12" t="s">
        <v>142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38">
        <f>SUM(B30:M30)</f>
        <v>0</v>
      </c>
    </row>
    <row r="31" spans="1:14" x14ac:dyDescent="0.35">
      <c r="A31" s="1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8"/>
    </row>
    <row r="32" spans="1:14" ht="13.5" thickBot="1" x14ac:dyDescent="0.45">
      <c r="A32" s="23" t="s">
        <v>23</v>
      </c>
      <c r="B32" s="45">
        <f>SUM(B28:B30)</f>
        <v>0</v>
      </c>
      <c r="C32" s="45">
        <f>SUM(C28:C30)</f>
        <v>0</v>
      </c>
      <c r="D32" s="45">
        <f>SUM(D29:D30)</f>
        <v>0</v>
      </c>
      <c r="E32" s="45">
        <f t="shared" ref="E32:M32" si="2">SUM(E28:E30)</f>
        <v>0</v>
      </c>
      <c r="F32" s="45">
        <f t="shared" si="2"/>
        <v>0</v>
      </c>
      <c r="G32" s="45">
        <f t="shared" si="2"/>
        <v>0</v>
      </c>
      <c r="H32" s="45">
        <f t="shared" si="2"/>
        <v>0</v>
      </c>
      <c r="I32" s="45">
        <f t="shared" si="2"/>
        <v>0</v>
      </c>
      <c r="J32" s="45">
        <f t="shared" si="2"/>
        <v>0</v>
      </c>
      <c r="K32" s="45">
        <f t="shared" si="2"/>
        <v>0</v>
      </c>
      <c r="L32" s="45">
        <f t="shared" si="2"/>
        <v>0</v>
      </c>
      <c r="M32" s="45">
        <f t="shared" si="2"/>
        <v>0</v>
      </c>
      <c r="N32" s="47">
        <f>SUM(B32:M32)</f>
        <v>0</v>
      </c>
    </row>
    <row r="33" spans="1:14" ht="13.5" thickBot="1" x14ac:dyDescent="0.4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</row>
    <row r="34" spans="1:14" ht="13.15" x14ac:dyDescent="0.4">
      <c r="A34" s="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6" t="s">
        <v>0</v>
      </c>
    </row>
    <row r="35" spans="1:14" ht="13.15" x14ac:dyDescent="0.4">
      <c r="A35" s="24" t="s">
        <v>148</v>
      </c>
      <c r="B35" s="40" t="s">
        <v>2</v>
      </c>
      <c r="C35" s="40" t="s">
        <v>3</v>
      </c>
      <c r="D35" s="40" t="s">
        <v>4</v>
      </c>
      <c r="E35" s="40" t="s">
        <v>5</v>
      </c>
      <c r="F35" s="40" t="s">
        <v>6</v>
      </c>
      <c r="G35" s="40" t="s">
        <v>7</v>
      </c>
      <c r="H35" s="40" t="s">
        <v>8</v>
      </c>
      <c r="I35" s="40" t="s">
        <v>9</v>
      </c>
      <c r="J35" s="40" t="s">
        <v>10</v>
      </c>
      <c r="K35" s="40" t="s">
        <v>11</v>
      </c>
      <c r="L35" s="40" t="s">
        <v>12</v>
      </c>
      <c r="M35" s="40" t="s">
        <v>13</v>
      </c>
      <c r="N35" s="46" t="s">
        <v>14</v>
      </c>
    </row>
    <row r="36" spans="1:14" x14ac:dyDescent="0.35">
      <c r="A36" s="15" t="s">
        <v>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8"/>
    </row>
    <row r="37" spans="1:14" ht="13.15" x14ac:dyDescent="0.4">
      <c r="A37" s="12" t="s">
        <v>143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38">
        <f>SUM(B37:M37)</f>
        <v>0</v>
      </c>
    </row>
    <row r="38" spans="1:14" x14ac:dyDescent="0.35">
      <c r="A38" s="15" t="s">
        <v>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8"/>
    </row>
    <row r="39" spans="1:14" ht="13.15" x14ac:dyDescent="0.4">
      <c r="A39" s="12" t="s">
        <v>142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38">
        <f>SUM(B39:M39)</f>
        <v>0</v>
      </c>
    </row>
    <row r="40" spans="1:14" x14ac:dyDescent="0.35">
      <c r="A40" s="15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38"/>
    </row>
    <row r="41" spans="1:14" ht="13.5" thickBot="1" x14ac:dyDescent="0.45">
      <c r="A41" s="23" t="s">
        <v>23</v>
      </c>
      <c r="B41" s="45">
        <f>SUM(B37:B39)</f>
        <v>0</v>
      </c>
      <c r="C41" s="45">
        <f t="shared" ref="C41:M41" si="3">SUM(C37:C39)</f>
        <v>0</v>
      </c>
      <c r="D41" s="45">
        <f>SUM(D38:D39)</f>
        <v>0</v>
      </c>
      <c r="E41" s="45">
        <f t="shared" si="3"/>
        <v>0</v>
      </c>
      <c r="F41" s="45">
        <f t="shared" si="3"/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7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tabSelected="1" workbookViewId="0">
      <selection activeCell="J22" sqref="J22"/>
    </sheetView>
  </sheetViews>
  <sheetFormatPr defaultColWidth="9.1328125" defaultRowHeight="13.5" x14ac:dyDescent="0.35"/>
  <cols>
    <col min="1" max="1" width="41" style="82" bestFit="1" customWidth="1"/>
    <col min="2" max="2" width="13.3984375" style="81" customWidth="1"/>
    <col min="3" max="3" width="13.3984375" style="82" customWidth="1"/>
    <col min="4" max="4" width="13.3984375" style="81" customWidth="1"/>
    <col min="5" max="13" width="13.3984375" style="82" customWidth="1"/>
    <col min="14" max="14" width="13.3984375" style="81" customWidth="1"/>
    <col min="15" max="16384" width="9.1328125" style="82"/>
  </cols>
  <sheetData>
    <row r="1" spans="1:14" ht="13.9" x14ac:dyDescent="0.4">
      <c r="A1" s="80" t="s">
        <v>213</v>
      </c>
    </row>
    <row r="2" spans="1:14" ht="13.9" x14ac:dyDescent="0.4">
      <c r="A2" s="80" t="s">
        <v>205</v>
      </c>
      <c r="C2" s="81"/>
      <c r="E2" s="83"/>
      <c r="F2" s="84"/>
    </row>
    <row r="3" spans="1:14" ht="13.9" x14ac:dyDescent="0.4">
      <c r="A3" s="80" t="s">
        <v>197</v>
      </c>
      <c r="C3" s="81"/>
      <c r="E3" s="83"/>
      <c r="J3" s="85"/>
    </row>
    <row r="4" spans="1:14" ht="15" x14ac:dyDescent="0.4">
      <c r="A4" s="86"/>
      <c r="C4" s="81"/>
      <c r="E4" s="87"/>
    </row>
    <row r="5" spans="1:14" ht="15.4" thickBot="1" x14ac:dyDescent="0.45">
      <c r="A5" s="86"/>
      <c r="N5" s="88"/>
    </row>
    <row r="6" spans="1:14" ht="13.9" x14ac:dyDescent="0.4">
      <c r="A6" s="89"/>
      <c r="B6" s="90"/>
      <c r="C6" s="91"/>
      <c r="D6" s="90"/>
      <c r="E6" s="91"/>
      <c r="F6" s="91"/>
      <c r="G6" s="91"/>
      <c r="H6" s="91"/>
      <c r="I6" s="91"/>
      <c r="J6" s="91"/>
      <c r="K6" s="91"/>
      <c r="L6" s="91"/>
      <c r="M6" s="91"/>
      <c r="N6" s="92" t="s">
        <v>0</v>
      </c>
    </row>
    <row r="7" spans="1:14" ht="15.4" thickBot="1" x14ac:dyDescent="0.45">
      <c r="A7" s="93" t="s">
        <v>0</v>
      </c>
      <c r="B7" s="94" t="s">
        <v>2</v>
      </c>
      <c r="C7" s="95" t="s">
        <v>3</v>
      </c>
      <c r="D7" s="94" t="s">
        <v>4</v>
      </c>
      <c r="E7" s="95" t="s">
        <v>5</v>
      </c>
      <c r="F7" s="95" t="s">
        <v>6</v>
      </c>
      <c r="G7" s="95" t="s">
        <v>7</v>
      </c>
      <c r="H7" s="95" t="s">
        <v>8</v>
      </c>
      <c r="I7" s="95" t="s">
        <v>9</v>
      </c>
      <c r="J7" s="95" t="s">
        <v>10</v>
      </c>
      <c r="K7" s="95" t="s">
        <v>11</v>
      </c>
      <c r="L7" s="95" t="s">
        <v>12</v>
      </c>
      <c r="M7" s="95" t="s">
        <v>13</v>
      </c>
      <c r="N7" s="96" t="s">
        <v>14</v>
      </c>
    </row>
    <row r="8" spans="1:14" ht="15" x14ac:dyDescent="0.4">
      <c r="A8" s="97"/>
      <c r="B8" s="98"/>
      <c r="C8" s="99"/>
      <c r="D8" s="98"/>
      <c r="E8" s="99"/>
      <c r="F8" s="99"/>
      <c r="G8" s="99"/>
      <c r="H8" s="99"/>
      <c r="I8" s="99"/>
      <c r="J8" s="99"/>
      <c r="K8" s="99"/>
      <c r="L8" s="99"/>
      <c r="M8" s="99"/>
      <c r="N8" s="100"/>
    </row>
    <row r="9" spans="1:14" ht="13.15" x14ac:dyDescent="0.4">
      <c r="A9" s="101" t="s">
        <v>206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4" ht="12.75" x14ac:dyDescent="0.35">
      <c r="A10" s="104" t="s">
        <v>18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6">
        <f>B10</f>
        <v>0</v>
      </c>
    </row>
    <row r="11" spans="1:14" ht="12.75" x14ac:dyDescent="0.35">
      <c r="A11" s="104" t="s">
        <v>207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6">
        <f>SUM(B11:M11)</f>
        <v>0</v>
      </c>
    </row>
    <row r="12" spans="1:14" ht="12.75" x14ac:dyDescent="0.35">
      <c r="A12" s="104" t="s">
        <v>208</v>
      </c>
      <c r="B12" s="105">
        <v>0</v>
      </c>
      <c r="C12" s="105">
        <v>0</v>
      </c>
      <c r="D12" s="105">
        <v>-1250000</v>
      </c>
      <c r="E12" s="105">
        <v>0</v>
      </c>
      <c r="F12" s="105">
        <v>0</v>
      </c>
      <c r="G12" s="105">
        <v>-1250000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6">
        <f>SUM(B12:M12)</f>
        <v>-2500000</v>
      </c>
    </row>
    <row r="13" spans="1:14" ht="12.75" x14ac:dyDescent="0.35">
      <c r="A13" s="104" t="s">
        <v>209</v>
      </c>
      <c r="B13" s="105">
        <v>0</v>
      </c>
      <c r="C13" s="105">
        <v>0</v>
      </c>
      <c r="D13" s="105">
        <v>1250000</v>
      </c>
      <c r="E13" s="105">
        <v>0</v>
      </c>
      <c r="F13" s="105">
        <v>0</v>
      </c>
      <c r="G13" s="105">
        <v>1250000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6">
        <f>SUM(B13:M13)</f>
        <v>2500000</v>
      </c>
    </row>
    <row r="14" spans="1:14" ht="14.25" x14ac:dyDescent="0.35">
      <c r="A14" s="104" t="s">
        <v>210</v>
      </c>
      <c r="B14" s="105">
        <v>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6">
        <f>SUM(B14:M14)</f>
        <v>0</v>
      </c>
    </row>
    <row r="15" spans="1:14" ht="13.15" x14ac:dyDescent="0.4">
      <c r="A15" s="104" t="s">
        <v>211</v>
      </c>
      <c r="B15" s="107">
        <f t="shared" ref="B15:N15" si="0">SUM(B10:B14)</f>
        <v>0</v>
      </c>
      <c r="C15" s="107">
        <f t="shared" si="0"/>
        <v>0</v>
      </c>
      <c r="D15" s="107">
        <f t="shared" si="0"/>
        <v>0</v>
      </c>
      <c r="E15" s="107">
        <f>SUM(E10:E14)+D15</f>
        <v>0</v>
      </c>
      <c r="F15" s="107">
        <f t="shared" ref="F15:H15" si="1">SUM(F10:F14)+E15</f>
        <v>0</v>
      </c>
      <c r="G15" s="107">
        <f t="shared" si="1"/>
        <v>0</v>
      </c>
      <c r="H15" s="107">
        <f t="shared" si="1"/>
        <v>0</v>
      </c>
      <c r="I15" s="107">
        <f t="shared" si="0"/>
        <v>0</v>
      </c>
      <c r="J15" s="107">
        <f t="shared" si="0"/>
        <v>0</v>
      </c>
      <c r="K15" s="107">
        <f t="shared" si="0"/>
        <v>0</v>
      </c>
      <c r="L15" s="107">
        <f t="shared" si="0"/>
        <v>0</v>
      </c>
      <c r="M15" s="107">
        <f t="shared" si="0"/>
        <v>0</v>
      </c>
      <c r="N15" s="108">
        <f t="shared" si="0"/>
        <v>0</v>
      </c>
    </row>
    <row r="16" spans="1:14" ht="12.75" x14ac:dyDescent="0.35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</row>
    <row r="17" spans="1:14" ht="12.75" x14ac:dyDescent="0.35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12.75" x14ac:dyDescent="0.35">
      <c r="A18" s="114" t="s">
        <v>212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12.75" x14ac:dyDescent="0.3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14" x14ac:dyDescent="0.35">
      <c r="A20" s="113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402EB3-6A91-4C7C-8FBD-1C851CDDCEB3}"/>
</file>

<file path=customXml/itemProps2.xml><?xml version="1.0" encoding="utf-8"?>
<ds:datastoreItem xmlns:ds="http://schemas.openxmlformats.org/officeDocument/2006/customXml" ds:itemID="{992D6391-798C-400F-8D65-F19B4E6B2283}"/>
</file>

<file path=customXml/itemProps3.xml><?xml version="1.0" encoding="utf-8"?>
<ds:datastoreItem xmlns:ds="http://schemas.openxmlformats.org/officeDocument/2006/customXml" ds:itemID="{C257AB4C-71E9-4541-BB38-7D195785C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Chien, Clinton C</cp:lastModifiedBy>
  <cp:lastPrinted>2005-04-20T21:57:08Z</cp:lastPrinted>
  <dcterms:created xsi:type="dcterms:W3CDTF">2002-02-21T22:40:26Z</dcterms:created>
  <dcterms:modified xsi:type="dcterms:W3CDTF">2021-08-24T23:31:52Z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